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HEK293_cell_NP40_R1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5580" i="1" l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<sst xmlns="http://schemas.openxmlformats.org/spreadsheetml/2006/main" count="44645" uniqueCount="27753">
  <si>
    <t>Protein_ID</t>
  </si>
  <si>
    <t>plot</t>
  </si>
  <si>
    <t>gene_name</t>
  </si>
  <si>
    <t>uniprot_ac</t>
  </si>
  <si>
    <t>auc</t>
  </si>
  <si>
    <t>plot_link</t>
  </si>
  <si>
    <t>A0AVI4_TMEM129</t>
  </si>
  <si>
    <t>A0AVT1_UBA6</t>
  </si>
  <si>
    <t>A0FGR8-2_ESYT2</t>
  </si>
  <si>
    <t>A0MZ66_KIAA1598</t>
  </si>
  <si>
    <t>A0PJW6_TMEM223</t>
  </si>
  <si>
    <t>A1L0T0_ILVBL</t>
  </si>
  <si>
    <t>A1L188_C17orf89</t>
  </si>
  <si>
    <t>A1X283_SH3PXD2B</t>
  </si>
  <si>
    <t>A2A274_ACO2</t>
  </si>
  <si>
    <t>A2A2V1_PRNP</t>
  </si>
  <si>
    <t>A2AEA2_HLA-C</t>
  </si>
  <si>
    <t>A2RU67_KIAA1467</t>
  </si>
  <si>
    <t>A2RUC4_TYW5</t>
  </si>
  <si>
    <t>A3KFL4_EXOSC2</t>
  </si>
  <si>
    <t>A3KN83-3_SBNO1</t>
  </si>
  <si>
    <t>A4D126-2_ISPD</t>
  </si>
  <si>
    <t>A4D1E9_GTPBP10</t>
  </si>
  <si>
    <t>A4D1S0-2_KLRG2</t>
  </si>
  <si>
    <t>A4D212_DKFZP586J0619</t>
  </si>
  <si>
    <t>A4D2B0_MBLAC1</t>
  </si>
  <si>
    <t>A4UGR9-2_XIRP2</t>
  </si>
  <si>
    <t>A6H8Z3_RAB3GAP1</t>
  </si>
  <si>
    <t>A6NCL7_ANKRD33B</t>
  </si>
  <si>
    <t>A6ND99_HS2ST1</t>
  </si>
  <si>
    <t>A6NDB9_PALM3</t>
  </si>
  <si>
    <t>A6NDG6_PGP</t>
  </si>
  <si>
    <t>A6NDJ8_</t>
  </si>
  <si>
    <t>A6NDU8_C5orf51</t>
  </si>
  <si>
    <t>A6NED2_RCCD1</t>
  </si>
  <si>
    <t>A6NEM2_HCFC1</t>
  </si>
  <si>
    <t>A6NEM5_PIGK</t>
  </si>
  <si>
    <t>A6NF31_OFD1</t>
  </si>
  <si>
    <t>A6NF51_BPNT1</t>
  </si>
  <si>
    <t>A6NG32_CHMP1A</t>
  </si>
  <si>
    <t>A6NG79_PRCC</t>
  </si>
  <si>
    <t>A6NGC4_TLCD2</t>
  </si>
  <si>
    <t>A6NGP5_HN1L</t>
  </si>
  <si>
    <t>A6NHL2-2_TUBAL3</t>
  </si>
  <si>
    <t>A6NHR2_MRPL37</t>
  </si>
  <si>
    <t>A6NHR9_SMCHD1</t>
  </si>
  <si>
    <t>A6NIH7_UNC119B</t>
  </si>
  <si>
    <t>A6NIZ0_NDEL1</t>
  </si>
  <si>
    <t>A6NJ78_METTL15</t>
  </si>
  <si>
    <t>A6NJB5_CCDC144A</t>
  </si>
  <si>
    <t>A6NKB8_RNPEP</t>
  </si>
  <si>
    <t>A6NKD9_CCDC85C</t>
  </si>
  <si>
    <t>A6NL54_ZMYM3</t>
  </si>
  <si>
    <t>A6NLP3_TRIM5</t>
  </si>
  <si>
    <t>A6NMH6_SEPT8</t>
  </si>
  <si>
    <t>A6NML8_DIAPH2</t>
  </si>
  <si>
    <t>A6NMN0_PHKA1</t>
  </si>
  <si>
    <t>A6NMQ1_POLA1</t>
  </si>
  <si>
    <t>A6NMY3_ALMS1</t>
  </si>
  <si>
    <t>A6NN80_ANXA6</t>
  </si>
  <si>
    <t>A6NNI4_CD9</t>
  </si>
  <si>
    <t>A6PVM9_AIF1L</t>
  </si>
  <si>
    <t>A6ZKI3_FAM127A</t>
  </si>
  <si>
    <t>A8K0B5_ZBTB8OS</t>
  </si>
  <si>
    <t>A8K0M9_SELK</t>
  </si>
  <si>
    <t>A8MPS7_YDJC</t>
  </si>
  <si>
    <t>A8MQ02_MLLT4</t>
  </si>
  <si>
    <t>A8MRB1_S100B</t>
  </si>
  <si>
    <t>A8MSH5_RTFDC1</t>
  </si>
  <si>
    <t>A8MU44_HOOK1</t>
  </si>
  <si>
    <t>A8MU58_AIMP2</t>
  </si>
  <si>
    <t>A8MUA9_SUMO3</t>
  </si>
  <si>
    <t>A8MUB1_TUBA4A</t>
  </si>
  <si>
    <t>A8MUM1_TSSC1</t>
  </si>
  <si>
    <t>A8MVQ8_GGPS1</t>
  </si>
  <si>
    <t>A8MVW0_FAM171A2</t>
  </si>
  <si>
    <t>A8MVZ6_BICD1</t>
  </si>
  <si>
    <t>A8MWY0_KIAA1324L</t>
  </si>
  <si>
    <t>A8MX75_ERCC2</t>
  </si>
  <si>
    <t>A8MXE8_RAI1</t>
  </si>
  <si>
    <t>A8MXP9_MATR3</t>
  </si>
  <si>
    <t>A8MXQ1_PTTG1IP</t>
  </si>
  <si>
    <t>A8MXV4_NUDT19</t>
  </si>
  <si>
    <t>A8MYQ9_RAB34</t>
  </si>
  <si>
    <t>A8MYT4_PIK3C3</t>
  </si>
  <si>
    <t>A9UHW6_MIF4GD</t>
  </si>
  <si>
    <t>A9Z1X7_SRRM1</t>
  </si>
  <si>
    <t>A9Z1Z3_FER1L4</t>
  </si>
  <si>
    <t>B0AZU2_KIAA0930</t>
  </si>
  <si>
    <t>B0FLL2_PFKFB2</t>
  </si>
  <si>
    <t>B0LM41_RBM14</t>
  </si>
  <si>
    <t>B0QY89_EIF3L</t>
  </si>
  <si>
    <t>B0QY95_SMCR7L</t>
  </si>
  <si>
    <t>B0QYI3_TBC1D22A</t>
  </si>
  <si>
    <t>B0QYK0_EWSR1</t>
  </si>
  <si>
    <t>B0QZ18_CPNE1</t>
  </si>
  <si>
    <t>B0QZ40_COMMD6</t>
  </si>
  <si>
    <t>B0UX83_BAG6</t>
  </si>
  <si>
    <t>B0UXB6_ABHD16A</t>
  </si>
  <si>
    <t>B0UZY3_EHMT2</t>
  </si>
  <si>
    <t>B0V043_VARS</t>
  </si>
  <si>
    <t>B0YIW2_APOC3</t>
  </si>
  <si>
    <t>B1AH87_TSPO</t>
  </si>
  <si>
    <t>B1AHD1_NHP2L1</t>
  </si>
  <si>
    <t>B1AK13_HMGCL</t>
  </si>
  <si>
    <t>B1AK53_ESPN</t>
  </si>
  <si>
    <t>B1AKC9_EPHB2</t>
  </si>
  <si>
    <t>B1AKJ5_NRD1</t>
  </si>
  <si>
    <t>B1AKR6_DYNLRB1</t>
  </si>
  <si>
    <t>B1AKZ5_PEA15</t>
  </si>
  <si>
    <t>B1ALH6_PHYH</t>
  </si>
  <si>
    <t>B1ALM5_TMEM9</t>
  </si>
  <si>
    <t>B1AMU7_EXOSC1</t>
  </si>
  <si>
    <t>B1AN99_PRSS3</t>
  </si>
  <si>
    <t>B1ANH0_GUK1</t>
  </si>
  <si>
    <t>B1AP15_CD55</t>
  </si>
  <si>
    <t>B1AUU8_EPS15</t>
  </si>
  <si>
    <t>B3KS98_EIF3S3</t>
  </si>
  <si>
    <t>B3KSH1_EIF3F</t>
  </si>
  <si>
    <t>B3KSI3_BCAT2</t>
  </si>
  <si>
    <t>B3KSI9_LZTFL1</t>
  </si>
  <si>
    <t>B3KUK2_SOD2</t>
  </si>
  <si>
    <t>B3KVH8_PHF23</t>
  </si>
  <si>
    <t>B3KVZ3_CENPH</t>
  </si>
  <si>
    <t>B3KWN8_PYROXD1</t>
  </si>
  <si>
    <t>B4DDF4_CNN2</t>
  </si>
  <si>
    <t>B4DDY8_HARS2</t>
  </si>
  <si>
    <t>B4DE11_SLC35A2</t>
  </si>
  <si>
    <t>B4DE60_REEP2</t>
  </si>
  <si>
    <t>B4DEB8_TSPAN7</t>
  </si>
  <si>
    <t>B4DEK4_SNX2</t>
  </si>
  <si>
    <t>B4DEZ3_NDUFA13</t>
  </si>
  <si>
    <t>B4DFF2_SLC17A5</t>
  </si>
  <si>
    <t>B4DGU4_CTNNB1</t>
  </si>
  <si>
    <t>B4DGX2_PIP4K2A</t>
  </si>
  <si>
    <t>B4DH53_MAP1S</t>
  </si>
  <si>
    <t>B4DIG7_PIP5K1B</t>
  </si>
  <si>
    <t>B4DIT7_TGM2</t>
  </si>
  <si>
    <t>B4DJA5_RAB5A</t>
  </si>
  <si>
    <t>B4DJN2_SLC25A14</t>
  </si>
  <si>
    <t>B4DJP7_SNRPD3</t>
  </si>
  <si>
    <t>B4DJV2_CS</t>
  </si>
  <si>
    <t>B4DJV5_PWP1</t>
  </si>
  <si>
    <t>B4DK44_NAPB</t>
  </si>
  <si>
    <t>B4DK80_TOP3A</t>
  </si>
  <si>
    <t>B4DKB2_ECE1</t>
  </si>
  <si>
    <t>B4DKF9_ZNF286A</t>
  </si>
  <si>
    <t>B4DKL4_LSR</t>
  </si>
  <si>
    <t>B4DL54_CHURC1-FNTB</t>
  </si>
  <si>
    <t>B4DLE8_CRYBG3</t>
  </si>
  <si>
    <t>B4DLH2_C2orf18</t>
  </si>
  <si>
    <t>B4DLN1_SLC25A10</t>
  </si>
  <si>
    <t>B4DLT4_RPS6KB1</t>
  </si>
  <si>
    <t>B4DLW8_DDX5</t>
  </si>
  <si>
    <t>B4DLZ9_RNF220</t>
  </si>
  <si>
    <t>B4DM89_BSDC1</t>
  </si>
  <si>
    <t>B4DME9_KLC4</t>
  </si>
  <si>
    <t>B4DMU4_FAM45A</t>
  </si>
  <si>
    <t>B4DMX0_KDSR</t>
  </si>
  <si>
    <t>B4DP21_PTGES3</t>
  </si>
  <si>
    <t>B4DP38_WDR77</t>
  </si>
  <si>
    <t>B4DP61_SMN1</t>
  </si>
  <si>
    <t>B4DPY5_SNX11</t>
  </si>
  <si>
    <t>B4DPY8_TOX4</t>
  </si>
  <si>
    <t>B4DQJ8_PGD</t>
  </si>
  <si>
    <t>B4DR03_NAA40</t>
  </si>
  <si>
    <t>B4DR61_SEC61A1</t>
  </si>
  <si>
    <t>B4DR80_STK24</t>
  </si>
  <si>
    <t>B4DR94_YKT6</t>
  </si>
  <si>
    <t>B4DRM7_SIMC1</t>
  </si>
  <si>
    <t>B4DS06_MPPED1</t>
  </si>
  <si>
    <t>B4DSD4_C9orf41</t>
  </si>
  <si>
    <t>B4DSH5_SLITRK5</t>
  </si>
  <si>
    <t>B4DT77_ANXA7</t>
  </si>
  <si>
    <t>B4DTA3_SLC25A46</t>
  </si>
  <si>
    <t>B4DUB9_SLC35F2</t>
  </si>
  <si>
    <t>B4DUS9_BPNT1</t>
  </si>
  <si>
    <t>B4DVE7_ANXA11</t>
  </si>
  <si>
    <t>B4DVY1_EIF3D</t>
  </si>
  <si>
    <t>B4DWA1_BAIAP2</t>
  </si>
  <si>
    <t>B4DWI1_HACL1</t>
  </si>
  <si>
    <t>B4DWL9_MPP7</t>
  </si>
  <si>
    <t>B4DXZ6_FXR1</t>
  </si>
  <si>
    <t>B4DYB4_NUP35</t>
  </si>
  <si>
    <t>B4DZG7_ARL1</t>
  </si>
  <si>
    <t>B4DZH6_HDAC6</t>
  </si>
  <si>
    <t>B4DZP4_DYNC1LI2</t>
  </si>
  <si>
    <t>B4DZW6_RMDN1</t>
  </si>
  <si>
    <t>B4E0G4_PHF6</t>
  </si>
  <si>
    <t>B4E0G6_RBM6</t>
  </si>
  <si>
    <t>B4E0T2_PEX5</t>
  </si>
  <si>
    <t>B4E0V0_PNPO</t>
  </si>
  <si>
    <t>B4E0Y9_MST4</t>
  </si>
  <si>
    <t>B4E1Q4_RIOK3</t>
  </si>
  <si>
    <t>B4E241_SFRS3</t>
  </si>
  <si>
    <t>B4E2V5_STOM</t>
  </si>
  <si>
    <t>B4E2W0_HADHB</t>
  </si>
  <si>
    <t>B4E2X3_METTL13</t>
  </si>
  <si>
    <t>B4E3E5_DVL3</t>
  </si>
  <si>
    <t>B5AK60_ABCB1</t>
  </si>
  <si>
    <t>B5MBX5_LBH</t>
  </si>
  <si>
    <t>B5MBZ0_EML4</t>
  </si>
  <si>
    <t>B5MC15_CBLB</t>
  </si>
  <si>
    <t>B5MCD7_SYNGR1</t>
  </si>
  <si>
    <t>B5MCF9_PES1</t>
  </si>
  <si>
    <t>B5MCN7_NCOA1</t>
  </si>
  <si>
    <t>B5MD46_TBC1D10A</t>
  </si>
  <si>
    <t>B5MDE0_RFT1</t>
  </si>
  <si>
    <t>B5MDU6_C2orf43</t>
  </si>
  <si>
    <t>B7Z254_PDIA6</t>
  </si>
  <si>
    <t>B7Z291_MTMR9</t>
  </si>
  <si>
    <t>B7Z2B2_MFSD8</t>
  </si>
  <si>
    <t>B7Z382_NT5C2</t>
  </si>
  <si>
    <t>B7Z3P1_TBCE</t>
  </si>
  <si>
    <t>B7Z456_GGA3</t>
  </si>
  <si>
    <t>B7Z4K6_DNASE2</t>
  </si>
  <si>
    <t>B7Z4U0_TOMM40L</t>
  </si>
  <si>
    <t>B7Z4W5_CCBL1</t>
  </si>
  <si>
    <t>B7Z5G4_STMN3</t>
  </si>
  <si>
    <t>B7Z5N5_SMAD2</t>
  </si>
  <si>
    <t>B7Z5R6_NBR1</t>
  </si>
  <si>
    <t>B7Z5W1_F11R</t>
  </si>
  <si>
    <t>B7Z5X7_WARS2</t>
  </si>
  <si>
    <t>B7Z683_ABR</t>
  </si>
  <si>
    <t>B7Z6M4_TNFAIP1</t>
  </si>
  <si>
    <t>B7Z7F3_RANBP3</t>
  </si>
  <si>
    <t>B7Z7X8_ATL2</t>
  </si>
  <si>
    <t>B7Z815_USP7</t>
  </si>
  <si>
    <t>B7Z817_DHCR24</t>
  </si>
  <si>
    <t>B7Z831_GPRC5B</t>
  </si>
  <si>
    <t>B7Z860_CCDC117</t>
  </si>
  <si>
    <t>B7Z8H2_TRDMT1</t>
  </si>
  <si>
    <t>B7Z9I1_ACADM</t>
  </si>
  <si>
    <t>B7Z9I3_ATP6AP2</t>
  </si>
  <si>
    <t>B7Z9J4_CALB1</t>
  </si>
  <si>
    <t>B7Z9S8_ATP1B1</t>
  </si>
  <si>
    <t>B7ZC38_SH3GLB2</t>
  </si>
  <si>
    <t>B7ZKK9_PPP2R5E</t>
  </si>
  <si>
    <t>B7ZKM0_SART3</t>
  </si>
  <si>
    <t>B7ZKQ9_SCARB1</t>
  </si>
  <si>
    <t>B7ZL88_COX18</t>
  </si>
  <si>
    <t>B7ZLZ2_EDEM3</t>
  </si>
  <si>
    <t>B8X2Z3_RLTPR</t>
  </si>
  <si>
    <t>B8ZZB8_CNRIP1</t>
  </si>
  <si>
    <t>B8ZZD4_TAX1BP1</t>
  </si>
  <si>
    <t>B8ZZJ1_FAM126A</t>
  </si>
  <si>
    <t>B8ZZN6_SUMO1</t>
  </si>
  <si>
    <t>B8ZZQ6_PTMA</t>
  </si>
  <si>
    <t>B8ZZU8_TCEB2</t>
  </si>
  <si>
    <t>B8ZZY2_AGFG1</t>
  </si>
  <si>
    <t>B9A018_USP39</t>
  </si>
  <si>
    <t>B9A054_RHBDD1</t>
  </si>
  <si>
    <t>B9A067_IMMT</t>
  </si>
  <si>
    <t>B9EGE7_ZNF507</t>
  </si>
  <si>
    <t>C0H5Y7_BAK1</t>
  </si>
  <si>
    <t>C1IDX9_ATG12</t>
  </si>
  <si>
    <t>C4AMC7_WASH3P</t>
  </si>
  <si>
    <t>C6GKU9_MED30S</t>
  </si>
  <si>
    <t>C9IYZ1_ASNSD1</t>
  </si>
  <si>
    <t>C9IZZ8_ITGB1BP1</t>
  </si>
  <si>
    <t>C9J0I9_ZC3HC1</t>
  </si>
  <si>
    <t>C9J0J7_PFN2</t>
  </si>
  <si>
    <t>C9J0K6_SRI</t>
  </si>
  <si>
    <t>C9J173_INPP1</t>
  </si>
  <si>
    <t>C9J212_UBE2F</t>
  </si>
  <si>
    <t>C9J2P0_UBE2E1</t>
  </si>
  <si>
    <t>C9J2U4_TAMM41</t>
  </si>
  <si>
    <t>C9J2V2_IKBKG</t>
  </si>
  <si>
    <t>C9J3D2_PHC2</t>
  </si>
  <si>
    <t>C9J3D7_CROT</t>
  </si>
  <si>
    <t>C9J3L7_REPIN1</t>
  </si>
  <si>
    <t>C9J3L8_SSR1</t>
  </si>
  <si>
    <t>C9J4M6_POLR2B</t>
  </si>
  <si>
    <t>C9J4Z3_RPL37A</t>
  </si>
  <si>
    <t>C9J5C3_PDCD10</t>
  </si>
  <si>
    <t>C9J5X1_IGF1R</t>
  </si>
  <si>
    <t>C9J695_TANGO2</t>
  </si>
  <si>
    <t>C9J6W2_KIF20B</t>
  </si>
  <si>
    <t>C9J715_NISCH</t>
  </si>
  <si>
    <t>C9J7E5_TNPO3</t>
  </si>
  <si>
    <t>C9J7E8_MKLN1</t>
  </si>
  <si>
    <t>C9J7T7_NCOR2</t>
  </si>
  <si>
    <t>C9J8H5_ZMAT3</t>
  </si>
  <si>
    <t>C9J8Q5_ALDH5A1</t>
  </si>
  <si>
    <t>C9J9K3_RPSA</t>
  </si>
  <si>
    <t>C9JA08_NMD3</t>
  </si>
  <si>
    <t>C9JA28_SSR3</t>
  </si>
  <si>
    <t>C9JAB2_SRSF7</t>
  </si>
  <si>
    <t>C9JAW5_HIGD1A</t>
  </si>
  <si>
    <t>C9JCC6_DRAP1</t>
  </si>
  <si>
    <t>C9JDS9_TUBA4A</t>
  </si>
  <si>
    <t>C9JE12_TMUB1</t>
  </si>
  <si>
    <t>C9JE15_ADCK2</t>
  </si>
  <si>
    <t>C9JEL3_EIF4E2</t>
  </si>
  <si>
    <t>C9JFR7_CYCS</t>
  </si>
  <si>
    <t>C9JG97_AAMP</t>
  </si>
  <si>
    <t>C9JIF9_APEH</t>
  </si>
  <si>
    <t>C9JIM0_PBLD</t>
  </si>
  <si>
    <t>C9JIY2_KRIT1</t>
  </si>
  <si>
    <t>C9JIZ6_PSAP</t>
  </si>
  <si>
    <t>C9JJV6_MYADM</t>
  </si>
  <si>
    <t>C9JK10_ITGA6</t>
  </si>
  <si>
    <t>C9JK89_SH2B2</t>
  </si>
  <si>
    <t>C9JLU1_POLR2H</t>
  </si>
  <si>
    <t>C9JLV4_APAF1</t>
  </si>
  <si>
    <t>C9JN15_PPIG</t>
  </si>
  <si>
    <t>C9JNA8_IP6K1</t>
  </si>
  <si>
    <t>C9JNE2_OARD1</t>
  </si>
  <si>
    <t>C9JP00_MBNL1</t>
  </si>
  <si>
    <t>C9JP16_CRTAP</t>
  </si>
  <si>
    <t>C9JP85_NRF1</t>
  </si>
  <si>
    <t>C9JPM4_ARF4</t>
  </si>
  <si>
    <t>C9JQB1_NME6</t>
  </si>
  <si>
    <t>C9JQV3_STK11IP</t>
  </si>
  <si>
    <t>C9JRY4_SEC22A</t>
  </si>
  <si>
    <t>C9JRZ6_CHCHD3</t>
  </si>
  <si>
    <t>C9JSG1_DPP8</t>
  </si>
  <si>
    <t>C9JUH5_SERP1</t>
  </si>
  <si>
    <t>C9JXB8_RPL24</t>
  </si>
  <si>
    <t>C9JXI1_FOXJ3</t>
  </si>
  <si>
    <t>C9JYM0_POP7</t>
  </si>
  <si>
    <t>C9JYQ9_RPL22L1</t>
  </si>
  <si>
    <t>C9JYY6_NRCAM</t>
  </si>
  <si>
    <t>C9JYY9_NUDT5</t>
  </si>
  <si>
    <t>C9JZB0_INPP5K</t>
  </si>
  <si>
    <t>C9K0J5_RAPH1</t>
  </si>
  <si>
    <t>D3YTA4_PALM2</t>
  </si>
  <si>
    <t>D3YTB1_RPL32</t>
  </si>
  <si>
    <t>D3YTB5_IRAK1</t>
  </si>
  <si>
    <t>D6R938_CAMK2D</t>
  </si>
  <si>
    <t>D6R9G1_CDK7</t>
  </si>
  <si>
    <t>D6R9U7_POLR3G</t>
  </si>
  <si>
    <t>D6R9X7_ERCC6</t>
  </si>
  <si>
    <t>D6R9Z7_COX7C</t>
  </si>
  <si>
    <t>D6RAT0_RPS3A</t>
  </si>
  <si>
    <t>D6RB01_FAM169A</t>
  </si>
  <si>
    <t>D6RBS5_ELMOD2</t>
  </si>
  <si>
    <t>D6RBW1_EIF4E</t>
  </si>
  <si>
    <t>D6RCD0_HSD17B11</t>
  </si>
  <si>
    <t>D6RCD9_TMEM175</t>
  </si>
  <si>
    <t>D6RDM3_SLC41A3</t>
  </si>
  <si>
    <t>D6RDX7_EMB</t>
  </si>
  <si>
    <t>D6RE84_ALG13</t>
  </si>
  <si>
    <t>D6REA0_PET112</t>
  </si>
  <si>
    <t>D6REX3_SEC31A</t>
  </si>
  <si>
    <t>D6RF85_ZNF652</t>
  </si>
  <si>
    <t>D6RF92_CXCL6</t>
  </si>
  <si>
    <t>D6RFG8_DCK</t>
  </si>
  <si>
    <t>D6RFH4_CYB5B</t>
  </si>
  <si>
    <t>D6RGI3_SEPT11</t>
  </si>
  <si>
    <t>D6RGJ7_SLC9B2</t>
  </si>
  <si>
    <t>D6RHD2_SPRY1</t>
  </si>
  <si>
    <t>D6RHD3_CENPK</t>
  </si>
  <si>
    <t>D6RHI9_RNASET2</t>
  </si>
  <si>
    <t>D6RIE3_COX7A2</t>
  </si>
  <si>
    <t>D6W592_HNRPLL</t>
  </si>
  <si>
    <t>E2QRB3_PYCR1</t>
  </si>
  <si>
    <t>E2QRD5_C15orf38-AP3S2</t>
  </si>
  <si>
    <t>E2QRF9_GMNN</t>
  </si>
  <si>
    <t>E5KLJ5_OPA1</t>
  </si>
  <si>
    <t>E5RFJ1_NSMCE2</t>
  </si>
  <si>
    <t>E5RFQ1_EBF1</t>
  </si>
  <si>
    <t>E5RG13_IMPA1</t>
  </si>
  <si>
    <t>E5RG17_TATDN1</t>
  </si>
  <si>
    <t>E5RGQ3_RWDD1</t>
  </si>
  <si>
    <t>E5RGX5_STMN2</t>
  </si>
  <si>
    <t>E5RGY0_DERL1</t>
  </si>
  <si>
    <t>E5RHG8_TCEB1</t>
  </si>
  <si>
    <t>E5RHT1_PSEN2</t>
  </si>
  <si>
    <t>E5RIH5_TTI2</t>
  </si>
  <si>
    <t>E5RIJ0_POLB</t>
  </si>
  <si>
    <t>E5RJ68_AP3B1</t>
  </si>
  <si>
    <t>E5RJ97_TRPS1</t>
  </si>
  <si>
    <t>E5RJ99_ZFAND1</t>
  </si>
  <si>
    <t>E5RJB8_SDC2</t>
  </si>
  <si>
    <t>E5RJJ3_NUDT18</t>
  </si>
  <si>
    <t>E5RJR5_SKP1</t>
  </si>
  <si>
    <t>E5RJS5_MTFR1</t>
  </si>
  <si>
    <t>E5RJV7_SGK3</t>
  </si>
  <si>
    <t>E7EM64_COPS6</t>
  </si>
  <si>
    <t>E7EM95_RNF5</t>
  </si>
  <si>
    <t>E7EMB1_SWAP70</t>
  </si>
  <si>
    <t>E7EMD6_AKAP10</t>
  </si>
  <si>
    <t>E7EMM4_ASAH1</t>
  </si>
  <si>
    <t>E7EMX7_RAI14</t>
  </si>
  <si>
    <t>E7EN68_SETMAR</t>
  </si>
  <si>
    <t>E7EN86_ZNF143</t>
  </si>
  <si>
    <t>E7ENA9_NCSTN</t>
  </si>
  <si>
    <t>E7ENN3_SYNE1</t>
  </si>
  <si>
    <t>E7ENR4_HK1</t>
  </si>
  <si>
    <t>E7EP87_NARF</t>
  </si>
  <si>
    <t>E7EPB3_RPL14</t>
  </si>
  <si>
    <t>E7EPC6_CD44</t>
  </si>
  <si>
    <t>E7EPD0_TOM1</t>
  </si>
  <si>
    <t>E7EPL4_PDXDC1</t>
  </si>
  <si>
    <t>E7EPN9_PRRC2C</t>
  </si>
  <si>
    <t>E7EPT4_NDUFV2</t>
  </si>
  <si>
    <t>E7EPV7_SNCA</t>
  </si>
  <si>
    <t>E7EPY1_TNIP1</t>
  </si>
  <si>
    <t>E7EQ29_GLB1</t>
  </si>
  <si>
    <t>E7EQ69_NAA50</t>
  </si>
  <si>
    <t>E7EQ72_TMED2</t>
  </si>
  <si>
    <t>E7EQA9_TANK</t>
  </si>
  <si>
    <t>E7EQI7_KIAA0196</t>
  </si>
  <si>
    <t>E7EQN6_SENP6</t>
  </si>
  <si>
    <t>E7EQR8_YIPF3</t>
  </si>
  <si>
    <t>E7EQR9_DMD</t>
  </si>
  <si>
    <t>E7EQT4_ACIN1</t>
  </si>
  <si>
    <t>E7EQX7_TP53</t>
  </si>
  <si>
    <t>E7EQY1_FAM136A</t>
  </si>
  <si>
    <t>E7ER60_SYNJ2</t>
  </si>
  <si>
    <t>E7ER68_FAM91A1</t>
  </si>
  <si>
    <t>E7ER77_ERMP1</t>
  </si>
  <si>
    <t>E7ER89_PAPSS2</t>
  </si>
  <si>
    <t>E7ERB7_GMIP</t>
  </si>
  <si>
    <t>E7ERC6_ATP2C1</t>
  </si>
  <si>
    <t>E7ERI8_CLASP2</t>
  </si>
  <si>
    <t>E7ERK9_EIF2B4</t>
  </si>
  <si>
    <t>E7ERS3_ZC3H18</t>
  </si>
  <si>
    <t>E7ES35_TTC38</t>
  </si>
  <si>
    <t>E7ES43_HSPA4L</t>
  </si>
  <si>
    <t>E7ES96_PSEN1</t>
  </si>
  <si>
    <t>E7ESG2_CLSPN</t>
  </si>
  <si>
    <t>E7ESP9_NEFM</t>
  </si>
  <si>
    <t>E7EST9_USP19</t>
  </si>
  <si>
    <t>E7ESZ7_NDUFA10</t>
  </si>
  <si>
    <t>E7ET15_U2SURP</t>
  </si>
  <si>
    <t>E7ET49_DAGLB</t>
  </si>
  <si>
    <t>E7ETB3_DNPEP</t>
  </si>
  <si>
    <t>E7ETE0_METTL8</t>
  </si>
  <si>
    <t>E7ETU5_RBMS1</t>
  </si>
  <si>
    <t>E7ETU9_PLOD2</t>
  </si>
  <si>
    <t>E7ETY4_MARK2</t>
  </si>
  <si>
    <t>E7ETY7_GPX8</t>
  </si>
  <si>
    <t>E7ETZ0_CALM1</t>
  </si>
  <si>
    <t>E7ETZ4_BZW2</t>
  </si>
  <si>
    <t>E7EU09_FGFR1</t>
  </si>
  <si>
    <t>E7EU23_GDI2</t>
  </si>
  <si>
    <t>E7EU96_CSNK2A1</t>
  </si>
  <si>
    <t>E7EUC7_UGP2</t>
  </si>
  <si>
    <t>E7EUM5_NUP54</t>
  </si>
  <si>
    <t>E7EUU4_EIF4G1</t>
  </si>
  <si>
    <t>E7EUY3_PCCB</t>
  </si>
  <si>
    <t>E7EV56_PCM1</t>
  </si>
  <si>
    <t>E7EV87_DEPTOR</t>
  </si>
  <si>
    <t>E7EVA0_MAP4</t>
  </si>
  <si>
    <t>E7EVC7_ATG16L1</t>
  </si>
  <si>
    <t>E7EVD6_LPHN3</t>
  </si>
  <si>
    <t>E7EVH7_KLC1</t>
  </si>
  <si>
    <t>E7EVH9_HDHD1</t>
  </si>
  <si>
    <t>E7EVJ5_CYFIP2</t>
  </si>
  <si>
    <t>E7EVW7_HCLS1</t>
  </si>
  <si>
    <t>E7EVX8_PRPF31</t>
  </si>
  <si>
    <t>E7EW05_SDAD1</t>
  </si>
  <si>
    <t>E7EW20_MYO6</t>
  </si>
  <si>
    <t>E7EW59_SALL2</t>
  </si>
  <si>
    <t>E7EW69_SEPT10</t>
  </si>
  <si>
    <t>E7EW77_ABI2</t>
  </si>
  <si>
    <t>E7EW84_EXOC6</t>
  </si>
  <si>
    <t>E7EWP0_NDUFB5</t>
  </si>
  <si>
    <t>E7EX01_MPP2</t>
  </si>
  <si>
    <t>E7EX53_RPL15</t>
  </si>
  <si>
    <t>E7EX90_DCTN1</t>
  </si>
  <si>
    <t>E9PAU2_RAVER1</t>
  </si>
  <si>
    <t>E9PAV9_GPATCH4</t>
  </si>
  <si>
    <t>E9PB35_NUSAP1</t>
  </si>
  <si>
    <t>E9PB61_ALYREF</t>
  </si>
  <si>
    <t>E9PB90_HK2</t>
  </si>
  <si>
    <t>E9PC15_AGK</t>
  </si>
  <si>
    <t>E9PC26_BUB1</t>
  </si>
  <si>
    <t>E9PC47_LIMK1</t>
  </si>
  <si>
    <t>E9PC74_EIF2B5</t>
  </si>
  <si>
    <t>E9PC84_TNC</t>
  </si>
  <si>
    <t>E9PCH4_FNIP1</t>
  </si>
  <si>
    <t>E9PCN2_GUCY1B3</t>
  </si>
  <si>
    <t>E9PCW1_GOSR1</t>
  </si>
  <si>
    <t>E9PCX3_ELF2</t>
  </si>
  <si>
    <t>E9PCY7_HNRNPH1</t>
  </si>
  <si>
    <t>E9PD50_SMG7</t>
  </si>
  <si>
    <t>E9PD53_SMC4</t>
  </si>
  <si>
    <t>E9PD90_CKAP2</t>
  </si>
  <si>
    <t>E9PD99_LRCH3</t>
  </si>
  <si>
    <t>E9PDF6_MYO1B</t>
  </si>
  <si>
    <t>E9PDJ1_CACNA1C</t>
  </si>
  <si>
    <t>E9PDW2_OXCT1</t>
  </si>
  <si>
    <t>E9PE47_SLC2A13</t>
  </si>
  <si>
    <t>E9PE82_ACADS</t>
  </si>
  <si>
    <t>E9PEE8_ITGB6</t>
  </si>
  <si>
    <t>E9PEH6_SGCE</t>
  </si>
  <si>
    <t>E9PEK8_ATF2</t>
  </si>
  <si>
    <t>E9PEN8_XPO7</t>
  </si>
  <si>
    <t>E9PEP6_NRP1</t>
  </si>
  <si>
    <t>E9PER6_PDPK1</t>
  </si>
  <si>
    <t>E9PEZ3_DIAPH1</t>
  </si>
  <si>
    <t>E9PEZ5_KIAA1107</t>
  </si>
  <si>
    <t>E9PF10_NUP155</t>
  </si>
  <si>
    <t>E9PF16_ACSF2</t>
  </si>
  <si>
    <t>E9PF18_HADH</t>
  </si>
  <si>
    <t>E9PF19_TBL2</t>
  </si>
  <si>
    <t>E9PFB9_CCDC18</t>
  </si>
  <si>
    <t>E9PFD7_EGFR</t>
  </si>
  <si>
    <t>E9PFN5_GSTK1</t>
  </si>
  <si>
    <t>E9PFR3_PPP2R5D</t>
  </si>
  <si>
    <t>E9PFW8_SQSTM1</t>
  </si>
  <si>
    <t>E9PG19_FCHSD2</t>
  </si>
  <si>
    <t>E9PG22_CEP97</t>
  </si>
  <si>
    <t>E9PG40_APP</t>
  </si>
  <si>
    <t>E9PG71_EPHA4</t>
  </si>
  <si>
    <t>E9PGC0_RASA1</t>
  </si>
  <si>
    <t>E9PGI3_INTS12</t>
  </si>
  <si>
    <t>E9PGQ0_SLC25A44</t>
  </si>
  <si>
    <t>E9PGT1_TSN</t>
  </si>
  <si>
    <t>E9PGT3_RPS6KA1</t>
  </si>
  <si>
    <t>E9PGT6_COPS8</t>
  </si>
  <si>
    <t>E9PGW7_MED22</t>
  </si>
  <si>
    <t>E9PH29_PRDX3</t>
  </si>
  <si>
    <t>E9PHA2_NCAPH</t>
  </si>
  <si>
    <t>E9PHC0_INPP4B</t>
  </si>
  <si>
    <t>E9PHG5_CYP20A1</t>
  </si>
  <si>
    <t>E9PHK9_TCOF1</t>
  </si>
  <si>
    <t>E9PHN7_GSTM2</t>
  </si>
  <si>
    <t>E9PHV4_POLR2D</t>
  </si>
  <si>
    <t>E9PIE4_MTCH2</t>
  </si>
  <si>
    <t>E9PIN3_NXF1</t>
  </si>
  <si>
    <t>E9PIQ1_BRCA2</t>
  </si>
  <si>
    <t>E9PIR7_TXNRD1</t>
  </si>
  <si>
    <t>E9PJ81_UBXN1</t>
  </si>
  <si>
    <t>E9PJB8_VIMP</t>
  </si>
  <si>
    <t>E9PJD7_CYHR1</t>
  </si>
  <si>
    <t>E9PJH1_MKNK1</t>
  </si>
  <si>
    <t>E9PJK1_CD81</t>
  </si>
  <si>
    <t>E9PJW9_OSBPL9</t>
  </si>
  <si>
    <t>E9PK01_EEF1D</t>
  </si>
  <si>
    <t>E9PK91_BCLAF1</t>
  </si>
  <si>
    <t>E9PKG1_PRMT1</t>
  </si>
  <si>
    <t>E9PKS9_TRAPPC4</t>
  </si>
  <si>
    <t>E9PKT4_TMEM123</t>
  </si>
  <si>
    <t>E9PKV8_TTC9C</t>
  </si>
  <si>
    <t>E9PKZ0_RPL8</t>
  </si>
  <si>
    <t>E9PL01_SPCS2</t>
  </si>
  <si>
    <t>E9PL10_BTF3L4</t>
  </si>
  <si>
    <t>E9PL17_CLP1</t>
  </si>
  <si>
    <t>E9PL22_HYOU1</t>
  </si>
  <si>
    <t>E9PL40_TSPAN18</t>
  </si>
  <si>
    <t>E9PL57_NEDD8-MDP1</t>
  </si>
  <si>
    <t>E9PLJ2_CHIA</t>
  </si>
  <si>
    <t>E9PLK3_NPEPPS</t>
  </si>
  <si>
    <t>E9PLL6_RPL27A</t>
  </si>
  <si>
    <t>E9PLY5_MACF1</t>
  </si>
  <si>
    <t>E9PM46_USP47</t>
  </si>
  <si>
    <t>E9PMI6_CLNS1A</t>
  </si>
  <si>
    <t>E9PMJ2_FAM118B</t>
  </si>
  <si>
    <t>E9PMM3_PEX16</t>
  </si>
  <si>
    <t>E9PMQ6_HSF1</t>
  </si>
  <si>
    <t>E9PND3_EBAG9</t>
  </si>
  <si>
    <t>E9PNK6_TPD52L1</t>
  </si>
  <si>
    <t>E9PNN3_PTS</t>
  </si>
  <si>
    <t>E9PNP2_SSR2</t>
  </si>
  <si>
    <t>E9PNP3_AAMDC</t>
  </si>
  <si>
    <t>E9PNT2_ARHGAP27</t>
  </si>
  <si>
    <t>E9PNW4_CD59</t>
  </si>
  <si>
    <t>E9PQ61_ZC3H11A</t>
  </si>
  <si>
    <t>E9PQN5_PPP2R5B</t>
  </si>
  <si>
    <t>E9PQR7_VPS28</t>
  </si>
  <si>
    <t>E9PQY3_ACP2</t>
  </si>
  <si>
    <t>E9PQZ2_ST3GAL4</t>
  </si>
  <si>
    <t>E9PR30_FAU</t>
  </si>
  <si>
    <t>E9PR76_MAF1</t>
  </si>
  <si>
    <t>E9PRJ3_CD151</t>
  </si>
  <si>
    <t>E9PS17_SCYL1</t>
  </si>
  <si>
    <t>E9PS38_NEDD8-MDP1</t>
  </si>
  <si>
    <t>E9PS97_PARVA</t>
  </si>
  <si>
    <t>E9PSI1_TM9SF1</t>
  </si>
  <si>
    <t>F2Z2E2_IQGAP3</t>
  </si>
  <si>
    <t>F2Z2U8_MYH14</t>
  </si>
  <si>
    <t>F2Z2W6_HMGN1</t>
  </si>
  <si>
    <t>F2Z2W7_TRMT2A</t>
  </si>
  <si>
    <t>F2Z2X4_XPO4</t>
  </si>
  <si>
    <t>F5GWE5_PITPNA</t>
  </si>
  <si>
    <t>F5GWI9_CCDC53</t>
  </si>
  <si>
    <t>F5GWU7_SMAD5</t>
  </si>
  <si>
    <t>F5GWX5_CHD4</t>
  </si>
  <si>
    <t>F5GWY5_PODXL</t>
  </si>
  <si>
    <t>F5GX09_FAM76B</t>
  </si>
  <si>
    <t>F5GX30_PHC1</t>
  </si>
  <si>
    <t>F5GXC8_SUCLA2</t>
  </si>
  <si>
    <t>F5GXC9_LTBP4</t>
  </si>
  <si>
    <t>F5GXE4_ATE1</t>
  </si>
  <si>
    <t>F5GXI4_PTPRK</t>
  </si>
  <si>
    <t>F5GXX5_DAD1</t>
  </si>
  <si>
    <t>F5GY92_GPBP1</t>
  </si>
  <si>
    <t>F5GY99_GALNT1</t>
  </si>
  <si>
    <t>F5GYC1_ABCD3</t>
  </si>
  <si>
    <t>F5GYE8_CEP112</t>
  </si>
  <si>
    <t>F5GYJ5_</t>
  </si>
  <si>
    <t>F5GYK2_STRN4</t>
  </si>
  <si>
    <t>F5GYN4_OTUB1</t>
  </si>
  <si>
    <t>F5GYQ1_ATP6V0D1</t>
  </si>
  <si>
    <t>F5GZ78_PXN</t>
  </si>
  <si>
    <t>F5GZ84_FARP2</t>
  </si>
  <si>
    <t>F5GZN3_MFGE8</t>
  </si>
  <si>
    <t>F5GZP3_TRIM59</t>
  </si>
  <si>
    <t>F5GZS0_DHX36</t>
  </si>
  <si>
    <t>F5GZS6_SLC3A2</t>
  </si>
  <si>
    <t>F5GZU5_MED15</t>
  </si>
  <si>
    <t>F5GZX9_FAM120B</t>
  </si>
  <si>
    <t>F5GZZ0_ALKBH2</t>
  </si>
  <si>
    <t>F5H0L8_SEC23IP</t>
  </si>
  <si>
    <t>F5H0U5_GLTP</t>
  </si>
  <si>
    <t>F5H1G9_ABI1</t>
  </si>
  <si>
    <t>F5H1H0_L1CAM</t>
  </si>
  <si>
    <t>F5H1L4_TXNRD2</t>
  </si>
  <si>
    <t>F5H1N7_KIAA1211</t>
  </si>
  <si>
    <t>F5H1U9_MPDZ</t>
  </si>
  <si>
    <t>F5H1X8_LRBA</t>
  </si>
  <si>
    <t>F5H2H5_ANKLE2</t>
  </si>
  <si>
    <t>F5H2J3_VMP1</t>
  </si>
  <si>
    <t>F5H2M7_WNK1</t>
  </si>
  <si>
    <t>F5H2Q7_KIAA1715</t>
  </si>
  <si>
    <t>F5H2S7_DCTN2</t>
  </si>
  <si>
    <t>F5H2U7_NECAP1</t>
  </si>
  <si>
    <t>F5H2U8_HMGA2</t>
  </si>
  <si>
    <t>F5H2V5_FADS3</t>
  </si>
  <si>
    <t>F5H2X3_NRP2</t>
  </si>
  <si>
    <t>F5H357_RBPMS</t>
  </si>
  <si>
    <t>F5H365_SEC23A</t>
  </si>
  <si>
    <t>F5H3J3_CHST10</t>
  </si>
  <si>
    <t>F5H450_FZD10</t>
  </si>
  <si>
    <t>F5H4G7_KPNA6</t>
  </si>
  <si>
    <t>F5H4I5_ITM2C</t>
  </si>
  <si>
    <t>F5H4J2_PEX14</t>
  </si>
  <si>
    <t>F5H4K0_WLS</t>
  </si>
  <si>
    <t>F5H4N6_GRIP1</t>
  </si>
  <si>
    <t>F5H4Q5_VPS37C</t>
  </si>
  <si>
    <t>F5H4R0_EVI5</t>
  </si>
  <si>
    <t>F5H4V9_PDCD2</t>
  </si>
  <si>
    <t>F5H4Z3_PSMF1</t>
  </si>
  <si>
    <t>F5H527_SSH2</t>
  </si>
  <si>
    <t>F5H564_EIF4G3</t>
  </si>
  <si>
    <t>F5H569_ATP6V0A1</t>
  </si>
  <si>
    <t>F5H577_BRK1</t>
  </si>
  <si>
    <t>F5H5D3_TUBA1C</t>
  </si>
  <si>
    <t>F5H5K6_NOC4L</t>
  </si>
  <si>
    <t>F5H5M9_TNIK</t>
  </si>
  <si>
    <t>F5H5N1_NDUFS7</t>
  </si>
  <si>
    <t>F5H5P2_BCKDHA</t>
  </si>
  <si>
    <t>F5H5R8_NAT1</t>
  </si>
  <si>
    <t>F5H620_OXNAD1</t>
  </si>
  <si>
    <t>F5H648_TAP1</t>
  </si>
  <si>
    <t>F5H685_MED23</t>
  </si>
  <si>
    <t>F5H698_LARS</t>
  </si>
  <si>
    <t>F5H6I7_ATL3</t>
  </si>
  <si>
    <t>F5H715_AIDA</t>
  </si>
  <si>
    <t>F5H721_WBP11</t>
  </si>
  <si>
    <t>F5H7J5_RPTOR</t>
  </si>
  <si>
    <t>F5H7M3_DLAT</t>
  </si>
  <si>
    <t>F5H7Q8_MICB</t>
  </si>
  <si>
    <t>F5H843_SLC16A7</t>
  </si>
  <si>
    <t>F5H860_INPP4A</t>
  </si>
  <si>
    <t>F5H897_TRAP1</t>
  </si>
  <si>
    <t>F5H8D7_XRCC1</t>
  </si>
  <si>
    <t>F5H8F7_ASH2L</t>
  </si>
  <si>
    <t>F5H8G1_STARD10</t>
  </si>
  <si>
    <t>F5H8J3_CLPTM1</t>
  </si>
  <si>
    <t>F5H8L0_RABGAP1L</t>
  </si>
  <si>
    <t>F6PQP6_EPN2</t>
  </si>
  <si>
    <t>F6RY50_SIPA1</t>
  </si>
  <si>
    <t>F6S0T5_KDM1A</t>
  </si>
  <si>
    <t>F6T1Q0_PDE12</t>
  </si>
  <si>
    <t>F6U1T9_PPP3R1</t>
  </si>
  <si>
    <t>F6XY72_NME2</t>
  </si>
  <si>
    <t>F8VPD4_CAD</t>
  </si>
  <si>
    <t>F8VQ10_DDX39B</t>
  </si>
  <si>
    <t>F8VQD4_C12orf75</t>
  </si>
  <si>
    <t>F8VQX6_METTL7A</t>
  </si>
  <si>
    <t>F8VQY2_UIMC1</t>
  </si>
  <si>
    <t>F8VQZ7_METAP2</t>
  </si>
  <si>
    <t>F8VSL3_NFYB</t>
  </si>
  <si>
    <t>F8VSZ4_PLXNA1</t>
  </si>
  <si>
    <t>F8VUA8_C14orf79</t>
  </si>
  <si>
    <t>F8VUY8_SLC38A2</t>
  </si>
  <si>
    <t>F8VV59_NAP1L1</t>
  </si>
  <si>
    <t>F8VVA7_COPZ1</t>
  </si>
  <si>
    <t>F8VVB6_NELL2</t>
  </si>
  <si>
    <t>F8VW96_CSRP2</t>
  </si>
  <si>
    <t>F8VWA5_CASP9</t>
  </si>
  <si>
    <t>F8VWA9_ALG10B</t>
  </si>
  <si>
    <t>F8VWE0_TSPAN31</t>
  </si>
  <si>
    <t>F8VWH9_ARFGAP1</t>
  </si>
  <si>
    <t>F8VWL0_TFCP2</t>
  </si>
  <si>
    <t>F8VX04_SLC38A1</t>
  </si>
  <si>
    <t>F8VXC8_SMARCC2</t>
  </si>
  <si>
    <t>F8VXG7_SCAF11</t>
  </si>
  <si>
    <t>F8VXI9_GIT2</t>
  </si>
  <si>
    <t>F8VYZ4_COPZ1</t>
  </si>
  <si>
    <t>F8VZ44_AAAS</t>
  </si>
  <si>
    <t>F8VZJ2_NACA</t>
  </si>
  <si>
    <t>F8W038_C17orf49</t>
  </si>
  <si>
    <t>F8W052_TROAP</t>
  </si>
  <si>
    <t>F8W0J4_YEATS4</t>
  </si>
  <si>
    <t>F8W0J6_NAP1L1</t>
  </si>
  <si>
    <t>F8W0R1_ERGIC2</t>
  </si>
  <si>
    <t>F8W0W8_PPP1CC</t>
  </si>
  <si>
    <t>F8W145_CNOT2</t>
  </si>
  <si>
    <t>F8W181_RPL6</t>
  </si>
  <si>
    <t>F8W1R9_TGFBR1</t>
  </si>
  <si>
    <t>F8W681_DPAGT1</t>
  </si>
  <si>
    <t>F8W685_BNIPL</t>
  </si>
  <si>
    <t>F8W689_RFX5</t>
  </si>
  <si>
    <t>F8W6I7_HNRNPA1</t>
  </si>
  <si>
    <t>F8W6T6_TLE4</t>
  </si>
  <si>
    <t>F8W717_EML1</t>
  </si>
  <si>
    <t>F8W782_ADIPOR1</t>
  </si>
  <si>
    <t>F8W7D6_GPHN</t>
  </si>
  <si>
    <t>F8W7Q4_FAM162A</t>
  </si>
  <si>
    <t>F8W8C2_VEZT</t>
  </si>
  <si>
    <t>F8W8D3_SLBP</t>
  </si>
  <si>
    <t>F8W8I6_TIA1</t>
  </si>
  <si>
    <t>F8W8M4_ABLIM1</t>
  </si>
  <si>
    <t>F8W8Q9_STX5</t>
  </si>
  <si>
    <t>F8W8R3_POLD2</t>
  </si>
  <si>
    <t>F8W8Z9_TOMM5</t>
  </si>
  <si>
    <t>F8W930_IGF2BP2</t>
  </si>
  <si>
    <t>F8W943_ASL</t>
  </si>
  <si>
    <t>F8W9A8_PPIP5K1</t>
  </si>
  <si>
    <t>F8W9F9_WNK2</t>
  </si>
  <si>
    <t>F8W9I8_SLC26A6</t>
  </si>
  <si>
    <t>F8W9R9_MED24</t>
  </si>
  <si>
    <t>F8W9Z6_STX16</t>
  </si>
  <si>
    <t>F8WA11_CLASP1</t>
  </si>
  <si>
    <t>F8WA86_CNN3</t>
  </si>
  <si>
    <t>F8WAD8_ADAM22</t>
  </si>
  <si>
    <t>F8WAE5_EIF2A</t>
  </si>
  <si>
    <t>F8WAN1_</t>
  </si>
  <si>
    <t>F8WBH3_ALDH16A1</t>
  </si>
  <si>
    <t>F8WBJ6_PNO1</t>
  </si>
  <si>
    <t>F8WBK5_MRPL40</t>
  </si>
  <si>
    <t>F8WBS5_RPL35A</t>
  </si>
  <si>
    <t>F8WBY6_GTPBP8</t>
  </si>
  <si>
    <t>F8WC68_DOM3Z</t>
  </si>
  <si>
    <t>F8WCX2_ZNF687</t>
  </si>
  <si>
    <t>F8WE74_SLC25A17</t>
  </si>
  <si>
    <t>F8WE91_DNMT3A</t>
  </si>
  <si>
    <t>F8WEE4_ZFAND2B</t>
  </si>
  <si>
    <t>F8WEG4_CBWD2</t>
  </si>
  <si>
    <t>F8WF93_ALG3</t>
  </si>
  <si>
    <t>G3V0I5_NDUFV1</t>
  </si>
  <si>
    <t>G3V0I6_OTUD4</t>
  </si>
  <si>
    <t>G3V130_MTERFD1</t>
  </si>
  <si>
    <t>G3V1D3_DPP3</t>
  </si>
  <si>
    <t>G3V1K3_PON2</t>
  </si>
  <si>
    <t>G3V1N2_HBA2</t>
  </si>
  <si>
    <t>G3V1P3_LOH12CR1</t>
  </si>
  <si>
    <t>G3V1R3_ZEB1</t>
  </si>
  <si>
    <t>G3V1R9_ISYNA1</t>
  </si>
  <si>
    <t>G3V1S6_GALNT2</t>
  </si>
  <si>
    <t>G3V1U0_ATF7IP</t>
  </si>
  <si>
    <t>G3V1U5_GOLT1B</t>
  </si>
  <si>
    <t>G3V1V4_GTSF1</t>
  </si>
  <si>
    <t>G3V203_RPL18</t>
  </si>
  <si>
    <t>G3V238_METTL10</t>
  </si>
  <si>
    <t>G3V2F7_TMEM189</t>
  </si>
  <si>
    <t>G3V2J7_CDKN3</t>
  </si>
  <si>
    <t>G3V325_ATP5J2-PTCD1</t>
  </si>
  <si>
    <t>G3V3M6_APEX1</t>
  </si>
  <si>
    <t>G3V3R7_ATXN3</t>
  </si>
  <si>
    <t>G3V439_SIVA1</t>
  </si>
  <si>
    <t>G3V541_HAUS4</t>
  </si>
  <si>
    <t>G3V578_NDRG2</t>
  </si>
  <si>
    <t>G3V583_FAM177A1</t>
  </si>
  <si>
    <t>G3V599_CTAGE5</t>
  </si>
  <si>
    <t>G3V5T0_GSTZ1</t>
  </si>
  <si>
    <t>G3V5T9_CDK2</t>
  </si>
  <si>
    <t>G3V5X4_SYNE2</t>
  </si>
  <si>
    <t>G3V5Z7_PSMA6</t>
  </si>
  <si>
    <t>G3XA81_TMEM48</t>
  </si>
  <si>
    <t>G3XAA0_ARID1B</t>
  </si>
  <si>
    <t>G3XAA2_MAP4K4</t>
  </si>
  <si>
    <t>G3XAI2_LAMB1</t>
  </si>
  <si>
    <t>G3XAN8_TIMM8B</t>
  </si>
  <si>
    <t>G3XAP3_ABCB8</t>
  </si>
  <si>
    <t>G5E979_ATG4A</t>
  </si>
  <si>
    <t>G5E994_GPR107</t>
  </si>
  <si>
    <t>G5E9A6_USP11</t>
  </si>
  <si>
    <t>G5E9A7_DMWD</t>
  </si>
  <si>
    <t>G5E9C8_SOS1</t>
  </si>
  <si>
    <t>G5E9E7_TJP1</t>
  </si>
  <si>
    <t>G5E9T8_GOSR1</t>
  </si>
  <si>
    <t>G5E9V4_HPS3</t>
  </si>
  <si>
    <t>G5E9Z4_PI4K2B</t>
  </si>
  <si>
    <t>G5EA30_CELF1</t>
  </si>
  <si>
    <t>G5EA42_TMOD2</t>
  </si>
  <si>
    <t>G5EA52_PDIA3</t>
  </si>
  <si>
    <t>G8JL86_COBLL1</t>
  </si>
  <si>
    <t>G8JL98_TDG</t>
  </si>
  <si>
    <t>G8JLA2_MYL6</t>
  </si>
  <si>
    <t>G8JLB3_PUS1</t>
  </si>
  <si>
    <t>G8JLC6_MIA3</t>
  </si>
  <si>
    <t>G8JLD3_ERC1</t>
  </si>
  <si>
    <t>G8JLI5_WDR45</t>
  </si>
  <si>
    <t>G8JLI6_LEPREL2</t>
  </si>
  <si>
    <t>G8JLK4_TACC1</t>
  </si>
  <si>
    <t>G8JLL2_PPT2</t>
  </si>
  <si>
    <t>H0UI80_TH1L</t>
  </si>
  <si>
    <t>H0Y2L5_ARFRP1</t>
  </si>
  <si>
    <t>H0Y2P9_PIGX</t>
  </si>
  <si>
    <t>H0Y2V6_CEP170</t>
  </si>
  <si>
    <t>H0Y360_AMPD2</t>
  </si>
  <si>
    <t>H0Y384_ODF2</t>
  </si>
  <si>
    <t>H0Y3A0_RPL35</t>
  </si>
  <si>
    <t>H0Y3A3_DAB2IP</t>
  </si>
  <si>
    <t>H0Y3P2_EIF4G2</t>
  </si>
  <si>
    <t>H0Y3X6_NELFA</t>
  </si>
  <si>
    <t>H0Y494_SIK3</t>
  </si>
  <si>
    <t>H0Y4M8_ZNF185</t>
  </si>
  <si>
    <t>H0Y4R1_IMPDH2</t>
  </si>
  <si>
    <t>H0Y4W2_TRRAP</t>
  </si>
  <si>
    <t>H0Y5C0_LPHN2</t>
  </si>
  <si>
    <t>H0Y5M6_PRKD3</t>
  </si>
  <si>
    <t>H0Y612_TRIM33</t>
  </si>
  <si>
    <t>H0Y614_UFM1</t>
  </si>
  <si>
    <t>H0Y6A0_ARFGAP3</t>
  </si>
  <si>
    <t>H0Y6C3_PYCRL</t>
  </si>
  <si>
    <t>H0Y6I0_GOLGA4</t>
  </si>
  <si>
    <t>H0Y6J0_NME4</t>
  </si>
  <si>
    <t>H0Y6K2_BRD2</t>
  </si>
  <si>
    <t>H0Y6K5_SP3</t>
  </si>
  <si>
    <t>H0Y7L9_ABCD1</t>
  </si>
  <si>
    <t>H0Y860_STIM2</t>
  </si>
  <si>
    <t>H0Y8C3_MTCH1</t>
  </si>
  <si>
    <t>H0Y8X4_DNPH1</t>
  </si>
  <si>
    <t>H0Y9Q7_CANX</t>
  </si>
  <si>
    <t>H0Y9T8_PRR5-ARHGAP8</t>
  </si>
  <si>
    <t>H0Y9V2_UBE2B</t>
  </si>
  <si>
    <t>H0Y9X1_TMA16</t>
  </si>
  <si>
    <t>H0YA20_DGKQ</t>
  </si>
  <si>
    <t>H0YAA8_MED28</t>
  </si>
  <si>
    <t>H0YAJ5_APBB2</t>
  </si>
  <si>
    <t>H0YAN2_ENTPD4</t>
  </si>
  <si>
    <t>H0YAT1_SH2D4A</t>
  </si>
  <si>
    <t>H0YAT2_MRPS28</t>
  </si>
  <si>
    <t>H0YB09_C14orf159</t>
  </si>
  <si>
    <t>H0YBS1_INTS8</t>
  </si>
  <si>
    <t>H0YCB3_ASCC1</t>
  </si>
  <si>
    <t>H0YCK3_ADAR</t>
  </si>
  <si>
    <t>H0YDI1_CD58</t>
  </si>
  <si>
    <t>H0YDQ1_ALG8</t>
  </si>
  <si>
    <t>H0YDU8_PPP5C</t>
  </si>
  <si>
    <t>H0YEB6_SSSCA1</t>
  </si>
  <si>
    <t>H0YEF3_RNASEH2C</t>
  </si>
  <si>
    <t>H0YEN5_RPS2</t>
  </si>
  <si>
    <t>H0YF29_C8orf82</t>
  </si>
  <si>
    <t>H0YGA7_CADM1</t>
  </si>
  <si>
    <t>H0YGR4_REXO2</t>
  </si>
  <si>
    <t>H0YGT9_JOSD1</t>
  </si>
  <si>
    <t>H0YH69_ETNK1</t>
  </si>
  <si>
    <t>H0YH87_ATXN2</t>
  </si>
  <si>
    <t>H0YIE8_WDR83</t>
  </si>
  <si>
    <t>H0YIE9_FBXO21</t>
  </si>
  <si>
    <t>H0YIV5_LETMD1</t>
  </si>
  <si>
    <t>H0YIV9_</t>
  </si>
  <si>
    <t>H0YK48_TPM1</t>
  </si>
  <si>
    <t>H0YK61_EMC4</t>
  </si>
  <si>
    <t>H0YKT5_TLE3</t>
  </si>
  <si>
    <t>H0YL72_IDH3A</t>
  </si>
  <si>
    <t>H0YLB5_POU2F1</t>
  </si>
  <si>
    <t>H0YMB3_GMPR2</t>
  </si>
  <si>
    <t>H0YMF4_RPL28</t>
  </si>
  <si>
    <t>H0YMW2_AKAP13</t>
  </si>
  <si>
    <t>H0YNA7_SPPL2A</t>
  </si>
  <si>
    <t>H0YNG3_SEC11A</t>
  </si>
  <si>
    <t>H3BLU7_AKR7A2</t>
  </si>
  <si>
    <t>H3BLW6_TMEM63B</t>
  </si>
  <si>
    <t>H3BLW9_SWI5</t>
  </si>
  <si>
    <t>H3BLZ2_DBNDD1</t>
  </si>
  <si>
    <t>H3BLZ8_DDX17</t>
  </si>
  <si>
    <t>H3BM14_NUB1</t>
  </si>
  <si>
    <t>H3BMD8_ARPP19</t>
  </si>
  <si>
    <t>H3BMF4_SPNS1</t>
  </si>
  <si>
    <t>H3BMJ2_C15orf39</t>
  </si>
  <si>
    <t>H3BMM5_</t>
  </si>
  <si>
    <t>H3BMS0_RNPS1</t>
  </si>
  <si>
    <t>H3BMV2_C17orf103</t>
  </si>
  <si>
    <t>H3BN87_SLC38A7</t>
  </si>
  <si>
    <t>H3BN98_</t>
  </si>
  <si>
    <t>H3BNA7_KIAA0513</t>
  </si>
  <si>
    <t>H3BNM4_INO80E</t>
  </si>
  <si>
    <t>H3BP20_HEXA</t>
  </si>
  <si>
    <t>H3BPC4_UBE2I</t>
  </si>
  <si>
    <t>H3BPE1_MACF1</t>
  </si>
  <si>
    <t>H3BPF5_RPGRIP1L</t>
  </si>
  <si>
    <t>H3BPK3_HAGH</t>
  </si>
  <si>
    <t>H3BPL0_CLN3</t>
  </si>
  <si>
    <t>H3BPQ3_NDRG4</t>
  </si>
  <si>
    <t>H3BPR3_SNX33</t>
  </si>
  <si>
    <t>H3BPX2_OBSCN</t>
  </si>
  <si>
    <t>H3BQZ7_hCG_2044799</t>
  </si>
  <si>
    <t>H3BR06_TERF2</t>
  </si>
  <si>
    <t>H3BR94_DCTN5</t>
  </si>
  <si>
    <t>H3BRB3_KIF22</t>
  </si>
  <si>
    <t>H3BRB6_ZNRF1</t>
  </si>
  <si>
    <t>H3BRD1_UBE2I</t>
  </si>
  <si>
    <t>H3BRD2_GFER</t>
  </si>
  <si>
    <t>H3BRF9_ZFYVE19</t>
  </si>
  <si>
    <t>H3BRL3_UBFD1</t>
  </si>
  <si>
    <t>H3BRS1_NFATC3</t>
  </si>
  <si>
    <t>H3BRU1_FAM219B</t>
  </si>
  <si>
    <t>H3BRV0_EIF3C</t>
  </si>
  <si>
    <t>H3BS42_ZNF768</t>
  </si>
  <si>
    <t>H3BS89_TMEM178B</t>
  </si>
  <si>
    <t>H3BSH7_CIRH1A</t>
  </si>
  <si>
    <t>H3BSM5_GABARAPL2</t>
  </si>
  <si>
    <t>H3BSW6_CTU2</t>
  </si>
  <si>
    <t>H3BT12_FEM1B</t>
  </si>
  <si>
    <t>H3BTL1_MAP1LC3B</t>
  </si>
  <si>
    <t>H3BTX0_</t>
  </si>
  <si>
    <t>H3BTX7_RNF166</t>
  </si>
  <si>
    <t>H3BU23_CDR2</t>
  </si>
  <si>
    <t>H3BU49_ARL2BP</t>
  </si>
  <si>
    <t>H3BU63_PPCDC</t>
  </si>
  <si>
    <t>H3BUF6_ATXN2L</t>
  </si>
  <si>
    <t>H3BUQ2_OGFOD1</t>
  </si>
  <si>
    <t>H3BV23_UBL7</t>
  </si>
  <si>
    <t>H7BXD5_GCA</t>
  </si>
  <si>
    <t>H7BXF4_SMPD4</t>
  </si>
  <si>
    <t>H7BXG9_EFR3B</t>
  </si>
  <si>
    <t>H7BXH2_PPP6R3</t>
  </si>
  <si>
    <t>H7BXH9_METTL21A</t>
  </si>
  <si>
    <t>H7BXI5_ERGIC3</t>
  </si>
  <si>
    <t>H7BXT7_BET1L</t>
  </si>
  <si>
    <t>H7BXW7_MPC1</t>
  </si>
  <si>
    <t>H7BXY6_TSPAN14</t>
  </si>
  <si>
    <t>H7BY58_PCMT1</t>
  </si>
  <si>
    <t>H7BYQ6_INTS9</t>
  </si>
  <si>
    <t>H7BYT1_CSNK1D</t>
  </si>
  <si>
    <t>H7BYY1_TPM1</t>
  </si>
  <si>
    <t>H7BYY4_PSTK</t>
  </si>
  <si>
    <t>H7BZJ3_PDIA3</t>
  </si>
  <si>
    <t>H7C0E9_R3HDM2</t>
  </si>
  <si>
    <t>H7C0G7_NHEJ1</t>
  </si>
  <si>
    <t>H7C0V4_RTN4R</t>
  </si>
  <si>
    <t>H7C107_IQSEC1</t>
  </si>
  <si>
    <t>H7C112_FBXL19</t>
  </si>
  <si>
    <t>H7C173_MZT2B</t>
  </si>
  <si>
    <t>H7C189_USP4</t>
  </si>
  <si>
    <t>H7C1E4_AP1S1</t>
  </si>
  <si>
    <t>H7C1J4_UHRF1BP1</t>
  </si>
  <si>
    <t>H7C1U3_CC2D1B</t>
  </si>
  <si>
    <t>H7C1U8_APOO</t>
  </si>
  <si>
    <t>H7C1W4_TATDN2</t>
  </si>
  <si>
    <t>H7C270_CTDSP1</t>
  </si>
  <si>
    <t>H7C293_MZT2B</t>
  </si>
  <si>
    <t>H7C2P2_SDK2</t>
  </si>
  <si>
    <t>H7C3C7_SNAP47</t>
  </si>
  <si>
    <t>H7C3D5_FAM134A</t>
  </si>
  <si>
    <t>H7C3D8_CMC1</t>
  </si>
  <si>
    <t>H7C3M5_DPY19L1</t>
  </si>
  <si>
    <t>H7C3P4_GNS</t>
  </si>
  <si>
    <t>H7C484_ARV1</t>
  </si>
  <si>
    <t>H7C4M4_HEG1</t>
  </si>
  <si>
    <t>H7C4N1_TMEM222</t>
  </si>
  <si>
    <t>H7C525_CCDC58</t>
  </si>
  <si>
    <t>H7C5G1_IAH1</t>
  </si>
  <si>
    <t>H7C5J7_C3orf52</t>
  </si>
  <si>
    <t>H9KV59_PRC1</t>
  </si>
  <si>
    <t>H9KV61_PWWP2B</t>
  </si>
  <si>
    <t>H9KVB8_MICU1</t>
  </si>
  <si>
    <t>H9ZYI9_GABPB1</t>
  </si>
  <si>
    <t>I3L097_</t>
  </si>
  <si>
    <t>I3L0A4_WASH6P</t>
  </si>
  <si>
    <t>I3L0C1_SMG1</t>
  </si>
  <si>
    <t>I3L0K1_GOSR2</t>
  </si>
  <si>
    <t>I3L0K7_TRAP1</t>
  </si>
  <si>
    <t>I3L0L6_RNF167</t>
  </si>
  <si>
    <t>I3L0N3_NSF</t>
  </si>
  <si>
    <t>I3L1H5_DPH1</t>
  </si>
  <si>
    <t>I3L1P8_SLC25A11</t>
  </si>
  <si>
    <t>I3L2B0_CLUH</t>
  </si>
  <si>
    <t>I3L2C7_GEMIN4</t>
  </si>
  <si>
    <t>I3L2L5_FAM195B</t>
  </si>
  <si>
    <t>I3L2N2_DVL2</t>
  </si>
  <si>
    <t>I3L3A8_PELP1</t>
  </si>
  <si>
    <t>I3L3B4_</t>
  </si>
  <si>
    <t>I3L448_ATPAF1</t>
  </si>
  <si>
    <t>I3L4B1_MYL4</t>
  </si>
  <si>
    <t>I3L4D1_ELMO3</t>
  </si>
  <si>
    <t>I3L4X3_NFKBIB</t>
  </si>
  <si>
    <t>I6L894_ANK2</t>
  </si>
  <si>
    <t>I6L8B7_FABP5</t>
  </si>
  <si>
    <t>J3KMW8_CACTIN</t>
  </si>
  <si>
    <t>J3KMY5_NPC2</t>
  </si>
  <si>
    <t>J3KMZ7_INTS2</t>
  </si>
  <si>
    <t>J3KMZ8_DPF2</t>
  </si>
  <si>
    <t>J3KMZ9_LDLR</t>
  </si>
  <si>
    <t>J3KN10_PI4KA</t>
  </si>
  <si>
    <t>J3KN16_KIAA0368</t>
  </si>
  <si>
    <t>J3KN27_FBRSL1</t>
  </si>
  <si>
    <t>J3KN29_PSMD9</t>
  </si>
  <si>
    <t>J3KN49_OBSL1</t>
  </si>
  <si>
    <t>J3KN59_BNIP2</t>
  </si>
  <si>
    <t>J3KN66_TOR1AIP1</t>
  </si>
  <si>
    <t>J3KN69_NCEH1</t>
  </si>
  <si>
    <t>J3KNA0_OXA1L</t>
  </si>
  <si>
    <t>J3KNC0_GTF2A1</t>
  </si>
  <si>
    <t>J3KNF4_CCS</t>
  </si>
  <si>
    <t>J3KNI1_COG4</t>
  </si>
  <si>
    <t>J3KNL3_CHID1</t>
  </si>
  <si>
    <t>J3KNL6_SEC16A</t>
  </si>
  <si>
    <t>J3KNL9_ZFYVE1</t>
  </si>
  <si>
    <t>J3KNN3_PHKG2</t>
  </si>
  <si>
    <t>J3KNN5_DDX41</t>
  </si>
  <si>
    <t>J3KNN7_BRAP</t>
  </si>
  <si>
    <t>J3KNQ1_ZFP1</t>
  </si>
  <si>
    <t>J3KNR0_MARK3</t>
  </si>
  <si>
    <t>J3KNU8_ALDH6A1</t>
  </si>
  <si>
    <t>J3KNW4_FHL2</t>
  </si>
  <si>
    <t>J3KP15_SRSF2</t>
  </si>
  <si>
    <t>J3KP22_PTPRA</t>
  </si>
  <si>
    <t>J3KP29_NUP98</t>
  </si>
  <si>
    <t>J3KP30_DNTTIP2</t>
  </si>
  <si>
    <t>J3KP68_ETNK2</t>
  </si>
  <si>
    <t>J3KP75_PHACTR2</t>
  </si>
  <si>
    <t>J3KP99_HS6ST2</t>
  </si>
  <si>
    <t>J3KPF9_KIF3A</t>
  </si>
  <si>
    <t>J3KPH8_HDAC7</t>
  </si>
  <si>
    <t>J3KPJ3_CAMKK1</t>
  </si>
  <si>
    <t>J3KPK1_SYNJ1</t>
  </si>
  <si>
    <t>J3KPN1_TESC</t>
  </si>
  <si>
    <t>J3KPP4_LUC7L3</t>
  </si>
  <si>
    <t>J3KPP7_ARRB1</t>
  </si>
  <si>
    <t>J3KPS0_DNAJB12</t>
  </si>
  <si>
    <t>J3KPT4_TRABD</t>
  </si>
  <si>
    <t>J3KPV7_MPST</t>
  </si>
  <si>
    <t>J3KPW7_HDAC2</t>
  </si>
  <si>
    <t>J3KPY9_ANTXR2</t>
  </si>
  <si>
    <t>J3KPZ8_RFXANK</t>
  </si>
  <si>
    <t>J3KQ32_OLA1</t>
  </si>
  <si>
    <t>J3KQ48_PTRH2</t>
  </si>
  <si>
    <t>J3KQ88_C6orf203</t>
  </si>
  <si>
    <t>J3KQB0_THUMPD1</t>
  </si>
  <si>
    <t>J3KQC7_GTF2H2</t>
  </si>
  <si>
    <t>J3KQE0_SUN2</t>
  </si>
  <si>
    <t>J3KQE5_RAN</t>
  </si>
  <si>
    <t>J3KQG4_GBA</t>
  </si>
  <si>
    <t>J3KQJ1_SUMF2</t>
  </si>
  <si>
    <t>J3KQL8_APOL2</t>
  </si>
  <si>
    <t>J3KQU9_AP1G1</t>
  </si>
  <si>
    <t>J3KR35_CCDC12</t>
  </si>
  <si>
    <t>J3KR97_TBCD</t>
  </si>
  <si>
    <t>J3KRC8_C16orf55</t>
  </si>
  <si>
    <t>J3KRG2_GSDMA</t>
  </si>
  <si>
    <t>J3KRN4_MAP3K3</t>
  </si>
  <si>
    <t>J3KRR5_PIGL</t>
  </si>
  <si>
    <t>J3KS05_CBX1</t>
  </si>
  <si>
    <t>J3KS81_TMEM199</t>
  </si>
  <si>
    <t>J3KSD8_BLMH</t>
  </si>
  <si>
    <t>J3KSH1_AMZ2</t>
  </si>
  <si>
    <t>J3KTA1_FBXL20</t>
  </si>
  <si>
    <t>J3KTD6_AURKB</t>
  </si>
  <si>
    <t>J3KTL2_SRSF1</t>
  </si>
  <si>
    <t>J3QK89_CHERP</t>
  </si>
  <si>
    <t>J3QKP5_ALDOC</t>
  </si>
  <si>
    <t>J3QKR3_PSMB3</t>
  </si>
  <si>
    <t>J3QKS7_SMARCE1</t>
  </si>
  <si>
    <t>J3QL56_SCO1</t>
  </si>
  <si>
    <t>J3QL71_SCRN2</t>
  </si>
  <si>
    <t>J3QLB2_SLC39A11</t>
  </si>
  <si>
    <t>J3QLD9_FLOT2</t>
  </si>
  <si>
    <t>J3QLR8_MRPS23</t>
  </si>
  <si>
    <t>J3QLS3_MRPS7</t>
  </si>
  <si>
    <t>J3QQ66_ZFHX4</t>
  </si>
  <si>
    <t>J3QQJ0_SAP30BP</t>
  </si>
  <si>
    <t>J3QQT2_RPL17</t>
  </si>
  <si>
    <t>J3QQX3_FDXR</t>
  </si>
  <si>
    <t>J3QQY0_MSL1</t>
  </si>
  <si>
    <t>J3QR07_YTHDC1</t>
  </si>
  <si>
    <t>J3QR09_RPL19</t>
  </si>
  <si>
    <t>J3QRD1_ALDH3A2</t>
  </si>
  <si>
    <t>J3QRM9_ORMDL3</t>
  </si>
  <si>
    <t>J3QRS3_MYL12A</t>
  </si>
  <si>
    <t>J3QRS9_ZNF207</t>
  </si>
  <si>
    <t>J3QRU4_VAMP2</t>
  </si>
  <si>
    <t>J3QS41_HELZ</t>
  </si>
  <si>
    <t>J3QSD7_CDK12</t>
  </si>
  <si>
    <t>J3QSR7_KIAA1549</t>
  </si>
  <si>
    <t>J3QT73_COPS7B</t>
  </si>
  <si>
    <t>J3QTA6_CHCHD6</t>
  </si>
  <si>
    <t>J3QTQ0_DST</t>
  </si>
  <si>
    <t>J9JID7_LMNB2</t>
  </si>
  <si>
    <t>J9JID9_PITPNC1</t>
  </si>
  <si>
    <t>J9JIE6_TMCO1</t>
  </si>
  <si>
    <t>J9JIG6_ARSG</t>
  </si>
  <si>
    <t>K4DI92_RWDD4</t>
  </si>
  <si>
    <t>K4DI93_CUL4B</t>
  </si>
  <si>
    <t>K7EIE8_MBD3</t>
  </si>
  <si>
    <t>K7EIG1_CLUH</t>
  </si>
  <si>
    <t>K7EIK7_EML2</t>
  </si>
  <si>
    <t>K7EIL6_</t>
  </si>
  <si>
    <t>K7EIP7_YIPF2</t>
  </si>
  <si>
    <t>K7EIS0_TUBG1</t>
  </si>
  <si>
    <t>K7EIU8_SMAD4</t>
  </si>
  <si>
    <t>K7EJ08_SEC14L1</t>
  </si>
  <si>
    <t>K7EJ78_RPS15</t>
  </si>
  <si>
    <t>K7EJH0_SPC24</t>
  </si>
  <si>
    <t>K7EJL1_AP1M1</t>
  </si>
  <si>
    <t>K7EJQ7_SEC11C</t>
  </si>
  <si>
    <t>K7EK07_H3F3B</t>
  </si>
  <si>
    <t>K7EKE6_LONP1</t>
  </si>
  <si>
    <t>K7EKI4_MRPL4</t>
  </si>
  <si>
    <t>K7EKS3_POLRMT</t>
  </si>
  <si>
    <t>K7EKW3_TMUB2</t>
  </si>
  <si>
    <t>K7EKZ9_LINC00493</t>
  </si>
  <si>
    <t>K7EL68_CDC37</t>
  </si>
  <si>
    <t>K7EL81_PPP1R12C</t>
  </si>
  <si>
    <t>K7ELL7_PRKCSH</t>
  </si>
  <si>
    <t>K7ELY2_STX10</t>
  </si>
  <si>
    <t>K7EM02_KATNAL2</t>
  </si>
  <si>
    <t>K7EM09_TMEM205</t>
  </si>
  <si>
    <t>K7EM38_ACTG1</t>
  </si>
  <si>
    <t>K7EN05_ELOF1</t>
  </si>
  <si>
    <t>K7EN78_R3HDM4</t>
  </si>
  <si>
    <t>K7EN88_hCG_2039718</t>
  </si>
  <si>
    <t>K7ENF0_NARS</t>
  </si>
  <si>
    <t>K7ENL9_C18orf8</t>
  </si>
  <si>
    <t>K7EP31_ATP5SL</t>
  </si>
  <si>
    <t>K7EP32_UBXN6</t>
  </si>
  <si>
    <t>K7EQ34_TMEM161A</t>
  </si>
  <si>
    <t>K7EQ77_NDUFA11</t>
  </si>
  <si>
    <t>K7EQG1_QPCTL</t>
  </si>
  <si>
    <t>K7EQH5_AES</t>
  </si>
  <si>
    <t>K7EQL6_USP32</t>
  </si>
  <si>
    <t>K7EQW8_TPM4</t>
  </si>
  <si>
    <t>K7ER00_FARSA</t>
  </si>
  <si>
    <t>K7ERF1_EIF3K</t>
  </si>
  <si>
    <t>K7ERH7_DTNA</t>
  </si>
  <si>
    <t>K7ERQ0_YIF1B</t>
  </si>
  <si>
    <t>K7ERV3_TK1</t>
  </si>
  <si>
    <t>K7ES11_UBE2O</t>
  </si>
  <si>
    <t>K7ESA4_ATF7</t>
  </si>
  <si>
    <t>K7ESE3_RAD23A</t>
  </si>
  <si>
    <t>K7ESE6_G6PC3</t>
  </si>
  <si>
    <t>K7ESI9_DNM2</t>
  </si>
  <si>
    <t>K7ESL1_TXNL4A</t>
  </si>
  <si>
    <t>K7ESP4_DCAKD</t>
  </si>
  <si>
    <t>M0QWZ7_SARS2</t>
  </si>
  <si>
    <t>M0QX07_BABAM1</t>
  </si>
  <si>
    <t>M0QXA7_WIZ</t>
  </si>
  <si>
    <t>M0QXB4_COPE</t>
  </si>
  <si>
    <t>M0QXB5_ETHE1</t>
  </si>
  <si>
    <t>M0QXD0_MCOLN1</t>
  </si>
  <si>
    <t>M0QXN5_NUP62</t>
  </si>
  <si>
    <t>M0QXT0_USF2</t>
  </si>
  <si>
    <t>M0QXZ5_ZNF428</t>
  </si>
  <si>
    <t>M0QY77_KXD1</t>
  </si>
  <si>
    <t>M0QYA2_PIH1D1</t>
  </si>
  <si>
    <t>M0QYH2_PNKP</t>
  </si>
  <si>
    <t>M0QYM7_TUBB4A</t>
  </si>
  <si>
    <t>M0QYS1_RPL13A</t>
  </si>
  <si>
    <t>M0QYT0_</t>
  </si>
  <si>
    <t>M0QYT5_USE1</t>
  </si>
  <si>
    <t>M0QZ12_GRAMD1A</t>
  </si>
  <si>
    <t>M0QZ23_C19orf44</t>
  </si>
  <si>
    <t>M0QZL8_JOSD2</t>
  </si>
  <si>
    <t>M0QZM1_HNRNPM</t>
  </si>
  <si>
    <t>M0QZS4_ZNF737</t>
  </si>
  <si>
    <t>M0QZW1_PRKD2</t>
  </si>
  <si>
    <t>M0R042_TUBB4A</t>
  </si>
  <si>
    <t>M0R0E9_SPHK2</t>
  </si>
  <si>
    <t>M0R0F0_RPS5</t>
  </si>
  <si>
    <t>M0R0V1_PLEKHA4</t>
  </si>
  <si>
    <t>M0R117_RPL18A</t>
  </si>
  <si>
    <t>M0R150_</t>
  </si>
  <si>
    <t>M0R226_MRPL34</t>
  </si>
  <si>
    <t>M0R299_FBL</t>
  </si>
  <si>
    <t>M0R2B7_POLD1</t>
  </si>
  <si>
    <t>M0R2D3_TUBB4A</t>
  </si>
  <si>
    <t>M0R2G0_LRRC4B</t>
  </si>
  <si>
    <t>M0R3D4_RABAC1</t>
  </si>
  <si>
    <t>O00116_AGPS</t>
  </si>
  <si>
    <t>O00124-3_UBXN8</t>
  </si>
  <si>
    <t>O00139-2_KIF2A</t>
  </si>
  <si>
    <t>O00148_DDX39A</t>
  </si>
  <si>
    <t>O00151_PDLIM1</t>
  </si>
  <si>
    <t>O00154-4_ACOT7</t>
  </si>
  <si>
    <t>O00159_MYO1C</t>
  </si>
  <si>
    <t>O00161_SNAP23</t>
  </si>
  <si>
    <t>O00165-5_HAX1</t>
  </si>
  <si>
    <t>O00170_AIP</t>
  </si>
  <si>
    <t>O00178_GTPBP1</t>
  </si>
  <si>
    <t>O00186_STXBP3</t>
  </si>
  <si>
    <t>O00193_SMAP</t>
  </si>
  <si>
    <t>O00213-2_APBB1</t>
  </si>
  <si>
    <t>O00217_NDUFS8</t>
  </si>
  <si>
    <t>O00221_NFKBIE</t>
  </si>
  <si>
    <t>O00231_PSMD11</t>
  </si>
  <si>
    <t>O00232_PSMD12</t>
  </si>
  <si>
    <t>O00244_ATOX1</t>
  </si>
  <si>
    <t>O00264_PGRMC1</t>
  </si>
  <si>
    <t>O00267-2_SUPT5H</t>
  </si>
  <si>
    <t>O00273_DFFA</t>
  </si>
  <si>
    <t>O00273-2_DFFA</t>
  </si>
  <si>
    <t>O00287_RFXAP</t>
  </si>
  <si>
    <t>O00291_HIP1</t>
  </si>
  <si>
    <t>O00299_CLIC1</t>
  </si>
  <si>
    <t>O00330_PDHX</t>
  </si>
  <si>
    <t>O00399_DCTN6</t>
  </si>
  <si>
    <t>O00400_SLC33A1</t>
  </si>
  <si>
    <t>O00401_WASL</t>
  </si>
  <si>
    <t>O00410_IPO5</t>
  </si>
  <si>
    <t>O00418_EEF2K</t>
  </si>
  <si>
    <t>O00425_IGF2BP3</t>
  </si>
  <si>
    <t>O00429-3_DNM1L</t>
  </si>
  <si>
    <t>O00429-4_DNM1L</t>
  </si>
  <si>
    <t>O00442_RTCA</t>
  </si>
  <si>
    <t>O00451_GFRA2</t>
  </si>
  <si>
    <t>O00459_PIK3R2</t>
  </si>
  <si>
    <t>O00461_GOLIM4</t>
  </si>
  <si>
    <t>O00479_HMGN4</t>
  </si>
  <si>
    <t>O00483_NDUFA4</t>
  </si>
  <si>
    <t>O00487_PSMD14</t>
  </si>
  <si>
    <t>O00505_KPNA3</t>
  </si>
  <si>
    <t>O00506_STK25</t>
  </si>
  <si>
    <t>O00512_BCL9</t>
  </si>
  <si>
    <t>O00560-3_SDCBP</t>
  </si>
  <si>
    <t>O00566_MPHOSPH10</t>
  </si>
  <si>
    <t>O00567_NOP56</t>
  </si>
  <si>
    <t>O00571_DDX3X</t>
  </si>
  <si>
    <t>O00625_PIR</t>
  </si>
  <si>
    <t>O00629_KPNA4</t>
  </si>
  <si>
    <t>O00635_TRIM38</t>
  </si>
  <si>
    <t>O00716_E2F3</t>
  </si>
  <si>
    <t>O00743_PPP6C</t>
  </si>
  <si>
    <t>O00754-2_MAN2B1</t>
  </si>
  <si>
    <t>O00762_UBE2C</t>
  </si>
  <si>
    <t>O00764_PDXK</t>
  </si>
  <si>
    <t>O00767_SCD</t>
  </si>
  <si>
    <t>O14497-2_ARID1A</t>
  </si>
  <si>
    <t>O14519-2_CDK2AP1</t>
  </si>
  <si>
    <t>O14523_C2CD2L</t>
  </si>
  <si>
    <t>O14524-2_TMEM194A</t>
  </si>
  <si>
    <t>O14531_DPYSL4</t>
  </si>
  <si>
    <t>O14545_TRAFD1</t>
  </si>
  <si>
    <t>O14548_COX7A2L</t>
  </si>
  <si>
    <t>O14578_CIT</t>
  </si>
  <si>
    <t>O14613_CDC42EP2</t>
  </si>
  <si>
    <t>O14617-4_AP3D1</t>
  </si>
  <si>
    <t>O14656_TOR1A</t>
  </si>
  <si>
    <t>O14657_TOR1B</t>
  </si>
  <si>
    <t>O14672_ADAM10</t>
  </si>
  <si>
    <t>O14686_MLL2</t>
  </si>
  <si>
    <t>O14732-2_IMPA2</t>
  </si>
  <si>
    <t>O14733_MAP2K7</t>
  </si>
  <si>
    <t>O14734_ACOT8</t>
  </si>
  <si>
    <t>O14737_PDCD5</t>
  </si>
  <si>
    <t>O14744_PRMT5</t>
  </si>
  <si>
    <t>O14745_SLC9A3R1</t>
  </si>
  <si>
    <t>O14757_CHEK1</t>
  </si>
  <si>
    <t>O14763-2_TNFRSF10B</t>
  </si>
  <si>
    <t>O14772_FPGT</t>
  </si>
  <si>
    <t>O14773-2_TPP1</t>
  </si>
  <si>
    <t>O14776-2_TCERG1</t>
  </si>
  <si>
    <t>O14777_NDC80</t>
  </si>
  <si>
    <t>O14787-2_TNPO2</t>
  </si>
  <si>
    <t>O14810_CPLX1</t>
  </si>
  <si>
    <t>O14818_PSMA7</t>
  </si>
  <si>
    <t>O14828_SCAMP3</t>
  </si>
  <si>
    <t>O14867_BACH1</t>
  </si>
  <si>
    <t>O14893-2_GEMIN2</t>
  </si>
  <si>
    <t>O14908_GIPC1</t>
  </si>
  <si>
    <t>O14920_IKBKB</t>
  </si>
  <si>
    <t>O14925_TIMM23</t>
  </si>
  <si>
    <t>O14929_HAT1</t>
  </si>
  <si>
    <t>O14936-3_CASK</t>
  </si>
  <si>
    <t>O14964_HGS</t>
  </si>
  <si>
    <t>O14965_AURKA</t>
  </si>
  <si>
    <t>O14967_CLGN</t>
  </si>
  <si>
    <t>O14974-2_PPP1R12A</t>
  </si>
  <si>
    <t>O14976_GAK</t>
  </si>
  <si>
    <t>O14979-3_HNRPDL</t>
  </si>
  <si>
    <t>O14980_XPO1</t>
  </si>
  <si>
    <t>O14981_BTAF1</t>
  </si>
  <si>
    <t>O15013-4_ARHGEF10</t>
  </si>
  <si>
    <t>O15014_ZNF609</t>
  </si>
  <si>
    <t>O15020-2_SPTBN2</t>
  </si>
  <si>
    <t>O15031_PLXNB2</t>
  </si>
  <si>
    <t>O15037_KHNYN</t>
  </si>
  <si>
    <t>O15047_SETD1A</t>
  </si>
  <si>
    <t>O15063_KIAA0355</t>
  </si>
  <si>
    <t>O15066_KIF3B</t>
  </si>
  <si>
    <t>O15067_PFAS</t>
  </si>
  <si>
    <t>O15091-4_KIAA0391</t>
  </si>
  <si>
    <t>O15111_CHUK</t>
  </si>
  <si>
    <t>O15116_LSM1</t>
  </si>
  <si>
    <t>O15118_NPC1</t>
  </si>
  <si>
    <t>O15120_AGPAT2</t>
  </si>
  <si>
    <t>O15121_DEGS1</t>
  </si>
  <si>
    <t>O15126_SCAMP1</t>
  </si>
  <si>
    <t>O15127_SCAMP2</t>
  </si>
  <si>
    <t>O15143_ARPC1B</t>
  </si>
  <si>
    <t>O15144_ARPC2</t>
  </si>
  <si>
    <t>O15145_ARPC3</t>
  </si>
  <si>
    <t>O15155_BET1</t>
  </si>
  <si>
    <t>O15160_POLR1C</t>
  </si>
  <si>
    <t>O15164-2_TRIM24</t>
  </si>
  <si>
    <t>O15169-2_AXIN1</t>
  </si>
  <si>
    <t>O15173_PGRMC2</t>
  </si>
  <si>
    <t>O15212_PFDN6</t>
  </si>
  <si>
    <t>O15228_GNPAT</t>
  </si>
  <si>
    <t>O15234_CASC3</t>
  </si>
  <si>
    <t>O15258_RER1</t>
  </si>
  <si>
    <t>O15269_SPTLC1</t>
  </si>
  <si>
    <t>O15270_SPTLC2</t>
  </si>
  <si>
    <t>O15294-3_OGT</t>
  </si>
  <si>
    <t>O15305_PMM2</t>
  </si>
  <si>
    <t>O15344_MID1</t>
  </si>
  <si>
    <t>O15347_HMGB3</t>
  </si>
  <si>
    <t>O15355_PPM1G</t>
  </si>
  <si>
    <t>O15357_INPPL1</t>
  </si>
  <si>
    <t>O15397_IPO8</t>
  </si>
  <si>
    <t>O15400-2_STX7</t>
  </si>
  <si>
    <t>O15431_SLC31A1</t>
  </si>
  <si>
    <t>O15439-2_ABCC4</t>
  </si>
  <si>
    <t>O15446_CD3EAP</t>
  </si>
  <si>
    <t>O15460-2_P4HA2</t>
  </si>
  <si>
    <t>O15511_ARPC5</t>
  </si>
  <si>
    <t>O15541_RNF113A</t>
  </si>
  <si>
    <t>O43143_DHX15</t>
  </si>
  <si>
    <t>O43148_RNMT</t>
  </si>
  <si>
    <t>O43150-2_ASAP2</t>
  </si>
  <si>
    <t>O43155_FLRT2</t>
  </si>
  <si>
    <t>O43164-2_PJA2</t>
  </si>
  <si>
    <t>O43172-2_PRPF4</t>
  </si>
  <si>
    <t>O43175_PHGDH</t>
  </si>
  <si>
    <t>O43242_PSMD3</t>
  </si>
  <si>
    <t>O43251-6_RBFOX2</t>
  </si>
  <si>
    <t>O43252_PAPSS1</t>
  </si>
  <si>
    <t>O43257_ZNHIT1</t>
  </si>
  <si>
    <t>O43264_ZW10</t>
  </si>
  <si>
    <t>O43290_SART1</t>
  </si>
  <si>
    <t>O43299-2_AP5Z1</t>
  </si>
  <si>
    <t>O43301_HSPA12A</t>
  </si>
  <si>
    <t>O43310_CTIF</t>
  </si>
  <si>
    <t>O43314-2_PPIP5K2</t>
  </si>
  <si>
    <t>O43318-2_MAP3K7</t>
  </si>
  <si>
    <t>O43353_RIPK2</t>
  </si>
  <si>
    <t>O43379_WDR62</t>
  </si>
  <si>
    <t>O43390_HNRNPR</t>
  </si>
  <si>
    <t>O43395_PRPF3</t>
  </si>
  <si>
    <t>O43396_TXNL1</t>
  </si>
  <si>
    <t>O43399_TPD52L2</t>
  </si>
  <si>
    <t>O43399-2_TPD52L2</t>
  </si>
  <si>
    <t>O43402_EMC8</t>
  </si>
  <si>
    <t>O43447_PPIH</t>
  </si>
  <si>
    <t>O43464-3_HTRA2</t>
  </si>
  <si>
    <t>O43474-1_KLF4</t>
  </si>
  <si>
    <t>O43482_OIP5</t>
  </si>
  <si>
    <t>O43491_EPB41L2</t>
  </si>
  <si>
    <t>O43493-2_TGOLN2</t>
  </si>
  <si>
    <t>O43502_RAD51C</t>
  </si>
  <si>
    <t>O43505_B3GNT1</t>
  </si>
  <si>
    <t>O43513_MED7</t>
  </si>
  <si>
    <t>O43516_WIPF1</t>
  </si>
  <si>
    <t>O43521-6_BCL2L11</t>
  </si>
  <si>
    <t>O43524_FOXO3</t>
  </si>
  <si>
    <t>O43567_RNF13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</si>
  <si>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</si>
  <si>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</si>
  <si>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</si>
  <si>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</si>
  <si>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</si>
  <si>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</si>
  <si>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</si>
  <si>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O43657_TSPAN6</t>
  </si>
  <si>
    <t>O43665-2_RGS10</t>
  </si>
  <si>
    <t>O43676_NDUFB3</t>
  </si>
  <si>
    <t>O43677_NDUFC1</t>
  </si>
  <si>
    <t>O43678_NDUFA2</t>
  </si>
  <si>
    <t>O43681_ASNA1</t>
  </si>
  <si>
    <t>O43684_BUB3</t>
  </si>
  <si>
    <t>O43684-2_BUB3</t>
  </si>
  <si>
    <t>O43707_ACTN4</t>
  </si>
  <si>
    <t>O43709_WBSCR22</t>
  </si>
  <si>
    <t>O43715_TRIAP1</t>
  </si>
  <si>
    <t>O43719_HTATSF1</t>
  </si>
  <si>
    <t>O43752_STX6</t>
  </si>
  <si>
    <t>O43765_SGTA</t>
  </si>
  <si>
    <t>O43766_LIAS</t>
  </si>
  <si>
    <t>O43768_ENSA</t>
  </si>
  <si>
    <t>O43772_SLC25A20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</si>
  <si>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</si>
  <si>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</si>
  <si>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</si>
  <si>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</si>
  <si>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</si>
  <si>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</si>
  <si>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</si>
  <si>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O43820-4_HYAL3</t>
  </si>
  <si>
    <t>O43823_AKAP8</t>
  </si>
  <si>
    <t>O43826_SLC37A4</t>
  </si>
  <si>
    <t>O43829_ZBTB14</t>
  </si>
  <si>
    <t>O43837_IDH3B</t>
  </si>
  <si>
    <t>O43852_CALU</t>
  </si>
  <si>
    <t>O43865_AHCYL1</t>
  </si>
  <si>
    <t>O43896_KIF1C</t>
  </si>
  <si>
    <t>O43913-2_ORC5</t>
  </si>
  <si>
    <t>O43920_NDUFS5</t>
  </si>
  <si>
    <t>O43929_ORC4</t>
  </si>
  <si>
    <t>O43933_PEX1</t>
  </si>
  <si>
    <t>O60216_RAD21</t>
  </si>
  <si>
    <t>O60220_TIMM8A</t>
  </si>
  <si>
    <t>O60231_DHX16</t>
  </si>
  <si>
    <t>O60239-2_SH3BP5</t>
  </si>
  <si>
    <t>O60256_PRPSAP2</t>
  </si>
  <si>
    <t>O60262_GNG7</t>
  </si>
  <si>
    <t>O60264_SMARCA5</t>
  </si>
  <si>
    <t>O60271-4_SPAG9</t>
  </si>
  <si>
    <t>O60279_SUSD5</t>
  </si>
  <si>
    <t>O60282_KIF5C</t>
  </si>
  <si>
    <t>O60333-2_KIF1B</t>
  </si>
  <si>
    <t>O60343-2_TBC1D4</t>
  </si>
  <si>
    <t>O60344-4_ECE2</t>
  </si>
  <si>
    <t>O60347_TBC1D12</t>
  </si>
  <si>
    <t>O60427_FADS1</t>
  </si>
  <si>
    <t>O60443_DFNA5</t>
  </si>
  <si>
    <t>O60449-3_LY75</t>
  </si>
  <si>
    <t>O60476_MAN1A2</t>
  </si>
  <si>
    <t>O60488-2_ACSL4</t>
  </si>
  <si>
    <t>O60493_SNX3</t>
  </si>
  <si>
    <t>O60502_MGEA5</t>
  </si>
  <si>
    <t>O60504-2_SORBS3</t>
  </si>
  <si>
    <t>O60506-4_SYNCRIP</t>
  </si>
  <si>
    <t>O60524-4_NEMF</t>
  </si>
  <si>
    <t>O60547_GMDS</t>
  </si>
  <si>
    <t>O60563_CCNT1</t>
  </si>
  <si>
    <t>O60566_BUB1B</t>
  </si>
  <si>
    <t>O60568_PLOD3</t>
  </si>
  <si>
    <t>O60613_SEP15</t>
  </si>
  <si>
    <t>O60645-3_EXOC3</t>
  </si>
  <si>
    <t>O60664_PLIN3</t>
  </si>
  <si>
    <t>O60664-3_PLIN3</t>
  </si>
  <si>
    <t>O60671_RAD1</t>
  </si>
  <si>
    <t>O60678_PRMT3</t>
  </si>
  <si>
    <t>O60701_UGDH</t>
  </si>
  <si>
    <t>O60704_TPST2</t>
  </si>
  <si>
    <t>O60716-5_CTNND1</t>
  </si>
  <si>
    <t>O60725_ICMT</t>
  </si>
  <si>
    <t>O60749_SNX2</t>
  </si>
  <si>
    <t>O60763_USO1</t>
  </si>
  <si>
    <t>O60826_CCDC22</t>
  </si>
  <si>
    <t>O60828_PQBP1</t>
  </si>
  <si>
    <t>O60830_TIMM17B</t>
  </si>
  <si>
    <t>O60831_PRAF2</t>
  </si>
  <si>
    <t>O60832_DKC1</t>
  </si>
  <si>
    <t>O60841_EIF5B</t>
  </si>
  <si>
    <t>O60869_EDF1</t>
  </si>
  <si>
    <t>O60870_KIN</t>
  </si>
  <si>
    <t>O60884_DNAJA2</t>
  </si>
  <si>
    <t>O60885_BRD4</t>
  </si>
  <si>
    <t>O60888-3_CUTA</t>
  </si>
  <si>
    <t>O60906_SMPD2</t>
  </si>
  <si>
    <t>O60925_PFDN1</t>
  </si>
  <si>
    <t>O60927_PPP1R11</t>
  </si>
  <si>
    <t>O60934_NBN</t>
  </si>
  <si>
    <t>O60942_RNGTT</t>
  </si>
  <si>
    <t>O75027_ABCB7</t>
  </si>
  <si>
    <t>O75044_SRGAP2</t>
  </si>
  <si>
    <t>O75051_PLXNA2</t>
  </si>
  <si>
    <t>O75054_IGSF3</t>
  </si>
  <si>
    <t>O75061-4_DNAJC6</t>
  </si>
  <si>
    <t>O75063_FAM20B</t>
  </si>
  <si>
    <t>O75083_WDR1</t>
  </si>
  <si>
    <t>O75084_FZD7</t>
  </si>
  <si>
    <t>O75110_ATP9A</t>
  </si>
  <si>
    <t>O75113_N4BP1</t>
  </si>
  <si>
    <t>O75116_ROCK2</t>
  </si>
  <si>
    <t>O75131_CPNE3</t>
  </si>
  <si>
    <t>O75143-2_ATG13</t>
  </si>
  <si>
    <t>O75146_HIP1R</t>
  </si>
  <si>
    <t>O75150_RNF40</t>
  </si>
  <si>
    <t>O75155_CAND2</t>
  </si>
  <si>
    <t>O75157-2_TSC22D2</t>
  </si>
  <si>
    <t>O75164_KDM4A</t>
  </si>
  <si>
    <t>O75170-6_PPP6R2</t>
  </si>
  <si>
    <t>O75175_CNOT3</t>
  </si>
  <si>
    <t>O75179-2_ANKRD17</t>
  </si>
  <si>
    <t>O75191_XYLB</t>
  </si>
  <si>
    <t>O75208_COQ9</t>
  </si>
  <si>
    <t>O75223_GGCT</t>
  </si>
  <si>
    <t>O75306-2_NDUFS2</t>
  </si>
  <si>
    <t>O75312_ZNF259</t>
  </si>
  <si>
    <t>O75323_GBAS</t>
  </si>
  <si>
    <t>O75330-2_HMMR</t>
  </si>
  <si>
    <t>O75340_PDCD6</t>
  </si>
  <si>
    <t>O75347_TBCA</t>
  </si>
  <si>
    <t>O75348_ATP6V1G1</t>
  </si>
  <si>
    <t>O75351_VPS4B</t>
  </si>
  <si>
    <t>O75368_SH3BGRL</t>
  </si>
  <si>
    <t>O75369-8_FLNB</t>
  </si>
  <si>
    <t>O75376_NCOR1</t>
  </si>
  <si>
    <t>O75379_VAMP4</t>
  </si>
  <si>
    <t>O75380_NDUFS6</t>
  </si>
  <si>
    <t>O75387_SLC43A1</t>
  </si>
  <si>
    <t>O75391_SPAG7</t>
  </si>
  <si>
    <t>O75396_SEC22B</t>
  </si>
  <si>
    <t>O75400-2_PRPF40A</t>
  </si>
  <si>
    <t>O75419-2_CDC45</t>
  </si>
  <si>
    <t>O75420_GIGYF1</t>
  </si>
  <si>
    <t>O75427_LRCH4</t>
  </si>
  <si>
    <t>O75436_VPS26A</t>
  </si>
  <si>
    <t>O75438_NDUFB1</t>
  </si>
  <si>
    <t>O75439_PMPCB</t>
  </si>
  <si>
    <t>O75449_KATNA1</t>
  </si>
  <si>
    <t>O75475_PSIP1</t>
  </si>
  <si>
    <t>O75489_NDUFS3</t>
  </si>
  <si>
    <t>O75506_HSBP1</t>
  </si>
  <si>
    <t>O75521-2_ECI2</t>
  </si>
  <si>
    <t>O75526_RBMXL2</t>
  </si>
  <si>
    <t>O75531_BANF1</t>
  </si>
  <si>
    <t>O75533_SF3B1</t>
  </si>
  <si>
    <t>O75534-2_CSDE1</t>
  </si>
  <si>
    <t>O75554_WBP4</t>
  </si>
  <si>
    <t>O75570_MTRF1</t>
  </si>
  <si>
    <t>O75582_RPS6KA5</t>
  </si>
  <si>
    <t>O75600_GCAT</t>
  </si>
  <si>
    <t>O75607_NPM3</t>
  </si>
  <si>
    <t>O75608-2_LYPLA1</t>
  </si>
  <si>
    <t>O75616_ERAL1</t>
  </si>
  <si>
    <t>O75629_CREG1</t>
  </si>
  <si>
    <t>O75648_TRMU</t>
  </si>
  <si>
    <t>O75663_TIPRL</t>
  </si>
  <si>
    <t>O75688_PPM1B</t>
  </si>
  <si>
    <t>O75689_ADAP1</t>
  </si>
  <si>
    <t>O75695_RP2</t>
  </si>
  <si>
    <t>O75717_WDHD1</t>
  </si>
  <si>
    <t>O75746_SLC25A12</t>
  </si>
  <si>
    <t>O75781_PALM</t>
  </si>
  <si>
    <t>O75792_RNASEH2A</t>
  </si>
  <si>
    <t>O75794_CDC123</t>
  </si>
  <si>
    <t>O75808_SOLH</t>
  </si>
  <si>
    <t>O75821_EIF3G</t>
  </si>
  <si>
    <t>O75822_EIF3J</t>
  </si>
  <si>
    <t>O75828_CBR3</t>
  </si>
  <si>
    <t>O75832_PSMD10</t>
  </si>
  <si>
    <t>O75844_ZMPSTE24</t>
  </si>
  <si>
    <t>O75874_IDH1</t>
  </si>
  <si>
    <t>O75882-3_ATRN</t>
  </si>
  <si>
    <t>O75884_RBBP9</t>
  </si>
  <si>
    <t>O75886_STAM2</t>
  </si>
  <si>
    <t>O75915_ARL6IP5</t>
  </si>
  <si>
    <t>O75928-3_PIAS2</t>
  </si>
  <si>
    <t>O75934_BCAS2</t>
  </si>
  <si>
    <t>O75937_DNAJC8</t>
  </si>
  <si>
    <t>O75940_SMNDC1</t>
  </si>
  <si>
    <t>O75947_ATP5H</t>
  </si>
  <si>
    <t>O75964_ATP5L</t>
  </si>
  <si>
    <t>O75976_CPD</t>
  </si>
  <si>
    <t>O76003_GLRX3</t>
  </si>
  <si>
    <t>O76024_WFS1</t>
  </si>
  <si>
    <t>O76031_CLPX</t>
  </si>
  <si>
    <t>O76041-2_NEBL</t>
  </si>
  <si>
    <t>O76070_SNCG</t>
  </si>
  <si>
    <t>O76071_CIAO1</t>
  </si>
  <si>
    <t>O76075-2_DFFB</t>
  </si>
  <si>
    <t>O76080_ZFAND5</t>
  </si>
  <si>
    <t>O76095-2_JTB</t>
  </si>
  <si>
    <t>O94760_DDAH1</t>
  </si>
  <si>
    <t>O94761_RECQL4</t>
  </si>
  <si>
    <t>O94763_URI1</t>
  </si>
  <si>
    <t>O94766_B3GAT3</t>
  </si>
  <si>
    <t>O94776_MTA2</t>
  </si>
  <si>
    <t>O94782_USP1</t>
  </si>
  <si>
    <t>O94788-2_ALDH1A2</t>
  </si>
  <si>
    <t>O94804_STK10</t>
  </si>
  <si>
    <t>O94811_TPPP</t>
  </si>
  <si>
    <t>O94819_KBTBD11</t>
  </si>
  <si>
    <t>O94822_LTN1</t>
  </si>
  <si>
    <t>O94826_TOMM70A</t>
  </si>
  <si>
    <t>O94829_IPO13</t>
  </si>
  <si>
    <t>O94830_DDHD2</t>
  </si>
  <si>
    <t>O94832_MYO1D</t>
  </si>
  <si>
    <t>O94851-5_MICAL2</t>
  </si>
  <si>
    <t>O94855_SEC24D</t>
  </si>
  <si>
    <t>O94864-2_SUPT7L</t>
  </si>
  <si>
    <t>O94874_UFL1</t>
  </si>
  <si>
    <t>O94880_PHF14</t>
  </si>
  <si>
    <t>O94885_SASH1</t>
  </si>
  <si>
    <t>O94888_UBXN7</t>
  </si>
  <si>
    <t>O94903_PROSC</t>
  </si>
  <si>
    <t>O94913_PCF11</t>
  </si>
  <si>
    <t>O94919_ENDOD1</t>
  </si>
  <si>
    <t>O94925-3_GLS</t>
  </si>
  <si>
    <t>O94927_HAUS5</t>
  </si>
  <si>
    <t>O94967-2_WDR47</t>
  </si>
  <si>
    <t>O94973_AP2A2</t>
  </si>
  <si>
    <t>O94992_HEXIM1</t>
  </si>
  <si>
    <t>O95057_DIRAS1</t>
  </si>
  <si>
    <t>O95067_CCNB2</t>
  </si>
  <si>
    <t>O95081_AGFG2</t>
  </si>
  <si>
    <t>O95104-3_SCAF4</t>
  </si>
  <si>
    <t>O95136_S1PR2</t>
  </si>
  <si>
    <t>O95139_NDUFB6</t>
  </si>
  <si>
    <t>O95140_MFN2</t>
  </si>
  <si>
    <t>O95155-2_UBE4B</t>
  </si>
  <si>
    <t>O95159_ZFPL1</t>
  </si>
  <si>
    <t>O95163_IKBKAP</t>
  </si>
  <si>
    <t>O95167_NDUFA3</t>
  </si>
  <si>
    <t>O95168_NDUFB4</t>
  </si>
  <si>
    <t>O95197-7_RTN3</t>
  </si>
  <si>
    <t>O95202_LETM1</t>
  </si>
  <si>
    <t>O95218-2_ZRANB2</t>
  </si>
  <si>
    <t>O95219_SNX4</t>
  </si>
  <si>
    <t>O95229_ZWINT</t>
  </si>
  <si>
    <t>O95239_KIF4A</t>
  </si>
  <si>
    <t>O95251-4_KAT7</t>
  </si>
  <si>
    <t>O95273_CCNDBP1</t>
  </si>
  <si>
    <t>O95292_VAPB</t>
  </si>
  <si>
    <t>O95295_SNAPIN</t>
  </si>
  <si>
    <t>O95297-2_MPZL1</t>
  </si>
  <si>
    <t>O95298-2_NDUFC2</t>
  </si>
  <si>
    <t>O95302_FKBP9</t>
  </si>
  <si>
    <t>O95336_PGLS</t>
  </si>
  <si>
    <t>O95347_SMC2</t>
  </si>
  <si>
    <t>O95352_ATG7</t>
  </si>
  <si>
    <t>O95363_FARS2</t>
  </si>
  <si>
    <t>O95372_LYPLA2</t>
  </si>
  <si>
    <t>O95373_IPO7</t>
  </si>
  <si>
    <t>O95376_ARIH2</t>
  </si>
  <si>
    <t>O95391_SLU7</t>
  </si>
  <si>
    <t>O95394_PGM3</t>
  </si>
  <si>
    <t>O95396_MOCS3</t>
  </si>
  <si>
    <t>O95400_CD2BP2</t>
  </si>
  <si>
    <t>O95405_ZFYVE9</t>
  </si>
  <si>
    <t>O95429-2_BAG4</t>
  </si>
  <si>
    <t>O95433_AHSA1</t>
  </si>
  <si>
    <t>O95453-2_PARN</t>
  </si>
  <si>
    <t>O95456_PSMG1</t>
  </si>
  <si>
    <t>O95470_SGPL1</t>
  </si>
  <si>
    <t>O95486_SEC24A</t>
  </si>
  <si>
    <t>O95487-2_SEC24B</t>
  </si>
  <si>
    <t>O95551_TDP2</t>
  </si>
  <si>
    <t>O95573_ACSL3</t>
  </si>
  <si>
    <t>O95613-2_PCNT</t>
  </si>
  <si>
    <t>O95620_DUS4L</t>
  </si>
  <si>
    <t>O95628-5_CNOT4</t>
  </si>
  <si>
    <t>O95630_STAMBP</t>
  </si>
  <si>
    <t>O95671-2_ASMTL</t>
  </si>
  <si>
    <t>O95684_FGFR1OP</t>
  </si>
  <si>
    <t>O95685_PPP1R3D</t>
  </si>
  <si>
    <t>O95716_RAB3D</t>
  </si>
  <si>
    <t>O95721_SNAP29</t>
  </si>
  <si>
    <t>O95747_OXSR1</t>
  </si>
  <si>
    <t>O95751_LDOC1</t>
  </si>
  <si>
    <t>O95755-2_RAB36</t>
  </si>
  <si>
    <t>O95758-1_PTBP3</t>
  </si>
  <si>
    <t>O95777_NAA38</t>
  </si>
  <si>
    <t>O95782-2_AP2A1</t>
  </si>
  <si>
    <t>O95816_BAG2</t>
  </si>
  <si>
    <t>O95817_BAG3</t>
  </si>
  <si>
    <t>O95822_MLYCD</t>
  </si>
  <si>
    <t>O95825_CRYZL1</t>
  </si>
  <si>
    <t>O95831-3_AIFM1</t>
  </si>
  <si>
    <t>O95835_LATS1</t>
  </si>
  <si>
    <t>O95857_TSPAN13</t>
  </si>
  <si>
    <t>O95865_DDAH2</t>
  </si>
  <si>
    <t>O95873_C6orf47</t>
  </si>
  <si>
    <t>O95881_TXNDC12</t>
  </si>
  <si>
    <t>O95905_ECD</t>
  </si>
  <si>
    <t>O95926_SYF2</t>
  </si>
  <si>
    <t>O95989_NUDT3</t>
  </si>
  <si>
    <t>O95997_PTTG1</t>
  </si>
  <si>
    <t>O95999_BCL10</t>
  </si>
  <si>
    <t>O96000_NDUFB10</t>
  </si>
  <si>
    <t>O96006_ZBED1</t>
  </si>
  <si>
    <t>O96007_MOCS2</t>
  </si>
  <si>
    <t>O96008_TOMM40</t>
  </si>
  <si>
    <t>O96011_PEX11B</t>
  </si>
  <si>
    <t>O96013_PAK4</t>
  </si>
  <si>
    <t>O96017_CHEK2</t>
  </si>
  <si>
    <t>O96018_APBA3</t>
  </si>
  <si>
    <t>O96019_ACTL6A</t>
  </si>
  <si>
    <t>O96033_MOCS2</t>
  </si>
  <si>
    <t>P00167-2_CYB5A</t>
  </si>
  <si>
    <t>P00338_LDHA</t>
  </si>
  <si>
    <t>P00367_GLUD1</t>
  </si>
  <si>
    <t>P00374_DHFR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</si>
  <si>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</si>
  <si>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</si>
  <si>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</si>
  <si>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</si>
  <si>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</si>
  <si>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</si>
  <si>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</si>
  <si>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P00519-2_ABL1</t>
  </si>
  <si>
    <t>P00558_PGK1</t>
  </si>
  <si>
    <t>P00813_ADA</t>
  </si>
  <si>
    <t>P00918_CA2</t>
  </si>
  <si>
    <t>P01034_CST3</t>
  </si>
  <si>
    <t>P01111_NRAS</t>
  </si>
  <si>
    <t>P01112_HRAS</t>
  </si>
  <si>
    <t>P01116-2_KRAS</t>
  </si>
  <si>
    <t>P01814_</t>
  </si>
  <si>
    <t>P01889_HLA-B</t>
  </si>
  <si>
    <t>P02008_HBZ</t>
  </si>
  <si>
    <t>P02100_HBE1</t>
  </si>
  <si>
    <t>P02545_LMNA</t>
  </si>
  <si>
    <t>P02786_TFRC</t>
  </si>
  <si>
    <t>P02794_FTH1</t>
  </si>
  <si>
    <t>P02795_MT2A</t>
  </si>
  <si>
    <t>P03928_MT-ATP8</t>
  </si>
  <si>
    <t>P04040_CAT</t>
  </si>
  <si>
    <t>P04066_FUCA1</t>
  </si>
  <si>
    <t>P04075_ALDOA</t>
  </si>
  <si>
    <t>P04080_CSTB</t>
  </si>
  <si>
    <t>P04083_ANXA1</t>
  </si>
  <si>
    <t>P04150-9_NR3C1</t>
  </si>
  <si>
    <t>P04181_OAT</t>
  </si>
  <si>
    <t>P04183_TK1</t>
  </si>
  <si>
    <t>P04350_TUBB4A</t>
  </si>
  <si>
    <t>P04406_GAPDH</t>
  </si>
  <si>
    <t>P04626-4_ERBB2</t>
  </si>
  <si>
    <t>P04632_CAPNS1</t>
  </si>
  <si>
    <t>P04792_HSPB1</t>
  </si>
  <si>
    <t>P04818_TYMS</t>
  </si>
  <si>
    <t>P04843_RPN1</t>
  </si>
  <si>
    <t>P04844-2_RPN2</t>
  </si>
  <si>
    <t>P04899_GNAI2</t>
  </si>
  <si>
    <t>P04920-2_SLC4A2</t>
  </si>
  <si>
    <t>P05023-4_ATP1A1</t>
  </si>
  <si>
    <t>P05091_ALDH2</t>
  </si>
  <si>
    <t>P05141_SLC25A5</t>
  </si>
  <si>
    <t>P05198_EIF2S1</t>
  </si>
  <si>
    <t>P05204_HMGN2</t>
  </si>
  <si>
    <t>P05386_RPLP1</t>
  </si>
  <si>
    <t>P05387_RPLP2</t>
  </si>
  <si>
    <t>P05388_RPLP0</t>
  </si>
  <si>
    <t>P05412_JUN</t>
  </si>
  <si>
    <t>P05455_SSB</t>
  </si>
  <si>
    <t>P05556_ITGB1</t>
  </si>
  <si>
    <t>P05771-2_PRKCB</t>
  </si>
  <si>
    <t>P05783_KRT18</t>
  </si>
  <si>
    <t>P06132_UROD</t>
  </si>
  <si>
    <t>P06241_FYN</t>
  </si>
  <si>
    <t>P06280_GLA</t>
  </si>
  <si>
    <t>P06493_CDK1</t>
  </si>
  <si>
    <t>P06576_ATP5B</t>
  </si>
  <si>
    <t>P06733_ENO1</t>
  </si>
  <si>
    <t>P06737-2_PYGL</t>
  </si>
  <si>
    <t>P06744_GPI</t>
  </si>
  <si>
    <t>P06748_NPM1</t>
  </si>
  <si>
    <t>P06748-3_NPM1</t>
  </si>
  <si>
    <t>P06753-2_TPM3</t>
  </si>
  <si>
    <t>P06756-3_ITGAV</t>
  </si>
  <si>
    <t>P07099_EPHX1</t>
  </si>
  <si>
    <t>P07108_DBI</t>
  </si>
  <si>
    <t>P07195_LDHB</t>
  </si>
  <si>
    <t>P07196_NEFL</t>
  </si>
  <si>
    <t>P07203_GPX1</t>
  </si>
  <si>
    <t>P07205_PGK2</t>
  </si>
  <si>
    <t>P07237_P4HB</t>
  </si>
  <si>
    <t>P07339_CTSD</t>
  </si>
  <si>
    <t>P07355_ANXA2</t>
  </si>
  <si>
    <t>P07384_CAPN1</t>
  </si>
  <si>
    <t>P07686_HEXB</t>
  </si>
  <si>
    <t>P07711_CTSL1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</si>
  <si>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</si>
  <si>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</si>
  <si>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</si>
  <si>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</si>
  <si>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</si>
  <si>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</si>
  <si>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</si>
  <si>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</si>
  <si>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P07948_LYN</t>
  </si>
  <si>
    <t>P07954-2_FH</t>
  </si>
  <si>
    <t>P07992_ERCC1</t>
  </si>
  <si>
    <t>P08047_SP1</t>
  </si>
  <si>
    <t>P08107_HSPA1A</t>
  </si>
  <si>
    <t>P08133_ANXA6</t>
  </si>
  <si>
    <t>P08237_PFKM</t>
  </si>
  <si>
    <t>P08238_HSP90AB1</t>
  </si>
  <si>
    <t>P08240_SRPR</t>
  </si>
  <si>
    <t>P08243-2_ASNS</t>
  </si>
  <si>
    <t>P08397-2_HMBS</t>
  </si>
  <si>
    <t>P08559-3_PDHA1</t>
  </si>
  <si>
    <t>P08574_CYC1</t>
  </si>
  <si>
    <t>P08581_MET</t>
  </si>
  <si>
    <t>P08582_MFI2</t>
  </si>
  <si>
    <t>P08621-2_SNRNP70</t>
  </si>
  <si>
    <t>P08648_ITGA5</t>
  </si>
  <si>
    <t>P08670_VIM</t>
  </si>
  <si>
    <t>P08754_GNAI3</t>
  </si>
  <si>
    <t>P08758_ANXA5</t>
  </si>
  <si>
    <t>P09104_ENO2</t>
  </si>
  <si>
    <t>P09110_ACAA1</t>
  </si>
  <si>
    <t>P09132_SRP19</t>
  </si>
  <si>
    <t>P09211_GSTP1</t>
  </si>
  <si>
    <t>P09234_SNRPC</t>
  </si>
  <si>
    <t>P09382_LGALS1</t>
  </si>
  <si>
    <t>P09417_QDPR</t>
  </si>
  <si>
    <t>P09429_HMGB1</t>
  </si>
  <si>
    <t>P09486_SPARC</t>
  </si>
  <si>
    <t>P09493-4_TPM1</t>
  </si>
  <si>
    <t>P09496-2_CLTA</t>
  </si>
  <si>
    <t>P09497-2_CLTB</t>
  </si>
  <si>
    <t>P09525_ANXA4</t>
  </si>
  <si>
    <t>P09543-2_CNP</t>
  </si>
  <si>
    <t>P09601_HMOX1</t>
  </si>
  <si>
    <t>P09622_DLD</t>
  </si>
  <si>
    <t>P09661_SNRPA1</t>
  </si>
  <si>
    <t>P09669_COX6C</t>
  </si>
  <si>
    <t>P09874_PARP1</t>
  </si>
  <si>
    <t>P09936_UCHL1</t>
  </si>
  <si>
    <t>P09960_LTA4H</t>
  </si>
  <si>
    <t>P09972_ALDOC</t>
  </si>
  <si>
    <t>P0C7P0_CISD3</t>
  </si>
  <si>
    <t>P0C7T5_ATXN1L</t>
  </si>
  <si>
    <t>P0CAP2-2_POLR2M</t>
  </si>
  <si>
    <t>P0CG12_CHTF8</t>
  </si>
  <si>
    <t>P0CG35_TMSB15B</t>
  </si>
  <si>
    <t>P0CW22_RPS17L</t>
  </si>
  <si>
    <t>P0DI83_RAB34</t>
  </si>
  <si>
    <t>P0DJ93_SMIM13</t>
  </si>
  <si>
    <t>P10109_FDX1</t>
  </si>
  <si>
    <t>P10155-3_TROVE2</t>
  </si>
  <si>
    <t>P10176_COX8A</t>
  </si>
  <si>
    <t>P10253_GAA</t>
  </si>
  <si>
    <t>P10301_RRAS</t>
  </si>
  <si>
    <t>P10398_ARAF</t>
  </si>
  <si>
    <t>P10586-2_PTPRF</t>
  </si>
  <si>
    <t>P10588_NR2F6</t>
  </si>
  <si>
    <t>P10599_TXN</t>
  </si>
  <si>
    <t>P10606_COX5B</t>
  </si>
  <si>
    <t>P10619_CTSA</t>
  </si>
  <si>
    <t>P10636_MAPT</t>
  </si>
  <si>
    <t>P10644_PRKAR1A</t>
  </si>
  <si>
    <t>P10746_UROS</t>
  </si>
  <si>
    <t>P10768_ESD</t>
  </si>
  <si>
    <t>P10809_HSPD1</t>
  </si>
  <si>
    <t>P10909-4_CLU</t>
  </si>
  <si>
    <t>P11021_HSPA5</t>
  </si>
  <si>
    <t>P11047_LAMC1</t>
  </si>
  <si>
    <t>P11137-3_MAP2</t>
  </si>
  <si>
    <t>P11142_HSPA8</t>
  </si>
  <si>
    <t>P11166_SLC2A1</t>
  </si>
  <si>
    <t>P11171_EPB41</t>
  </si>
  <si>
    <t>P11171-2_EPB41</t>
  </si>
  <si>
    <t>P11172_UMPS</t>
  </si>
  <si>
    <t>P11177-2_PDHB</t>
  </si>
  <si>
    <t>P11216_PYGB</t>
  </si>
  <si>
    <t>P11233_RALA</t>
  </si>
  <si>
    <t>P11234_RALB</t>
  </si>
  <si>
    <t>P11274-2_BCR</t>
  </si>
  <si>
    <t>P11279_LAMP1</t>
  </si>
  <si>
    <t>P11387_TOP1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</si>
  <si>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</si>
  <si>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</si>
  <si>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</si>
  <si>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</si>
  <si>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</si>
  <si>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</si>
  <si>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</si>
  <si>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P11908_PRPS2</t>
  </si>
  <si>
    <t>P11940_PABPC1</t>
  </si>
  <si>
    <t>P12004_PCNA</t>
  </si>
  <si>
    <t>P12081_HARS</t>
  </si>
  <si>
    <t>P12109_COL6A1</t>
  </si>
  <si>
    <t>P12235_SLC25A4</t>
  </si>
  <si>
    <t>P12236_SLC25A6</t>
  </si>
  <si>
    <t>P12270_TPR</t>
  </si>
  <si>
    <t>P12277_CKB</t>
  </si>
  <si>
    <t>P12429_ANXA3</t>
  </si>
  <si>
    <t>P12532_CKMT1A</t>
  </si>
  <si>
    <t>P12814-2_ACTN1</t>
  </si>
  <si>
    <t>P12882_MYH1</t>
  </si>
  <si>
    <t>P12931_SRC</t>
  </si>
  <si>
    <t>P12955-3_PEPD</t>
  </si>
  <si>
    <t>P12956_XRCC6</t>
  </si>
  <si>
    <t>P13010_XRCC5</t>
  </si>
  <si>
    <t>P13051_UNG</t>
  </si>
  <si>
    <t>P13056_NR2C1</t>
  </si>
  <si>
    <t>P13073_COX4I1</t>
  </si>
  <si>
    <t>P13196_ALAS1</t>
  </si>
  <si>
    <t>P13489_RNH1</t>
  </si>
  <si>
    <t>P13498_CYBA</t>
  </si>
  <si>
    <t>P13591-1_NCAM1</t>
  </si>
  <si>
    <t>P13612_ITGA4</t>
  </si>
  <si>
    <t>P13639_EEF2</t>
  </si>
  <si>
    <t>P13667_PDIA4</t>
  </si>
  <si>
    <t>P13674-2_P4HA1</t>
  </si>
  <si>
    <t>P13693_TPT1</t>
  </si>
  <si>
    <t>P13797_PLS3</t>
  </si>
  <si>
    <t>P13804_ETFA</t>
  </si>
  <si>
    <t>P13861_PRKAR2A</t>
  </si>
  <si>
    <t>P13984_GTF2F2</t>
  </si>
  <si>
    <t>P13995_MTHFD2</t>
  </si>
  <si>
    <t>P14174_MIF</t>
  </si>
  <si>
    <t>P14209-3_CD99</t>
  </si>
  <si>
    <t>P14324-2_FDPS</t>
  </si>
  <si>
    <t>P14550_AKR1A1</t>
  </si>
  <si>
    <t>P14618_PKM</t>
  </si>
  <si>
    <t>P14618-2_PKM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</si>
  <si>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</si>
  <si>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</si>
  <si>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</si>
  <si>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</si>
  <si>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</si>
  <si>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</si>
  <si>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</si>
  <si>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</si>
  <si>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P14923_JUP</t>
  </si>
  <si>
    <t>P14927_UQCRB</t>
  </si>
  <si>
    <t>P15104_GLUL</t>
  </si>
  <si>
    <t>P15121_AKR1B1</t>
  </si>
  <si>
    <t>P15151-3_PVR</t>
  </si>
  <si>
    <t>P15170-2_GSPT1</t>
  </si>
  <si>
    <t>P15289_ARSA</t>
  </si>
  <si>
    <t>P15311_EZR</t>
  </si>
  <si>
    <t>P15374_UCHL3</t>
  </si>
  <si>
    <t>P15529-16_CD46</t>
  </si>
  <si>
    <t>P15531_NME1</t>
  </si>
  <si>
    <t>P15848_ARSB</t>
  </si>
  <si>
    <t>P15882_CHN1</t>
  </si>
  <si>
    <t>P15923_TCF3</t>
  </si>
  <si>
    <t>P15923-2_TCF3</t>
  </si>
  <si>
    <t>P15924_DSP</t>
  </si>
  <si>
    <t>P15927_RPA2</t>
  </si>
  <si>
    <t>P16035_TIMP2</t>
  </si>
  <si>
    <t>P16152_CBR1</t>
  </si>
  <si>
    <t>P16298_PPP3CB</t>
  </si>
  <si>
    <t>P16333_NCK1</t>
  </si>
  <si>
    <t>P16383_GCFC2</t>
  </si>
  <si>
    <t>P16403_HIST1H1C</t>
  </si>
  <si>
    <t>P16435_POR</t>
  </si>
  <si>
    <t>P16591-3_FER</t>
  </si>
  <si>
    <t>P16615_ATP2A2</t>
  </si>
  <si>
    <t>P16885_PLCG2</t>
  </si>
  <si>
    <t>P16930_FAH</t>
  </si>
  <si>
    <t>P16949_STMN1</t>
  </si>
  <si>
    <t>P16989_YBX3</t>
  </si>
  <si>
    <t>P16989-2_YBX3</t>
  </si>
  <si>
    <t>P17028_ZNF24</t>
  </si>
  <si>
    <t>P17050_NAGA</t>
  </si>
  <si>
    <t>P17066_HSPA6</t>
  </si>
  <si>
    <t>P17096-2_HMGA1</t>
  </si>
  <si>
    <t>P17152_TMEM11</t>
  </si>
  <si>
    <t>P17174_GOT1</t>
  </si>
  <si>
    <t>P17252_PRKCA</t>
  </si>
  <si>
    <t>P17482_HOXB9</t>
  </si>
  <si>
    <t>P17509_HOXB6</t>
  </si>
  <si>
    <t>P17568_NDUFB7</t>
  </si>
  <si>
    <t>P17612_PRKACA</t>
  </si>
  <si>
    <t>P17655_CAPN2</t>
  </si>
  <si>
    <t>P17677_GAP43</t>
  </si>
  <si>
    <t>P17706-2_PTPN2</t>
  </si>
  <si>
    <t>P17812_CTPS1</t>
  </si>
  <si>
    <t>P17858_PFKL</t>
  </si>
  <si>
    <t>P17987_TCP1</t>
  </si>
  <si>
    <t>P18031_PTPN1</t>
  </si>
  <si>
    <t>P18084_ITGB5</t>
  </si>
  <si>
    <t>P18124_RPL7</t>
  </si>
  <si>
    <t>P18206-2_VCL</t>
  </si>
  <si>
    <t>P18583-6_SON</t>
  </si>
  <si>
    <t>P18615_NELFE</t>
  </si>
  <si>
    <t>P18669_PGAM1</t>
  </si>
  <si>
    <t>P18754_RCC1</t>
  </si>
  <si>
    <t>P18846_ATF1</t>
  </si>
  <si>
    <t>P18858_LIG1</t>
  </si>
  <si>
    <t>P18859_ATP5J</t>
  </si>
  <si>
    <t>P19022_CDH2</t>
  </si>
  <si>
    <t>P19174-2_PLCG1</t>
  </si>
  <si>
    <t>P19338_NCL</t>
  </si>
  <si>
    <t>P19387_POLR2C</t>
  </si>
  <si>
    <t>P19388_POLR2E</t>
  </si>
  <si>
    <t>P19525-2_EIF2AK2</t>
  </si>
  <si>
    <t>P19623_SRM</t>
  </si>
  <si>
    <t>P19784_CSNK2A2</t>
  </si>
  <si>
    <t>P19838_NFKB1</t>
  </si>
  <si>
    <t>P20020-6_ATP2B1</t>
  </si>
  <si>
    <t>P20042_EIF2S2</t>
  </si>
  <si>
    <t>P20248_CCNA2</t>
  </si>
  <si>
    <t>P20290_BTF3</t>
  </si>
  <si>
    <t>P20290-2_BTF3</t>
  </si>
  <si>
    <t>P20336_RAB3A</t>
  </si>
  <si>
    <t>P20338_RAB4A</t>
  </si>
  <si>
    <t>P20340_RAB6A</t>
  </si>
  <si>
    <t>P20585_MSH3</t>
  </si>
  <si>
    <t>P20618_PSMB1</t>
  </si>
  <si>
    <t>P20645_M6PR</t>
  </si>
  <si>
    <t>P20674_COX5A</t>
  </si>
  <si>
    <t>P20700_LMNB1</t>
  </si>
  <si>
    <t>P20810-5_CAST</t>
  </si>
  <si>
    <t>P20962_PTMS</t>
  </si>
  <si>
    <t>P21266_GSTM3</t>
  </si>
  <si>
    <t>P21281_ATP6V1B2</t>
  </si>
  <si>
    <t>P21283_ATP6V1C1</t>
  </si>
  <si>
    <t>P21399_ACO1</t>
  </si>
  <si>
    <t>P21580_TNFAIP3</t>
  </si>
  <si>
    <t>P21796_VDAC1</t>
  </si>
  <si>
    <t>P21912_SDHB</t>
  </si>
  <si>
    <t>P21964-2_COMT</t>
  </si>
  <si>
    <t>P22033_MUT</t>
  </si>
  <si>
    <t>P22059_OSBP</t>
  </si>
  <si>
    <t>P22102_GART</t>
  </si>
  <si>
    <t>P22234_PAICS</t>
  </si>
  <si>
    <t>P22307-7_SCP2</t>
  </si>
  <si>
    <t>P22314_UBA1</t>
  </si>
  <si>
    <t>P22413_ENPP1</t>
  </si>
  <si>
    <t>P22466_GAL</t>
  </si>
  <si>
    <t>P22570_FDXR</t>
  </si>
  <si>
    <t>P22626_HNRNPA2B1</t>
  </si>
  <si>
    <t>P22670_RFX1</t>
  </si>
  <si>
    <t>P22681_CBL</t>
  </si>
  <si>
    <t>P22695_UQCRC2</t>
  </si>
  <si>
    <t>P22830_FECH</t>
  </si>
  <si>
    <t>P23025_XPA</t>
  </si>
  <si>
    <t>P23193_TCEA1</t>
  </si>
  <si>
    <t>P23246_SFPQ</t>
  </si>
  <si>
    <t>P23284_PPIB</t>
  </si>
  <si>
    <t>P23368_ME2</t>
  </si>
  <si>
    <t>P23378_GLDC</t>
  </si>
  <si>
    <t>P23381_WARS</t>
  </si>
  <si>
    <t>P23396_RPS3</t>
  </si>
  <si>
    <t>P23434_GCSH</t>
  </si>
  <si>
    <t>P23470-2_PTPRG</t>
  </si>
  <si>
    <t>P23497_SP100</t>
  </si>
  <si>
    <t>P23508_MCC</t>
  </si>
  <si>
    <t>P23511-2_NFYA</t>
  </si>
  <si>
    <t>P23526_AHCY</t>
  </si>
  <si>
    <t>P23527_HIST1H2BO</t>
  </si>
  <si>
    <t>P23528_CFL1</t>
  </si>
  <si>
    <t>P23588_EIF4B</t>
  </si>
  <si>
    <t>P23634-6_ATP2B4</t>
  </si>
  <si>
    <t>P23786_CPT2</t>
  </si>
  <si>
    <t>P23919_DTYMK</t>
  </si>
  <si>
    <t>P23921_RRM1</t>
  </si>
  <si>
    <t>P24534_EEF1B2</t>
  </si>
  <si>
    <t>P24666_ACP1</t>
  </si>
  <si>
    <t>P24752_ACAT1</t>
  </si>
  <si>
    <t>P24928_POLR2A</t>
  </si>
  <si>
    <t>P25054-2_APC</t>
  </si>
  <si>
    <t>P25098_ADRBK1</t>
  </si>
  <si>
    <t>P25205_MCM3</t>
  </si>
  <si>
    <t>P25398_RPS12</t>
  </si>
  <si>
    <t>P25445-6_FAS</t>
  </si>
  <si>
    <t>P25490_YY1</t>
  </si>
  <si>
    <t>P25685_DNAJB1</t>
  </si>
  <si>
    <t>P25705_ATP5A1</t>
  </si>
  <si>
    <t>P25786_PSMA1</t>
  </si>
  <si>
    <t>P25787_PSMA2</t>
  </si>
  <si>
    <t>P25788-2_PSMA3</t>
  </si>
  <si>
    <t>P25789_PSMA4</t>
  </si>
  <si>
    <t>P25815_S100P</t>
  </si>
  <si>
    <t>P26006_ITGA3</t>
  </si>
  <si>
    <t>P26038_MSN</t>
  </si>
  <si>
    <t>P26196_DDX6</t>
  </si>
  <si>
    <t>P26358_DNMT1</t>
  </si>
  <si>
    <t>P26368-2_U2AF2</t>
  </si>
  <si>
    <t>P26373_RPL13</t>
  </si>
  <si>
    <t>P26374_CHML</t>
  </si>
  <si>
    <t>P26440_IVD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</si>
  <si>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</si>
  <si>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</si>
  <si>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</si>
  <si>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</si>
  <si>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</si>
  <si>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</si>
  <si>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</si>
  <si>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P27348_YWHAQ</t>
  </si>
  <si>
    <t>P27361_MAPK3</t>
  </si>
  <si>
    <t>P27540-3_ARNT</t>
  </si>
  <si>
    <t>P27635_RPL10</t>
  </si>
  <si>
    <t>P27694_RPA1</t>
  </si>
  <si>
    <t>P27797_CALR</t>
  </si>
  <si>
    <t>P27824_CANX</t>
  </si>
  <si>
    <t>P28066_PSMA5</t>
  </si>
  <si>
    <t>P28070_PSMB4</t>
  </si>
  <si>
    <t>P28072_PSMB6</t>
  </si>
  <si>
    <t>P28074_PSMB5</t>
  </si>
  <si>
    <t>P28289_TMOD1</t>
  </si>
  <si>
    <t>P28331-4_NDUFS1</t>
  </si>
  <si>
    <t>P28482_MAPK1</t>
  </si>
  <si>
    <t>P28715_ERCC5</t>
  </si>
  <si>
    <t>P28799_GRN</t>
  </si>
  <si>
    <t>P28838-2_LAP3</t>
  </si>
  <si>
    <t>P29084_GTF2E2</t>
  </si>
  <si>
    <t>P29218_IMPA1</t>
  </si>
  <si>
    <t>P29317_EPHA2</t>
  </si>
  <si>
    <t>P29353-7_SHC1</t>
  </si>
  <si>
    <t>P29372-5_MPG</t>
  </si>
  <si>
    <t>P29373_CRABP2</t>
  </si>
  <si>
    <t>P29401_TKT</t>
  </si>
  <si>
    <t>P29590_PML</t>
  </si>
  <si>
    <t>P29966_MARCKS</t>
  </si>
  <si>
    <t>P29992_GNA11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</si>
  <si>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</si>
  <si>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</si>
  <si>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</si>
  <si>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</si>
  <si>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</si>
  <si>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</si>
  <si>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</si>
  <si>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</si>
  <si>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</si>
  <si>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</si>
  <si>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</si>
  <si>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</si>
  <si>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</si>
  <si>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</si>
  <si>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P30291_WEE1</t>
  </si>
  <si>
    <t>P30307-2_CDC25C</t>
  </si>
  <si>
    <t>P30405_PPIF</t>
  </si>
  <si>
    <t>P30419_NMT1</t>
  </si>
  <si>
    <t>P30519_HMOX2</t>
  </si>
  <si>
    <t>P30520_ADSS</t>
  </si>
  <si>
    <t>P30533_LRPAP1</t>
  </si>
  <si>
    <t>P30566_ADSL</t>
  </si>
  <si>
    <t>P30613-2_PKLR</t>
  </si>
  <si>
    <t>P30622-1_CLIP1</t>
  </si>
  <si>
    <t>P30740_SERPINB1</t>
  </si>
  <si>
    <t>P30825_SLC7A1</t>
  </si>
  <si>
    <t>P30837_ALDH1B1</t>
  </si>
  <si>
    <t>P31040_SDHA</t>
  </si>
  <si>
    <t>P31146_CORO1A</t>
  </si>
  <si>
    <t>P31150_GDI1</t>
  </si>
  <si>
    <t>P31153_MAT2A</t>
  </si>
  <si>
    <t>P31323_PRKAR2B</t>
  </si>
  <si>
    <t>P31327_CPS1</t>
  </si>
  <si>
    <t>P31350_RRM2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</si>
  <si>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</si>
  <si>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</si>
  <si>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</si>
  <si>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</si>
  <si>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</si>
  <si>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</si>
  <si>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</si>
  <si>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P31946_YWHAB</t>
  </si>
  <si>
    <t>P31947-2_SFN</t>
  </si>
  <si>
    <t>P31948_STIP1</t>
  </si>
  <si>
    <t>P31949_S100A11</t>
  </si>
  <si>
    <t>P32019-3_INPP5B</t>
  </si>
  <si>
    <t>P32119_PRDX2</t>
  </si>
  <si>
    <t>P32121-5_ARRB2</t>
  </si>
  <si>
    <t>P32321-2_DCTD</t>
  </si>
  <si>
    <t>P32519-2_ELF1</t>
  </si>
  <si>
    <t>P32929_CTH</t>
  </si>
  <si>
    <t>P33121-2_ACSL1</t>
  </si>
  <si>
    <t>P33176_KIF5B</t>
  </si>
  <si>
    <t>P33240-2_CSTF2</t>
  </si>
  <si>
    <t>P33316_DUT</t>
  </si>
  <si>
    <t>P33316-2_DUT</t>
  </si>
  <si>
    <t>P33527-7_ABCC1</t>
  </si>
  <si>
    <t>P33552_CKS2</t>
  </si>
  <si>
    <t>P33908_MAN1A1</t>
  </si>
  <si>
    <t>P33981-2_TTK</t>
  </si>
  <si>
    <t>P33991_MCM4</t>
  </si>
  <si>
    <t>P33992_MCM5</t>
  </si>
  <si>
    <t>P33993_MCM7</t>
  </si>
  <si>
    <t>P34896-2_SHMT1</t>
  </si>
  <si>
    <t>P34897-3_SHMT2</t>
  </si>
  <si>
    <t>P34931_HSPA1L</t>
  </si>
  <si>
    <t>P34932_HSPA4</t>
  </si>
  <si>
    <t>P34949_MPI</t>
  </si>
  <si>
    <t>P35219_CA8</t>
  </si>
  <si>
    <t>P35221_CTNNA1</t>
  </si>
  <si>
    <t>P35232_PHB</t>
  </si>
  <si>
    <t>P35237_SERPINB6</t>
  </si>
  <si>
    <t>P35240-5_NF2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</si>
  <si>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</si>
  <si>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</si>
  <si>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</si>
  <si>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</si>
  <si>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</si>
  <si>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</si>
  <si>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</si>
  <si>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</si>
  <si>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P35520_CBS</t>
  </si>
  <si>
    <t>P35573_AGL</t>
  </si>
  <si>
    <t>P35579_MYH9</t>
  </si>
  <si>
    <t>P35580_MYH10</t>
  </si>
  <si>
    <t>P35606_COPB2</t>
  </si>
  <si>
    <t>P35611-2_ADD1</t>
  </si>
  <si>
    <t>P35612_ADD2</t>
  </si>
  <si>
    <t>P35613-2_BSG</t>
  </si>
  <si>
    <t>P35637-2_FUS</t>
  </si>
  <si>
    <t>P35658-2_NUP214</t>
  </si>
  <si>
    <t>P35659_DEK</t>
  </si>
  <si>
    <t>P35754_GLRX</t>
  </si>
  <si>
    <t>P35790-2_CHKA</t>
  </si>
  <si>
    <t>P35813_PPM1A</t>
  </si>
  <si>
    <t>P35998_PSMC2</t>
  </si>
  <si>
    <t>P36404_ARL2</t>
  </si>
  <si>
    <t>P36405_ARL3</t>
  </si>
  <si>
    <t>P36406-3_TRIM23</t>
  </si>
  <si>
    <t>P36507_MAP2K2</t>
  </si>
  <si>
    <t>P36542_ATP5C1</t>
  </si>
  <si>
    <t>P36543_ATP6V1E1</t>
  </si>
  <si>
    <t>P36551_CPOX</t>
  </si>
  <si>
    <t>P36578_RPL4</t>
  </si>
  <si>
    <t>P36639-4_NUDT1</t>
  </si>
  <si>
    <t>P36871_PGM1</t>
  </si>
  <si>
    <t>P36915_GNL1</t>
  </si>
  <si>
    <t>P36954_POLR2I</t>
  </si>
  <si>
    <t>P36957_DLST</t>
  </si>
  <si>
    <t>P36969-2_GPX4</t>
  </si>
  <si>
    <t>P37108_SRP14</t>
  </si>
  <si>
    <t>P37268_FDFT1</t>
  </si>
  <si>
    <t>P37287-3_PIGA</t>
  </si>
  <si>
    <t>P37802_TAGLN2</t>
  </si>
  <si>
    <t>P37837_TALDO1</t>
  </si>
  <si>
    <t>P38117_ETFB</t>
  </si>
  <si>
    <t>P38432_COIL</t>
  </si>
  <si>
    <t>P38435_GGCX</t>
  </si>
  <si>
    <t>P38606_ATP6V1A</t>
  </si>
  <si>
    <t>P38646_HSPA9</t>
  </si>
  <si>
    <t>P38919_EIF4A3</t>
  </si>
  <si>
    <t>P39019_RPS19</t>
  </si>
  <si>
    <t>P39656_DDOST</t>
  </si>
  <si>
    <t>P39687_ANP32A</t>
  </si>
  <si>
    <t>P39748_FEN1</t>
  </si>
  <si>
    <t>P39880-3_CUX1</t>
  </si>
  <si>
    <t>P40121-2_CAPG</t>
  </si>
  <si>
    <t>P40189-3_IL6ST</t>
  </si>
  <si>
    <t>P40222_TXLNA</t>
  </si>
  <si>
    <t>P40227_CCT6A</t>
  </si>
  <si>
    <t>P40337-3_VHL</t>
  </si>
  <si>
    <t>P40763_STAT3</t>
  </si>
  <si>
    <t>P40818_USP8</t>
  </si>
  <si>
    <t>P40925_MDH1</t>
  </si>
  <si>
    <t>P40926_MDH2</t>
  </si>
  <si>
    <t>P40937_RFC5</t>
  </si>
  <si>
    <t>P40938-2_RFC3</t>
  </si>
  <si>
    <t>P40939_HADHA</t>
  </si>
  <si>
    <t>P41091_EIF2S3</t>
  </si>
  <si>
    <t>P41208_CETN2</t>
  </si>
  <si>
    <t>P41219_PRPH</t>
  </si>
  <si>
    <t>P41223_BUD31</t>
  </si>
  <si>
    <t>P41227-2_NAA10</t>
  </si>
  <si>
    <t>P41229-2_KDM5C</t>
  </si>
  <si>
    <t>P41236_PPP1R2</t>
  </si>
  <si>
    <t>P41240_CSK</t>
  </si>
  <si>
    <t>P41250_GARS</t>
  </si>
  <si>
    <t>P41440_SLC19A1</t>
  </si>
  <si>
    <t>P41567_EIF1</t>
  </si>
  <si>
    <t>P41743_PRKCI</t>
  </si>
  <si>
    <t>P42025_ACTR1B</t>
  </si>
  <si>
    <t>P42126-2_ECI1</t>
  </si>
  <si>
    <t>P42166_TMPO</t>
  </si>
  <si>
    <t>P42167_TMPO</t>
  </si>
  <si>
    <t>P42167-2_TMPO</t>
  </si>
  <si>
    <t>P42224_STAT1</t>
  </si>
  <si>
    <t>P42226_STAT6</t>
  </si>
  <si>
    <t>P42285_SKIV2L2</t>
  </si>
  <si>
    <t>P42330_AKR1C3</t>
  </si>
  <si>
    <t>P42345_MTOR</t>
  </si>
  <si>
    <t>P42574_CASP3</t>
  </si>
  <si>
    <t>P42575_CASP2</t>
  </si>
  <si>
    <t>P42677_RPS27</t>
  </si>
  <si>
    <t>P42684-6_ABL2</t>
  </si>
  <si>
    <t>P42702_LIFR</t>
  </si>
  <si>
    <t>P42704_LRPPRC</t>
  </si>
  <si>
    <t>P42765_ACAA2</t>
  </si>
  <si>
    <t>P42771_CDKN2A</t>
  </si>
  <si>
    <t>P42773_CDKN2C</t>
  </si>
  <si>
    <t>P42785_PRCP</t>
  </si>
  <si>
    <t>P43003-2_SLC1A3</t>
  </si>
  <si>
    <t>P43007_SLC1A4</t>
  </si>
  <si>
    <t>P43034_PAFAH1B1</t>
  </si>
  <si>
    <t>P43121_MCAM</t>
  </si>
  <si>
    <t>P43155-2_CRAT</t>
  </si>
  <si>
    <t>P43246_MSH2</t>
  </si>
  <si>
    <t>P43250-2_GRK6</t>
  </si>
  <si>
    <t>P43304_GPD2</t>
  </si>
  <si>
    <t>P43378_PTPN9</t>
  </si>
  <si>
    <t>P43405-2_SYK</t>
  </si>
  <si>
    <t>P43487_RANBP1</t>
  </si>
  <si>
    <t>P43490_NAMPT</t>
  </si>
  <si>
    <t>P43686_PSMC4</t>
  </si>
  <si>
    <t>P43897_TSFM</t>
  </si>
  <si>
    <t>P45880_VDAC2</t>
  </si>
  <si>
    <t>P45880-2_VDAC2</t>
  </si>
  <si>
    <t>P45954_ACADSB</t>
  </si>
  <si>
    <t>P45973_CBX5</t>
  </si>
  <si>
    <t>P45974-2_USP5</t>
  </si>
  <si>
    <t>P45983-3_MAPK8</t>
  </si>
  <si>
    <t>P45984-3_MAPK9</t>
  </si>
  <si>
    <t>P45985_MAP2K4</t>
  </si>
  <si>
    <t>P46013_MKI67</t>
  </si>
  <si>
    <t>P46013-2_MKI67</t>
  </si>
  <si>
    <t>P46019_PHKA2</t>
  </si>
  <si>
    <t>P46060_RANGAP1</t>
  </si>
  <si>
    <t>P46063_RECQL</t>
  </si>
  <si>
    <t>P46087-2_NOP2</t>
  </si>
  <si>
    <t>P46108_CRK</t>
  </si>
  <si>
    <t>P46109_CRKL</t>
  </si>
  <si>
    <t>P46199_MTIF2</t>
  </si>
  <si>
    <t>P46531_NOTCH1</t>
  </si>
  <si>
    <t>P46734_MAP2K3</t>
  </si>
  <si>
    <t>P46736-2_BRCC3</t>
  </si>
  <si>
    <t>P46777_RPL5</t>
  </si>
  <si>
    <t>P46778_RPL21</t>
  </si>
  <si>
    <t>P46781_RPS9</t>
  </si>
  <si>
    <t>P46783_RPS10</t>
  </si>
  <si>
    <t>P46821_MAP1B</t>
  </si>
  <si>
    <t>P46926_GNPDA1</t>
  </si>
  <si>
    <t>P46937_YAP1</t>
  </si>
  <si>
    <t>P46937-2_YAP1</t>
  </si>
  <si>
    <t>P46939_UTRN</t>
  </si>
  <si>
    <t>P46940_IQGAP1</t>
  </si>
  <si>
    <t>P46976-2_GYG1</t>
  </si>
  <si>
    <t>P46977_STT3A</t>
  </si>
  <si>
    <t>P47224_RABIF</t>
  </si>
  <si>
    <t>P47712_PLA2G4A</t>
  </si>
  <si>
    <t>P47755_CAPZA2</t>
  </si>
  <si>
    <t>P47756-2_CAPZB</t>
  </si>
  <si>
    <t>P47813_EIF1AX</t>
  </si>
  <si>
    <t>P47914_RPL29</t>
  </si>
  <si>
    <t>P47928_ID4</t>
  </si>
  <si>
    <t>P47974_ZFP36L2</t>
  </si>
  <si>
    <t>P47985_UQCRFS1</t>
  </si>
  <si>
    <t>P48029-3_SLC6A8</t>
  </si>
  <si>
    <t>P48047_ATP5O</t>
  </si>
  <si>
    <t>P48050_KCNJ4</t>
  </si>
  <si>
    <t>P48059_LIMS1</t>
  </si>
  <si>
    <t>P48147_PREP</t>
  </si>
  <si>
    <t>P48163_ME1</t>
  </si>
  <si>
    <t>P48200_IREB2</t>
  </si>
  <si>
    <t>P48444_ARCN1</t>
  </si>
  <si>
    <t>P48449-3_LSS</t>
  </si>
  <si>
    <t>P48454-2_PPP3CC</t>
  </si>
  <si>
    <t>P48506_GCLC</t>
  </si>
  <si>
    <t>P48507_GCLM</t>
  </si>
  <si>
    <t>P48634_PRRC2A</t>
  </si>
  <si>
    <t>P48637_GSS</t>
  </si>
  <si>
    <t>P48643_CCT5</t>
  </si>
  <si>
    <t>P48681_NES</t>
  </si>
  <si>
    <t>P48723_HSPA13</t>
  </si>
  <si>
    <t>P48729_CSNK1A1</t>
  </si>
  <si>
    <t>P48735_IDH2</t>
  </si>
  <si>
    <t>P48739_PITPNB</t>
  </si>
  <si>
    <t>P48745_NOV</t>
  </si>
  <si>
    <t>P48960-2_CD97</t>
  </si>
  <si>
    <t>P49006_MARCKSL1</t>
  </si>
  <si>
    <t>P49069_CAMLG</t>
  </si>
  <si>
    <t>P49137_MAPKAPK2</t>
  </si>
  <si>
    <t>P49189_ALDH9A1</t>
  </si>
  <si>
    <t>P49207_RPL34</t>
  </si>
  <si>
    <t>P49247_RPIA</t>
  </si>
  <si>
    <t>P49257_LMAN1</t>
  </si>
  <si>
    <t>P49321_NASP</t>
  </si>
  <si>
    <t>P49327_FASN</t>
  </si>
  <si>
    <t>P49354_FNTA</t>
  </si>
  <si>
    <t>P49356_FNTB</t>
  </si>
  <si>
    <t>P49366_DHPS</t>
  </si>
  <si>
    <t>P49368_CCT3</t>
  </si>
  <si>
    <t>P49411_TUFM</t>
  </si>
  <si>
    <t>P49419-2_ALDH7A1</t>
  </si>
  <si>
    <t>P49427_CDC34</t>
  </si>
  <si>
    <t>P49454_CENPF</t>
  </si>
  <si>
    <t>P49458_SRP9</t>
  </si>
  <si>
    <t>P49459_UBE2A</t>
  </si>
  <si>
    <t>P49585_PCYT1A</t>
  </si>
  <si>
    <t>P49588_AARS</t>
  </si>
  <si>
    <t>P49589-3_CARS</t>
  </si>
  <si>
    <t>P49593_PPM1F</t>
  </si>
  <si>
    <t>P49642_PRIM1</t>
  </si>
  <si>
    <t>P49643_PRIM2</t>
  </si>
  <si>
    <t>P49674_CSNK1E</t>
  </si>
  <si>
    <t>P49721_PSMB2</t>
  </si>
  <si>
    <t>P49736_MCM2</t>
  </si>
  <si>
    <t>P49748-2_ACADVL</t>
  </si>
  <si>
    <t>P49750-3_YLPM1</t>
  </si>
  <si>
    <t>P49755_TMED10</t>
  </si>
  <si>
    <t>P49756_RBM25</t>
  </si>
  <si>
    <t>P49757-4_NUMB</t>
  </si>
  <si>
    <t>P49770_EIF2B2</t>
  </si>
  <si>
    <t>P49773_HINT1</t>
  </si>
  <si>
    <t>P49790_NUP153</t>
  </si>
  <si>
    <t>P49792_RANBP2</t>
  </si>
  <si>
    <t>P49840_GSK3A</t>
  </si>
  <si>
    <t>P49841_GSK3B</t>
  </si>
  <si>
    <t>P49903_SEPHS1</t>
  </si>
  <si>
    <t>P49914_MTHFS</t>
  </si>
  <si>
    <t>P49915_GMPS</t>
  </si>
  <si>
    <t>P49916_LIG3</t>
  </si>
  <si>
    <t>P49959_MRE11A</t>
  </si>
  <si>
    <t>P50053_KHK</t>
  </si>
  <si>
    <t>P50148_GNAQ</t>
  </si>
  <si>
    <t>P50151_GNG10</t>
  </si>
  <si>
    <t>P50219_MNX1</t>
  </si>
  <si>
    <t>P50224_SULT1A3</t>
  </si>
  <si>
    <t>P50225_SULT1A1</t>
  </si>
  <si>
    <t>P50336_PPOX</t>
  </si>
  <si>
    <t>P50402_EMD</t>
  </si>
  <si>
    <t>P50416-2_CPT1A</t>
  </si>
  <si>
    <t>P50452_SERPINB8</t>
  </si>
  <si>
    <t>P50454_SERPINH1</t>
  </si>
  <si>
    <t>P50502_ST13</t>
  </si>
  <si>
    <t>P50552_VASP</t>
  </si>
  <si>
    <t>P50579_METAP2</t>
  </si>
  <si>
    <t>P50583_NUDT2</t>
  </si>
  <si>
    <t>P50747_HLCS</t>
  </si>
  <si>
    <t>P50748_KNTC1</t>
  </si>
  <si>
    <t>P50749_RASSF2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</si>
  <si>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</si>
  <si>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</si>
  <si>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</si>
  <si>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</si>
  <si>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</si>
  <si>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</si>
  <si>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</si>
  <si>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P51151_RAB9A</t>
  </si>
  <si>
    <t>P51153_RAB13</t>
  </si>
  <si>
    <t>P51157_RAB28</t>
  </si>
  <si>
    <t>P51159-2_RAB27A</t>
  </si>
  <si>
    <t>P51397_DAP</t>
  </si>
  <si>
    <t>P51398-2_DAP3</t>
  </si>
  <si>
    <t>P51452_DUSP3</t>
  </si>
  <si>
    <t>P51511_MMP15</t>
  </si>
  <si>
    <t>P51513-4_NOVA1</t>
  </si>
  <si>
    <t>P51531-2_SMARCA2</t>
  </si>
  <si>
    <t>P51553_IDH3G</t>
  </si>
  <si>
    <t>P51570_GALK1</t>
  </si>
  <si>
    <t>P51571_SSR4</t>
  </si>
  <si>
    <t>P51572_BCAP31</t>
  </si>
  <si>
    <t>P51580_TPMT</t>
  </si>
  <si>
    <t>P51659_HSD17B4</t>
  </si>
  <si>
    <t>P51665_PSMD7</t>
  </si>
  <si>
    <t>P51668_UBE2D1</t>
  </si>
  <si>
    <t>P51687_SUOX</t>
  </si>
  <si>
    <t>P51692_STAT5B</t>
  </si>
  <si>
    <t>P51790-4_CLCN3</t>
  </si>
  <si>
    <t>P51795_CLCN5</t>
  </si>
  <si>
    <t>P51798-2_CLCN7</t>
  </si>
  <si>
    <t>P51809_VAMP7</t>
  </si>
  <si>
    <t>P51812_RPS6KA3</t>
  </si>
  <si>
    <t>P51858_HDGF</t>
  </si>
  <si>
    <t>P51946_CCNH</t>
  </si>
  <si>
    <t>P51948_MNAT1</t>
  </si>
  <si>
    <t>P51970_NDUFA8</t>
  </si>
  <si>
    <t>P51991_HNRNPA3</t>
  </si>
  <si>
    <t>P52272-2_HNRNPM</t>
  </si>
  <si>
    <t>P52292_KPNA2</t>
  </si>
  <si>
    <t>P52294_KPNA1</t>
  </si>
  <si>
    <t>P52298_NCBP2</t>
  </si>
  <si>
    <t>P52306_RAP1GDS1</t>
  </si>
  <si>
    <t>P52435_POLR2J</t>
  </si>
  <si>
    <t>P52565_ARHGDIA</t>
  </si>
  <si>
    <t>P52569_SLC7A2</t>
  </si>
  <si>
    <t>P52597_HNRNPF</t>
  </si>
  <si>
    <t>P52630-4_STAT2</t>
  </si>
  <si>
    <t>P52657_GTF2A2</t>
  </si>
  <si>
    <t>P52701_MSH6</t>
  </si>
  <si>
    <t>P52732_KIF11</t>
  </si>
  <si>
    <t>P52735-3_VAV2</t>
  </si>
  <si>
    <t>P52758_HRSP12</t>
  </si>
  <si>
    <t>P52788_SMS</t>
  </si>
  <si>
    <t>P52799_EFNB2</t>
  </si>
  <si>
    <t>P52815_MRPL12</t>
  </si>
  <si>
    <t>P52888_THOP1</t>
  </si>
  <si>
    <t>P52907_CAPZA1</t>
  </si>
  <si>
    <t>P52943_CRIP2</t>
  </si>
  <si>
    <t>P53004_BLVRA</t>
  </si>
  <si>
    <t>P53007_SLC25A1</t>
  </si>
  <si>
    <t>P53350_PLK1</t>
  </si>
  <si>
    <t>P53365_ARFIP2</t>
  </si>
  <si>
    <t>P53367_ARFIP1</t>
  </si>
  <si>
    <t>P53367-2_ARFIP1</t>
  </si>
  <si>
    <t>P53384-2_NUBP1</t>
  </si>
  <si>
    <t>P53396_ACLY</t>
  </si>
  <si>
    <t>P53582_METAP1</t>
  </si>
  <si>
    <t>P53597_SUCLG1</t>
  </si>
  <si>
    <t>P53602_MVD</t>
  </si>
  <si>
    <t>P53609_PGGT1B</t>
  </si>
  <si>
    <t>P53618_COPB1</t>
  </si>
  <si>
    <t>P53621_COPA</t>
  </si>
  <si>
    <t>P53634_CTSC</t>
  </si>
  <si>
    <t>P53701_HCCS</t>
  </si>
  <si>
    <t>P53778_MAPK12</t>
  </si>
  <si>
    <t>P53794_SLC5A3</t>
  </si>
  <si>
    <t>P53803_POLR2K</t>
  </si>
  <si>
    <t>P53814-5_SMTN</t>
  </si>
  <si>
    <t>P53985_SLC16A1</t>
  </si>
  <si>
    <t>P53990-2_IST1</t>
  </si>
  <si>
    <t>P53992_SEC24C</t>
  </si>
  <si>
    <t>P53999_SUB1</t>
  </si>
  <si>
    <t>P54136_RARS</t>
  </si>
  <si>
    <t>P54259_ATN1</t>
  </si>
  <si>
    <t>P54289-4_CACNA2D1</t>
  </si>
  <si>
    <t>P54296_MYOM2</t>
  </si>
  <si>
    <t>P54577_YARS</t>
  </si>
  <si>
    <t>P54578-2_USP14</t>
  </si>
  <si>
    <t>P54619-2_PRKAG1</t>
  </si>
  <si>
    <t>P54646_PRKAA2</t>
  </si>
  <si>
    <t>P54652_HSPA2</t>
  </si>
  <si>
    <t>P54687_BCAT1</t>
  </si>
  <si>
    <t>P54707_ATP12A</t>
  </si>
  <si>
    <t>P54709_ATP1B3</t>
  </si>
  <si>
    <t>P54727_RAD23B</t>
  </si>
  <si>
    <t>P54802_NAGLU</t>
  </si>
  <si>
    <t>P54819_AK2</t>
  </si>
  <si>
    <t>P54826_GAS1</t>
  </si>
  <si>
    <t>P54886-2_ALDH18A1</t>
  </si>
  <si>
    <t>P54920_NAPA</t>
  </si>
  <si>
    <t>P55010_EIF5</t>
  </si>
  <si>
    <t>P55011-3_SLC12A2</t>
  </si>
  <si>
    <t>P55036_PSMD4</t>
  </si>
  <si>
    <t>P55039_DRG2</t>
  </si>
  <si>
    <t>P55060-3_CSE1L</t>
  </si>
  <si>
    <t>P55072_VCP</t>
  </si>
  <si>
    <t>P55081_MFAP1</t>
  </si>
  <si>
    <t>P55082-2_MFAP3</t>
  </si>
  <si>
    <t>P55145_MANF</t>
  </si>
  <si>
    <t>P55199_ELL</t>
  </si>
  <si>
    <t>P55210-4_CASP7</t>
  </si>
  <si>
    <t>P55212_CASP6</t>
  </si>
  <si>
    <t>P55263-2_ADK</t>
  </si>
  <si>
    <t>P55268_LAMB2</t>
  </si>
  <si>
    <t>P55327-2_TPD52</t>
  </si>
  <si>
    <t>P55735_SEC13</t>
  </si>
  <si>
    <t>P55795_HNRNPH2</t>
  </si>
  <si>
    <t>P55884_EIF3B</t>
  </si>
  <si>
    <t>P55957_BID</t>
  </si>
  <si>
    <t>P56181_NDUFV3</t>
  </si>
  <si>
    <t>P56181-2_NDUFV3</t>
  </si>
  <si>
    <t>P56182_RRP1</t>
  </si>
  <si>
    <t>P56192_MARS</t>
  </si>
  <si>
    <t>P56270-2_MAZ</t>
  </si>
  <si>
    <t>P56277_CMC4</t>
  </si>
  <si>
    <t>P56378_MP68</t>
  </si>
  <si>
    <t>P56385_ATP5I</t>
  </si>
  <si>
    <t>P56524_HDAC4</t>
  </si>
  <si>
    <t>P56537_EIF6</t>
  </si>
  <si>
    <t>P56589_PEX3</t>
  </si>
  <si>
    <t>P56749_CLDN12</t>
  </si>
  <si>
    <t>P56937-3_HSD17B7</t>
  </si>
  <si>
    <t>P56945-4_BCAR1</t>
  </si>
  <si>
    <t>P56962_STX17</t>
  </si>
  <si>
    <t>P57054-3_PIGP</t>
  </si>
  <si>
    <t>P57060_RWDD2B</t>
  </si>
  <si>
    <t>P57076_C21orf59</t>
  </si>
  <si>
    <t>P57081-2_WDR4</t>
  </si>
  <si>
    <t>P57088_TMEM33</t>
  </si>
  <si>
    <t>P57105_SYNJ2BP</t>
  </si>
  <si>
    <t>P57737-3_CORO7</t>
  </si>
  <si>
    <t>P57740_NUP107</t>
  </si>
  <si>
    <t>P57768-2_SNX16</t>
  </si>
  <si>
    <t>P57772_EEFSEC</t>
  </si>
  <si>
    <t>P58004_SESN2</t>
  </si>
  <si>
    <t>P58005_SESN3</t>
  </si>
  <si>
    <t>P58107_EPPK1</t>
  </si>
  <si>
    <t>P58546_MTPN</t>
  </si>
  <si>
    <t>P58557_YBEY</t>
  </si>
  <si>
    <t>P59998_ARPC4</t>
  </si>
  <si>
    <t>P60059_SEC61G</t>
  </si>
  <si>
    <t>P60174-1_TPI1</t>
  </si>
  <si>
    <t>P60228_EIF3E</t>
  </si>
  <si>
    <t>P60468_SEC61B</t>
  </si>
  <si>
    <t>P60510_PPP4C</t>
  </si>
  <si>
    <t>P60602_ROMO1</t>
  </si>
  <si>
    <t>P60604-2_UBE2G2</t>
  </si>
  <si>
    <t>P60709_ACTB</t>
  </si>
  <si>
    <t>P60763_RAC3</t>
  </si>
  <si>
    <t>P60842_EIF4A1</t>
  </si>
  <si>
    <t>P60866_RPS20</t>
  </si>
  <si>
    <t>P60891_PRPS1</t>
  </si>
  <si>
    <t>P60896_SHFM1</t>
  </si>
  <si>
    <t>P60903_S100A10</t>
  </si>
  <si>
    <t>P60953_CDC42</t>
  </si>
  <si>
    <t>P60953-1_CDC42</t>
  </si>
  <si>
    <t>P60981_DSTN</t>
  </si>
  <si>
    <t>P60983_GMFB</t>
  </si>
  <si>
    <t>P61006_RAB8A</t>
  </si>
  <si>
    <t>P61009_SPCS3</t>
  </si>
  <si>
    <t>P61011_SRP54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</si>
  <si>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</si>
  <si>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</si>
  <si>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</si>
  <si>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</si>
  <si>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</si>
  <si>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</si>
  <si>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</si>
  <si>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</si>
  <si>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</si>
  <si>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</si>
  <si>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</si>
  <si>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</si>
  <si>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</si>
  <si>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</si>
  <si>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</si>
  <si>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</si>
  <si>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P61225_RAP2B</t>
  </si>
  <si>
    <t>P61244-2_MAX</t>
  </si>
  <si>
    <t>P61254_RPL26</t>
  </si>
  <si>
    <t>P61289_PSME3</t>
  </si>
  <si>
    <t>P61326_MAGOH</t>
  </si>
  <si>
    <t>P61457_PCBD1</t>
  </si>
  <si>
    <t>P61586_RHOA</t>
  </si>
  <si>
    <t>P61587_RND3</t>
  </si>
  <si>
    <t>P61599_NAA20</t>
  </si>
  <si>
    <t>P61604_HSPE1</t>
  </si>
  <si>
    <t>P61758_VBP1</t>
  </si>
  <si>
    <t>P61764_STXBP1</t>
  </si>
  <si>
    <t>P61925_PKIA</t>
  </si>
  <si>
    <t>P61927_RPL37</t>
  </si>
  <si>
    <t>P61956_SUMO2</t>
  </si>
  <si>
    <t>P61960-2_UFM1</t>
  </si>
  <si>
    <t>P61962_DCAF7</t>
  </si>
  <si>
    <t>P61964_WDR5</t>
  </si>
  <si>
    <t>P61970_NUTF2</t>
  </si>
  <si>
    <t>P61978-2_HNRNPK</t>
  </si>
  <si>
    <t>P61981_YWHAG</t>
  </si>
  <si>
    <t>P62070_RRAS2</t>
  </si>
  <si>
    <t>P62072_TIMM10</t>
  </si>
  <si>
    <t>P62081_RPS7</t>
  </si>
  <si>
    <t>P62136_PPP1CA</t>
  </si>
  <si>
    <t>P62140_PPP1CB</t>
  </si>
  <si>
    <t>P62191_PSMC1</t>
  </si>
  <si>
    <t>P62195-2_PSMC5</t>
  </si>
  <si>
    <t>P62249_RPS16</t>
  </si>
  <si>
    <t>P62258_YWHAE</t>
  </si>
  <si>
    <t>P62263_RPS14</t>
  </si>
  <si>
    <t>P62266_RPS23</t>
  </si>
  <si>
    <t>P62269_RPS18</t>
  </si>
  <si>
    <t>P62273_RPS29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</si>
  <si>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</si>
  <si>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</si>
  <si>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</si>
  <si>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</si>
  <si>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</si>
  <si>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</si>
  <si>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</si>
  <si>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</si>
  <si>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</si>
  <si>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</si>
  <si>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</si>
  <si>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</si>
  <si>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</si>
  <si>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</si>
  <si>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</si>
  <si>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P62633-2_CNBP</t>
  </si>
  <si>
    <t>P62633-4_CNBP</t>
  </si>
  <si>
    <t>P62701_RPS4X</t>
  </si>
  <si>
    <t>P62714_PPP2CB</t>
  </si>
  <si>
    <t>P62745_RHOB</t>
  </si>
  <si>
    <t>P62750_RPL23A</t>
  </si>
  <si>
    <t>P62753_RPS6</t>
  </si>
  <si>
    <t>P62805_HIST1H4A</t>
  </si>
  <si>
    <t>P62807_HIST1H2BC</t>
  </si>
  <si>
    <t>P62820_RAB1A</t>
  </si>
  <si>
    <t>P62829_RPL23</t>
  </si>
  <si>
    <t>P62834_RAP1A</t>
  </si>
  <si>
    <t>P62837_UBE2D2</t>
  </si>
  <si>
    <t>P62851_RPS25</t>
  </si>
  <si>
    <t>P62854_RPS26</t>
  </si>
  <si>
    <t>P62857_RPS28</t>
  </si>
  <si>
    <t>P62873_GNB1</t>
  </si>
  <si>
    <t>P62879_GNB2</t>
  </si>
  <si>
    <t>P62888_RPL30</t>
  </si>
  <si>
    <t>P62899_RPL31</t>
  </si>
  <si>
    <t>P62906_RPL10A</t>
  </si>
  <si>
    <t>P62913-2_RPL11</t>
  </si>
  <si>
    <t>P62937_PPIA</t>
  </si>
  <si>
    <t>P62942_FKBP1A</t>
  </si>
  <si>
    <t>P62979_RPS27A</t>
  </si>
  <si>
    <t>P62987_UBA52</t>
  </si>
  <si>
    <t>P62993_GRB2</t>
  </si>
  <si>
    <t>P62995-3_TRA2B</t>
  </si>
  <si>
    <t>P63000_RAC1</t>
  </si>
  <si>
    <t>P63010_AP2B1</t>
  </si>
  <si>
    <t>P63092_GNAS</t>
  </si>
  <si>
    <t>P63096_GNAI1</t>
  </si>
  <si>
    <t>P63104_YWHAZ</t>
  </si>
  <si>
    <t>P63151_PPP2R2A</t>
  </si>
  <si>
    <t>P63167_DYNLL1</t>
  </si>
  <si>
    <t>P63173_RPL38</t>
  </si>
  <si>
    <t>P63218_GNG5</t>
  </si>
  <si>
    <t>P63220_RPS21</t>
  </si>
  <si>
    <t>P63241_EIF5A</t>
  </si>
  <si>
    <t>P63244_GNB2L1</t>
  </si>
  <si>
    <t>P63272_SUPT4H1</t>
  </si>
  <si>
    <t>P67775_PPP2CA</t>
  </si>
  <si>
    <t>P67809_YBX1</t>
  </si>
  <si>
    <t>P67936_TPM4</t>
  </si>
  <si>
    <t>P68032_ACTC1</t>
  </si>
  <si>
    <t>P68036_UBE2L3</t>
  </si>
  <si>
    <t>P68104_EEF1A1</t>
  </si>
  <si>
    <t>P68106_FKBP1B</t>
  </si>
  <si>
    <t>P68133_ACTA1</t>
  </si>
  <si>
    <t>P68363_TUBA1B</t>
  </si>
  <si>
    <t>P68371_TUBB4B</t>
  </si>
  <si>
    <t>P68402_PAFAH1B2</t>
  </si>
  <si>
    <t>P68871_HBB</t>
  </si>
  <si>
    <t>P69892_HBG2</t>
  </si>
  <si>
    <t>P78310_CXADR</t>
  </si>
  <si>
    <t>P78318_IGBP1</t>
  </si>
  <si>
    <t>P78330_PSPH</t>
  </si>
  <si>
    <t>P78346_RPP30</t>
  </si>
  <si>
    <t>P78347-2_GTF2I</t>
  </si>
  <si>
    <t>P78371_CCT2</t>
  </si>
  <si>
    <t>P78406_RAE1</t>
  </si>
  <si>
    <t>P78417_GSTO1</t>
  </si>
  <si>
    <t>P78527_PRKDC</t>
  </si>
  <si>
    <t>P78536_ADAM17</t>
  </si>
  <si>
    <t>P78537_BLOC1S1</t>
  </si>
  <si>
    <t>P78540_ARG2</t>
  </si>
  <si>
    <t>P80217_IFI35</t>
  </si>
  <si>
    <t>P80297_MT1X</t>
  </si>
  <si>
    <t>P80303_NUCB2</t>
  </si>
  <si>
    <t>P80723_BASP1</t>
  </si>
  <si>
    <t>P81274_GPSM2</t>
  </si>
  <si>
    <t>P82094_TMF1</t>
  </si>
  <si>
    <t>P82664_MRPS10</t>
  </si>
  <si>
    <t>P82909_MRPS36</t>
  </si>
  <si>
    <t>P82930_MRPS34</t>
  </si>
  <si>
    <t>P82932_MRPS6</t>
  </si>
  <si>
    <t>P82979_SARNP</t>
  </si>
  <si>
    <t>P83436_COG7</t>
  </si>
  <si>
    <t>P84074_HPCA</t>
  </si>
  <si>
    <t>P84077_ARF1</t>
  </si>
  <si>
    <t>P84085_ARF5</t>
  </si>
  <si>
    <t>P84090_ERH</t>
  </si>
  <si>
    <t>P84095_RHOG</t>
  </si>
  <si>
    <t>P84101_SERF2</t>
  </si>
  <si>
    <t>P84157_MXRA7</t>
  </si>
  <si>
    <t>P84157-2_MXRA7</t>
  </si>
  <si>
    <t>P84157-3_MXRA7</t>
  </si>
  <si>
    <t>P85037_FOXK1</t>
  </si>
  <si>
    <t>P86397_RPP14</t>
  </si>
  <si>
    <t>P86791_CCZ1</t>
  </si>
  <si>
    <t>P98082-3_DAB2</t>
  </si>
  <si>
    <t>P98170_XIAP</t>
  </si>
  <si>
    <t>P98172_EFNB1</t>
  </si>
  <si>
    <t>P98173-3_FAM3A</t>
  </si>
  <si>
    <t>P98175-2_RBM10</t>
  </si>
  <si>
    <t>P98179_RBM3</t>
  </si>
  <si>
    <t>Q00013-2_MPP1</t>
  </si>
  <si>
    <t>Q00059_TFAM</t>
  </si>
  <si>
    <t>Q00325-2_SLC25A3</t>
  </si>
  <si>
    <t>Q00341_HDLBP</t>
  </si>
  <si>
    <t>Q00403_GTF2B</t>
  </si>
  <si>
    <t>Q00534_CDK6</t>
  </si>
  <si>
    <t>Q00535_CDK5</t>
  </si>
  <si>
    <t>Q00536_CDK16</t>
  </si>
  <si>
    <t>Q00587-2_CDC42EP1</t>
  </si>
  <si>
    <t>Q00610-2_CLTC</t>
  </si>
  <si>
    <t>Q00653-4_NFKB2</t>
  </si>
  <si>
    <t>Q00688_FKBP3</t>
  </si>
  <si>
    <t>Q00765_REEP5</t>
  </si>
  <si>
    <t>Q00796_SORD</t>
  </si>
  <si>
    <t>Q00839-2_HNRNPU</t>
  </si>
  <si>
    <t>Q01081_U2AF1</t>
  </si>
  <si>
    <t>Q01082_SPTBN1</t>
  </si>
  <si>
    <t>Q01085-2_TIAL1</t>
  </si>
  <si>
    <t>Q01105_SET</t>
  </si>
  <si>
    <t>Q01167_FOXK2</t>
  </si>
  <si>
    <t>Q01415_GALK2</t>
  </si>
  <si>
    <t>Q01469_FABP5</t>
  </si>
  <si>
    <t>Q01518-2_CAP1</t>
  </si>
  <si>
    <t>Q01543-2_FLI1</t>
  </si>
  <si>
    <t>Q01581_HMGCS1</t>
  </si>
  <si>
    <t>Q01650_SLC7A5</t>
  </si>
  <si>
    <t>Q01658_DR1</t>
  </si>
  <si>
    <t>Q01813_PFKP</t>
  </si>
  <si>
    <t>Q01968_OCRL</t>
  </si>
  <si>
    <t>Q01970_PLCB3</t>
  </si>
  <si>
    <t>Q02078-3_MEF2A</t>
  </si>
  <si>
    <t>Q02083-2_NAAA</t>
  </si>
  <si>
    <t>Q02086-2_SP2</t>
  </si>
  <si>
    <t>Q02127_DHODH</t>
  </si>
  <si>
    <t>Q02156_PRKCE</t>
  </si>
  <si>
    <t>Q02241_KIF23</t>
  </si>
  <si>
    <t>Q02446_SP4</t>
  </si>
  <si>
    <t>Q02750_MAP2K1</t>
  </si>
  <si>
    <t>Q02763-2_TEK</t>
  </si>
  <si>
    <t>Q02790_FKBP4</t>
  </si>
  <si>
    <t>Q02809_PLOD1</t>
  </si>
  <si>
    <t>Q02818_NUCB1</t>
  </si>
  <si>
    <t>Q02833-3_RASSF7</t>
  </si>
  <si>
    <t>Q02952-3_AKAP12</t>
  </si>
  <si>
    <t>Q03154_ACY1</t>
  </si>
  <si>
    <t>Q04446_GBE1</t>
  </si>
  <si>
    <t>Q04637-3_EIF4G1</t>
  </si>
  <si>
    <t>Q04721_NOTCH2</t>
  </si>
  <si>
    <t>Q04724_TLE1</t>
  </si>
  <si>
    <t>Q04726-3_TLE3</t>
  </si>
  <si>
    <t>Q04759-2_PRKCQ</t>
  </si>
  <si>
    <t>Q04760_GLO1</t>
  </si>
  <si>
    <t>Q04828_AKR1C1</t>
  </si>
  <si>
    <t>Q04837_SSBP1</t>
  </si>
  <si>
    <t>Q04917_YWHAH</t>
  </si>
  <si>
    <t>Q04941_PLP2</t>
  </si>
  <si>
    <t>Q05048_CSTF1</t>
  </si>
  <si>
    <t>Q05086-3_UBE3A</t>
  </si>
  <si>
    <t>Q05209_PTPN12</t>
  </si>
  <si>
    <t>Q05469-2_LIPE</t>
  </si>
  <si>
    <t>Q05519-2_SRSF11</t>
  </si>
  <si>
    <t>Q05639_EEF1A2</t>
  </si>
  <si>
    <t>Q05655_PRKCD</t>
  </si>
  <si>
    <t>Q05682-4_CALD1</t>
  </si>
  <si>
    <t>Q05682-5_CALD1</t>
  </si>
  <si>
    <t>Q06124_PTPN11</t>
  </si>
  <si>
    <t>Q06203_PPAT</t>
  </si>
  <si>
    <t>Q06210-2_GFPT1</t>
  </si>
  <si>
    <t>Q06265_EXOSC9</t>
  </si>
  <si>
    <t>Q06323_PSME1</t>
  </si>
  <si>
    <t>Q06330-5_RBPJ</t>
  </si>
  <si>
    <t>Q06481_APLP2</t>
  </si>
  <si>
    <t>Q06546_GABPA</t>
  </si>
  <si>
    <t>Q06547-2_GABPB1</t>
  </si>
  <si>
    <t>Q06587_RING1</t>
  </si>
  <si>
    <t>Q06609-3_RAD51</t>
  </si>
  <si>
    <t>Q06830_PRDX1</t>
  </si>
  <si>
    <t>Q07021_C1QBP</t>
  </si>
  <si>
    <t>Q07065_CKAP4</t>
  </si>
  <si>
    <t>Q07075_ENPEP</t>
  </si>
  <si>
    <t>Q07666_KHDRBS1</t>
  </si>
  <si>
    <t>Q07812-5_BAX</t>
  </si>
  <si>
    <t>Q07820-2_MCL1</t>
  </si>
  <si>
    <t>Q07866-6_KLC1</t>
  </si>
  <si>
    <t>Q07954_LRP1</t>
  </si>
  <si>
    <t>Q07960_ARHGAP1</t>
  </si>
  <si>
    <t>Q08170_SRSF4</t>
  </si>
  <si>
    <t>Q08209-2_PPP3CA</t>
  </si>
  <si>
    <t>Q08211_DHX9</t>
  </si>
  <si>
    <t>Q08257_CRYZ</t>
  </si>
  <si>
    <t>Q08289-6_CACNB2</t>
  </si>
  <si>
    <t>Q08357_SLC20A2</t>
  </si>
  <si>
    <t>Q08378-2_GOLGA3</t>
  </si>
  <si>
    <t>Q08379_GOLGA2</t>
  </si>
  <si>
    <t>Q08426_EHHADH</t>
  </si>
  <si>
    <t>Q08722-2_CD47</t>
  </si>
  <si>
    <t>Q08752_PPID</t>
  </si>
  <si>
    <t>Q08945_SSRP1</t>
  </si>
  <si>
    <t>Q08AD1-2_CAMSAP2</t>
  </si>
  <si>
    <t>Q08AG7_MZT1</t>
  </si>
  <si>
    <t>Q08AM6_VAC14</t>
  </si>
  <si>
    <t>Q08E86_KIAA0100</t>
  </si>
  <si>
    <t>Q08J23_NSUN2</t>
  </si>
  <si>
    <t>Q09028-3_RBBP4</t>
  </si>
  <si>
    <t>Q09161_NCBP1</t>
  </si>
  <si>
    <t>Q09472_EP300</t>
  </si>
  <si>
    <t>Q09666_AHNAK</t>
  </si>
  <si>
    <t>Q0VDF9_HSPA14</t>
  </si>
  <si>
    <t>Q0VDG4_SCRN3</t>
  </si>
  <si>
    <t>Q10469_MGAT2</t>
  </si>
  <si>
    <t>Q10567-2_AP1B1</t>
  </si>
  <si>
    <t>Q10713_PMPCA</t>
  </si>
  <si>
    <t>Q12765_SCRN1</t>
  </si>
  <si>
    <t>Q12769_NUP160</t>
  </si>
  <si>
    <t>Q12788_TBL3</t>
  </si>
  <si>
    <t>Q12792_TWF1</t>
  </si>
  <si>
    <t>Q12797-10_ASPH</t>
  </si>
  <si>
    <t>Q12834_CDC20</t>
  </si>
  <si>
    <t>Q12841_FSTL1</t>
  </si>
  <si>
    <t>Q12846_STX4</t>
  </si>
  <si>
    <t>Q12849_GRSF1</t>
  </si>
  <si>
    <t>Q12872_SFSWAP</t>
  </si>
  <si>
    <t>Q12874_SF3A3</t>
  </si>
  <si>
    <t>Q12888_TP53BP1</t>
  </si>
  <si>
    <t>Q12893_TMEM115</t>
  </si>
  <si>
    <t>Q12904_AIMP1</t>
  </si>
  <si>
    <t>Q12905_ILF2</t>
  </si>
  <si>
    <t>Q12906_ILF3</t>
  </si>
  <si>
    <t>Q12907_LMAN2</t>
  </si>
  <si>
    <t>Q12929_EPS8</t>
  </si>
  <si>
    <t>Q12933-3_TRAF2</t>
  </si>
  <si>
    <t>Q12948_FOXC1</t>
  </si>
  <si>
    <t>Q12955-6_ANK3</t>
  </si>
  <si>
    <t>Q12959-5_DLG1</t>
  </si>
  <si>
    <t>Q12962_TAF10</t>
  </si>
  <si>
    <t>Q12965_MYO1E</t>
  </si>
  <si>
    <t>Q12972_PPP1R8</t>
  </si>
  <si>
    <t>Q12972-2_PPP1R8</t>
  </si>
  <si>
    <t>Q12981_BNIP1</t>
  </si>
  <si>
    <t>Q12996_CSTF3</t>
  </si>
  <si>
    <t>Q13011_ECH1</t>
  </si>
  <si>
    <t>Q13015_MLLT11</t>
  </si>
  <si>
    <t>Q13017-2_ARHGAP5</t>
  </si>
  <si>
    <t>Q13033-2_STRN3</t>
  </si>
  <si>
    <t>Q13043_STK4</t>
  </si>
  <si>
    <t>Q13045-2_FLII</t>
  </si>
  <si>
    <t>Q13049_TRIM32</t>
  </si>
  <si>
    <t>Q13057_COASY</t>
  </si>
  <si>
    <t>Q13098_GPS1</t>
  </si>
  <si>
    <t>Q13111-2_CHAF1A</t>
  </si>
  <si>
    <t>Q13112_CHAF1B</t>
  </si>
  <si>
    <t>Q13115-2_DUSP4</t>
  </si>
  <si>
    <t>Q13123_IK</t>
  </si>
  <si>
    <t>Q13126_MTAP</t>
  </si>
  <si>
    <t>Q13131_PRKAA1</t>
  </si>
  <si>
    <t>Q13136-2_PPFIA1</t>
  </si>
  <si>
    <t>Q13137-4_CALCOCO2</t>
  </si>
  <si>
    <t>Q13148_TARDBP</t>
  </si>
  <si>
    <t>Q13151_HNRNPA0</t>
  </si>
  <si>
    <t>Q13153_PAK1</t>
  </si>
  <si>
    <t>Q13158_FADD</t>
  </si>
  <si>
    <t>Q13162_PRDX4</t>
  </si>
  <si>
    <t>Q13164-2_MAPK7</t>
  </si>
  <si>
    <t>Q13177_PAK2</t>
  </si>
  <si>
    <t>Q13185_CBX3</t>
  </si>
  <si>
    <t>Q13188_STK3</t>
  </si>
  <si>
    <t>Q13200_PSMD2</t>
  </si>
  <si>
    <t>Q13206_DDX10</t>
  </si>
  <si>
    <t>Q13217_DNAJC3</t>
  </si>
  <si>
    <t>Q13228-2_SELENBP1</t>
  </si>
  <si>
    <t>Q13232_NME3</t>
  </si>
  <si>
    <t>Q13243-3_SRSF5</t>
  </si>
  <si>
    <t>Q13247-3_SRSF6</t>
  </si>
  <si>
    <t>Q13257_MAD2L1</t>
  </si>
  <si>
    <t>Q13263_TRIM28</t>
  </si>
  <si>
    <t>Q13277-2_STX3</t>
  </si>
  <si>
    <t>Q13283_G3BP1</t>
  </si>
  <si>
    <t>Q13308_PTK7</t>
  </si>
  <si>
    <t>Q13309_SKP2</t>
  </si>
  <si>
    <t>Q13310-3_PABPC4</t>
  </si>
  <si>
    <t>Q13322-2_GRB10</t>
  </si>
  <si>
    <t>Q13325_IFIT5</t>
  </si>
  <si>
    <t>Q13347_EIF3I</t>
  </si>
  <si>
    <t>Q13356_PPIL2</t>
  </si>
  <si>
    <t>Q13362-4_PPP2R5C</t>
  </si>
  <si>
    <t>Q13363_CTBP1</t>
  </si>
  <si>
    <t>Q13371_PDCL</t>
  </si>
  <si>
    <t>Q13395_TARBP1</t>
  </si>
  <si>
    <t>Q13405_MRPL49</t>
  </si>
  <si>
    <t>Q13409-6_DYNC1I2</t>
  </si>
  <si>
    <t>Q13416_ORC2</t>
  </si>
  <si>
    <t>Q13418_ILK</t>
  </si>
  <si>
    <t>Q13423_NNT</t>
  </si>
  <si>
    <t>Q13424_SNTA1</t>
  </si>
  <si>
    <t>Q13425_SNTB2</t>
  </si>
  <si>
    <t>Q13426_XRCC4</t>
  </si>
  <si>
    <t>Q13432-2_UNC119</t>
  </si>
  <si>
    <t>Q13435_SF3B2</t>
  </si>
  <si>
    <t>Q13438-5_OS9</t>
  </si>
  <si>
    <t>Q13442_PDAP1</t>
  </si>
  <si>
    <t>Q13443_ADAM9</t>
  </si>
  <si>
    <t>Q13444-8_ADAM15</t>
  </si>
  <si>
    <t>Q13445_TMED1</t>
  </si>
  <si>
    <t>Q13451_FKBP5</t>
  </si>
  <si>
    <t>Q13464_ROCK1</t>
  </si>
  <si>
    <t>Q13480-2_GAB1</t>
  </si>
  <si>
    <t>Q13492-3_PICALM</t>
  </si>
  <si>
    <t>Q13503_MED21</t>
  </si>
  <si>
    <t>Q13505-3_MTX1</t>
  </si>
  <si>
    <t>Q13509_TUBB3</t>
  </si>
  <si>
    <t>Q13526_PIN1</t>
  </si>
  <si>
    <t>Q13541_EIF4EBP1</t>
  </si>
  <si>
    <t>Q13542_EIF4EBP2</t>
  </si>
  <si>
    <t>Q13546-2_RIPK1</t>
  </si>
  <si>
    <t>Q13564-2_NAE1</t>
  </si>
  <si>
    <t>Q13572_ITPK1</t>
  </si>
  <si>
    <t>Q13573_SNW1</t>
  </si>
  <si>
    <t>Q13576_IQGAP2</t>
  </si>
  <si>
    <t>Q13586_STIM1</t>
  </si>
  <si>
    <t>Q13596-2_SNX1</t>
  </si>
  <si>
    <t>Q13614_MTMR2</t>
  </si>
  <si>
    <t>Q13616_CUL1</t>
  </si>
  <si>
    <t>Q13617_CUL2</t>
  </si>
  <si>
    <t>Q13618-2_CUL3</t>
  </si>
  <si>
    <t>Q13625_TP53BP2</t>
  </si>
  <si>
    <t>Q13630_TSTA3</t>
  </si>
  <si>
    <t>Q13636_RAB31</t>
  </si>
  <si>
    <t>Q13637_RAB32</t>
  </si>
  <si>
    <t>Q13641_TPBG</t>
  </si>
  <si>
    <t>Q13642-5_FHL1</t>
  </si>
  <si>
    <t>Q13643_FHL3</t>
  </si>
  <si>
    <t>Q13686_ALKBH1</t>
  </si>
  <si>
    <t>Q13724_MOGS</t>
  </si>
  <si>
    <t>Q13740-2_ALCAM</t>
  </si>
  <si>
    <t>Q13796_SHROOM2</t>
  </si>
  <si>
    <t>Q13813-3_SPTAN1</t>
  </si>
  <si>
    <t>Q13825_AUH</t>
  </si>
  <si>
    <t>Q13884_SNTB1</t>
  </si>
  <si>
    <t>Q13885_TUBB2A</t>
  </si>
  <si>
    <t>Q13895_BYSL</t>
  </si>
  <si>
    <t>Q13907_IDI1</t>
  </si>
  <si>
    <t>Q13951-2_CBFB</t>
  </si>
  <si>
    <t>Q13952-3_NFYC</t>
  </si>
  <si>
    <t>Q14008-2_CKAP5</t>
  </si>
  <si>
    <t>Q14011_CIRBP</t>
  </si>
  <si>
    <t>Q14012_CAMK1</t>
  </si>
  <si>
    <t>Q14019_COTL1</t>
  </si>
  <si>
    <t>Q14050_COL9A3</t>
  </si>
  <si>
    <t>Q14061_COX17</t>
  </si>
  <si>
    <t>Q14103-3_HNRNPD</t>
  </si>
  <si>
    <t>Q14108_SCARB2</t>
  </si>
  <si>
    <t>Q14114-2_LRP8</t>
  </si>
  <si>
    <t>Q14118_DAG1</t>
  </si>
  <si>
    <t>Q14126_DSG2</t>
  </si>
  <si>
    <t>Q14129_DGCR6</t>
  </si>
  <si>
    <t>Q14135_VGLL4</t>
  </si>
  <si>
    <t>Q14137_BOP1</t>
  </si>
  <si>
    <t>Q14139_UBE4A</t>
  </si>
  <si>
    <t>Q14145_KEAP1</t>
  </si>
  <si>
    <t>Q14151_SAFB2</t>
  </si>
  <si>
    <t>Q14152_EIF3A</t>
  </si>
  <si>
    <t>Q14157_UBAP2L</t>
  </si>
  <si>
    <t>Q14157-1_UBAP2L</t>
  </si>
  <si>
    <t>Q14160_SCRIB</t>
  </si>
  <si>
    <t>Q14165_MLEC</t>
  </si>
  <si>
    <t>Q14166_TTLL12</t>
  </si>
  <si>
    <t>Q14181_POLA2</t>
  </si>
  <si>
    <t>Q14195-2_DPYSL3</t>
  </si>
  <si>
    <t>Q14204_DYNC1H1</t>
  </si>
  <si>
    <t>Q14232_EIF2B1</t>
  </si>
  <si>
    <t>Q14240_EIF4A2</t>
  </si>
  <si>
    <t>Q14241_TCEB3</t>
  </si>
  <si>
    <t>Q14244_MAP7</t>
  </si>
  <si>
    <t>Q14247_CTTN</t>
  </si>
  <si>
    <t>Q14249_ENDOG</t>
  </si>
  <si>
    <t>Q14257_RCN2</t>
  </si>
  <si>
    <t>Q14315-2_FLNC</t>
  </si>
  <si>
    <t>Q14318-2_FKBP8</t>
  </si>
  <si>
    <t>Q14320_FAM50A</t>
  </si>
  <si>
    <t>Q14331_FRG1</t>
  </si>
  <si>
    <t>Q14344_GNA13</t>
  </si>
  <si>
    <t>Q14353_GAMT</t>
  </si>
  <si>
    <t>Q14376_GALE</t>
  </si>
  <si>
    <t>Q14444-2_CAPRIN1</t>
  </si>
  <si>
    <t>Q14469_HES1</t>
  </si>
  <si>
    <t>Q14498-2_RBM39</t>
  </si>
  <si>
    <t>Q14520-2_HABP2</t>
  </si>
  <si>
    <t>Q14534_SQLE</t>
  </si>
  <si>
    <t>Q14554_PDIA5</t>
  </si>
  <si>
    <t>Q14566_MCM6</t>
  </si>
  <si>
    <t>Q14651_PLS1</t>
  </si>
  <si>
    <t>Q14653_IRF3</t>
  </si>
  <si>
    <t>Q14657_LAGE3</t>
  </si>
  <si>
    <t>Q14669-2_TRIP12</t>
  </si>
  <si>
    <t>Q14671_PUM1</t>
  </si>
  <si>
    <t>Q14674_ESPL1</t>
  </si>
  <si>
    <t>Q14676-3_MDC1</t>
  </si>
  <si>
    <t>Q14677_CLINT1</t>
  </si>
  <si>
    <t>Q14681_KCTD2</t>
  </si>
  <si>
    <t>Q14683_SMC1A</t>
  </si>
  <si>
    <t>Q14684-2_RRP1B</t>
  </si>
  <si>
    <t>Q14686_NCOA6</t>
  </si>
  <si>
    <t>Q14687-2_GSE1</t>
  </si>
  <si>
    <t>Q14691_GINS1</t>
  </si>
  <si>
    <t>Q14694_USP10</t>
  </si>
  <si>
    <t>Q14696_MESDC2</t>
  </si>
  <si>
    <t>Q14697_GANAB</t>
  </si>
  <si>
    <t>Q14699_RFTN1</t>
  </si>
  <si>
    <t>Q14739_LBR</t>
  </si>
  <si>
    <t>Q14789_GOLGB1</t>
  </si>
  <si>
    <t>Q14790_CASP8</t>
  </si>
  <si>
    <t>Q147X3_NAA30</t>
  </si>
  <si>
    <t>Q14814-4_MEF2D</t>
  </si>
  <si>
    <t>Q14847_LASP1</t>
  </si>
  <si>
    <t>Q14872_MTF1</t>
  </si>
  <si>
    <t>Q14964_RAB39A</t>
  </si>
  <si>
    <t>Q14966_ZNF638</t>
  </si>
  <si>
    <t>Q14974_KPNB1</t>
  </si>
  <si>
    <t>Q14978_NOLC1</t>
  </si>
  <si>
    <t>Q14980-2_NUMA1</t>
  </si>
  <si>
    <t>Q14BN4-2_SLMAP</t>
  </si>
  <si>
    <t>Q14C86-6_GAPVD1</t>
  </si>
  <si>
    <t>Q14CS0_UBXN2B</t>
  </si>
  <si>
    <t>Q14CX7-2_NAA25</t>
  </si>
  <si>
    <t>Q14CZ7_FASTKD3</t>
  </si>
  <si>
    <t>Q15004_KIAA0101</t>
  </si>
  <si>
    <t>Q15006_EMC2</t>
  </si>
  <si>
    <t>Q15007_WTAP</t>
  </si>
  <si>
    <t>Q15008_PSMD6</t>
  </si>
  <si>
    <t>Q15012_LAPTM4A</t>
  </si>
  <si>
    <t>Q15013_MAD2L1BP</t>
  </si>
  <si>
    <t>Q15018_FAM175B</t>
  </si>
  <si>
    <t>Q15019_SEPT2</t>
  </si>
  <si>
    <t>Q15021_NCAPD2</t>
  </si>
  <si>
    <t>Q15024_EXOSC7</t>
  </si>
  <si>
    <t>Q15029-2_EFTUD2</t>
  </si>
  <si>
    <t>Q15032-2_R3HDM1</t>
  </si>
  <si>
    <t>Q15036-2_SNX17</t>
  </si>
  <si>
    <t>Q15038-2_DAZAP2</t>
  </si>
  <si>
    <t>Q15043-2_SLC39A14</t>
  </si>
  <si>
    <t>Q15046_KARS</t>
  </si>
  <si>
    <t>Q15047-3_SETDB1</t>
  </si>
  <si>
    <t>Q15051_IQCB1</t>
  </si>
  <si>
    <t>Q15056_EIF4H</t>
  </si>
  <si>
    <t>Q15056-2_EIF4H</t>
  </si>
  <si>
    <t>Q15057_ACAP2</t>
  </si>
  <si>
    <t>Q15059_BRD3</t>
  </si>
  <si>
    <t>Q15061_WDR43</t>
  </si>
  <si>
    <t>Q15067-2_ACOX1</t>
  </si>
  <si>
    <t>Q15075_EEA1</t>
  </si>
  <si>
    <t>Q15102_PAFAH1B3</t>
  </si>
  <si>
    <t>Q15111_PLCL1</t>
  </si>
  <si>
    <t>Q15118_PDK1</t>
  </si>
  <si>
    <t>Q15120_PDK3</t>
  </si>
  <si>
    <t>Q15125_EBP</t>
  </si>
  <si>
    <t>Q15126_PMVK</t>
  </si>
  <si>
    <t>Q15149-4_PLEC</t>
  </si>
  <si>
    <t>Q15155_NOMO1</t>
  </si>
  <si>
    <t>Q15170-2_TCEAL1</t>
  </si>
  <si>
    <t>Q15172_PPP2R5A</t>
  </si>
  <si>
    <t>Q15173-2_PPP2R5B</t>
  </si>
  <si>
    <t>Q15181_PPA1</t>
  </si>
  <si>
    <t>Q15208_STK38</t>
  </si>
  <si>
    <t>Q15233_NONO</t>
  </si>
  <si>
    <t>Q15257_PPP2R4</t>
  </si>
  <si>
    <t>Q15276_RABEP1</t>
  </si>
  <si>
    <t>Q15286_RAB35</t>
  </si>
  <si>
    <t>Q15291_RBBP5</t>
  </si>
  <si>
    <t>Q15293_RCN1</t>
  </si>
  <si>
    <t>Q15311_RALBP1</t>
  </si>
  <si>
    <t>Q15334_LLGL1</t>
  </si>
  <si>
    <t>Q15345_LRRC41</t>
  </si>
  <si>
    <t>Q15365_PCBP1</t>
  </si>
  <si>
    <t>Q15366-3_PCBP2</t>
  </si>
  <si>
    <t>Q15375_EPHA7</t>
  </si>
  <si>
    <t>Q15382_RHEB</t>
  </si>
  <si>
    <t>Q15388_TOMM20</t>
  </si>
  <si>
    <t>Q15393_SF3B3</t>
  </si>
  <si>
    <t>Q15398-3_DLGAP5</t>
  </si>
  <si>
    <t>Q15404_RSU1</t>
  </si>
  <si>
    <t>Q15424-2_SAFB</t>
  </si>
  <si>
    <t>Q15428_SF3A2</t>
  </si>
  <si>
    <t>Q15435_PPP1R7</t>
  </si>
  <si>
    <t>Q15437_SEC23B</t>
  </si>
  <si>
    <t>Q15438-2_CYTH1</t>
  </si>
  <si>
    <t>Q15459_SF3A1</t>
  </si>
  <si>
    <t>Q15464_SHB</t>
  </si>
  <si>
    <t>Q15477_SKIV2L</t>
  </si>
  <si>
    <t>Q15506_SPA17</t>
  </si>
  <si>
    <t>Q15526-2_SURF1</t>
  </si>
  <si>
    <t>Q15527_SURF2</t>
  </si>
  <si>
    <t>Q15545_TAF7</t>
  </si>
  <si>
    <t>Q15555_MAPRE2</t>
  </si>
  <si>
    <t>Q15596_NCOA2</t>
  </si>
  <si>
    <t>Q15599-2_SLC9A3R2</t>
  </si>
  <si>
    <t>Q15633-2_TARBP2</t>
  </si>
  <si>
    <t>Q15637-5_SF1</t>
  </si>
  <si>
    <t>Q15642_TRIP10</t>
  </si>
  <si>
    <t>Q15642-2_TRIP10</t>
  </si>
  <si>
    <t>Q15643_TRIP11</t>
  </si>
  <si>
    <t>Q15645_TRIP13</t>
  </si>
  <si>
    <t>Q15649_ZNHIT3</t>
  </si>
  <si>
    <t>Q15652-2_JMJD1C</t>
  </si>
  <si>
    <t>Q15654_TRIP6</t>
  </si>
  <si>
    <t>Q15691_MAPRE1</t>
  </si>
  <si>
    <t>Q15714_TSC22D1</t>
  </si>
  <si>
    <t>Q15738_NSDHL</t>
  </si>
  <si>
    <t>Q15750_TAB1</t>
  </si>
  <si>
    <t>Q15758_SLC1A5</t>
  </si>
  <si>
    <t>Q15759_MAPK11</t>
  </si>
  <si>
    <t>Q15768_EFNB3</t>
  </si>
  <si>
    <t>Q15785_TOMM34</t>
  </si>
  <si>
    <t>Q15800-2_MSMO1</t>
  </si>
  <si>
    <t>Q15814_TBCC</t>
  </si>
  <si>
    <t>Q15818_NPTX1</t>
  </si>
  <si>
    <t>Q15819_UBE2V2</t>
  </si>
  <si>
    <t>Q15831_STK11</t>
  </si>
  <si>
    <t>Q15833-2_STXBP2</t>
  </si>
  <si>
    <t>Q15836_VAMP3</t>
  </si>
  <si>
    <t>Q15907_RAB11B</t>
  </si>
  <si>
    <t>Q15942_ZYX</t>
  </si>
  <si>
    <t>Q16134_ETFDH</t>
  </si>
  <si>
    <t>Q16143_SNCB</t>
  </si>
  <si>
    <t>Q16181_SEPT7</t>
  </si>
  <si>
    <t>Q16186_ADRM1</t>
  </si>
  <si>
    <t>Q16204_CCDC6</t>
  </si>
  <si>
    <t>Q16222-2_UAP1</t>
  </si>
  <si>
    <t>Q16254_E2F4</t>
  </si>
  <si>
    <t>Q16401-2_PSMD5</t>
  </si>
  <si>
    <t>Q16512_PKN1</t>
  </si>
  <si>
    <t>Q16513_PKN2</t>
  </si>
  <si>
    <t>Q16514-2_TAF12</t>
  </si>
  <si>
    <t>Q16531_DDB1</t>
  </si>
  <si>
    <t>Q16539_MAPK14</t>
  </si>
  <si>
    <t>Q16543_CDC37</t>
  </si>
  <si>
    <t>Q16555_DPYSL2</t>
  </si>
  <si>
    <t>Q16566_CAMK4</t>
  </si>
  <si>
    <t>Q16576_RBBP7</t>
  </si>
  <si>
    <t>Q16576-2_RBBP7</t>
  </si>
  <si>
    <t>Q16587-5_ZNF74</t>
  </si>
  <si>
    <t>Q16594_TAF9</t>
  </si>
  <si>
    <t>Q16625-4_OCLN</t>
  </si>
  <si>
    <t>Q16626_MEA1</t>
  </si>
  <si>
    <t>Q16630_CPSF6</t>
  </si>
  <si>
    <t>Q16643_DBN1</t>
  </si>
  <si>
    <t>Q16644_MAPKAPK3</t>
  </si>
  <si>
    <t>Q16658_FSCN1</t>
  </si>
  <si>
    <t>Q16718_NDUFA5</t>
  </si>
  <si>
    <t>Q16720-8_ATP2B3</t>
  </si>
  <si>
    <t>Q16740_CLPP</t>
  </si>
  <si>
    <t>Q16762_TST</t>
  </si>
  <si>
    <t>Q16763_UBE2S</t>
  </si>
  <si>
    <t>Q16799_RTN1</t>
  </si>
  <si>
    <t>Q16822_PCK2</t>
  </si>
  <si>
    <t>Q16831_UPP1</t>
  </si>
  <si>
    <t>Q16850_CYP51A1</t>
  </si>
  <si>
    <t>Q16854_DGUOK</t>
  </si>
  <si>
    <t>Q16864_ATP6V1F</t>
  </si>
  <si>
    <t>Q17R31-2_TATDN3</t>
  </si>
  <si>
    <t>Q17RS7_GEN1</t>
  </si>
  <si>
    <t>Q17RU2_REL</t>
  </si>
  <si>
    <t>Q1MSJ5-2_CSPP1</t>
  </si>
  <si>
    <t>Q27J81-2_INF2</t>
  </si>
  <si>
    <t>Q29RF7_PDS5A</t>
  </si>
  <si>
    <t>Q2KHR3_QSER1</t>
  </si>
  <si>
    <t>Q2M2I8-2_AAK1</t>
  </si>
  <si>
    <t>Q2M2Z5-5_PLK1S1</t>
  </si>
  <si>
    <t>Q2NKX8_ERCC6L</t>
  </si>
  <si>
    <t>Q2NL82_TSR1</t>
  </si>
  <si>
    <t>Q2T9J0_TYSND1</t>
  </si>
  <si>
    <t>Q2TAA5_ALG11</t>
  </si>
  <si>
    <t>Q2TAL8_QRICH1</t>
  </si>
  <si>
    <t>Q2TAM5_RELA</t>
  </si>
  <si>
    <t>Q2TAY7_SMU1</t>
  </si>
  <si>
    <t>Q2TBE0_CWF19L2</t>
  </si>
  <si>
    <t>Q2YD98_UVSSA</t>
  </si>
  <si>
    <t>Q32MZ4_LRRFIP1</t>
  </si>
  <si>
    <t>Q32MZ4-2_LRRFIP1</t>
  </si>
  <si>
    <t>Q32MZ4-3_LRRFIP1</t>
  </si>
  <si>
    <t>Q32MZ4-4_LRRFIP1</t>
  </si>
  <si>
    <t>Q32N00_POLD3</t>
  </si>
  <si>
    <t>Q32NB8_PGS1</t>
  </si>
  <si>
    <t>Q32P28_LEPRE1</t>
  </si>
  <si>
    <t>Q32P28-3_LEPRE1</t>
  </si>
  <si>
    <t>Q32P41_TRMT5</t>
  </si>
  <si>
    <t>Q32Q12_NME1-NME2</t>
  </si>
  <si>
    <t>Q3B726_TWISTNB</t>
  </si>
  <si>
    <t>Q3KQU3-2_MAP7D1</t>
  </si>
  <si>
    <t>Q3KQV9_UAP1L1</t>
  </si>
  <si>
    <t>Q3KRA6_C2orf76</t>
  </si>
  <si>
    <t>Q3KRA9_ALKBH6</t>
  </si>
  <si>
    <t>Q3LXA3_DAK</t>
  </si>
  <si>
    <t>Q3MHD2_LSM12</t>
  </si>
  <si>
    <t>Q3MII6_TBC1D25</t>
  </si>
  <si>
    <t>Q3MIT2_PUS10</t>
  </si>
  <si>
    <t>Q3SXM5_HSDL1</t>
  </si>
  <si>
    <t>Q3V6T2-2_CCDC88A</t>
  </si>
  <si>
    <t>Q3YEC7_RABL6</t>
  </si>
  <si>
    <t>Q3ZCM7_TUBB8</t>
  </si>
  <si>
    <t>Q3ZCQ8_TIMM50</t>
  </si>
  <si>
    <t>Q3ZCW2_LGALSL</t>
  </si>
  <si>
    <t>Q495W5-2_FUT11</t>
  </si>
  <si>
    <t>Q49AH0-2_CDNF</t>
  </si>
  <si>
    <t>Q49AR2_C5orf22</t>
  </si>
  <si>
    <t>Q49B96_COX19</t>
  </si>
  <si>
    <t>Q4G0A6_FAM188B</t>
  </si>
  <si>
    <t>Q4G0F5_VPS26B</t>
  </si>
  <si>
    <t>Q4G0I0_CCSMST1</t>
  </si>
  <si>
    <t>Q4G0J3_LARP7</t>
  </si>
  <si>
    <t>Q4G0N4_NADKD1</t>
  </si>
  <si>
    <t>Q4G148-2_GXYLT1</t>
  </si>
  <si>
    <t>Q4G176_ACSF3</t>
  </si>
  <si>
    <t>Q4J6C6-4_PREPL</t>
  </si>
  <si>
    <t>Q4KMP7_TBC1D10B</t>
  </si>
  <si>
    <t>Q4KMQ2-3_ANO6</t>
  </si>
  <si>
    <t>Q4LDG9_DNAL1</t>
  </si>
  <si>
    <t>Q4V328_GRIPAP1</t>
  </si>
  <si>
    <t>Q4VC05_BCL7A</t>
  </si>
  <si>
    <t>Q4ZIN3-2_TMEM259</t>
  </si>
  <si>
    <t>Q504Q3-2_PAN2</t>
  </si>
  <si>
    <t>Q504U0_C4orf46</t>
  </si>
  <si>
    <t>Q52LJ0-2_FAM98B</t>
  </si>
  <si>
    <t>Q52LW3_ARHGAP29</t>
  </si>
  <si>
    <t>Q53EL6-2_PDCD4</t>
  </si>
  <si>
    <t>Q53ET0_CRTC2</t>
  </si>
  <si>
    <t>Q53EZ4_CEP55</t>
  </si>
  <si>
    <t>Q53F19_C17orf85</t>
  </si>
  <si>
    <t>Q53GG5-2_PDLIM3</t>
  </si>
  <si>
    <t>Q53GQ0_HSD17B12</t>
  </si>
  <si>
    <t>Q53H80_AKIRIN2</t>
  </si>
  <si>
    <t>Q53H82_LACTB2</t>
  </si>
  <si>
    <t>Q53H96_PYCRL</t>
  </si>
  <si>
    <t>Q53HV7_SMUG1</t>
  </si>
  <si>
    <t>Q53S33_BOLA3</t>
  </si>
  <si>
    <t>Q53S58_TMEM177</t>
  </si>
  <si>
    <t>Q53T59_HS1BP3</t>
  </si>
  <si>
    <t>Q562R1_ACTBL2</t>
  </si>
  <si>
    <t>Q567Q0_PPIA</t>
  </si>
  <si>
    <t>Q567V2-2_MPV17L2</t>
  </si>
  <si>
    <t>Q587I9_SFT2D3</t>
  </si>
  <si>
    <t>Q58A45-4_PAN3</t>
  </si>
  <si>
    <t>Q58FF8_HSP90AB2P</t>
  </si>
  <si>
    <t>Q58WW2_DCAF6</t>
  </si>
  <si>
    <t>Q5BKX5_C19orf54</t>
  </si>
  <si>
    <t>Q5C9Z4_NOM1</t>
  </si>
  <si>
    <t>Q5EBL4_RILPL1</t>
  </si>
  <si>
    <t>Q5EBL8_PDZD11</t>
  </si>
  <si>
    <t>Q5F1R6_DNAJC21</t>
  </si>
  <si>
    <t>Q5GLZ8-3_HERC4</t>
  </si>
  <si>
    <t>Q5H937_PKIG</t>
  </si>
  <si>
    <t>Q5H9A7_TIMP1</t>
  </si>
  <si>
    <t>Q5HY54_FLNA</t>
  </si>
  <si>
    <t>Q5HY92_FIGN</t>
  </si>
  <si>
    <t>Q5HYI7_MTX3</t>
  </si>
  <si>
    <t>Q5HYI8_RABL3</t>
  </si>
  <si>
    <t>Q5HYK3_COQ5</t>
  </si>
  <si>
    <t>Q5HYK7-2_SH3D19</t>
  </si>
  <si>
    <t>Q5JP53_TUBB</t>
  </si>
  <si>
    <t>Q5JPE7-2_NOMO2</t>
  </si>
  <si>
    <t>Q5JPH6_EARS2</t>
  </si>
  <si>
    <t>Q5JR01_EEF1A1</t>
  </si>
  <si>
    <t>Q5JR08_RHOC</t>
  </si>
  <si>
    <t>Q5JR95_RPS8</t>
  </si>
  <si>
    <t>Q5JRG1_NUPL1</t>
  </si>
  <si>
    <t>Q5JRX3_PITRM1</t>
  </si>
  <si>
    <t>Q5JS54_PSMG4</t>
  </si>
  <si>
    <t>Q5JSH3-2_WDR44</t>
  </si>
  <si>
    <t>Q5JSK7_HMGN5</t>
  </si>
  <si>
    <t>Q5JSZ5_PRRC2B</t>
  </si>
  <si>
    <t>Q5JTC6-2_AMER1</t>
  </si>
  <si>
    <t>Q5JTD0-2_TJAP1</t>
  </si>
  <si>
    <t>Q5JTH9-2_RRP12</t>
  </si>
  <si>
    <t>Q5JTJ3-3_COA6</t>
  </si>
  <si>
    <t>Q5JTV1_GMEB2</t>
  </si>
  <si>
    <t>Q5JTV8_TOR1AIP1</t>
  </si>
  <si>
    <t>Q5JTZ9_AARS2</t>
  </si>
  <si>
    <t>Q5JU69_TOR2A</t>
  </si>
  <si>
    <t>Q5JUA8_VPS16</t>
  </si>
  <si>
    <t>Q5JUE6_RAPGEF1</t>
  </si>
  <si>
    <t>Q5JUW8_DLG3</t>
  </si>
  <si>
    <t>Q5JV61_FRMD3</t>
  </si>
  <si>
    <t>Q5JV73_FRMPD3</t>
  </si>
  <si>
    <t>Q5JVD1_CNTRL</t>
  </si>
  <si>
    <t>Q5JVF3-3_PCID2</t>
  </si>
  <si>
    <t>Q5JVS0_HABP4</t>
  </si>
  <si>
    <t>Q5JVZ5_ELMO2</t>
  </si>
  <si>
    <t>Q5JW30_STAU1</t>
  </si>
  <si>
    <t>Q5JWB9_TMEM230</t>
  </si>
  <si>
    <t>Q5JXC2_MIIP</t>
  </si>
  <si>
    <t>Q5JXX2_MORF4L2</t>
  </si>
  <si>
    <t>Q5JY65_CRNKL1</t>
  </si>
  <si>
    <t>Q5K4L6_SLC27A3</t>
  </si>
  <si>
    <t>Q5M775_SPECC1</t>
  </si>
  <si>
    <t>Q5MIZ7-3_SMEK2</t>
  </si>
  <si>
    <t>Q5MNZ6_WDR45B</t>
  </si>
  <si>
    <t>Q5NDL2_EOGT</t>
  </si>
  <si>
    <t>Q5QJ74_TBCEL</t>
  </si>
  <si>
    <t>Q5QNY5_PEX19</t>
  </si>
  <si>
    <t>Q5QNZ2_ATP5F1</t>
  </si>
  <si>
    <t>Q5QP82_DCAF10</t>
  </si>
  <si>
    <t>Q5QPK2_DPM1</t>
  </si>
  <si>
    <t>Q5R363_SRPK1</t>
  </si>
  <si>
    <t>Q5R372-4_RABGAP1L</t>
  </si>
  <si>
    <t>Q5RGS4_PLEKHA1</t>
  </si>
  <si>
    <t>Q5RI15_COX20</t>
  </si>
  <si>
    <t>Q5RKV6_EXOSC6</t>
  </si>
  <si>
    <t>Q5SPY9_NPDC1</t>
  </si>
  <si>
    <t>Q5SQI0-5_ATAT1</t>
  </si>
  <si>
    <t>Q5SQP8_CTBP2</t>
  </si>
  <si>
    <t>Q5SQU3_PRKG1</t>
  </si>
  <si>
    <t>Q5SRE7-2_PHYHD1</t>
  </si>
  <si>
    <t>Q5SRQ6_CSNK2B</t>
  </si>
  <si>
    <t>Q5SSJ5_HP1BP3</t>
  </si>
  <si>
    <t>Q5ST30_VARS2</t>
  </si>
  <si>
    <t>Q5SVK8_DNMBP</t>
  </si>
  <si>
    <t>Q5SWX8_ODR4</t>
  </si>
  <si>
    <t>Q5SXM8_DNLZ</t>
  </si>
  <si>
    <t>Q5SYE7-2_NHSL1</t>
  </si>
  <si>
    <t>Q5SYW2_CIZ1</t>
  </si>
  <si>
    <t>Q5SZR4_TDRKH</t>
  </si>
  <si>
    <t>Q5T0D9_TPRG1L</t>
  </si>
  <si>
    <t>Q5T0N5-3_FNBP1L</t>
  </si>
  <si>
    <t>Q5T0Z6_PKIB</t>
  </si>
  <si>
    <t>Q5T123_SH3BGRL3</t>
  </si>
  <si>
    <t>Q5T160_RARS2</t>
  </si>
  <si>
    <t>Q5T171_PYGO2</t>
  </si>
  <si>
    <t>Q5T1B5_INPP5A</t>
  </si>
  <si>
    <t>Q5T1C6_THEM4</t>
  </si>
  <si>
    <t>Q5T1M5_FKBP15</t>
  </si>
  <si>
    <t>Q5T1V6_DDX59</t>
  </si>
  <si>
    <t>Q5T1Z0_LHPP</t>
  </si>
  <si>
    <t>Q5T2D3_OTUD3</t>
  </si>
  <si>
    <t>Q5T2E6-2_C10orf76</t>
  </si>
  <si>
    <t>Q5T2R2-3_PDSS1</t>
  </si>
  <si>
    <t>Q5T370_ARRDC1</t>
  </si>
  <si>
    <t>Q5T3Q7_HEATR1</t>
  </si>
  <si>
    <t>Q5T440_IBA57</t>
  </si>
  <si>
    <t>Q5T481_RBM20</t>
  </si>
  <si>
    <t>Q5T4S7-3_UBR4</t>
  </si>
  <si>
    <t>Q5T4U8_RABGGTB</t>
  </si>
  <si>
    <t>Q5T5C0-3_STXBP5</t>
  </si>
  <si>
    <t>Q5T5C7_SARS</t>
  </si>
  <si>
    <t>Q5T5P2-3_KIAA1217</t>
  </si>
  <si>
    <t>Q5T5U3_ARHGAP21</t>
  </si>
  <si>
    <t>Q5T5Y3-2_CAMSAP1</t>
  </si>
  <si>
    <t>Q5T6F2_UBAP2</t>
  </si>
  <si>
    <t>Q5T6V5_C9orf64</t>
  </si>
  <si>
    <t>Q5T7M9_FAM69A</t>
  </si>
  <si>
    <t>Q5T7V8_GORAB</t>
  </si>
  <si>
    <t>Q5T8D3-2_ACBD5</t>
  </si>
  <si>
    <t>Q5T8P6-2_RBM26</t>
  </si>
  <si>
    <t>Q5T8U5_SURF4</t>
  </si>
  <si>
    <t>Q5T9B7_AK1</t>
  </si>
  <si>
    <t>Q5TA45-2_CPSF3L</t>
  </si>
  <si>
    <t>Q5TA50_GLTPD1</t>
  </si>
  <si>
    <t>Q5TA58_AGO1</t>
  </si>
  <si>
    <t>Q5TA95_TTC4</t>
  </si>
  <si>
    <t>Q5TAX3_ZCCHC11</t>
  </si>
  <si>
    <t>Q5TBB1_RNASEH2B</t>
  </si>
  <si>
    <t>Q5TCM7_PTP4A1</t>
  </si>
  <si>
    <t>Q5TCQ9-3_MAGI3</t>
  </si>
  <si>
    <t>Q5TCX8_MLK4</t>
  </si>
  <si>
    <t>Q5TD07_NQO2</t>
  </si>
  <si>
    <t>Q5TDC5_C6orf89</t>
  </si>
  <si>
    <t>Q5TDH0_DDI2</t>
  </si>
  <si>
    <t>Q5TEU4-2_NDUFAF5</t>
  </si>
  <si>
    <t>Q5TFE4_NT5DC1</t>
  </si>
  <si>
    <t>Q5TH30_NDRG3</t>
  </si>
  <si>
    <t>Q5THK1-3_PRR14L</t>
  </si>
  <si>
    <t>Q5TIE1_SLC19A2</t>
  </si>
  <si>
    <t>Q5TZA2_CROCC</t>
  </si>
  <si>
    <t>Q5U5X0_LYRM7</t>
  </si>
  <si>
    <t>Q5UIP0-2_RIF1</t>
  </si>
  <si>
    <t>Q5VIR6-4_VPS53</t>
  </si>
  <si>
    <t>Q5VSG8-3_MANEAL</t>
  </si>
  <si>
    <t>Q5VSL9_STRIP1</t>
  </si>
  <si>
    <t>Q5VST6_ABHD17B</t>
  </si>
  <si>
    <t>Q5VT52_RPRD2</t>
  </si>
  <si>
    <t>Q5VT66_MARC1</t>
  </si>
  <si>
    <t>Q5VT94_GHITM</t>
  </si>
  <si>
    <t>Q5VTR2_RNF20</t>
  </si>
  <si>
    <t>Q5VU58_TPM3</t>
  </si>
  <si>
    <t>Q5VUA4_ZNF318</t>
  </si>
  <si>
    <t>Q5VV17_OTUD1</t>
  </si>
  <si>
    <t>Q5VV41_ARHGEF16</t>
  </si>
  <si>
    <t>Q5VV42_CDKAL1</t>
  </si>
  <si>
    <t>Q5VV50_ZNF691</t>
  </si>
  <si>
    <t>Q5VVD7_PLEKHM2</t>
  </si>
  <si>
    <t>Q5VVQ6_YOD1</t>
  </si>
  <si>
    <t>Q5VW27_NFIB</t>
  </si>
  <si>
    <t>Q5VW32_BROX</t>
  </si>
  <si>
    <t>Q5VW52_GPAM</t>
  </si>
  <si>
    <t>Q5VWJ9_SNX30</t>
  </si>
  <si>
    <t>Q5VWP2_FAM46C</t>
  </si>
  <si>
    <t>Q5VWZ2_LYPLAL1</t>
  </si>
  <si>
    <t>Q5VZR0_GLIPR2</t>
  </si>
  <si>
    <t>Q5VZU9_TPP2</t>
  </si>
  <si>
    <t>Q5W015_PFKFB3</t>
  </si>
  <si>
    <t>Q5W0V3-2_FAM160B1</t>
  </si>
  <si>
    <t>Q5W0Z9-3_ZDHHC20</t>
  </si>
  <si>
    <t>Q5W111_SPRYD7</t>
  </si>
  <si>
    <t>Q5W145_NDUFB8</t>
  </si>
  <si>
    <t>Q5XKP0_QIL1</t>
  </si>
  <si>
    <t>Q5XUX1-3_FBXW9</t>
  </si>
  <si>
    <t>Q5ZPR3_CD276</t>
  </si>
  <si>
    <t>Q641Q2-2_FAM21A</t>
  </si>
  <si>
    <t>Q643R3_LPCAT4</t>
  </si>
  <si>
    <t>Q658P3-3_STEAP3</t>
  </si>
  <si>
    <t>Q66GS9_CEP135</t>
  </si>
  <si>
    <t>Q66K14-2_TBC1D9B</t>
  </si>
  <si>
    <t>Q66K64_DCAF15</t>
  </si>
  <si>
    <t>Q66LE6_PPP2R2D</t>
  </si>
  <si>
    <t>Q66PJ3_ARL6IP4</t>
  </si>
  <si>
    <t>Q68CQ4_DIEXF</t>
  </si>
  <si>
    <t>Q68CQ7_GLT8D1</t>
  </si>
  <si>
    <t>Q68D85_NCR3LG1</t>
  </si>
  <si>
    <t>Q68D91_MBLAC2</t>
  </si>
  <si>
    <t>Q68DH5_LMBRD2</t>
  </si>
  <si>
    <t>Q68E01-2_INTS3</t>
  </si>
  <si>
    <t>Q68EM7_ARHGAP17</t>
  </si>
  <si>
    <t>Q69YL0_</t>
  </si>
  <si>
    <t>Q69YN2_CWF19L1</t>
  </si>
  <si>
    <t>Q69YU5_C12orf73</t>
  </si>
  <si>
    <t>Q6AI08_HEATR6</t>
  </si>
  <si>
    <t>Q6DD87_ZNF787</t>
  </si>
  <si>
    <t>Q6DKI1_RPL7L1</t>
  </si>
  <si>
    <t>Q6DKJ4_NXN</t>
  </si>
  <si>
    <t>Q6DKK2_TTC19</t>
  </si>
  <si>
    <t>Q6EEV4-2_POLR2M</t>
  </si>
  <si>
    <t>Q6EMK4_VASN</t>
  </si>
  <si>
    <t>Q6FI81-3_CIAPIN1</t>
  </si>
  <si>
    <t>Q6FIF0-2_ZFAND6</t>
  </si>
  <si>
    <t>Q6GMV2_SMYD5</t>
  </si>
  <si>
    <t>Q6GMV3_PTRHD1</t>
  </si>
  <si>
    <t>Q6GQQ9_OTUD7B</t>
  </si>
  <si>
    <t>Q6I9Y2_THOC7</t>
  </si>
  <si>
    <t>Q6IA69_NADSYN1</t>
  </si>
  <si>
    <t>Q6IAA8_LAMTOR1</t>
  </si>
  <si>
    <t>Q6IAN0_DHRS7B</t>
  </si>
  <si>
    <t>Q6IBS0_TWF2</t>
  </si>
  <si>
    <t>Q6ICH7_ASPHD2</t>
  </si>
  <si>
    <t>Q6IEE7_TMEM132E</t>
  </si>
  <si>
    <t>Q6IN85-2_SMEK1</t>
  </si>
  <si>
    <t>Q6IPR3_TYW3</t>
  </si>
  <si>
    <t>Q6IQ22_RAB12</t>
  </si>
  <si>
    <t>Q6IQ49-2_SDE2</t>
  </si>
  <si>
    <t>Q6IS14_EIF5AL1</t>
  </si>
  <si>
    <t>Q6JHV3_USP3</t>
  </si>
  <si>
    <t>Q6JQN1_ACAD10</t>
  </si>
  <si>
    <t>Q6KC79-2_NIPBL</t>
  </si>
  <si>
    <t>Q6KCM7_SLC25A25</t>
  </si>
  <si>
    <t>Q6MZP7_LIN54</t>
  </si>
  <si>
    <t>Q6N069_NAA16</t>
  </si>
  <si>
    <t>Q6NSI4-4_CXorf57</t>
  </si>
  <si>
    <t>Q6NSJ2-2_PHLDB3</t>
  </si>
  <si>
    <t>Q6NT16_SLC18B1</t>
  </si>
  <si>
    <t>Q6NUK1_SLC25A24</t>
  </si>
  <si>
    <t>Q6NUM9_RETSAT</t>
  </si>
  <si>
    <t>Q6NUQ1_RINT1</t>
  </si>
  <si>
    <t>Q6NUQ4-2_TMEM214</t>
  </si>
  <si>
    <t>Q6NUS6-3_TCTN3</t>
  </si>
  <si>
    <t>Q6NVH7_SWSAP1</t>
  </si>
  <si>
    <t>Q6NVY1_HIBCH</t>
  </si>
  <si>
    <t>Q6NXE6_ARMC6</t>
  </si>
  <si>
    <t>Q6NXT1_ANKRD54</t>
  </si>
  <si>
    <t>Q6NYC1_JMJD6</t>
  </si>
  <si>
    <t>Q6NYC8_PPP1R18</t>
  </si>
  <si>
    <t>Q6NZI2_PTRF</t>
  </si>
  <si>
    <t>Q6NZY4_ZCCHC8</t>
  </si>
  <si>
    <t>Q6P087-2_RPUSD3</t>
  </si>
  <si>
    <t>Q6P161_MRPL54</t>
  </si>
  <si>
    <t>Q6P1J9_CDC73</t>
  </si>
  <si>
    <t>Q6P1K2-4_PMF1</t>
  </si>
  <si>
    <t>Q6P1L5_FAM117B</t>
  </si>
  <si>
    <t>Q6P1L8_MRPL14</t>
  </si>
  <si>
    <t>Q6P1M0_SLC27A4</t>
  </si>
  <si>
    <t>Q6P1N0_CC2D1A</t>
  </si>
  <si>
    <t>Q6P1Q9_METTL2B</t>
  </si>
  <si>
    <t>Q6P1R4_DUS1L</t>
  </si>
  <si>
    <t>Q6P2C8-2_MED27</t>
  </si>
  <si>
    <t>Q6P2E9_EDC4</t>
  </si>
  <si>
    <t>Q6P2H3-2_CEP85</t>
  </si>
  <si>
    <t>Q6P2P2_PRMT10</t>
  </si>
  <si>
    <t>Q6P3S6_FBXO42</t>
  </si>
  <si>
    <t>Q6P3W7_SCYL2</t>
  </si>
  <si>
    <t>Q6P3X3_TTC27</t>
  </si>
  <si>
    <t>Q6P444_MTFR2</t>
  </si>
  <si>
    <t>Q6P4A7_SFXN4</t>
  </si>
  <si>
    <t>Q6P4E1_CASC4</t>
  </si>
  <si>
    <t>Q6P4F2_FDX1L</t>
  </si>
  <si>
    <t>Q6P4I2_WDR73</t>
  </si>
  <si>
    <t>Q6P4R8-3_NFRKB</t>
  </si>
  <si>
    <t>Q6P582_MZT2A</t>
  </si>
  <si>
    <t>Q6P587_FAHD1</t>
  </si>
  <si>
    <t>Q6P6C2_ALKBH5</t>
  </si>
  <si>
    <t>Q6P9B6_KIAA1609</t>
  </si>
  <si>
    <t>Q6PCB5_RSBN1L</t>
  </si>
  <si>
    <t>Q6PCE3_PGM2L1</t>
  </si>
  <si>
    <t>Q6PD62_CTR9</t>
  </si>
  <si>
    <t>Q6PD74_AAGAB</t>
  </si>
  <si>
    <t>Q6PGP7_TTC37</t>
  </si>
  <si>
    <t>Q6PH81_C16orf87</t>
  </si>
  <si>
    <t>Q6PHR2-3_ULK3</t>
  </si>
  <si>
    <t>Q6PI48_DARS2</t>
  </si>
  <si>
    <t>Q6PI78_TMEM65</t>
  </si>
  <si>
    <t>Q6PID6_TTC33</t>
  </si>
  <si>
    <t>Q6PII3_CCDC174</t>
  </si>
  <si>
    <t>Q6PII5-2_HAGHL</t>
  </si>
  <si>
    <t>Q6PIW4-2_FIGNL1</t>
  </si>
  <si>
    <t>Q6PJ61_FBXO46</t>
  </si>
  <si>
    <t>Q6PJ69_TRIM65</t>
  </si>
  <si>
    <t>Q6PJG6_BRAT1</t>
  </si>
  <si>
    <t>Q6PJT7-5_ZC3H14</t>
  </si>
  <si>
    <t>Q6PJW8_CNST</t>
  </si>
  <si>
    <t>Q6PKG0_LARP1</t>
  </si>
  <si>
    <t>Q6PL24_TMED8</t>
  </si>
  <si>
    <t>Q6PML9_SLC30A9</t>
  </si>
  <si>
    <t>Q6QNY0_BLOC1S3</t>
  </si>
  <si>
    <t>Q6QNY1_BLOC1S2</t>
  </si>
  <si>
    <t>Q6RW13-2_AGTRAP</t>
  </si>
  <si>
    <t>Q6UB28_METAP1D</t>
  </si>
  <si>
    <t>Q6UB35_MTHFD1L</t>
  </si>
  <si>
    <t>Q6ULP2-3_AFTPH</t>
  </si>
  <si>
    <t>Q6UN15-3_FIP1L1</t>
  </si>
  <si>
    <t>Q6UVJ0_SASS6</t>
  </si>
  <si>
    <t>Q6UVY6-2_MOXD1</t>
  </si>
  <si>
    <t>Q6UW63_KDELC1</t>
  </si>
  <si>
    <t>Q6UWE0_LRSAM1</t>
  </si>
  <si>
    <t>Q6UWI4_SHISA2</t>
  </si>
  <si>
    <t>Q6UWP2_DHRS11</t>
  </si>
  <si>
    <t>Q6UWP7-3_LCLAT1</t>
  </si>
  <si>
    <t>Q6UWS5_PET117</t>
  </si>
  <si>
    <t>Q6UX04_CWC27</t>
  </si>
  <si>
    <t>Q6UX07_DHRS13</t>
  </si>
  <si>
    <t>Q6UX53_METTL7B</t>
  </si>
  <si>
    <t>Q6UX71_PLXDC2</t>
  </si>
  <si>
    <t>Q6UXD5-6_SEZ6L2</t>
  </si>
  <si>
    <t>Q6UXH1-4_CRELD2</t>
  </si>
  <si>
    <t>Q6UXN9_WDR82</t>
  </si>
  <si>
    <t>Q6UXV4_APOOL</t>
  </si>
  <si>
    <t>Q6VY07_PACS1</t>
  </si>
  <si>
    <t>Q6W2J9-4_BCOR</t>
  </si>
  <si>
    <t>Q6WCQ1_MPRIP</t>
  </si>
  <si>
    <t>Q6WKZ4_RAB11FIP1</t>
  </si>
  <si>
    <t>Q6XQN6_NAPRT1</t>
  </si>
  <si>
    <t>Q6Y1H2_PTPLB</t>
  </si>
  <si>
    <t>Q6Y7W6-4_GIGYF2</t>
  </si>
  <si>
    <t>Q6YHU6-3_THADA</t>
  </si>
  <si>
    <t>Q6YN16_HSDL2</t>
  </si>
  <si>
    <t>Q6YP21-3_CCBL2</t>
  </si>
  <si>
    <t>Q6ZMG9_CERS6</t>
  </si>
  <si>
    <t>Q6ZMR3_LDHAL6A</t>
  </si>
  <si>
    <t>Q6ZN17_LIN28B</t>
  </si>
  <si>
    <t>Q6ZN55_ZNF574</t>
  </si>
  <si>
    <t>Q6ZNB6_NFXL1</t>
  </si>
  <si>
    <t>Q6ZNW5_GDPGP1</t>
  </si>
  <si>
    <t>Q6ZPD9_DPY19L3</t>
  </si>
  <si>
    <t>Q6ZRP7_QSOX2</t>
  </si>
  <si>
    <t>Q6ZS17-2_FAM65A</t>
  </si>
  <si>
    <t>Q6ZSJ8_C1orf122</t>
  </si>
  <si>
    <t>Q6ZT21-2_TMPPE</t>
  </si>
  <si>
    <t>Q6ZT62_SH3BP1</t>
  </si>
  <si>
    <t>Q6ZVM7-2_TOM1L2</t>
  </si>
  <si>
    <t>Q6ZW49-4_PAXIP1</t>
  </si>
  <si>
    <t>Q6ZWJ1_STXBP4</t>
  </si>
  <si>
    <t>Q6ZXV5-2_TMTC3</t>
  </si>
  <si>
    <t>Q709C8-3_VPS13C</t>
  </si>
  <si>
    <t>Q709F0_ACAD11</t>
  </si>
  <si>
    <t>Q70IA6_MOB2</t>
  </si>
  <si>
    <t>Q70J99_UNC13D</t>
  </si>
  <si>
    <t>Q70UQ0_IKBIP</t>
  </si>
  <si>
    <t>Q70UQ0-4_IKBIP</t>
  </si>
  <si>
    <t>Q70Z53-3_FRA10AC1</t>
  </si>
  <si>
    <t>Q712K3_UBE2R2</t>
  </si>
  <si>
    <t>Q71SY5-5_MED25</t>
  </si>
  <si>
    <t>Q71UI9_H2AFV</t>
  </si>
  <si>
    <t>Q7KYR7_BTN2A1</t>
  </si>
  <si>
    <t>Q7KZ85_SUPT6H</t>
  </si>
  <si>
    <t>Q7KZ85-2_SUPT6H</t>
  </si>
  <si>
    <t>Q7KZF4_SND1</t>
  </si>
  <si>
    <t>Q7KZN9-2_COX15</t>
  </si>
  <si>
    <t>Q7L014_DDX46</t>
  </si>
  <si>
    <t>Q7L099-4_RUFY3</t>
  </si>
  <si>
    <t>Q7L0J3-2_SV2A</t>
  </si>
  <si>
    <t>Q7L0Y3_TRMT10C</t>
  </si>
  <si>
    <t>Q7L1Q6_BZW1</t>
  </si>
  <si>
    <t>Q7L1T6_CYB5R4</t>
  </si>
  <si>
    <t>Q7L266_ASRGL1</t>
  </si>
  <si>
    <t>Q7L273_KCTD9</t>
  </si>
  <si>
    <t>Q7L2H7_EIF3M</t>
  </si>
  <si>
    <t>Q7L2J0_MEPCE</t>
  </si>
  <si>
    <t>Q7L3S4_ZNF771</t>
  </si>
  <si>
    <t>Q7L4I2_RSRC2</t>
  </si>
  <si>
    <t>Q7L523_RRAGA</t>
  </si>
  <si>
    <t>Q7L592_NDUFAF7</t>
  </si>
  <si>
    <t>Q7L5N7_LPCAT2</t>
  </si>
  <si>
    <t>Q7L5Y1_ENOSF1</t>
  </si>
  <si>
    <t>Q7L7V1-2_DHX32</t>
  </si>
  <si>
    <t>Q7L7X3_TAOK1</t>
  </si>
  <si>
    <t>Q7L8W6_ATPBD4</t>
  </si>
  <si>
    <t>Q7L985_LINGO2</t>
  </si>
  <si>
    <t>Q7LBC6_KDM3B</t>
  </si>
  <si>
    <t>Q7LBR1_CHMP1B</t>
  </si>
  <si>
    <t>Q7LG56_RRM2B</t>
  </si>
  <si>
    <t>Q7RTP0_NIPA1</t>
  </si>
  <si>
    <t>Q7RTP6_MICAL3</t>
  </si>
  <si>
    <t>Q7RTV0_PHF5A</t>
  </si>
  <si>
    <t>Q7Z2K8_GPRIN1</t>
  </si>
  <si>
    <t>Q7Z2W4_ZC3HAV1</t>
  </si>
  <si>
    <t>Q7Z2Z2_EFTUD1</t>
  </si>
  <si>
    <t>Q7Z309-5_FAM122B</t>
  </si>
  <si>
    <t>Q7Z3C6-2_ATG9A</t>
  </si>
  <si>
    <t>Q7Z3D4_LYSMD3</t>
  </si>
  <si>
    <t>Q7Z3E2_C10orf118</t>
  </si>
  <si>
    <t>Q7Z3K3-5_POGZ</t>
  </si>
  <si>
    <t>Q7Z3K6-4_MIER3</t>
  </si>
  <si>
    <t>Q7Z3T8_ZFYVE16</t>
  </si>
  <si>
    <t>Q7Z417_NUFIP2</t>
  </si>
  <si>
    <t>Q7Z422-2_SZRD1</t>
  </si>
  <si>
    <t>Q7Z434_MAVS</t>
  </si>
  <si>
    <t>Q7Z4G4-2_TRMT11</t>
  </si>
  <si>
    <t>Q7Z4H3_HDDC2</t>
  </si>
  <si>
    <t>Q7Z4H7-3_HAUS6</t>
  </si>
  <si>
    <t>Q7Z4H8_KDELC2</t>
  </si>
  <si>
    <t>Q7Z4K8-4_TRIM46</t>
  </si>
  <si>
    <t>Q7Z4Q2_HEATR3</t>
  </si>
  <si>
    <t>Q7Z4V5_HDGFRP2</t>
  </si>
  <si>
    <t>Q7Z4W1_DCXR</t>
  </si>
  <si>
    <t>Q7Z5G4-3_GOLGA7</t>
  </si>
  <si>
    <t>Q7Z5K2_WAPAL</t>
  </si>
  <si>
    <t>Q7Z5L2-2_R3HCC1L</t>
  </si>
  <si>
    <t>Q7Z5L9_IRF2BP2</t>
  </si>
  <si>
    <t>Q7Z5W3_BCDIN3D</t>
  </si>
  <si>
    <t>Q7Z5Y7_KCTD20</t>
  </si>
  <si>
    <t>Q7Z624_CAMKMT</t>
  </si>
  <si>
    <t>Q7Z6B7-2_SRGAP1</t>
  </si>
  <si>
    <t>Q7Z6E9-2_RBBP6</t>
  </si>
  <si>
    <t>Q7Z6I8_C5orf24</t>
  </si>
  <si>
    <t>Q7Z6J0_SH3RF1</t>
  </si>
  <si>
    <t>Q7Z6J8_UBE3D</t>
  </si>
  <si>
    <t>Q7Z6J9_TSEN54</t>
  </si>
  <si>
    <t>Q7Z6K3_PTAR1</t>
  </si>
  <si>
    <t>Q7Z6L1_TECPR1</t>
  </si>
  <si>
    <t>Q7Z6M1_RABEPK</t>
  </si>
  <si>
    <t>Q7Z6M4_MTERFD2</t>
  </si>
  <si>
    <t>Q7Z6V5-2_ADAT2</t>
  </si>
  <si>
    <t>Q7Z6Z7-2_HUWE1</t>
  </si>
  <si>
    <t>Q7Z7A3_CTU1</t>
  </si>
  <si>
    <t>Q7Z7C8_TAF8</t>
  </si>
  <si>
    <t>Q7Z7E8_UBE2Q1</t>
  </si>
  <si>
    <t>Q7Z7F0-2_KIAA0907</t>
  </si>
  <si>
    <t>Q7Z7H5-3_TMED4</t>
  </si>
  <si>
    <t>Q7Z7L1_SLFN11</t>
  </si>
  <si>
    <t>Q7Z7L8_C11orf96</t>
  </si>
  <si>
    <t>Q7Z7M9_GALNT5</t>
  </si>
  <si>
    <t>Q7Z7N9_TMEM179B</t>
  </si>
  <si>
    <t>Q86SF2_GALNT7</t>
  </si>
  <si>
    <t>Q86SK9-2_SCD5</t>
  </si>
  <si>
    <t>Q86SQ7_SDCCAG8</t>
  </si>
  <si>
    <t>Q86SQ9-3_DHDDS</t>
  </si>
  <si>
    <t>Q86SX6_GLRX5</t>
  </si>
  <si>
    <t>Q86T03_TMEM55B</t>
  </si>
  <si>
    <t>Q86TA1_MOB3B</t>
  </si>
  <si>
    <t>Q86TB9-4_PATL1</t>
  </si>
  <si>
    <t>Q86TG7-2_PEG10</t>
  </si>
  <si>
    <t>Q86TI2_DPP9</t>
  </si>
  <si>
    <t>Q86TN4_TRPT1</t>
  </si>
  <si>
    <t>Q86TP1_PRUNE</t>
  </si>
  <si>
    <t>Q86TU7_SETD3</t>
  </si>
  <si>
    <t>Q86TV3_LGMN</t>
  </si>
  <si>
    <t>Q86TW2-3_ADCK1</t>
  </si>
  <si>
    <t>Q86U28_ISCA2</t>
  </si>
  <si>
    <t>Q86U44_METTL3</t>
  </si>
  <si>
    <t>Q86U70-3_LDB1</t>
  </si>
  <si>
    <t>Q86U90_YRDC</t>
  </si>
  <si>
    <t>Q86UA1_PRPF39</t>
  </si>
  <si>
    <t>Q86UD0_SAPCD2</t>
  </si>
  <si>
    <t>Q86UE4_MTDH</t>
  </si>
  <si>
    <t>Q86UE8-2_TLK2</t>
  </si>
  <si>
    <t>Q86UK7-3_ZNF598</t>
  </si>
  <si>
    <t>Q86UL3_AGPAT6</t>
  </si>
  <si>
    <t>Q86UN3_RTN4RL2</t>
  </si>
  <si>
    <t>Q86UP2_KTN1</t>
  </si>
  <si>
    <t>Q86US8_SMG6</t>
  </si>
  <si>
    <t>Q86UU0-4_BCL9L</t>
  </si>
  <si>
    <t>Q86UU1-2_PHLDB1</t>
  </si>
  <si>
    <t>Q86UV5_USP48</t>
  </si>
  <si>
    <t>Q86UX7-2_FERMT3</t>
  </si>
  <si>
    <t>Q86UY0_TXNDC5</t>
  </si>
  <si>
    <t>Q86UY8-2_NT5DC3</t>
  </si>
  <si>
    <t>Q86V21_AACS</t>
  </si>
  <si>
    <t>Q86V24_ADIPOR2</t>
  </si>
  <si>
    <t>Q86V48_LUZP1</t>
  </si>
  <si>
    <t>Q86V85_GPR180</t>
  </si>
  <si>
    <t>Q86V87_FAM160B2</t>
  </si>
  <si>
    <t>Q86VG3_C11orf74</t>
  </si>
  <si>
    <t>Q86VN1-2_VPS36</t>
  </si>
  <si>
    <t>Q86VP6_CAND1</t>
  </si>
  <si>
    <t>Q86VQ1_GLCCI1</t>
  </si>
  <si>
    <t>Q86VQ2_WASF3</t>
  </si>
  <si>
    <t>Q86VR2_FAM134C</t>
  </si>
  <si>
    <t>Q86VS8_HOOK3</t>
  </si>
  <si>
    <t>Q86VU5_COMTD1</t>
  </si>
  <si>
    <t>Q86W33_TPRA1</t>
  </si>
  <si>
    <t>Q86W42_THOC6</t>
  </si>
  <si>
    <t>Q86W50_METTL16</t>
  </si>
  <si>
    <t>Q86W56_PARG</t>
  </si>
  <si>
    <t>Q86W92-4_PPFIBP1</t>
  </si>
  <si>
    <t>Q86WA6-2_BPHL</t>
  </si>
  <si>
    <t>Q86WJ1-2_CHD1L</t>
  </si>
  <si>
    <t>Q86WQ0_NR2C2AP</t>
  </si>
  <si>
    <t>Q86WR0_CCDC25</t>
  </si>
  <si>
    <t>Q86WR7_PROSER2</t>
  </si>
  <si>
    <t>Q86WV6_TMEM173</t>
  </si>
  <si>
    <t>Q86WV7_CCDC43</t>
  </si>
  <si>
    <t>Q86X02_CDR2L</t>
  </si>
  <si>
    <t>Q86X27_RALGPS2</t>
  </si>
  <si>
    <t>Q86X53_ERICH1</t>
  </si>
  <si>
    <t>Q86X55-1_CARM1</t>
  </si>
  <si>
    <t>Q86X76-2_NIT1</t>
  </si>
  <si>
    <t>Q86X83_COMMD2</t>
  </si>
  <si>
    <t>Q86XK3-3_SFR1</t>
  </si>
  <si>
    <t>Q86XP3_DDX42</t>
  </si>
  <si>
    <t>Q86Y37_CACUL1</t>
  </si>
  <si>
    <t>Q86Y56_HEATR2</t>
  </si>
  <si>
    <t>Q86Y82_STX12</t>
  </si>
  <si>
    <t>Q86YB8_ERO1LB</t>
  </si>
  <si>
    <t>Q86YH6_PDSS2</t>
  </si>
  <si>
    <t>Q86YL5_TDRP</t>
  </si>
  <si>
    <t>Q86YR5-4_GPSM1</t>
  </si>
  <si>
    <t>Q86YS3-2_RAB11FIP4</t>
  </si>
  <si>
    <t>Q86YV5_SGK223</t>
  </si>
  <si>
    <t>Q86YV9_HPS6</t>
  </si>
  <si>
    <t>Q8IU81_IRF2BP1</t>
  </si>
  <si>
    <t>Q8IU85-2_CAMK1D</t>
  </si>
  <si>
    <t>Q8IUC8-2_GALNT13</t>
  </si>
  <si>
    <t>Q8IUF8-2_MINA</t>
  </si>
  <si>
    <t>Q8IUH4_ZDHHC13</t>
  </si>
  <si>
    <t>Q8IUI8_CRLF3</t>
  </si>
  <si>
    <t>Q8IUR0_TRAPPC5</t>
  </si>
  <si>
    <t>Q8IUW5_RELL1</t>
  </si>
  <si>
    <t>Q8IUX1-4_TMEM126B</t>
  </si>
  <si>
    <t>Q8IV04_TBC1D10C</t>
  </si>
  <si>
    <t>Q8IV08_PLD3</t>
  </si>
  <si>
    <t>Q8IV38_ANKMY2</t>
  </si>
  <si>
    <t>Q8IV63-3_VRK3</t>
  </si>
  <si>
    <t>Q8IVB5_LIX1L</t>
  </si>
  <si>
    <t>Q8IVD9_NUDCD3</t>
  </si>
  <si>
    <t>Q8IVF2-3_AHNAK2</t>
  </si>
  <si>
    <t>Q8IVF6_ANKRD18A</t>
  </si>
  <si>
    <t>Q8IVH8-3_MAP4K3</t>
  </si>
  <si>
    <t>Q8IVM0_CCDC50</t>
  </si>
  <si>
    <t>Q8IVM0-2_CCDC50</t>
  </si>
  <si>
    <t>Q8IVS2_MCAT</t>
  </si>
  <si>
    <t>Q8IVW6-4_ARID3B</t>
  </si>
  <si>
    <t>Q8IW45_CARKD</t>
  </si>
  <si>
    <t>Q8IWA4_MFN1</t>
  </si>
  <si>
    <t>Q8IWB1_ITPRIP</t>
  </si>
  <si>
    <t>Q8IWB7_WDFY1</t>
  </si>
  <si>
    <t>Q8IWB9_TEX2</t>
  </si>
  <si>
    <t>Q8IWC1-2_MAP7D3</t>
  </si>
  <si>
    <t>Q8IWE4_DCUN1D3</t>
  </si>
  <si>
    <t>Q8IWF6_DENND6A</t>
  </si>
  <si>
    <t>Q8IWI9_MGA</t>
  </si>
  <si>
    <t>Q8IWJ2_GCC2</t>
  </si>
  <si>
    <t>Q8IWL3_HSCB</t>
  </si>
  <si>
    <t>Q8IWP9_CCDC28A</t>
  </si>
  <si>
    <t>Q8IWU2_LMTK2</t>
  </si>
  <si>
    <t>Q8IWV8-4_UBR2</t>
  </si>
  <si>
    <t>Q8IWW6-4_ARHGAP12</t>
  </si>
  <si>
    <t>Q8IWZ3-6_ANKHD1</t>
  </si>
  <si>
    <t>Q8IWZ8_SUGP1</t>
  </si>
  <si>
    <t>Q8IX12-2_CCAR1</t>
  </si>
  <si>
    <t>Q8IX18-3_DHX40</t>
  </si>
  <si>
    <t>Q8IX90_SKA3</t>
  </si>
  <si>
    <t>Q8IXB1-2_DNAJC10</t>
  </si>
  <si>
    <t>Q8IXI1_RHOT2</t>
  </si>
  <si>
    <t>Q8IXI2-4_RHOT1</t>
  </si>
  <si>
    <t>Q8IXJ6-2_SIRT2</t>
  </si>
  <si>
    <t>Q8IXQ3_C9orf40</t>
  </si>
  <si>
    <t>Q8IXQ4_KIAA1704</t>
  </si>
  <si>
    <t>Q8IXQ9_METTL20</t>
  </si>
  <si>
    <t>Q8IXW5-2_RPAP2</t>
  </si>
  <si>
    <t>Q8IY26_PPAPDC2</t>
  </si>
  <si>
    <t>Q8IY37_DHX37</t>
  </si>
  <si>
    <t>Q8IY95-2_TMEM192</t>
  </si>
  <si>
    <t>Q8IYB1_MB21D2</t>
  </si>
  <si>
    <t>Q8IYB5-3_SMAP1</t>
  </si>
  <si>
    <t>Q8IYB7_DIS3L2</t>
  </si>
  <si>
    <t>Q8IYB8_SUPV3L1</t>
  </si>
  <si>
    <t>Q8IYB9_ZNF595</t>
  </si>
  <si>
    <t>Q8IYD1_GSPT2</t>
  </si>
  <si>
    <t>Q8IYH5-4_ZZZ3</t>
  </si>
  <si>
    <t>Q8IYI6_EXOC8</t>
  </si>
  <si>
    <t>Q8IYL3_C1orf174</t>
  </si>
  <si>
    <t>Q8IYN2_TCEAL8</t>
  </si>
  <si>
    <t>Q8IYQ7_THNSL1</t>
  </si>
  <si>
    <t>Q8IYR2_SMYD4</t>
  </si>
  <si>
    <t>Q8IYS1_PM20D2</t>
  </si>
  <si>
    <t>Q8IYS2_KIAA2013</t>
  </si>
  <si>
    <t>Q8IYU2-4_HACE1</t>
  </si>
  <si>
    <t>Q8IZ07_ANKRD13A</t>
  </si>
  <si>
    <t>Q8IZ13_C5orf54</t>
  </si>
  <si>
    <t>Q8IZ21-3_PHACTR4</t>
  </si>
  <si>
    <t>Q8IZ41_RASEF</t>
  </si>
  <si>
    <t>Q8IZ68_MTX2</t>
  </si>
  <si>
    <t>Q8IZ73_RPUSD2</t>
  </si>
  <si>
    <t>Q8IZA0_KIAA0319L</t>
  </si>
  <si>
    <t>Q8IZD4_DCP1B</t>
  </si>
  <si>
    <t>Q8IZJ1-2_UNC5B</t>
  </si>
  <si>
    <t>Q8IZN3-2_ZDHHC14</t>
  </si>
  <si>
    <t>Q8IZR5-3_CMTM4</t>
  </si>
  <si>
    <t>Q8IZV5_RDH10</t>
  </si>
  <si>
    <t>Q8N0T1_C8orf59</t>
  </si>
  <si>
    <t>Q8N0U8_VKORC1L1</t>
  </si>
  <si>
    <t>Q8N0W3_FUK</t>
  </si>
  <si>
    <t>Q8N0X4-2_CLYBL</t>
  </si>
  <si>
    <t>Q8N0X7_SPG20</t>
  </si>
  <si>
    <t>Q8N0Z3_SPICE1</t>
  </si>
  <si>
    <t>Q8N0Z6_TTC5</t>
  </si>
  <si>
    <t>Q8N108-17_MIER1</t>
  </si>
  <si>
    <t>Q8N129_CNPY4</t>
  </si>
  <si>
    <t>Q8N183_NDUFAF2</t>
  </si>
  <si>
    <t>Q8N1B4_VPS52</t>
  </si>
  <si>
    <t>Q8N1F7_NUP93</t>
  </si>
  <si>
    <t>Q8N1G2_FTSJD2</t>
  </si>
  <si>
    <t>Q8N1G4_LRRC47</t>
  </si>
  <si>
    <t>Q8N1Q1_CA13</t>
  </si>
  <si>
    <t>Q8N2F6-3_ARMC10</t>
  </si>
  <si>
    <t>Q8N2G8-3_GHDC</t>
  </si>
  <si>
    <t>Q8N2K0_ABHD12</t>
  </si>
  <si>
    <t>Q8N2W9_PIAS4</t>
  </si>
  <si>
    <t>Q8N2Z9_APITD1</t>
  </si>
  <si>
    <t>Q8N300_CCDC23</t>
  </si>
  <si>
    <t>Q8N335_GPD1L</t>
  </si>
  <si>
    <t>Q8N344_MIER2</t>
  </si>
  <si>
    <t>Q8N371_KDM8</t>
  </si>
  <si>
    <t>Q8N392-2_ARHGAP18</t>
  </si>
  <si>
    <t>Q8N3D4_EHBP1L1</t>
  </si>
  <si>
    <t>Q8N3F8_MICALL1</t>
  </si>
  <si>
    <t>Q8N3R9_MPP5</t>
  </si>
  <si>
    <t>Q8N3X1_FNBP4</t>
  </si>
  <si>
    <t>Q8N465_D2HGDH</t>
  </si>
  <si>
    <t>Q8N488_RYBP</t>
  </si>
  <si>
    <t>Q8N490-2_PNKD</t>
  </si>
  <si>
    <t>Q8N490-4_PNKD</t>
  </si>
  <si>
    <t>Q8N4C8-2_MINK1</t>
  </si>
  <si>
    <t>Q8N4P3_HDDC3</t>
  </si>
  <si>
    <t>Q8N4Q0_ZADH2</t>
  </si>
  <si>
    <t>Q8N4Q1_CHCHD4</t>
  </si>
  <si>
    <t>Q8N4V1_MMGT1</t>
  </si>
  <si>
    <t>Q8N556_AFAP1</t>
  </si>
  <si>
    <t>Q8N573-2_OXR1</t>
  </si>
  <si>
    <t>Q8N573-8_OXR1</t>
  </si>
  <si>
    <t>Q8N584_TTC39C</t>
  </si>
  <si>
    <t>Q8N5A5-3_ZGPAT</t>
  </si>
  <si>
    <t>Q8N5C7_DTWD1</t>
  </si>
  <si>
    <t>Q8N5G0-2_SMIM20</t>
  </si>
  <si>
    <t>Q8N5I9_C12orf45</t>
  </si>
  <si>
    <t>Q8N5K1_CISD2</t>
  </si>
  <si>
    <t>Q8N5M9_JAGN1</t>
  </si>
  <si>
    <t>Q8N5N7_MRPL50</t>
  </si>
  <si>
    <t>Q8N5X7_EIF4E3</t>
  </si>
  <si>
    <t>Q8N612_FAM160A2</t>
  </si>
  <si>
    <t>Q8N655_C10orf12</t>
  </si>
  <si>
    <t>Q8N684-2_CPSF7</t>
  </si>
  <si>
    <t>Q8N697_SLC15A4</t>
  </si>
  <si>
    <t>Q8N6H7_ARFGAP2</t>
  </si>
  <si>
    <t>Q8N6M0_OTUD6B</t>
  </si>
  <si>
    <t>Q8N6N3_C1orf52</t>
  </si>
  <si>
    <t>Q8N6N7_ACBD7</t>
  </si>
  <si>
    <t>Q8N749_TOM1L1</t>
  </si>
  <si>
    <t>Q8N766-3_EMC1</t>
  </si>
  <si>
    <t>Q8N7H5_PAF1</t>
  </si>
  <si>
    <t>Q8N7R7-3_CCNYL1</t>
  </si>
  <si>
    <t>Q8N806_UBR7</t>
  </si>
  <si>
    <t>Q8N8J7_C4orf32</t>
  </si>
  <si>
    <t>Q8N8N7_PTGR2</t>
  </si>
  <si>
    <t>Q8N8R5_C2orf69</t>
  </si>
  <si>
    <t>Q8N8R7_ARL14EP</t>
  </si>
  <si>
    <t>Q8N8S7_ENAH</t>
  </si>
  <si>
    <t>Q8N8Z6_DCBLD1</t>
  </si>
  <si>
    <t>Q8N954_GPATCH11</t>
  </si>
  <si>
    <t>Q8N983-4_MRPL43</t>
  </si>
  <si>
    <t>Q8N999_C12orf29</t>
  </si>
  <si>
    <t>Q8N9B5-2_JMY</t>
  </si>
  <si>
    <t>Q8N9D7_PTK2</t>
  </si>
  <si>
    <t>Q8N9F7_GDPD1</t>
  </si>
  <si>
    <t>Q8N9N7_LRRC57</t>
  </si>
  <si>
    <t>Q8N9N8_EIF1AD</t>
  </si>
  <si>
    <t>Q8N9U0-2_TC2N</t>
  </si>
  <si>
    <t>Q8N9V3-2_WDSUB1</t>
  </si>
  <si>
    <t>Q8NAF0_ZNF579</t>
  </si>
  <si>
    <t>Q8NAV1_PRPF38A</t>
  </si>
  <si>
    <t>Q8NB15-2_ZNF511</t>
  </si>
  <si>
    <t>Q8NB37_PDDC1</t>
  </si>
  <si>
    <t>Q8NB49_ATP11C</t>
  </si>
  <si>
    <t>Q8NBA8_DTWD2</t>
  </si>
  <si>
    <t>Q8NBF2_NHLRC2</t>
  </si>
  <si>
    <t>Q8NBF6_AVL9</t>
  </si>
  <si>
    <t>Q8NBI6_XXYLT1</t>
  </si>
  <si>
    <t>Q8NBJ4-2_GOLM1</t>
  </si>
  <si>
    <t>Q8NBJ5_COLGALT1</t>
  </si>
  <si>
    <t>Q8NBK3-4_SUMF1</t>
  </si>
  <si>
    <t>Q8NBL1_POGLUT1</t>
  </si>
  <si>
    <t>Q8NBM4-2_UBAC2</t>
  </si>
  <si>
    <t>Q8NBN3_TMEM87A</t>
  </si>
  <si>
    <t>Q8NBN7_RDH13</t>
  </si>
  <si>
    <t>Q8NBU5_ATAD1</t>
  </si>
  <si>
    <t>Q8NBX0_SCCPDH</t>
  </si>
  <si>
    <t>Q8NC51-2_SERBP1</t>
  </si>
  <si>
    <t>Q8NC54_KCT2</t>
  </si>
  <si>
    <t>Q8NC56_LEMD2</t>
  </si>
  <si>
    <t>Q8NCC3_PLA2G15</t>
  </si>
  <si>
    <t>Q8NCE0-4_TSEN2</t>
  </si>
  <si>
    <t>Q8NCE2-2_MTMR14</t>
  </si>
  <si>
    <t>Q8NCF5_NFATC2IP</t>
  </si>
  <si>
    <t>Q8NCH0_CHST14</t>
  </si>
  <si>
    <t>Q8NCM8_DYNC2H1</t>
  </si>
  <si>
    <t>Q8NCN5_PDPR</t>
  </si>
  <si>
    <t>Q8NCW5_APOA1BP</t>
  </si>
  <si>
    <t>Q8ND04-3_SMG8</t>
  </si>
  <si>
    <t>Q8ND24_RNF214</t>
  </si>
  <si>
    <t>Q8ND56-2_LSM14A</t>
  </si>
  <si>
    <t>Q8ND76-3_CCNY</t>
  </si>
  <si>
    <t>Q8NDC0_MAPK1IP1L</t>
  </si>
  <si>
    <t>Q8NDH3-5_NPEPL1</t>
  </si>
  <si>
    <t>Q8NDI1-3_EHBP1</t>
  </si>
  <si>
    <t>Q8NDZ4_C3orf58</t>
  </si>
  <si>
    <t>Q8NE01_CNNM3</t>
  </si>
  <si>
    <t>Q8NE62_CHDH</t>
  </si>
  <si>
    <t>Q8NE71-2_ABCF1</t>
  </si>
  <si>
    <t>Q8NE86-3_MCU</t>
  </si>
  <si>
    <t>Q8NEC7_GSTCD</t>
  </si>
  <si>
    <t>Q8NEF9_SRFBP1</t>
  </si>
  <si>
    <t>Q8NEN9_PDZD8</t>
  </si>
  <si>
    <t>Q8NEU8_APPL2</t>
  </si>
  <si>
    <t>Q8NEY1-5_NAV1</t>
  </si>
  <si>
    <t>Q8NEZ5_FBXO22</t>
  </si>
  <si>
    <t>Q8NF37_LPCAT1</t>
  </si>
  <si>
    <t>Q8NF67_</t>
  </si>
  <si>
    <t>Q8NFC6_BOD1L1</t>
  </si>
  <si>
    <t>Q8NFF5-2_FLAD1</t>
  </si>
  <si>
    <t>Q8NFG4_FLCN</t>
  </si>
  <si>
    <t>Q8NFH3_NUP43</t>
  </si>
  <si>
    <t>Q8NFH4_NUP37</t>
  </si>
  <si>
    <t>Q8NFP7_NUDT10</t>
  </si>
  <si>
    <t>Q8NFQ8_TOR1AIP2</t>
  </si>
  <si>
    <t>Q8NFU5_IPMK</t>
  </si>
  <si>
    <t>Q8NFV4_ABHD11</t>
  </si>
  <si>
    <t>Q8NFX7-2_STXBP6</t>
  </si>
  <si>
    <t>Q8NFZ4_NLGN2</t>
  </si>
  <si>
    <t>Q8NFZ8_CADM4</t>
  </si>
  <si>
    <t>Q8NG08_HELB</t>
  </si>
  <si>
    <t>Q8NG68_TTL</t>
  </si>
  <si>
    <t>Q8NHG7_SVIP</t>
  </si>
  <si>
    <t>Q8NHG8_ZNRF2</t>
  </si>
  <si>
    <t>Q8NHP8_PLBD2</t>
  </si>
  <si>
    <t>Q8NHU6_TDRD7</t>
  </si>
  <si>
    <t>Q8NHV4_NEDD1</t>
  </si>
  <si>
    <t>Q8NHZ8_CDC26</t>
  </si>
  <si>
    <t>Q8NI08-2_NCOA7</t>
  </si>
  <si>
    <t>Q8NI22-2_MCFD2</t>
  </si>
  <si>
    <t>Q8NI27_THOC2</t>
  </si>
  <si>
    <t>Q8NI36_WDR36</t>
  </si>
  <si>
    <t>Q8NI37_PPTC7</t>
  </si>
  <si>
    <t>Q8NI60_ADCK3</t>
  </si>
  <si>
    <t>Q8TA86_RP9</t>
  </si>
  <si>
    <t>Q8TAA5_GRPEL2</t>
  </si>
  <si>
    <t>Q8TAA9-2_VANGL1</t>
  </si>
  <si>
    <t>Q8TAE6_PPP1R14C</t>
  </si>
  <si>
    <t>Q8TAE8_GADD45GIP1</t>
  </si>
  <si>
    <t>Q8TAF3-3_WDR48</t>
  </si>
  <si>
    <t>Q8TAP8_PPP1R35</t>
  </si>
  <si>
    <t>Q8TAT6_NPLOC4</t>
  </si>
  <si>
    <t>Q8TAY7_FAM110D</t>
  </si>
  <si>
    <t>Q8TB03_CXorf38</t>
  </si>
  <si>
    <t>Q8TB36_GDAP1</t>
  </si>
  <si>
    <t>Q8TB37_NUBPL</t>
  </si>
  <si>
    <t>Q8TB52_FBXO30</t>
  </si>
  <si>
    <t>Q8TB61-3_SLC35B2</t>
  </si>
  <si>
    <t>Q8TBA6-2_GOLGA5</t>
  </si>
  <si>
    <t>Q8TBB5-3_KLHDC4</t>
  </si>
  <si>
    <t>Q8TBC4_UBA3</t>
  </si>
  <si>
    <t>Q8TBE9_NANP</t>
  </si>
  <si>
    <t>Q8TBP6_SLC25A40</t>
  </si>
  <si>
    <t>Q8TBX8_PIP4K2C</t>
  </si>
  <si>
    <t>Q8TBZ6_TRMT10A</t>
  </si>
  <si>
    <t>Q8TC07-2_TBC1D15</t>
  </si>
  <si>
    <t>Q8TC12_RDH11</t>
  </si>
  <si>
    <t>Q8TC26_TMEM163</t>
  </si>
  <si>
    <t>Q8TC71-2_SPATA18</t>
  </si>
  <si>
    <t>Q8TCD1_C18orf32</t>
  </si>
  <si>
    <t>Q8TCD5_NT5C</t>
  </si>
  <si>
    <t>Q8TCG1_KIAA1524</t>
  </si>
  <si>
    <t>Q8TCS8_PNPT1</t>
  </si>
  <si>
    <t>Q8TCT9-5_HM13</t>
  </si>
  <si>
    <t>Q8TD16_BICD2</t>
  </si>
  <si>
    <t>Q8TD19_NEK9</t>
  </si>
  <si>
    <t>Q8TD30_GPT2</t>
  </si>
  <si>
    <t>Q8TDD1_DDX54</t>
  </si>
  <si>
    <t>Q8TDH9_BLOC1S5</t>
  </si>
  <si>
    <t>Q8TDQ7_GNPDA2</t>
  </si>
  <si>
    <t>Q8TDX7_NEK7</t>
  </si>
  <si>
    <t>Q8TDY2-2_RB1CC1</t>
  </si>
  <si>
    <t>Q8TDZ2_MICAL1</t>
  </si>
  <si>
    <t>Q8TE04-2_PANK1</t>
  </si>
  <si>
    <t>Q8TE77_SSH3</t>
  </si>
  <si>
    <t>Q8TEA1_NSUN6</t>
  </si>
  <si>
    <t>Q8TEA8_DTD1</t>
  </si>
  <si>
    <t>Q8TEB1-2_DCAF11</t>
  </si>
  <si>
    <t>Q8TEH3_DENND1A</t>
  </si>
  <si>
    <t>Q8TEM1_NUP210</t>
  </si>
  <si>
    <t>Q8TEQ6_GEMIN5</t>
  </si>
  <si>
    <t>Q8TEQ8-2_PIGO</t>
  </si>
  <si>
    <t>Q8TEV9_SMCR8</t>
  </si>
  <si>
    <t>Q8TEW0-4_PARD3</t>
  </si>
  <si>
    <t>Q8TEX9_IPO4</t>
  </si>
  <si>
    <t>Q8TEY7-2_USP33</t>
  </si>
  <si>
    <t>Q8TF01_PNISR</t>
  </si>
  <si>
    <t>Q8TF05-2_PPP4R1</t>
  </si>
  <si>
    <t>Q8TF74_WIPF2</t>
  </si>
  <si>
    <t>Q8WTS6_SETD7</t>
  </si>
  <si>
    <t>Q8WU58_FAM222B</t>
  </si>
  <si>
    <t>Q8WU79-2_SMAP2</t>
  </si>
  <si>
    <t>Q8WU90_ZC3H15</t>
  </si>
  <si>
    <t>Q8WUA2_PPIL4</t>
  </si>
  <si>
    <t>Q8WUB8-3_PHF10</t>
  </si>
  <si>
    <t>Q8WUD1_RAB2B</t>
  </si>
  <si>
    <t>Q8WUD6_CHPT1</t>
  </si>
  <si>
    <t>Q8WUF5_PPP1R13L</t>
  </si>
  <si>
    <t>Q8WUF8-2_FAM172A</t>
  </si>
  <si>
    <t>Q8WUH6_C12orf23</t>
  </si>
  <si>
    <t>Q8WUJ1_CYB5D2</t>
  </si>
  <si>
    <t>Q8WUK0_PTPMT1</t>
  </si>
  <si>
    <t>Q8WUM4_PDCD6IP</t>
  </si>
  <si>
    <t>Q8WUP2_FBLIM1</t>
  </si>
  <si>
    <t>Q8WUR7_C15orf40</t>
  </si>
  <si>
    <t>Q8WUX2_CHAC2</t>
  </si>
  <si>
    <t>Q8WUX9_CHMP7</t>
  </si>
  <si>
    <t>Q8WUY1_THEM6</t>
  </si>
  <si>
    <t>Q8WUY8_NAT14</t>
  </si>
  <si>
    <t>Q8WV22_NSMCE1</t>
  </si>
  <si>
    <t>Q8WV74_NUDT8</t>
  </si>
  <si>
    <t>Q8WV92_MITD1</t>
  </si>
  <si>
    <t>Q8WVC0_LEO1</t>
  </si>
  <si>
    <t>Q8WVD3_RNF138</t>
  </si>
  <si>
    <t>Q8WVE0_N6AMT2</t>
  </si>
  <si>
    <t>Q8WVJ2_NUDCD2</t>
  </si>
  <si>
    <t>Q8WVK2_SNRNP27</t>
  </si>
  <si>
    <t>Q8WVK7_SKA2</t>
  </si>
  <si>
    <t>Q8WVL7_ANKRD49</t>
  </si>
  <si>
    <t>Q8WVM0_TFB1M</t>
  </si>
  <si>
    <t>Q8WVM8_SCFD1</t>
  </si>
  <si>
    <t>Q8WVX9_FAR1</t>
  </si>
  <si>
    <t>Q8WVY7_UBLCP1</t>
  </si>
  <si>
    <t>Q8WW01_TSEN15</t>
  </si>
  <si>
    <t>Q8WW12_PCNP</t>
  </si>
  <si>
    <t>Q8WW59_SPRYD4</t>
  </si>
  <si>
    <t>Q8WWC4_C2orf47</t>
  </si>
  <si>
    <t>Q8WWH5_TRUB1</t>
  </si>
  <si>
    <t>Q8WWM7_ATXN2L</t>
  </si>
  <si>
    <t>Q8WWV3_RTN4IP1</t>
  </si>
  <si>
    <t>Q8WWX9_SELM</t>
  </si>
  <si>
    <t>Q8WX92_NELFB</t>
  </si>
  <si>
    <t>Q8WX93-3_PALLD</t>
  </si>
  <si>
    <t>Q8WXA3_RUFY2</t>
  </si>
  <si>
    <t>Q8WXA9-2_SREK1</t>
  </si>
  <si>
    <t>Q8WXD5_GEMIN6</t>
  </si>
  <si>
    <t>Q8WXE0_CASKIN2</t>
  </si>
  <si>
    <t>Q8WXF1_PSPC1</t>
  </si>
  <si>
    <t>Q8WXI9_GATAD2B</t>
  </si>
  <si>
    <t>Q8WXX5_DNAJC9</t>
  </si>
  <si>
    <t>Q8WXX7-2_AUTS2</t>
  </si>
  <si>
    <t>Q8WY22_BRI3BP</t>
  </si>
  <si>
    <t>Q8WY54-2_PPM1E</t>
  </si>
  <si>
    <t>Q8WY91_THAP4</t>
  </si>
  <si>
    <t>Q8WYA6-3_CTNNBL1</t>
  </si>
  <si>
    <t>Q8WZ82_OVCA2</t>
  </si>
  <si>
    <t>Q8WZA9_IRGQ</t>
  </si>
  <si>
    <t>Q92466-4_DDB2</t>
  </si>
  <si>
    <t>Q92499_DDX1</t>
  </si>
  <si>
    <t>Q92506_HSD17B8</t>
  </si>
  <si>
    <t>Q92520_FAM3C</t>
  </si>
  <si>
    <t>Q92522_H1FX</t>
  </si>
  <si>
    <t>Q92526-3_CCT6B</t>
  </si>
  <si>
    <t>Q92538_GBF1</t>
  </si>
  <si>
    <t>Q92541_RTF1</t>
  </si>
  <si>
    <t>Q92544_TM9SF4</t>
  </si>
  <si>
    <t>Q92547_TOPBP1</t>
  </si>
  <si>
    <t>Q92552_MRPS27</t>
  </si>
  <si>
    <t>Q92558_WASF1</t>
  </si>
  <si>
    <t>Q92575_UBXN4</t>
  </si>
  <si>
    <t>Q92576-2_PHF3</t>
  </si>
  <si>
    <t>Q92585_MAML1</t>
  </si>
  <si>
    <t>Q92597_NDRG1</t>
  </si>
  <si>
    <t>Q92598-2_HSPH1</t>
  </si>
  <si>
    <t>Q92604_LPGAT1</t>
  </si>
  <si>
    <t>Q92616_GCN1L1</t>
  </si>
  <si>
    <t>Q92620_DHX38</t>
  </si>
  <si>
    <t>Q92621_NUP205</t>
  </si>
  <si>
    <t>Q92623_TTC9</t>
  </si>
  <si>
    <t>Q92625_ANKS1A</t>
  </si>
  <si>
    <t>Q92665_MRPS31</t>
  </si>
  <si>
    <t>Q92667_AKAP1</t>
  </si>
  <si>
    <t>Q92686_NRGN</t>
  </si>
  <si>
    <t>Q92688_ANP32B</t>
  </si>
  <si>
    <t>Q92692_PVRL2</t>
  </si>
  <si>
    <t>Q92692-2_PVRL2</t>
  </si>
  <si>
    <t>Q92696_RABGGTA</t>
  </si>
  <si>
    <t>Q92734-2_TFG</t>
  </si>
  <si>
    <t>Q92747_ARPC1A</t>
  </si>
  <si>
    <t>Q92783-2_STAM</t>
  </si>
  <si>
    <t>Q92791_LEPREL4</t>
  </si>
  <si>
    <t>Q92793-2_CREBBP</t>
  </si>
  <si>
    <t>Q92797_SYMPK</t>
  </si>
  <si>
    <t>Q92804-2_TAF15</t>
  </si>
  <si>
    <t>Q92805_GOLGA1</t>
  </si>
  <si>
    <t>Q92820_GGH</t>
  </si>
  <si>
    <t>Q92834-4_RPGR</t>
  </si>
  <si>
    <t>Q92843-2_BCL2L2</t>
  </si>
  <si>
    <t>Q92845-4_KIFAP3</t>
  </si>
  <si>
    <t>Q92871_PMM1</t>
  </si>
  <si>
    <t>Q92878_RAD50</t>
  </si>
  <si>
    <t>Q92882_OSTF1</t>
  </si>
  <si>
    <t>Q92888-3_ARHGEF1</t>
  </si>
  <si>
    <t>Q92889_ERCC4</t>
  </si>
  <si>
    <t>Q92890_UFD1L</t>
  </si>
  <si>
    <t>Q92896_GLG1</t>
  </si>
  <si>
    <t>Q92900-2_UPF1</t>
  </si>
  <si>
    <t>Q92905_COPS5</t>
  </si>
  <si>
    <t>Q92917_GPKOW</t>
  </si>
  <si>
    <t>Q92922_SMARCC1</t>
  </si>
  <si>
    <t>Q92930_RAB8B</t>
  </si>
  <si>
    <t>Q92934_BAD</t>
  </si>
  <si>
    <t>Q92945_KHSRP</t>
  </si>
  <si>
    <t>Q92947_GCDH</t>
  </si>
  <si>
    <t>Q92968_PEX13</t>
  </si>
  <si>
    <t>Q92973-2_TNPO1</t>
  </si>
  <si>
    <t>Q92979_EMG1</t>
  </si>
  <si>
    <t>Q92990_GLMN</t>
  </si>
  <si>
    <t>Q92995_USP13</t>
  </si>
  <si>
    <t>Q93008-1_USP9X</t>
  </si>
  <si>
    <t>Q93034_CUL5</t>
  </si>
  <si>
    <t>Q93052_LPP</t>
  </si>
  <si>
    <t>Q93077_HIST1H2AC</t>
  </si>
  <si>
    <t>Q93079_HIST1H2BH</t>
  </si>
  <si>
    <t>Q969E2-2_SCAMP4</t>
  </si>
  <si>
    <t>Q969E8_TSR2</t>
  </si>
  <si>
    <t>Q969F2-2_NKD2</t>
  </si>
  <si>
    <t>Q969G6_RFK</t>
  </si>
  <si>
    <t>Q969H8_C19orf10</t>
  </si>
  <si>
    <t>Q969K3_RNF34</t>
  </si>
  <si>
    <t>Q969M3_YIPF5</t>
  </si>
  <si>
    <t>Q969N2-4_PIGT</t>
  </si>
  <si>
    <t>Q969P0-3_IGSF8</t>
  </si>
  <si>
    <t>Q969Q0_RPL36AL</t>
  </si>
  <si>
    <t>Q969Q5_RAB24</t>
  </si>
  <si>
    <t>Q969S2-3_NEIL2</t>
  </si>
  <si>
    <t>Q969S3_ZNF622</t>
  </si>
  <si>
    <t>Q969S9-2_GFM2</t>
  </si>
  <si>
    <t>Q969T7-2_NT5C3B</t>
  </si>
  <si>
    <t>Q969U7_PSMG2</t>
  </si>
  <si>
    <t>Q969V3-2_NCLN</t>
  </si>
  <si>
    <t>Q969X5-2_ERGIC1</t>
  </si>
  <si>
    <t>Q969Y2-3_GTPBP3</t>
  </si>
  <si>
    <t>Q969Z0_TBRG4</t>
  </si>
  <si>
    <t>Q969Z3_MARC2</t>
  </si>
  <si>
    <t>Q96A19_CCDC102A</t>
  </si>
  <si>
    <t>Q96A33_CCDC47</t>
  </si>
  <si>
    <t>Q96A46_SLC25A28</t>
  </si>
  <si>
    <t>Q96A49_SYAP1</t>
  </si>
  <si>
    <t>Q96A65_EXOC4</t>
  </si>
  <si>
    <t>Q96A73_KIAA1191</t>
  </si>
  <si>
    <t>Q96AB3_ISOC2</t>
  </si>
  <si>
    <t>Q96AB6_NTAN1</t>
  </si>
  <si>
    <t>Q96AC1_FERMT2</t>
  </si>
  <si>
    <t>Q96AD5_PNPLA2</t>
  </si>
  <si>
    <t>Q96AE4_FUBP1</t>
  </si>
  <si>
    <t>Q96AE4-2_FUBP1</t>
  </si>
  <si>
    <t>Q96AG4_LRRC59</t>
  </si>
  <si>
    <t>Q96AJ9-1_VTI1A</t>
  </si>
  <si>
    <t>Q96AQ8_MCUR1</t>
  </si>
  <si>
    <t>Q96AT1_KIAA1143</t>
  </si>
  <si>
    <t>Q96AT9_RPE</t>
  </si>
  <si>
    <t>Q96AY3_FKBP10</t>
  </si>
  <si>
    <t>Q96B01-2_RAD51AP1</t>
  </si>
  <si>
    <t>Q96B23-2_C18orf25</t>
  </si>
  <si>
    <t>Q96B26_EXOSC8</t>
  </si>
  <si>
    <t>Q96B36_AKT1S1</t>
  </si>
  <si>
    <t>Q96B45_C10orf32</t>
  </si>
  <si>
    <t>Q96B49_TOMM6</t>
  </si>
  <si>
    <t>Q96B70_LENG9</t>
  </si>
  <si>
    <t>Q96B97_SH3KBP1</t>
  </si>
  <si>
    <t>Q96BD5-2_PHF21A</t>
  </si>
  <si>
    <t>Q96BD8-2_SKA1</t>
  </si>
  <si>
    <t>Q96BH1_RNF25</t>
  </si>
  <si>
    <t>Q96BK5_PINX1</t>
  </si>
  <si>
    <t>Q96BM9_ARL8A</t>
  </si>
  <si>
    <t>Q96BN8_FAM105B</t>
  </si>
  <si>
    <t>Q96BP2_CHCHD1</t>
  </si>
  <si>
    <t>Q96BP3_PPWD1</t>
  </si>
  <si>
    <t>Q96BR5_SELRC1</t>
  </si>
  <si>
    <t>Q96BT7_ALKBH8</t>
  </si>
  <si>
    <t>Q96BW5-2_PTER</t>
  </si>
  <si>
    <t>Q96BY7_ATG2B</t>
  </si>
  <si>
    <t>Q96BZ8_LENG1</t>
  </si>
  <si>
    <t>Q96BZ9_TBC1D20</t>
  </si>
  <si>
    <t>Q96C19_EFHD2</t>
  </si>
  <si>
    <t>Q96C23_GALM</t>
  </si>
  <si>
    <t>Q96C34-2_RUNDC1</t>
  </si>
  <si>
    <t>Q96C36_PYCR2</t>
  </si>
  <si>
    <t>Q96C57_C12orf43</t>
  </si>
  <si>
    <t>Q96C86_DCPS</t>
  </si>
  <si>
    <t>Q96C90_PPP1R14B</t>
  </si>
  <si>
    <t>Q96C92-4_SDCCAG3</t>
  </si>
  <si>
    <t>Q96CB9-4_NSUN4</t>
  </si>
  <si>
    <t>Q96CF2_CHMP4C</t>
  </si>
  <si>
    <t>Q96CG3_TIFA</t>
  </si>
  <si>
    <t>Q96CN7_ISOC1</t>
  </si>
  <si>
    <t>Q96CN9_GCC1</t>
  </si>
  <si>
    <t>Q96CP2_FLYWCH2</t>
  </si>
  <si>
    <t>Q96CS2_HAUS1</t>
  </si>
  <si>
    <t>Q96CS3_FAF2</t>
  </si>
  <si>
    <t>Q96CT7_CCDC124</t>
  </si>
  <si>
    <t>Q96CU9-3_FOXRED1</t>
  </si>
  <si>
    <t>Q96CV9-3_OPTN</t>
  </si>
  <si>
    <t>Q96CW1-2_AP2M1</t>
  </si>
  <si>
    <t>Q96CW5-2_TUBGCP3</t>
  </si>
  <si>
    <t>Q96CW6_SLC7A6OS</t>
  </si>
  <si>
    <t>Q96CX2_KCTD12</t>
  </si>
  <si>
    <t>Q96CX6_LRRC58</t>
  </si>
  <si>
    <t>Q96D05_C10orf35</t>
  </si>
  <si>
    <t>Q96D53_ADCK4</t>
  </si>
  <si>
    <t>Q96D71-3_REPS1</t>
  </si>
  <si>
    <t>Q96DA6-2_DNAJC19</t>
  </si>
  <si>
    <t>Q96DE0_NUDT16</t>
  </si>
  <si>
    <t>Q96DE5_ANAPC16</t>
  </si>
  <si>
    <t>Q96DF8_DGCR14</t>
  </si>
  <si>
    <t>Q96DG6_CMBL</t>
  </si>
  <si>
    <t>Q96DR7_ARHGEF26</t>
  </si>
  <si>
    <t>Q96DT6_ATG4C</t>
  </si>
  <si>
    <t>Q96DT7-2_ZBTB10</t>
  </si>
  <si>
    <t>Q96DZ1-2_ERLEC1</t>
  </si>
  <si>
    <t>Q96E09_FAM122A</t>
  </si>
  <si>
    <t>Q96E11-3_MRRF</t>
  </si>
  <si>
    <t>Q96E14_RMI2</t>
  </si>
  <si>
    <t>Q96E22_NUS1</t>
  </si>
  <si>
    <t>Q96E52_OMA1</t>
  </si>
  <si>
    <t>Q96EA4_SPDL1</t>
  </si>
  <si>
    <t>Q96EB1_ELP4</t>
  </si>
  <si>
    <t>Q96EB6_SIRT1</t>
  </si>
  <si>
    <t>Q96EC8_YIPF6</t>
  </si>
  <si>
    <t>Q96EE3_SEH1L</t>
  </si>
  <si>
    <t>Q96EI5_TCEAL4</t>
  </si>
  <si>
    <t>Q96EK5_KIAA1279</t>
  </si>
  <si>
    <t>Q96EK6_GNPNAT1</t>
  </si>
  <si>
    <t>Q96EK9_KTI12</t>
  </si>
  <si>
    <t>Q96EL3_MRPL53</t>
  </si>
  <si>
    <t>Q96EM0_L3HYPDH</t>
  </si>
  <si>
    <t>Q96EP5_DAZAP1</t>
  </si>
  <si>
    <t>Q96EQ0_SGTB</t>
  </si>
  <si>
    <t>Q96ER3_SAAL1</t>
  </si>
  <si>
    <t>Q96ER9_CCDC51</t>
  </si>
  <si>
    <t>Q96EU6_RRP36</t>
  </si>
  <si>
    <t>Q96EV2_RBM33</t>
  </si>
  <si>
    <t>Q96EV8_DTNBP1</t>
  </si>
  <si>
    <t>Q96EX3_WDR34</t>
  </si>
  <si>
    <t>Q96EY1_DNAJA3</t>
  </si>
  <si>
    <t>Q96EY5_MVB12A</t>
  </si>
  <si>
    <t>Q96EY8_MMAB</t>
  </si>
  <si>
    <t>Q96EY9_ADAT3</t>
  </si>
  <si>
    <t>Q96F10_SAT2</t>
  </si>
  <si>
    <t>Q96F24-2_NRBF2</t>
  </si>
  <si>
    <t>Q96F44-3_TRIM11</t>
  </si>
  <si>
    <t>Q96F45_ZNF503</t>
  </si>
  <si>
    <t>Q96F46_IL17RA</t>
  </si>
  <si>
    <t>Q96F86_EDC3</t>
  </si>
  <si>
    <t>Q96FC9-4_DDX11</t>
  </si>
  <si>
    <t>Q96FH0-2_MEF2BNB</t>
  </si>
  <si>
    <t>Q96FK6_WDR89</t>
  </si>
  <si>
    <t>Q96FV9_THOC1</t>
  </si>
  <si>
    <t>Q96FX7_TRMT61A</t>
  </si>
  <si>
    <t>Q96FZ2_C3orf37</t>
  </si>
  <si>
    <t>Q96FZ7_CHMP6</t>
  </si>
  <si>
    <t>Q96G03_PGM2</t>
  </si>
  <si>
    <t>Q96G23_CERS2</t>
  </si>
  <si>
    <t>Q96G25_MED8</t>
  </si>
  <si>
    <t>Q96G28_CCDC104</t>
  </si>
  <si>
    <t>Q96G46_DUS3L</t>
  </si>
  <si>
    <t>Q96G61_NUDT11</t>
  </si>
  <si>
    <t>Q96G74-3_OTUD5</t>
  </si>
  <si>
    <t>Q96GA3_LTV1</t>
  </si>
  <si>
    <t>Q96GA7_SDSL</t>
  </si>
  <si>
    <t>Q96GD0_PDXP</t>
  </si>
  <si>
    <t>Q96GF1_RNF185</t>
  </si>
  <si>
    <t>Q96GG9_DCUN1D1</t>
  </si>
  <si>
    <t>Q96GJ1-3_TRMT2B</t>
  </si>
  <si>
    <t>Q96GK7_FAHD2A</t>
  </si>
  <si>
    <t>Q96GP6-2_SCARF2</t>
  </si>
  <si>
    <t>Q96GS4_C17orf59</t>
  </si>
  <si>
    <t>Q96GS6_ABHD17A</t>
  </si>
  <si>
    <t>Q96GV9_C5orf30</t>
  </si>
  <si>
    <t>Q96GW9_MARS2</t>
  </si>
  <si>
    <t>Q96GX2_ATXN7L3B</t>
  </si>
  <si>
    <t>Q96GX5-2_MASTL</t>
  </si>
  <si>
    <t>Q96GX9_APIP</t>
  </si>
  <si>
    <t>Q96GY0_ZC2HC1A</t>
  </si>
  <si>
    <t>Q96H20_SNF8</t>
  </si>
  <si>
    <t>Q96H79_ZC3HAV1L</t>
  </si>
  <si>
    <t>Q96HA1-2_POM121</t>
  </si>
  <si>
    <t>Q96HA4-4_C1orf159</t>
  </si>
  <si>
    <t>Q96HA7-2_TONSL</t>
  </si>
  <si>
    <t>Q96HB5-2_CCDC120</t>
  </si>
  <si>
    <t>Q96HC4_PDLIM5</t>
  </si>
  <si>
    <t>Q96HD1_CRELD1</t>
  </si>
  <si>
    <t>Q96HE7_ERO1L</t>
  </si>
  <si>
    <t>Q96HN2-2_AHCYL2</t>
  </si>
  <si>
    <t>Q96HR9_REEP6</t>
  </si>
  <si>
    <t>Q96HS1_PGAM5</t>
  </si>
  <si>
    <t>Q96HW7-2_INTS4</t>
  </si>
  <si>
    <t>Q96HY6_DDRGK1</t>
  </si>
  <si>
    <t>Q96I15_SCLY</t>
  </si>
  <si>
    <t>Q96I24_FUBP3</t>
  </si>
  <si>
    <t>Q96I25_RBM17</t>
  </si>
  <si>
    <t>Q96I36_COX14</t>
  </si>
  <si>
    <t>Q96I51_WBSCR16</t>
  </si>
  <si>
    <t>Q96I59_NARS2</t>
  </si>
  <si>
    <t>Q96I82-2_KAZALD1</t>
  </si>
  <si>
    <t>Q96I99_SUCLG2</t>
  </si>
  <si>
    <t>Q96IF1_AJUBA</t>
  </si>
  <si>
    <t>Q96IJ6_GMPPA</t>
  </si>
  <si>
    <t>Q96IK1_BOD1</t>
  </si>
  <si>
    <t>Q96IQ9-2_ZNF414</t>
  </si>
  <si>
    <t>Q96IU4_ABHD14B</t>
  </si>
  <si>
    <t>Q96IV0-3_NGLY1</t>
  </si>
  <si>
    <t>Q96IX5_USMG5</t>
  </si>
  <si>
    <t>Q96IZ0_PAWR</t>
  </si>
  <si>
    <t>Q96IZ7-2_RSRC1</t>
  </si>
  <si>
    <t>Q96J01_THOC3</t>
  </si>
  <si>
    <t>Q96J02-2_ITCH</t>
  </si>
  <si>
    <t>Q96J84_KIRREL</t>
  </si>
  <si>
    <t>Q96JA1_LRIG1</t>
  </si>
  <si>
    <t>Q96JB5-2_CDK5RAP3</t>
  </si>
  <si>
    <t>Q96JC1-2_VPS39</t>
  </si>
  <si>
    <t>Q96JG6-3_CCDC132</t>
  </si>
  <si>
    <t>Q96JH7_VCPIP1</t>
  </si>
  <si>
    <t>Q96JJ7_TMX3</t>
  </si>
  <si>
    <t>Q96JM3_CHAMP1</t>
  </si>
  <si>
    <t>Q96JP5_ZFP91</t>
  </si>
  <si>
    <t>Q96JQ2_CLMN</t>
  </si>
  <si>
    <t>Q96JY6_PDLIM2</t>
  </si>
  <si>
    <t>Q96K12_FAR2</t>
  </si>
  <si>
    <t>Q96K19-2_RNF170</t>
  </si>
  <si>
    <t>Q96KA5-2_CLPTM1L</t>
  </si>
  <si>
    <t>Q96KB5_PBK</t>
  </si>
  <si>
    <t>Q96KC2_ARL5B</t>
  </si>
  <si>
    <t>Q96KC8_DNAJC1</t>
  </si>
  <si>
    <t>Q96KN1_FAM84B</t>
  </si>
  <si>
    <t>Q96KP1_EXOC2</t>
  </si>
  <si>
    <t>Q96KP4_CNDP2</t>
  </si>
  <si>
    <t>Q96KQ4_PPP1R13B</t>
  </si>
  <si>
    <t>Q96KR1_ZFR</t>
  </si>
  <si>
    <t>Q96L35_EPHB4</t>
  </si>
  <si>
    <t>Q96L92-3_SNX27</t>
  </si>
  <si>
    <t>Q96LA8-2_PRMT6</t>
  </si>
  <si>
    <t>Q96LB3_IFT74</t>
  </si>
  <si>
    <t>Q96LR5_UBE2E2</t>
  </si>
  <si>
    <t>Q96M27_PRRC1</t>
  </si>
  <si>
    <t>Q96ME1-4_FBXL18</t>
  </si>
  <si>
    <t>Q96MH6_TMEM68</t>
  </si>
  <si>
    <t>Q96N21-2_ENTHD2</t>
  </si>
  <si>
    <t>Q96N66-2_MBOAT7</t>
  </si>
  <si>
    <t>Q96NB1_FOPNL</t>
  </si>
  <si>
    <t>Q96NB2_SFXN2</t>
  </si>
  <si>
    <t>Q96NB3_ZNF830</t>
  </si>
  <si>
    <t>Q96NC0_ZMAT2</t>
  </si>
  <si>
    <t>Q96NL1_TMEM74</t>
  </si>
  <si>
    <t>Q96P11-2_NSUN5</t>
  </si>
  <si>
    <t>Q96P16-3_RPRD1A</t>
  </si>
  <si>
    <t>Q96P47_AGAP3</t>
  </si>
  <si>
    <t>Q96P48-3_ARAP1</t>
  </si>
  <si>
    <t>Q96P50_ACAP3</t>
  </si>
  <si>
    <t>Q96P70_IPO9</t>
  </si>
  <si>
    <t>Q96PD2_DCBLD2</t>
  </si>
  <si>
    <t>Q96PE7_MCEE</t>
  </si>
  <si>
    <t>Q96PG8_BBC3</t>
  </si>
  <si>
    <t>Q96PK6_RBM14</t>
  </si>
  <si>
    <t>Q96PM5_RCHY1</t>
  </si>
  <si>
    <t>Q96PU5-2_NEDD4L</t>
  </si>
  <si>
    <t>Q96PU8_QKI</t>
  </si>
  <si>
    <t>Q96PZ0_PUS7</t>
  </si>
  <si>
    <t>Q96Q11-2_TRNT1</t>
  </si>
  <si>
    <t>Q96Q45-2_TMEM237</t>
  </si>
  <si>
    <t>Q96Q83_ALKBH3</t>
  </si>
  <si>
    <t>Q96QC0_PPP1R10</t>
  </si>
  <si>
    <t>Q96QD5-2_DEPDC7</t>
  </si>
  <si>
    <t>Q96QK1_VPS35</t>
  </si>
  <si>
    <t>Q96QR8_PURB</t>
  </si>
  <si>
    <t>Q96QU8_XPO6</t>
  </si>
  <si>
    <t>Q96R06_SPAG5</t>
  </si>
  <si>
    <t>Q96RE7_NACC1</t>
  </si>
  <si>
    <t>Q96RF0-3_SNX18</t>
  </si>
  <si>
    <t>Q96RG2_PASK</t>
  </si>
  <si>
    <t>Q96RL7-4_VPS13A</t>
  </si>
  <si>
    <t>Q96RP9_GFM1</t>
  </si>
  <si>
    <t>Q96RR1_PEO1</t>
  </si>
  <si>
    <t>Q96RR4-2_CAMKK2</t>
  </si>
  <si>
    <t>Q96RS6_NUDCD1</t>
  </si>
  <si>
    <t>Q96RT1-7_ERBB2IP</t>
  </si>
  <si>
    <t>Q96RU2-2_USP28</t>
  </si>
  <si>
    <t>Q96RU3-4_FNBP1</t>
  </si>
  <si>
    <t>Q96S19_C16orf13</t>
  </si>
  <si>
    <t>Q96S44_TP53RK</t>
  </si>
  <si>
    <t>Q96S52_PIGS</t>
  </si>
  <si>
    <t>Q96S55-2_WRNIP1</t>
  </si>
  <si>
    <t>Q96S59_RANBP9</t>
  </si>
  <si>
    <t>Q96S66_CLCC1</t>
  </si>
  <si>
    <t>Q96S90-2_LYSMD1</t>
  </si>
  <si>
    <t>Q96S94-3_CCNL2</t>
  </si>
  <si>
    <t>Q96S99_PLEKHF1</t>
  </si>
  <si>
    <t>Q96SB3_PPP1R9B</t>
  </si>
  <si>
    <t>Q96SB8_SMC6</t>
  </si>
  <si>
    <t>Q96SI1_KCTD15</t>
  </si>
  <si>
    <t>Q96SK2-2_TMEM209</t>
  </si>
  <si>
    <t>Q96ST2_IWS1</t>
  </si>
  <si>
    <t>Q96ST3_SIN3A</t>
  </si>
  <si>
    <t>Q96SZ5_ADO</t>
  </si>
  <si>
    <t>Q96SZ6-2_CDK5RAP1</t>
  </si>
  <si>
    <t>Q96T37-2_RBM15</t>
  </si>
  <si>
    <t>Q96T51_RUFY1</t>
  </si>
  <si>
    <t>Q96T52-2_IMMP2L</t>
  </si>
  <si>
    <t>Q96T58_SPEN</t>
  </si>
  <si>
    <t>Q96T76-9_MMS19</t>
  </si>
  <si>
    <t>Q96T88_UHRF1</t>
  </si>
  <si>
    <t>Q96TA1-2_FAM129B</t>
  </si>
  <si>
    <t>Q96TA2-3_YME1L1</t>
  </si>
  <si>
    <t>Q99081_TCF12</t>
  </si>
  <si>
    <t>Q99417_MYCBP</t>
  </si>
  <si>
    <t>Q99426_TBCB</t>
  </si>
  <si>
    <t>Q99436_PSMB7</t>
  </si>
  <si>
    <t>Q99442_SEC62</t>
  </si>
  <si>
    <t>Q99447_PCYT2</t>
  </si>
  <si>
    <t>Q99459_CDC5L</t>
  </si>
  <si>
    <t>Q99460_PSMD1</t>
  </si>
  <si>
    <t>Q99471_PFDN5</t>
  </si>
  <si>
    <t>Q99487_PAFAH2</t>
  </si>
  <si>
    <t>Q99496_RNF2</t>
  </si>
  <si>
    <t>Q99497_PARK7</t>
  </si>
  <si>
    <t>Q99504-2_EYA3</t>
  </si>
  <si>
    <t>Q99519_NEU1</t>
  </si>
  <si>
    <t>Q99523_SORT1</t>
  </si>
  <si>
    <t>Q99536_VAT1</t>
  </si>
  <si>
    <t>Q99543_DNAJC2</t>
  </si>
  <si>
    <t>Q99567_NUP88</t>
  </si>
  <si>
    <t>Q99569-2_PKP4</t>
  </si>
  <si>
    <t>Q99574_SERPINI1</t>
  </si>
  <si>
    <t>Q99575_POP1</t>
  </si>
  <si>
    <t>Q99584_S100A13</t>
  </si>
  <si>
    <t>Q99598_TSNAX</t>
  </si>
  <si>
    <t>Q99611_SEPHS2</t>
  </si>
  <si>
    <t>Q99614_TTC1</t>
  </si>
  <si>
    <t>Q99615_DNAJC7</t>
  </si>
  <si>
    <t>Q99618_CDCA3</t>
  </si>
  <si>
    <t>Q99622_C12orf57</t>
  </si>
  <si>
    <t>Q99623_PHB2</t>
  </si>
  <si>
    <t>Q99633_PRPF18</t>
  </si>
  <si>
    <t>Q99640-3_PKMYT1</t>
  </si>
  <si>
    <t>Q99653_CHP1</t>
  </si>
  <si>
    <t>Q99661_KIF2C</t>
  </si>
  <si>
    <t>Q99704_DOK1</t>
  </si>
  <si>
    <t>Q99707_MTR</t>
  </si>
  <si>
    <t>Q99714_HSD17B10</t>
  </si>
  <si>
    <t>Q99720-4_SIGMAR1</t>
  </si>
  <si>
    <t>Q99729-3_HNRNPAB</t>
  </si>
  <si>
    <t>Q99733_NAP1L4</t>
  </si>
  <si>
    <t>Q99735-2_MGST2</t>
  </si>
  <si>
    <t>Q99747_NAPG</t>
  </si>
  <si>
    <t>Q99757_TXN2</t>
  </si>
  <si>
    <t>Q99766_ATP5S</t>
  </si>
  <si>
    <t>Q99767-2_APBA2</t>
  </si>
  <si>
    <t>Q99797_MIPEP</t>
  </si>
  <si>
    <t>Q99805_TM9SF2</t>
  </si>
  <si>
    <t>Q99807_COQ7</t>
  </si>
  <si>
    <t>Q99816_TSG101</t>
  </si>
  <si>
    <t>Q99832_CCT7</t>
  </si>
  <si>
    <t>Q99856_ARID3A</t>
  </si>
  <si>
    <t>Q99878_HIST1H2AJ</t>
  </si>
  <si>
    <t>Q99952-2_PTPN18</t>
  </si>
  <si>
    <t>Q99956_DUSP9</t>
  </si>
  <si>
    <t>Q99961_SH3GL1</t>
  </si>
  <si>
    <t>Q99963-4_SH3GL3</t>
  </si>
  <si>
    <t>Q9BPU6_DPYSL5</t>
  </si>
  <si>
    <t>Q9BPW8_NIPSNAP1</t>
  </si>
  <si>
    <t>Q9BPX3_NCAPG</t>
  </si>
  <si>
    <t>Q9BPX5_ARPC5L</t>
  </si>
  <si>
    <t>Q9BPX7_C7orf25</t>
  </si>
  <si>
    <t>Q9BPZ3_PAIP2</t>
  </si>
  <si>
    <t>Q9BQ52_ELAC2</t>
  </si>
  <si>
    <t>Q9BQ61_C19orf43</t>
  </si>
  <si>
    <t>Q9BQ67_GRWD1</t>
  </si>
  <si>
    <t>Q9BQ69_MACROD1</t>
  </si>
  <si>
    <t>Q9BQ70_TCF25</t>
  </si>
  <si>
    <t>Q9BQ95_ECSIT</t>
  </si>
  <si>
    <t>Q9BQC3_DPH2</t>
  </si>
  <si>
    <t>Q9BQG0_MYBBP1A</t>
  </si>
  <si>
    <t>Q9BQP7_MGME1</t>
  </si>
  <si>
    <t>Q9BQS8_FYCO1</t>
  </si>
  <si>
    <t>Q9BQT8-2_SLC25A21</t>
  </si>
  <si>
    <t>Q9BR61_ACBD6</t>
  </si>
  <si>
    <t>Q9BR76_CORO1B</t>
  </si>
  <si>
    <t>Q9BRA2_TXNDC17</t>
  </si>
  <si>
    <t>Q9BRD0-2_BUD13</t>
  </si>
  <si>
    <t>Q9BRF8_CPPED1</t>
  </si>
  <si>
    <t>Q9BRJ2_MRPL45</t>
  </si>
  <si>
    <t>Q9BRK4_LZTS2</t>
  </si>
  <si>
    <t>Q9BRK5_SDF4</t>
  </si>
  <si>
    <t>Q9BRP1_PDCD2L</t>
  </si>
  <si>
    <t>Q9BRP4_PAAF1</t>
  </si>
  <si>
    <t>Q9BRP8-2_WIBG</t>
  </si>
  <si>
    <t>Q9BRR6-2_ADPGK</t>
  </si>
  <si>
    <t>Q9BRS2_RIOK1</t>
  </si>
  <si>
    <t>Q9BRT2_MNF1</t>
  </si>
  <si>
    <t>Q9BRT9_GINS4</t>
  </si>
  <si>
    <t>Q9BRV8_SIKE1</t>
  </si>
  <si>
    <t>Q9BRX2_PELO</t>
  </si>
  <si>
    <t>Q9BRX5_GINS3</t>
  </si>
  <si>
    <t>Q9BS26_ERP44</t>
  </si>
  <si>
    <t>Q9BS40_LXN</t>
  </si>
  <si>
    <t>Q9BSB4_ATG101</t>
  </si>
  <si>
    <t>Q9BSD7_NTPCR</t>
  </si>
  <si>
    <t>Q9BSF4_C19orf52</t>
  </si>
  <si>
    <t>Q9BSH4_TACO1</t>
  </si>
  <si>
    <t>Q9BSH5_HDHD3</t>
  </si>
  <si>
    <t>Q9BSJ2_TUBGCP2</t>
  </si>
  <si>
    <t>Q9BSJ5-3_C17orf80</t>
  </si>
  <si>
    <t>Q9BSJ8_ESYT1</t>
  </si>
  <si>
    <t>Q9BSK4_FEM1A</t>
  </si>
  <si>
    <t>Q9BSL1_UBAC1</t>
  </si>
  <si>
    <t>Q9BSR8_YIPF4</t>
  </si>
  <si>
    <t>Q9BST9-2_RTKN</t>
  </si>
  <si>
    <t>Q9BSU1_C16orf70</t>
  </si>
  <si>
    <t>Q9BSV6_TSEN34</t>
  </si>
  <si>
    <t>Q9BSY4_CHCHD5</t>
  </si>
  <si>
    <t>Q9BT09_CNPY3</t>
  </si>
  <si>
    <t>Q9BT17_MTG1</t>
  </si>
  <si>
    <t>Q9BT22_ALG1</t>
  </si>
  <si>
    <t>Q9BT23_LIMD2</t>
  </si>
  <si>
    <t>Q9BT25-2_HAUS8</t>
  </si>
  <si>
    <t>Q9BT30_ALKBH7</t>
  </si>
  <si>
    <t>Q9BT73_PSMG3</t>
  </si>
  <si>
    <t>Q9BT78_COPS4</t>
  </si>
  <si>
    <t>Q9BT92_TCHP</t>
  </si>
  <si>
    <t>Q9BTA9-5_WAC</t>
  </si>
  <si>
    <t>Q9BTC0_DIDO1</t>
  </si>
  <si>
    <t>Q9BTE3-2_MCMBP</t>
  </si>
  <si>
    <t>Q9BTE6_AARSD1</t>
  </si>
  <si>
    <t>Q9BTE7_DCUN1D5</t>
  </si>
  <si>
    <t>Q9BTF0-2_THUMPD2</t>
  </si>
  <si>
    <t>Q9BTL3_FAM103A1</t>
  </si>
  <si>
    <t>Q9BTT0_ANP32E</t>
  </si>
  <si>
    <t>Q9BTT6_LRRC1</t>
  </si>
  <si>
    <t>Q9BTU6_PI4K2A</t>
  </si>
  <si>
    <t>Q9BTV5_FSD1</t>
  </si>
  <si>
    <t>Q9BTV6_WDR85</t>
  </si>
  <si>
    <t>Q9BTY2_FUCA2</t>
  </si>
  <si>
    <t>Q9BTY7_FAM203A</t>
  </si>
  <si>
    <t>Q9BTZ2-8_DHRS4</t>
  </si>
  <si>
    <t>Q9BU02_THTPA</t>
  </si>
  <si>
    <t>Q9BU23-3_LMF2</t>
  </si>
  <si>
    <t>Q9BU61_NDUFAF3</t>
  </si>
  <si>
    <t>Q9BU89_DOHH</t>
  </si>
  <si>
    <t>Q9BUA3_C11orf84</t>
  </si>
  <si>
    <t>Q9BUB7-2_TMEM70</t>
  </si>
  <si>
    <t>Q9BUE0_MED18</t>
  </si>
  <si>
    <t>Q9BUE6_ISCA1</t>
  </si>
  <si>
    <t>Q9BUF5_TUBB6</t>
  </si>
  <si>
    <t>Q9BUH6_C9orf142</t>
  </si>
  <si>
    <t>Q9BUI4_POLR3C</t>
  </si>
  <si>
    <t>Q9BUJ2-2_HNRNPUL1</t>
  </si>
  <si>
    <t>Q9BUK6-3_MSTO1</t>
  </si>
  <si>
    <t>Q9BUN5_CCDC28B</t>
  </si>
  <si>
    <t>Q9BUP3-3_HTATIP2</t>
  </si>
  <si>
    <t>Q9BUR4_WRAP53</t>
  </si>
  <si>
    <t>Q9BUT1_BDH2</t>
  </si>
  <si>
    <t>Q9BUT9_FAM195A</t>
  </si>
  <si>
    <t>Q9BUW7_C9orf16</t>
  </si>
  <si>
    <t>Q9BV10_ALG12</t>
  </si>
  <si>
    <t>Q9BV19_C1orf50</t>
  </si>
  <si>
    <t>Q9BV20_MRI1</t>
  </si>
  <si>
    <t>Q9BV23_ABHD6</t>
  </si>
  <si>
    <t>Q9BV38_WDR18</t>
  </si>
  <si>
    <t>Q9BV40_VAMP8</t>
  </si>
  <si>
    <t>Q9BV44_THUMPD3</t>
  </si>
  <si>
    <t>Q9BV57_ADI1</t>
  </si>
  <si>
    <t>Q9BV68-2_RNF126</t>
  </si>
  <si>
    <t>Q9BV73-2_CEP250</t>
  </si>
  <si>
    <t>Q9BV79_MECR</t>
  </si>
  <si>
    <t>Q9BV86_NTMT1</t>
  </si>
  <si>
    <t>Q9BVA0_KATNB1</t>
  </si>
  <si>
    <t>Q9BVA1_TUBB2B</t>
  </si>
  <si>
    <t>Q9BVC3_DSCC1</t>
  </si>
  <si>
    <t>Q9BVC4_MLST8</t>
  </si>
  <si>
    <t>Q9BVC6_TMEM109</t>
  </si>
  <si>
    <t>Q9BVG4_PBDC1</t>
  </si>
  <si>
    <t>Q9BVG9_PTDSS2</t>
  </si>
  <si>
    <t>Q9BVJ6-3_UTP14A</t>
  </si>
  <si>
    <t>Q9BVK6_TMED9</t>
  </si>
  <si>
    <t>Q9BVL4_SELO</t>
  </si>
  <si>
    <t>Q9BVM2_DPCD</t>
  </si>
  <si>
    <t>Q9BVM4_GGACT</t>
  </si>
  <si>
    <t>Q9BVR6_TUBGCP4</t>
  </si>
  <si>
    <t>Q9BVS5_TRMT61B</t>
  </si>
  <si>
    <t>Q9BVV7_TIMM21</t>
  </si>
  <si>
    <t>Q9BVW5_TIPIN</t>
  </si>
  <si>
    <t>Q9BW19_KIFC1</t>
  </si>
  <si>
    <t>Q9BW27_NUP85</t>
  </si>
  <si>
    <t>Q9BW30_TPPP3</t>
  </si>
  <si>
    <t>Q9BW60_ELOVL1</t>
  </si>
  <si>
    <t>Q9BW61_DDA1</t>
  </si>
  <si>
    <t>Q9BW71_HIRIP3</t>
  </si>
  <si>
    <t>Q9BW83_IFT27</t>
  </si>
  <si>
    <t>Q9BW85_CCDC94</t>
  </si>
  <si>
    <t>Q9BW91-2_NUDT9</t>
  </si>
  <si>
    <t>Q9BW92_TARS2</t>
  </si>
  <si>
    <t>Q9BWD1_ACAT2</t>
  </si>
  <si>
    <t>Q9BWD3_FAM127B</t>
  </si>
  <si>
    <t>Q9BWF3_RBM4</t>
  </si>
  <si>
    <t>Q9BWG6-2_SCNM1</t>
  </si>
  <si>
    <t>Q9BWH2_FUNDC2</t>
  </si>
  <si>
    <t>Q9BWH6-2_RPAP1</t>
  </si>
  <si>
    <t>Q9BWJ5_SF3B5</t>
  </si>
  <si>
    <t>Q9BWM7_SFXN3</t>
  </si>
  <si>
    <t>Q9BWT3_PAPOLG</t>
  </si>
  <si>
    <t>Q9BWT7_CARD10</t>
  </si>
  <si>
    <t>Q9BWU0_SLC4A1AP</t>
  </si>
  <si>
    <t>Q9BX40_LSM14B</t>
  </si>
  <si>
    <t>Q9BX63_BRIP1</t>
  </si>
  <si>
    <t>Q9BX66-9_SORBS1</t>
  </si>
  <si>
    <t>Q9BX67_JAM3</t>
  </si>
  <si>
    <t>Q9BX68_HINT2</t>
  </si>
  <si>
    <t>Q9BX95_SGPP1</t>
  </si>
  <si>
    <t>Q9BXB4_OSBPL11</t>
  </si>
  <si>
    <t>Q9BXF6_RAB11FIP5</t>
  </si>
  <si>
    <t>Q9BXH1_BBC3</t>
  </si>
  <si>
    <t>Q9BXJ9_NAA15</t>
  </si>
  <si>
    <t>Q9BXP2_SLC12A9</t>
  </si>
  <si>
    <t>Q9BXP5-4_SRRT</t>
  </si>
  <si>
    <t>Q9BXR0_QTRT1</t>
  </si>
  <si>
    <t>Q9BXV9_C14orf142</t>
  </si>
  <si>
    <t>Q9BXW6_OSBPL1A</t>
  </si>
  <si>
    <t>Q9BXW7-2_CECR5</t>
  </si>
  <si>
    <t>Q9BXW9-2_FANCD2</t>
  </si>
  <si>
    <t>Q9BY32_ITPA</t>
  </si>
  <si>
    <t>Q9BY43_CHMP4A</t>
  </si>
  <si>
    <t>Q9BY77_POLDIP3</t>
  </si>
  <si>
    <t>Q9BYB4_GNB1L</t>
  </si>
  <si>
    <t>Q9BYG5_PARD6B</t>
  </si>
  <si>
    <t>Q9BYN0_SRXN1</t>
  </si>
  <si>
    <t>Q9BYT3_STK33</t>
  </si>
  <si>
    <t>Q9BYT8_NLN</t>
  </si>
  <si>
    <t>Q9BYV8_CEP41</t>
  </si>
  <si>
    <t>Q9BYW2_SETD2</t>
  </si>
  <si>
    <t>Q9BZ23-3_PANK2</t>
  </si>
  <si>
    <t>Q9BZ67-2_FRMD8</t>
  </si>
  <si>
    <t>Q9BZD4_NUF2</t>
  </si>
  <si>
    <t>Q9BZE2_PUS3</t>
  </si>
  <si>
    <t>Q9BZE9_ASPSCR1</t>
  </si>
  <si>
    <t>Q9BZL1_UBL5</t>
  </si>
  <si>
    <t>Q9BZM1_PLA2G12A</t>
  </si>
  <si>
    <t>Q9BZM4_ULBP3</t>
  </si>
  <si>
    <t>Q9BZM5_ULBP2</t>
  </si>
  <si>
    <t>Q9BZX2_UCK2</t>
  </si>
  <si>
    <t>Q9BZZ5-2_API5</t>
  </si>
  <si>
    <t>Q9C005_DPY30</t>
  </si>
  <si>
    <t>Q9C026-5_TRIM9</t>
  </si>
  <si>
    <t>Q9C037-2_TRIM4</t>
  </si>
  <si>
    <t>Q9C040_TRIM2</t>
  </si>
  <si>
    <t>Q9C0B0_UNK</t>
  </si>
  <si>
    <t>Q9C0B1_FTO</t>
  </si>
  <si>
    <t>Q9C0B5-2_ZDHHC5</t>
  </si>
  <si>
    <t>Q9C0B7_TANGO6</t>
  </si>
  <si>
    <t>Q9C0C2_TNKS1BP1</t>
  </si>
  <si>
    <t>Q9C0C4_SEMA4C</t>
  </si>
  <si>
    <t>Q9C0C7-4_AMBRA1</t>
  </si>
  <si>
    <t>Q9C0C9_UBE2O</t>
  </si>
  <si>
    <t>Q9C0D3_ZYG11B</t>
  </si>
  <si>
    <t>Q9C0D5-2_TANC1</t>
  </si>
  <si>
    <t>Q9C0F1_CEP44</t>
  </si>
  <si>
    <t>Q9C0H2-2_TTYH3</t>
  </si>
  <si>
    <t>Q9C0I1-3_MTMR12</t>
  </si>
  <si>
    <t>Q9GZL7_WDR12</t>
  </si>
  <si>
    <t>Q9GZN1_ACTR6</t>
  </si>
  <si>
    <t>Q9GZN8-2_C20orf27</t>
  </si>
  <si>
    <t>Q9GZP4_PITHD1</t>
  </si>
  <si>
    <t>Q9GZP9_DERL2</t>
  </si>
  <si>
    <t>Q9GZS3_WDR61</t>
  </si>
  <si>
    <t>Q9GZT3_SLIRP</t>
  </si>
  <si>
    <t>Q9GZT4_SRR</t>
  </si>
  <si>
    <t>Q9GZT6-2_CCDC90B</t>
  </si>
  <si>
    <t>Q9GZT8-2_NIF3L1</t>
  </si>
  <si>
    <t>Q9GZT9_EGLN1</t>
  </si>
  <si>
    <t>Q9GZU8_FAM192A</t>
  </si>
  <si>
    <t>Q9GZX9_TWSG1</t>
  </si>
  <si>
    <t>Q9GZY8_MFF</t>
  </si>
  <si>
    <t>Q9GZY8-2_MFF</t>
  </si>
  <si>
    <t>Q9GZZ9_UBA5</t>
  </si>
  <si>
    <t>Q9H019-3_MTFR1L</t>
  </si>
  <si>
    <t>Q9H061_TMEM126A</t>
  </si>
  <si>
    <t>Q9H074_PAIP1</t>
  </si>
  <si>
    <t>Q9H078-2_CLPB</t>
  </si>
  <si>
    <t>Q9H082_RAB33B</t>
  </si>
  <si>
    <t>Q9H098_FAM107B</t>
  </si>
  <si>
    <t>Q9H0B6_KLC2</t>
  </si>
  <si>
    <t>Q9H0C8_ILKAP</t>
  </si>
  <si>
    <t>Q9H0D6_XRN2</t>
  </si>
  <si>
    <t>Q9H0E2_TOLLIP</t>
  </si>
  <si>
    <t>Q9H0E9-2_BRD8</t>
  </si>
  <si>
    <t>Q9H0F6-2_SHARPIN</t>
  </si>
  <si>
    <t>Q9H0G5_NSRP1</t>
  </si>
  <si>
    <t>Q9H0H5_RACGAP1</t>
  </si>
  <si>
    <t>Q9H0I2_ENKD1</t>
  </si>
  <si>
    <t>Q9H0L4_CSTF2T</t>
  </si>
  <si>
    <t>Q9H0P0_NT5C3A</t>
  </si>
  <si>
    <t>Q9H0R4_HDHD2</t>
  </si>
  <si>
    <t>Q9H0R6_QRSL1</t>
  </si>
  <si>
    <t>Q9H0U3_MAGT1</t>
  </si>
  <si>
    <t>Q9H0U4_RAB1B</t>
  </si>
  <si>
    <t>Q9H0V1_TMEM168</t>
  </si>
  <si>
    <t>Q9H0V9_LMAN2L</t>
  </si>
  <si>
    <t>Q9H0W9_C11orf54</t>
  </si>
  <si>
    <t>Q9H0X4_ITFG3</t>
  </si>
  <si>
    <t>Q9H173_SIL1</t>
  </si>
  <si>
    <t>Q9H1B7_IRF2BPL</t>
  </si>
  <si>
    <t>Q9H1C3_GLT8D2</t>
  </si>
  <si>
    <t>Q9H1E3_NUCKS1</t>
  </si>
  <si>
    <t>Q9H1K0_ZFYVE20</t>
  </si>
  <si>
    <t>Q9H1K1_ISCU</t>
  </si>
  <si>
    <t>Q9H1P3-2_OSBPL2</t>
  </si>
  <si>
    <t>Q9H1X3_DNAJC25</t>
  </si>
  <si>
    <t>Q9H1Y0_ATG5</t>
  </si>
  <si>
    <t>Q9H1Z4_WDR13</t>
  </si>
  <si>
    <t>Q9H223_EHD4</t>
  </si>
  <si>
    <t>Q9H246_C1orf21</t>
  </si>
  <si>
    <t>Q9H267_VPS33B</t>
  </si>
  <si>
    <t>Q9H270_VPS11</t>
  </si>
  <si>
    <t>Q9H2C0_GAN</t>
  </si>
  <si>
    <t>Q9H2D1_SLC25A32</t>
  </si>
  <si>
    <t>Q9H2D6-5_TRIOBP</t>
  </si>
  <si>
    <t>Q9H2G2-2_SLK</t>
  </si>
  <si>
    <t>Q9H2G9_BLZF1</t>
  </si>
  <si>
    <t>Q9H2H8_PPIL3</t>
  </si>
  <si>
    <t>Q9H2J7_SLC6A15</t>
  </si>
  <si>
    <t>Q9H2M9_RAB3GAP2</t>
  </si>
  <si>
    <t>Q9H2P0_ADNP</t>
  </si>
  <si>
    <t>Q9H2P9-3_DPH5</t>
  </si>
  <si>
    <t>Q9H2U2_PPA2</t>
  </si>
  <si>
    <t>Q9H2W6_MRPL46</t>
  </si>
  <si>
    <t>Q9H300_PARL</t>
  </si>
  <si>
    <t>Q9H307_PNN</t>
  </si>
  <si>
    <t>Q9H330-2_TMEM245</t>
  </si>
  <si>
    <t>Q9H3C7_GGNBP2</t>
  </si>
  <si>
    <t>Q9H3G5_CPVL</t>
  </si>
  <si>
    <t>Q9H3H1-4_TRIT1</t>
  </si>
  <si>
    <t>Q9H3H3_C11orf68</t>
  </si>
  <si>
    <t>Q9H3K6_BOLA2</t>
  </si>
  <si>
    <t>Q9H3N1_TMX1</t>
  </si>
  <si>
    <t>Q9H3P7_ACBD3</t>
  </si>
  <si>
    <t>Q9H3Q1_CDC42EP4</t>
  </si>
  <si>
    <t>Q9H3S7_PTPN23</t>
  </si>
  <si>
    <t>Q9H3U1_UNC45A</t>
  </si>
  <si>
    <t>Q9H3U5-4_MFSD1</t>
  </si>
  <si>
    <t>Q9H3Y8_PPDPF</t>
  </si>
  <si>
    <t>Q9H3Z4-2_DNAJC5</t>
  </si>
  <si>
    <t>Q9H410_DSN1</t>
  </si>
  <si>
    <t>Q9H425_C1orf198</t>
  </si>
  <si>
    <t>Q9H444_CHMP4B</t>
  </si>
  <si>
    <t>Q9H467_CUEDC2</t>
  </si>
  <si>
    <t>Q9H488_POFUT1</t>
  </si>
  <si>
    <t>Q9H496_IFRG15</t>
  </si>
  <si>
    <t>Q9H497_TOR3A</t>
  </si>
  <si>
    <t>Q9H4A5_GOLPH3L</t>
  </si>
  <si>
    <t>Q9H4A6_GOLPH3</t>
  </si>
  <si>
    <t>Q9H4B0_OSGEPL1</t>
  </si>
  <si>
    <t>Q9H4H8_FAM83D</t>
  </si>
  <si>
    <t>Q9H4K7_GTPBP5</t>
  </si>
  <si>
    <t>Q9H4L5-2_OSBPL3</t>
  </si>
  <si>
    <t>Q9H4L7_SMARCAD1</t>
  </si>
  <si>
    <t>Q9H4M9_EHD1</t>
  </si>
  <si>
    <t>Q9H4Z3_PCIF1</t>
  </si>
  <si>
    <t>Q9H553_ALG2</t>
  </si>
  <si>
    <t>Q9H582-2_ZNF644</t>
  </si>
  <si>
    <t>Q9H5K3_SGK196</t>
  </si>
  <si>
    <t>Q9H5N1_RABEP2</t>
  </si>
  <si>
    <t>Q9H5Q4_TFB2M</t>
  </si>
  <si>
    <t>Q9H5V9-2_CXorf56</t>
  </si>
  <si>
    <t>Q9H5X1_FAM96A</t>
  </si>
  <si>
    <t>Q9H609_ZNF576</t>
  </si>
  <si>
    <t>Q9H6E4_CCDC134</t>
  </si>
  <si>
    <t>Q9H6F5_CCDC86</t>
  </si>
  <si>
    <t>Q9H6H4_REEP4</t>
  </si>
  <si>
    <t>Q9H6K1-2_C6orf106</t>
  </si>
  <si>
    <t>Q9H6L5_FAM134B</t>
  </si>
  <si>
    <t>Q9H6Q4_NARFL</t>
  </si>
  <si>
    <t>Q9H6T3-2_RPAP3</t>
  </si>
  <si>
    <t>Q9H6U6-7_BCAS3</t>
  </si>
  <si>
    <t>Q9H6U8_ALG9</t>
  </si>
  <si>
    <t>Q9H6X2_ANTXR1</t>
  </si>
  <si>
    <t>Q9H6Y2_WDR55</t>
  </si>
  <si>
    <t>Q9H773_DCTPP1</t>
  </si>
  <si>
    <t>Q9H7B4_SMYD3</t>
  </si>
  <si>
    <t>Q9H7D7-2_WDR26</t>
  </si>
  <si>
    <t>Q9H7F0_ATP13A3</t>
  </si>
  <si>
    <t>Q9H7F4_TMEM185B</t>
  </si>
  <si>
    <t>Q9H7J1_PPP1R3E</t>
  </si>
  <si>
    <t>Q9H7N4_SCAF1</t>
  </si>
  <si>
    <t>Q9H7S9_ZNF703</t>
  </si>
  <si>
    <t>Q9H7X3_ZNF696</t>
  </si>
  <si>
    <t>Q9H7X7-2_RABL5</t>
  </si>
  <si>
    <t>Q9H7Z6_KAT8</t>
  </si>
  <si>
    <t>Q9H7Z7_PTGES2</t>
  </si>
  <si>
    <t>Q9H814_PHAX</t>
  </si>
  <si>
    <t>Q9H832_UBE2Z</t>
  </si>
  <si>
    <t>Q9H840_GEMIN7</t>
  </si>
  <si>
    <t>Q9H845_ACAD9</t>
  </si>
  <si>
    <t>Q9H857-2_NT5DC2</t>
  </si>
  <si>
    <t>Q9H8G2_CAAP1</t>
  </si>
  <si>
    <t>Q9H8H0_NOL11</t>
  </si>
  <si>
    <t>Q9H8M7_FAM188A</t>
  </si>
  <si>
    <t>Q9H8S9_MOB1A</t>
  </si>
  <si>
    <t>Q9H8U3_ZFAND3</t>
  </si>
  <si>
    <t>Q9H8W4_PLEKHF2</t>
  </si>
  <si>
    <t>Q9H8Y5_ANKZF1</t>
  </si>
  <si>
    <t>Q9H8Y8_GORASP2</t>
  </si>
  <si>
    <t>Q9H900_ZWILCH</t>
  </si>
  <si>
    <t>Q9H910-2_HN1L</t>
  </si>
  <si>
    <t>Q9H936_SLC25A22</t>
  </si>
  <si>
    <t>Q9H939_PSTPIP2</t>
  </si>
  <si>
    <t>Q9H944_MED20</t>
  </si>
  <si>
    <t>Q9H974-4_QTRTD1</t>
  </si>
  <si>
    <t>Q9H977_WDR54</t>
  </si>
  <si>
    <t>Q9H981_ACTR8</t>
  </si>
  <si>
    <t>Q9H993_C6orf211</t>
  </si>
  <si>
    <t>Q9H9A6_LRRC40</t>
  </si>
  <si>
    <t>Q9H9B1-3_EHMT1</t>
  </si>
  <si>
    <t>Q9H9B4_SFXN1</t>
  </si>
  <si>
    <t>Q9H9F9_ACTR5</t>
  </si>
  <si>
    <t>Q9H9H4_VPS37B</t>
  </si>
  <si>
    <t>Q9H9P8_L2HGDH</t>
  </si>
  <si>
    <t>Q9H9S5_FKRP</t>
  </si>
  <si>
    <t>Q9H9V9-2_JMJD4</t>
  </si>
  <si>
    <t>Q9HA47-3_UCK1</t>
  </si>
  <si>
    <t>Q9HA64_FN3KRP</t>
  </si>
  <si>
    <t>Q9HA77_CARS2</t>
  </si>
  <si>
    <t>Q9HAB8_PPCS</t>
  </si>
  <si>
    <t>Q9HAD4_WDR41</t>
  </si>
  <si>
    <t>Q9HAF1-2_MEAF6</t>
  </si>
  <si>
    <t>Q9HAT8_PELI2</t>
  </si>
  <si>
    <t>Q9HAV0_GNB4</t>
  </si>
  <si>
    <t>Q9HAV4_XPO5</t>
  </si>
  <si>
    <t>Q9HAV5_EDA2R</t>
  </si>
  <si>
    <t>Q9HAV7_GRPEL1</t>
  </si>
  <si>
    <t>Q9HB07_C12orf10</t>
  </si>
  <si>
    <t>Q9HB09_BCL2L12</t>
  </si>
  <si>
    <t>Q9HB20_PLEKHA3</t>
  </si>
  <si>
    <t>Q9HB40_SCPEP1</t>
  </si>
  <si>
    <t>Q9HB71_CACYBP</t>
  </si>
  <si>
    <t>Q9HB90_RRAGC</t>
  </si>
  <si>
    <t>Q9HBD4_SMARCA4</t>
  </si>
  <si>
    <t>Q9HBH1_PDF</t>
  </si>
  <si>
    <t>Q9HBH5_RDH14</t>
  </si>
  <si>
    <t>Q9HBI1-3_PARVB</t>
  </si>
  <si>
    <t>Q9HBK9_AS3MT</t>
  </si>
  <si>
    <t>Q9HBL7_PLGRKT</t>
  </si>
  <si>
    <t>Q9HBL8_NMRAL1</t>
  </si>
  <si>
    <t>Q9HBM1_SPC25</t>
  </si>
  <si>
    <t>Q9HBM6_TAF9B</t>
  </si>
  <si>
    <t>Q9HBM8_AGPAT1</t>
  </si>
  <si>
    <t>Q9HBR0_SLC38A10</t>
  </si>
  <si>
    <t>Q9HC21_SLC25A19</t>
  </si>
  <si>
    <t>Q9HC38-2_GLOD4</t>
  </si>
  <si>
    <t>Q9HC44_GPBP1L1</t>
  </si>
  <si>
    <t>Q9HCC0_MCCC2</t>
  </si>
  <si>
    <t>Q9HCC9-5_ZFYVE28</t>
  </si>
  <si>
    <t>Q9HCD6_TANC2</t>
  </si>
  <si>
    <t>Q9HCE5_METTL14</t>
  </si>
  <si>
    <t>Q9HCJ3-2_RAVER2</t>
  </si>
  <si>
    <t>Q9HCK1_ZDBF2</t>
  </si>
  <si>
    <t>Q9HCM4-4_EPB41L5</t>
  </si>
  <si>
    <t>Q9HCN4-3_GPN1</t>
  </si>
  <si>
    <t>Q9HCN8_SDF2L1</t>
  </si>
  <si>
    <t>Q9HCU5_PREB</t>
  </si>
  <si>
    <t>Q9HD15_SRA1</t>
  </si>
  <si>
    <t>Q9HD20-2_ATP13A1</t>
  </si>
  <si>
    <t>Q9HD26-2_GOPC</t>
  </si>
  <si>
    <t>Q9HD42_CHMP1A</t>
  </si>
  <si>
    <t>Q9HD45_TM9SF3</t>
  </si>
  <si>
    <t>Q9HD47-2_RANGRF</t>
  </si>
  <si>
    <t>Q9HDC9_APMAP</t>
  </si>
  <si>
    <t>Q9NNW7-2_TXNRD2</t>
  </si>
  <si>
    <t>Q9NNX1-2_TUFT1</t>
  </si>
  <si>
    <t>Q9NP58-4_ABCB6</t>
  </si>
  <si>
    <t>Q9NP61_ARFGAP3</t>
  </si>
  <si>
    <t>Q9NP66_HMG20A</t>
  </si>
  <si>
    <t>Q9NP72_RAB18</t>
  </si>
  <si>
    <t>Q9NP77_SSU72</t>
  </si>
  <si>
    <t>Q9NP79_VTA1</t>
  </si>
  <si>
    <t>Q9NPA3_MID1IP1</t>
  </si>
  <si>
    <t>Q9NPA8-2_ENY2</t>
  </si>
  <si>
    <t>Q9NPB8_GPCPD1</t>
  </si>
  <si>
    <t>Q9NPD3_EXOSC4</t>
  </si>
  <si>
    <t>Q9NPD8_UBE2T</t>
  </si>
  <si>
    <t>Q9NPE3_NOP10</t>
  </si>
  <si>
    <t>Q9NPF0_CD320</t>
  </si>
  <si>
    <t>Q9NPF4_OSGEP</t>
  </si>
  <si>
    <t>Q9NPG8_ZDHHC4</t>
  </si>
  <si>
    <t>Q9NPH0_ACP6</t>
  </si>
  <si>
    <t>Q9NPI6_DCP1A</t>
  </si>
  <si>
    <t>Q9NPJ3_ACOT13</t>
  </si>
  <si>
    <t>Q9NPJ6_MED4</t>
  </si>
  <si>
    <t>Q9NPL8_TIMMDC1</t>
  </si>
  <si>
    <t>Q9NPQ8-4_RIC8A</t>
  </si>
  <si>
    <t>Q9NPR9_GPR108</t>
  </si>
  <si>
    <t>Q9NQ11-3_ATP13A2</t>
  </si>
  <si>
    <t>Q9NQ29_LUC7L</t>
  </si>
  <si>
    <t>Q9NQ88_TIGAR</t>
  </si>
  <si>
    <t>Q9NQC3_RTN4</t>
  </si>
  <si>
    <t>Q9NQE9_HINT3</t>
  </si>
  <si>
    <t>Q9NQG1_MANBAL</t>
  </si>
  <si>
    <t>Q9NQG5_RPRD1B</t>
  </si>
  <si>
    <t>Q9NQH7-2_XPNPEP3</t>
  </si>
  <si>
    <t>Q9NQL2_RRAGD</t>
  </si>
  <si>
    <t>Q9NQP4_PFDN4</t>
  </si>
  <si>
    <t>Q9NQR4_NIT2</t>
  </si>
  <si>
    <t>Q9NQS1_AVEN</t>
  </si>
  <si>
    <t>Q9NQT4_EXOSC5</t>
  </si>
  <si>
    <t>Q9NQT8_KIF13B</t>
  </si>
  <si>
    <t>Q9NQW6_ANLN</t>
  </si>
  <si>
    <t>Q9NQW7-3_XPNPEP1</t>
  </si>
  <si>
    <t>Q9NQZ5_STARD7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</si>
  <si>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</si>
  <si>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</si>
  <si>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</si>
  <si>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</si>
  <si>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</si>
  <si>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</si>
  <si>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</si>
  <si>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Q9NR50_EIF2B3</t>
  </si>
  <si>
    <t>Q9NRA8_EIF4ENIF1</t>
  </si>
  <si>
    <t>Q9NRB3_CHST12</t>
  </si>
  <si>
    <t>Q9NRC6_SPTBN5</t>
  </si>
  <si>
    <t>Q9NRD5_PICK1</t>
  </si>
  <si>
    <t>Q9NRF2-3_SH2B1</t>
  </si>
  <si>
    <t>Q9NRF8_CTPS2</t>
  </si>
  <si>
    <t>Q9NRF9_POLE3</t>
  </si>
  <si>
    <t>Q9NRG0_CHRAC1</t>
  </si>
  <si>
    <t>Q9NRG4_SMYD2</t>
  </si>
  <si>
    <t>Q9NRG7-2_SDR39U1</t>
  </si>
  <si>
    <t>Q9NRH1_YAE1D1</t>
  </si>
  <si>
    <t>Q9NRK6_ABCB10</t>
  </si>
  <si>
    <t>Q9NRN7_AASDHPPT</t>
  </si>
  <si>
    <t>Q9NRN9_METTL5</t>
  </si>
  <si>
    <t>Q9NRP0_OSTC</t>
  </si>
  <si>
    <t>Q9NRP2_CMC2</t>
  </si>
  <si>
    <t>Q9NRP4_ACN9</t>
  </si>
  <si>
    <t>Q9NRR5_UBQLN4</t>
  </si>
  <si>
    <t>Q9NRR6-2_INPP5E</t>
  </si>
  <si>
    <t>Q9NRR8_CDC42SE1</t>
  </si>
  <si>
    <t>Q9NRS6-2_SNX15</t>
  </si>
  <si>
    <t>Q9NRV9_HEBP1</t>
  </si>
  <si>
    <t>Q9NRW1_RAB6B</t>
  </si>
  <si>
    <t>Q9NRW4_DUSP22</t>
  </si>
  <si>
    <t>Q9NRW7_VPS45</t>
  </si>
  <si>
    <t>Q9NRX4_PHPT1</t>
  </si>
  <si>
    <t>Q9NRX5_SERINC1</t>
  </si>
  <si>
    <t>Q9NRY4_ARHGAP35</t>
  </si>
  <si>
    <t>Q9NRY5_FAM114A2</t>
  </si>
  <si>
    <t>Q9NRY6_PLSCR3</t>
  </si>
  <si>
    <t>Q9NRZ5_AGPAT4</t>
  </si>
  <si>
    <t>Q9NRZ7-2_AGPAT3</t>
  </si>
  <si>
    <t>Q9NRZ9-3_HELLS</t>
  </si>
  <si>
    <t>Q9NS69_TOMM22</t>
  </si>
  <si>
    <t>Q9NS86_LANCL2</t>
  </si>
  <si>
    <t>Q9NS87-4_KIF15</t>
  </si>
  <si>
    <t>Q9NS91_RAD18</t>
  </si>
  <si>
    <t>Q9NS93_TM7SF3</t>
  </si>
  <si>
    <t>Q9NSA3_CTNNBIP1</t>
  </si>
  <si>
    <t>Q9NSB8-2_HOMER2</t>
  </si>
  <si>
    <t>Q9NSD9_FARSB</t>
  </si>
  <si>
    <t>Q9NSE4_IARS2</t>
  </si>
  <si>
    <t>Q9NSG2-3_C1orf112</t>
  </si>
  <si>
    <t>Q9NSI2-2_FAM207A</t>
  </si>
  <si>
    <t>Q9NT62_ATG3</t>
  </si>
  <si>
    <t>Q9NTJ5_SACM1L</t>
  </si>
  <si>
    <t>Q9NTK5-2_OLA1</t>
  </si>
  <si>
    <t>Q9NTM9_CUTC</t>
  </si>
  <si>
    <t>Q9NTN9_SEMA4G</t>
  </si>
  <si>
    <t>Q9NTW7-2_ZFP64</t>
  </si>
  <si>
    <t>Q9NTX5-3_ECHDC1</t>
  </si>
  <si>
    <t>Q9NTX7-2_RNF146</t>
  </si>
  <si>
    <t>Q9NTZ6_RBM12</t>
  </si>
  <si>
    <t>Q9NU19_TBC1D22B</t>
  </si>
  <si>
    <t>Q9NU23_LYRM2</t>
  </si>
  <si>
    <t>Q9NUB1-2_ACSS1</t>
  </si>
  <si>
    <t>Q9NUE0_ZDHHC18</t>
  </si>
  <si>
    <t>Q9NUG6_PDRG1</t>
  </si>
  <si>
    <t>Q9NUJ1_ABHD10</t>
  </si>
  <si>
    <t>Q9NUM4_TMEM106B</t>
  </si>
  <si>
    <t>Q9NUN5-3_LMBRD1</t>
  </si>
  <si>
    <t>Q9NUP1_BLOC1S4</t>
  </si>
  <si>
    <t>Q9NUP7_TRMT13</t>
  </si>
  <si>
    <t>Q9NUP9_LIN7C</t>
  </si>
  <si>
    <t>Q9NUQ2_AGPAT5</t>
  </si>
  <si>
    <t>Q9NUQ3_TXLNG</t>
  </si>
  <si>
    <t>Q9NUQ7_UFSP2</t>
  </si>
  <si>
    <t>Q9NUQ8_ABCF3</t>
  </si>
  <si>
    <t>Q9NUQ9_FAM49B</t>
  </si>
  <si>
    <t>Q9NUS5_AP5S1</t>
  </si>
  <si>
    <t>Q9NUU7_DDX19A</t>
  </si>
  <si>
    <t>Q9NUW8_TDP1</t>
  </si>
  <si>
    <t>Q9NUY8-2_TBC1D23</t>
  </si>
  <si>
    <t>Q9NV06_DCAF13</t>
  </si>
  <si>
    <t>Q9NV29_TMEM100</t>
  </si>
  <si>
    <t>Q9NV56_MRGBP</t>
  </si>
  <si>
    <t>Q9NV70-2_EXOC1</t>
  </si>
  <si>
    <t>Q9NV96-3_TMEM30A</t>
  </si>
  <si>
    <t>Q9NVA4_TMEM184C</t>
  </si>
  <si>
    <t>Q9NVC6_MED17</t>
  </si>
  <si>
    <t>Q9NVE7_PANK4</t>
  </si>
  <si>
    <t>Q9NVG8_TBC1D13</t>
  </si>
  <si>
    <t>Q9NVH0_EXD2</t>
  </si>
  <si>
    <t>Q9NVH1-3_DNAJC11</t>
  </si>
  <si>
    <t>Q9NVH2-4_INTS7</t>
  </si>
  <si>
    <t>Q9NVI1_FANCI</t>
  </si>
  <si>
    <t>Q9NVI7-2_ATAD3A</t>
  </si>
  <si>
    <t>Q9NVJ2_ARL8B</t>
  </si>
  <si>
    <t>Q9NVM4_PRMT7</t>
  </si>
  <si>
    <t>Q9NVM6_DNAJC17</t>
  </si>
  <si>
    <t>Q9NVM9_ASUN</t>
  </si>
  <si>
    <t>Q9NVP2_ASF1B</t>
  </si>
  <si>
    <t>Q9NVQ4_FAIM</t>
  </si>
  <si>
    <t>Q9NVR0_KLHL11</t>
  </si>
  <si>
    <t>Q9NVR5_DNAAF2</t>
  </si>
  <si>
    <t>Q9NVT9_ARMC1</t>
  </si>
  <si>
    <t>Q9NVV0_TMEM38B</t>
  </si>
  <si>
    <t>Q9NVV4-2_MTPAP</t>
  </si>
  <si>
    <t>Q9NVX2_NLE1</t>
  </si>
  <si>
    <t>Q9NVZ3_NECAP2</t>
  </si>
  <si>
    <t>Q9NW64_RBM22</t>
  </si>
  <si>
    <t>Q9NW82_WDR70</t>
  </si>
  <si>
    <t>Q9NWB6_ARGLU1</t>
  </si>
  <si>
    <t>Q9NWH9_SLTM</t>
  </si>
  <si>
    <t>Q9NWM8_FKBP14</t>
  </si>
  <si>
    <t>Q9NWQ8_PAG1</t>
  </si>
  <si>
    <t>Q9NWR8_CCDC109B</t>
  </si>
  <si>
    <t>Q9NWS6_FAM118A</t>
  </si>
  <si>
    <t>Q9NWT6_HIF1AN</t>
  </si>
  <si>
    <t>Q9NWU1_OXSM</t>
  </si>
  <si>
    <t>Q9NWV4_C1orf123</t>
  </si>
  <si>
    <t>Q9NWX5_ASB6</t>
  </si>
  <si>
    <t>Q9NWX6_THG1L</t>
  </si>
  <si>
    <t>Q9NWY4_C4orf27</t>
  </si>
  <si>
    <t>Q9NWZ3_IRAK4</t>
  </si>
  <si>
    <t>Q9NX01_TXNL4B</t>
  </si>
  <si>
    <t>Q9NX07-2_TRNAU1AP</t>
  </si>
  <si>
    <t>Q9NX08_COMMD8</t>
  </si>
  <si>
    <t>Q9NX14_NDUFB11</t>
  </si>
  <si>
    <t>Q9NX24_NHP2</t>
  </si>
  <si>
    <t>Q9NX38_FAM206A</t>
  </si>
  <si>
    <t>Q9NX40_OCIAD1</t>
  </si>
  <si>
    <t>Q9NX46_ADPRHL2</t>
  </si>
  <si>
    <t>Q9NX47_MARCH5</t>
  </si>
  <si>
    <t>Q9NX55_HYPK</t>
  </si>
  <si>
    <t>Q9NX62_IMPAD1</t>
  </si>
  <si>
    <t>Q9NX70_MED29</t>
  </si>
  <si>
    <t>Q9NX74_DUS2L</t>
  </si>
  <si>
    <t>Q9NXA8_SIRT5</t>
  </si>
  <si>
    <t>Q9NXF7_DCAF16</t>
  </si>
  <si>
    <t>Q9NXH9_TRMT1</t>
  </si>
  <si>
    <t>Q9NXN4-2_GDAP2</t>
  </si>
  <si>
    <t>Q9NXR1-2_NDE1</t>
  </si>
  <si>
    <t>Q9NXR7_BRE</t>
  </si>
  <si>
    <t>Q9NXU5_ARL15</t>
  </si>
  <si>
    <t>Q9NXV2_KCTD5</t>
  </si>
  <si>
    <t>Q9NXV6_CDKN2AIP</t>
  </si>
  <si>
    <t>Q9NXW9_ALKBH4</t>
  </si>
  <si>
    <t>Q9NY27_PPP4R2</t>
  </si>
  <si>
    <t>Q9NY93-2_DDX56</t>
  </si>
  <si>
    <t>Q9NYB0_TERF2IP</t>
  </si>
  <si>
    <t>Q9NYH9_UTP6</t>
  </si>
  <si>
    <t>Q9NYJ1_COA4</t>
  </si>
  <si>
    <t>Q9NYJ8_TAB2</t>
  </si>
  <si>
    <t>Q9NYK5_MRPL39</t>
  </si>
  <si>
    <t>Q9NYK6-3_EURL</t>
  </si>
  <si>
    <t>Q9NYL2-2_MLTK</t>
  </si>
  <si>
    <t>Q9NYL9_TMOD3</t>
  </si>
  <si>
    <t>Q9NYP9_MIS18A</t>
  </si>
  <si>
    <t>Q9NYU2-2_UGGT1</t>
  </si>
  <si>
    <t>Q9NYY8_FASTKD2</t>
  </si>
  <si>
    <t>Q9NYZ3_GTSE1</t>
  </si>
  <si>
    <t>Q9NZ01_TECR</t>
  </si>
  <si>
    <t>Q9NZ08_ERAP1</t>
  </si>
  <si>
    <t>Q9NZ09-2_UBAP1</t>
  </si>
  <si>
    <t>Q9NZ32_ACTR10</t>
  </si>
  <si>
    <t>Q9NZ45_CISD1</t>
  </si>
  <si>
    <t>Q9NZ53_PODXL2</t>
  </si>
  <si>
    <t>Q9NZ63_C9orf78</t>
  </si>
  <si>
    <t>Q9NZA1-3_CLIC5</t>
  </si>
  <si>
    <t>Q9NZB8-2_MOCS1</t>
  </si>
  <si>
    <t>Q9NZC3_GDE1</t>
  </si>
  <si>
    <t>Q9NZC7_WWOX</t>
  </si>
  <si>
    <t>Q9NZC9_SMARCAL1</t>
  </si>
  <si>
    <t>Q9NZD8-2_SPG21</t>
  </si>
  <si>
    <t>Q9NZI8_IGF2BP1</t>
  </si>
  <si>
    <t>Q9NZJ4-2_SACS</t>
  </si>
  <si>
    <t>Q9NZJ6_COQ3</t>
  </si>
  <si>
    <t>Q9NZJ9_NUDT4</t>
  </si>
  <si>
    <t>Q9NZL4_HSPBP1</t>
  </si>
  <si>
    <t>Q9NZL9_MAT2B</t>
  </si>
  <si>
    <t>Q9NZL9-2_MAT2B</t>
  </si>
  <si>
    <t>Q9NZN3_EHD3</t>
  </si>
  <si>
    <t>Q9NZN5_ARHGEF12</t>
  </si>
  <si>
    <t>Q9NZQ3-3_NCKIPSD</t>
  </si>
  <si>
    <t>Q9NZT2-2_OGFR</t>
  </si>
  <si>
    <t>Q9NZU5_LMCD1</t>
  </si>
  <si>
    <t>Q9NZW5_MPP6</t>
  </si>
  <si>
    <t>Q9NZZ3_CHMP5</t>
  </si>
  <si>
    <t>Q9P000_COMMD9</t>
  </si>
  <si>
    <t>Q9P013_CWC15</t>
  </si>
  <si>
    <t>Q9P016_THYN1</t>
  </si>
  <si>
    <t>Q9P032_NDUFAF4</t>
  </si>
  <si>
    <t>Q9P035_PTPLAD1</t>
  </si>
  <si>
    <t>Q9P0J1_PDP1</t>
  </si>
  <si>
    <t>Q9P0L0_VAPA</t>
  </si>
  <si>
    <t>Q9P0L2_MARK1</t>
  </si>
  <si>
    <t>Q9P0N9-3_TBC1D7</t>
  </si>
  <si>
    <t>Q9P0P0_RNF181</t>
  </si>
  <si>
    <t>Q9P0R6_GSKIP</t>
  </si>
  <si>
    <t>Q9P0V3_SH3BP4</t>
  </si>
  <si>
    <t>Q9P0W5_SCHIP1</t>
  </si>
  <si>
    <t>Q9P1U0_ZNRD1</t>
  </si>
  <si>
    <t>Q9P1Y5_CAMSAP3</t>
  </si>
  <si>
    <t>Q9P1Z2-2_CALCOCO1</t>
  </si>
  <si>
    <t>Q9P206_KIAA1522</t>
  </si>
  <si>
    <t>Q9P258_RCC2</t>
  </si>
  <si>
    <t>Q9P260-2_KIAA1468</t>
  </si>
  <si>
    <t>Q9P265_DIP2B</t>
  </si>
  <si>
    <t>Q9P266_KIAA1462</t>
  </si>
  <si>
    <t>Q9P270_SLAIN2</t>
  </si>
  <si>
    <t>Q9P287-2_BCCIP</t>
  </si>
  <si>
    <t>Q9P2B2_PTGFRN</t>
  </si>
  <si>
    <t>Q9P2B4_CTTNBP2NL</t>
  </si>
  <si>
    <t>Q9P2C4_TMEM181</t>
  </si>
  <si>
    <t>Q9P2D1-4_CHD7</t>
  </si>
  <si>
    <t>Q9P2D3-3_HEATR5B</t>
  </si>
  <si>
    <t>Q9P2D7-5_DNAH1</t>
  </si>
  <si>
    <t>Q9P2E9_RRBP1</t>
  </si>
  <si>
    <t>Q9P2I0_CPSF2</t>
  </si>
  <si>
    <t>Q9P2M7_CGN</t>
  </si>
  <si>
    <t>Q9P2N5_RBM27</t>
  </si>
  <si>
    <t>Q9P2R3_ANKFY1</t>
  </si>
  <si>
    <t>Q9P2W1-2_PSMC3IP</t>
  </si>
  <si>
    <t>Q9P2X0_DPM3</t>
  </si>
  <si>
    <t>Q9P2X3_IMPACT</t>
  </si>
  <si>
    <t>Q9UBB4_ATXN10</t>
  </si>
  <si>
    <t>Q9UBB6_NCDN</t>
  </si>
  <si>
    <t>Q9UBB9_TFIP11</t>
  </si>
  <si>
    <t>Q9UBC2-2_EPS15L1</t>
  </si>
  <si>
    <t>Q9UBE0_SAE1</t>
  </si>
  <si>
    <t>Q9UBF2_COPG2</t>
  </si>
  <si>
    <t>Q9UBF6_RNF7</t>
  </si>
  <si>
    <t>Q9UBF8-2_PI4KB</t>
  </si>
  <si>
    <t>Q9UBI6_GNG12</t>
  </si>
  <si>
    <t>Q9UBK8-2_MTRR</t>
  </si>
  <si>
    <t>Q9UBL6-2_CPNE7</t>
  </si>
  <si>
    <t>Q9UBM7_DHCR7</t>
  </si>
  <si>
    <t>Q9UBN6_TNFRSF10D</t>
  </si>
  <si>
    <t>Q9UBP0-3_SPAST</t>
  </si>
  <si>
    <t>Q9UBP6_METTL1</t>
  </si>
  <si>
    <t>Q9UBP9-4_GULP1</t>
  </si>
  <si>
    <t>Q9UBQ0_VPS29</t>
  </si>
  <si>
    <t>Q9UBQ7_GRHPR</t>
  </si>
  <si>
    <t>Q9UBS0_RPS6KB2</t>
  </si>
  <si>
    <t>Q9UBS4_DNAJB11</t>
  </si>
  <si>
    <t>Q9UBS8-2_RNF14</t>
  </si>
  <si>
    <t>Q9UBT2_UBA2</t>
  </si>
  <si>
    <t>Q9UBT7-2_CTNNAL1</t>
  </si>
  <si>
    <t>Q9UBU6_FAM8A1</t>
  </si>
  <si>
    <t>Q9UBU8-2_MORF4L1</t>
  </si>
  <si>
    <t>Q9UBV8_PEF1</t>
  </si>
  <si>
    <t>Q9UBW7_ZMYM2</t>
  </si>
  <si>
    <t>Q9UBW8_COPS7A</t>
  </si>
  <si>
    <t>Q9UDR5_AASS</t>
  </si>
  <si>
    <t>Q9UDX5_MTFP1</t>
  </si>
  <si>
    <t>Q9UDY2-3_TJP2</t>
  </si>
  <si>
    <t>Q9UDY4_DNAJB4</t>
  </si>
  <si>
    <t>Q9UDY8-2_MALT1</t>
  </si>
  <si>
    <t>Q9UEE9_CFDP1</t>
  </si>
  <si>
    <t>Q9UEG4_ZNF629</t>
  </si>
  <si>
    <t>Q9UEL6_MPZL1</t>
  </si>
  <si>
    <t>Q9UER7-3_DAXX</t>
  </si>
  <si>
    <t>Q9UET6-2_FTSJ1</t>
  </si>
  <si>
    <t>Q9UEU0_VTI1B</t>
  </si>
  <si>
    <t>Q9UEW8_STK39</t>
  </si>
  <si>
    <t>Q9UEY8-2_ADD3</t>
  </si>
  <si>
    <t>Q9UFC0_LRWD1</t>
  </si>
  <si>
    <t>Q9UFG5_C19orf25</t>
  </si>
  <si>
    <t>Q9UFW8_CGGBP1</t>
  </si>
  <si>
    <t>Q9UG56-2_PISD</t>
  </si>
  <si>
    <t>Q9UG63_ABCF2</t>
  </si>
  <si>
    <t>Q9UGC7_MTRF1L</t>
  </si>
  <si>
    <t>Q9UGI8_TES</t>
  </si>
  <si>
    <t>Q9UGI8-2_TES</t>
  </si>
  <si>
    <t>Q9UGP4_LIMD1</t>
  </si>
  <si>
    <t>Q9UGP8_SEC63</t>
  </si>
  <si>
    <t>Q9UGU0-2_TCF20</t>
  </si>
  <si>
    <t>Q9UH62_ARMCX3</t>
  </si>
  <si>
    <t>Q9UHA4_LAMTOR3</t>
  </si>
  <si>
    <t>Q9UHB6_LIMA1</t>
  </si>
  <si>
    <t>Q9UHD1_CHORDC1</t>
  </si>
  <si>
    <t>Q9UHD2_TBK1</t>
  </si>
  <si>
    <t>Q9UHD8-7_SEPT9</t>
  </si>
  <si>
    <t>Q9UHD9_UBQLN2</t>
  </si>
  <si>
    <t>Q9UHE8_STEAP1</t>
  </si>
  <si>
    <t>Q9UHG2_PCSK1N</t>
  </si>
  <si>
    <t>Q9UHG3_PCYOX1</t>
  </si>
  <si>
    <t>Q9UHI6_DDX20</t>
  </si>
  <si>
    <t>Q9UHJ6_SHPK</t>
  </si>
  <si>
    <t>Q9UHP3_USP25</t>
  </si>
  <si>
    <t>Q9UHQ4_BCAP29</t>
  </si>
  <si>
    <t>Q9UHQ9_CYB5R1</t>
  </si>
  <si>
    <t>Q9UHR4_BAIAP2L1</t>
  </si>
  <si>
    <t>Q9UHV9_PFDN2</t>
  </si>
  <si>
    <t>Q9UHW5_GPN3</t>
  </si>
  <si>
    <t>Q9UHX1-4_PUF60</t>
  </si>
  <si>
    <t>Q9UHY1_NRBP1</t>
  </si>
  <si>
    <t>Q9UHY7_ENOPH1</t>
  </si>
  <si>
    <t>Q9UI08_EVL</t>
  </si>
  <si>
    <t>Q9UI12-2_ATP6V1H</t>
  </si>
  <si>
    <t>Q9UI26_IPO11</t>
  </si>
  <si>
    <t>Q9UI30_TRMT112</t>
  </si>
  <si>
    <t>Q9UI43_FTSJ2</t>
  </si>
  <si>
    <t>Q9UIC8_LCMT1</t>
  </si>
  <si>
    <t>Q9UID3_VPS51</t>
  </si>
  <si>
    <t>Q9UIG0-2_BAZ1B</t>
  </si>
  <si>
    <t>Q9UII2_ATPIF1</t>
  </si>
  <si>
    <t>Q9UIJ7_AK3</t>
  </si>
  <si>
    <t>Q9UIL1-3_SCOC</t>
  </si>
  <si>
    <t>Q9UIM3_FKBPL</t>
  </si>
  <si>
    <t>Q9UIQ6-3_LNPEP</t>
  </si>
  <si>
    <t>Q9UJ41_RABGEF1</t>
  </si>
  <si>
    <t>Q9UJ70_NAGK</t>
  </si>
  <si>
    <t>Q9UJA5_TRMT6</t>
  </si>
  <si>
    <t>Q9UJS0_SLC25A13</t>
  </si>
  <si>
    <t>Q9UJU6_DBNL</t>
  </si>
  <si>
    <t>Q9UJU6-2_DBNL</t>
  </si>
  <si>
    <t>Q9UJW0-2_DCTN4</t>
  </si>
  <si>
    <t>Q9UJX2-3_CDC23</t>
  </si>
  <si>
    <t>Q9UJX3-2_ANAPC7</t>
  </si>
  <si>
    <t>Q9UJX5-2_ANAPC4</t>
  </si>
  <si>
    <t>Q9UJX6-2_ANAPC2</t>
  </si>
  <si>
    <t>Q9UJY1_HSPB8</t>
  </si>
  <si>
    <t>Q9UJY4_GGA2</t>
  </si>
  <si>
    <t>Q9UJY5-4_GGA1</t>
  </si>
  <si>
    <t>Q9UJZ1_STOML2</t>
  </si>
  <si>
    <t>Q9UK23_NAGPA</t>
  </si>
  <si>
    <t>Q9UK45_LSM7</t>
  </si>
  <si>
    <t>Q9UK59_DBR1</t>
  </si>
  <si>
    <t>Q9UK76_HN1</t>
  </si>
  <si>
    <t>Q9UK99_FBXO3</t>
  </si>
  <si>
    <t>Q9UKB3_DNAJC12</t>
  </si>
  <si>
    <t>Q9UKF6_CPSF3</t>
  </si>
  <si>
    <t>Q9UKG1_APPL1</t>
  </si>
  <si>
    <t>Q9UKI8_TLK1</t>
  </si>
  <si>
    <t>Q9UKJ3-2_GPATCH8</t>
  </si>
  <si>
    <t>Q9UKK9_NUDT5</t>
  </si>
  <si>
    <t>Q9UKN8_GTF3C4</t>
  </si>
  <si>
    <t>Q9UKS6_PACSIN3</t>
  </si>
  <si>
    <t>Q9UKT4-2_FBXO5</t>
  </si>
  <si>
    <t>Q9UKU7_ACAD8</t>
  </si>
  <si>
    <t>Q9UKV5_AMFR</t>
  </si>
  <si>
    <t>Q9UKX7_NUP50</t>
  </si>
  <si>
    <t>Q9UKY7_CDV3</t>
  </si>
  <si>
    <t>Q9UKZ1_CNOT11</t>
  </si>
  <si>
    <t>Q9UL15_BAG5</t>
  </si>
  <si>
    <t>Q9UL25_RAB21</t>
  </si>
  <si>
    <t>Q9UL26_RAB22A</t>
  </si>
  <si>
    <t>Q9UL42_PNMA2</t>
  </si>
  <si>
    <t>Q9UL46_PSME2</t>
  </si>
  <si>
    <t>Q9UL54-2_TAOK2</t>
  </si>
  <si>
    <t>Q9ULC3_RAB23</t>
  </si>
  <si>
    <t>Q9ULC4_MCTS1</t>
  </si>
  <si>
    <t>Q9ULD5_ZNF777</t>
  </si>
  <si>
    <t>Q9ULE6_PALD1</t>
  </si>
  <si>
    <t>Q9ULF5_SLC39A10</t>
  </si>
  <si>
    <t>Q9ULH0-5_KIDINS220</t>
  </si>
  <si>
    <t>Q9ULH1_ASAP1</t>
  </si>
  <si>
    <t>Q9ULH7-4_MKL2</t>
  </si>
  <si>
    <t>Q9ULJ3-2_ZBTB21</t>
  </si>
  <si>
    <t>Q9ULJ6_ZMIZ1</t>
  </si>
  <si>
    <t>Q9ULJ7-2_ANKRD50</t>
  </si>
  <si>
    <t>Q9ULP9-2_TBC1D24</t>
  </si>
  <si>
    <t>Q9ULR0_ISY1</t>
  </si>
  <si>
    <t>Q9ULT8_HECTD1</t>
  </si>
  <si>
    <t>Q9ULV4_CORO1C</t>
  </si>
  <si>
    <t>Q9ULW0_TPX2</t>
  </si>
  <si>
    <t>Q9ULX3_NOB1</t>
  </si>
  <si>
    <t>Q9UM13_ANAPC10</t>
  </si>
  <si>
    <t>Q9UMN6_WBP7</t>
  </si>
  <si>
    <t>Q9UMR2_DDX19B</t>
  </si>
  <si>
    <t>Q9UMS0-3_NFU1</t>
  </si>
  <si>
    <t>Q9UMS4_PRPF19</t>
  </si>
  <si>
    <t>Q9UMX0_UBQLN1</t>
  </si>
  <si>
    <t>Q9UMX1_SUFU</t>
  </si>
  <si>
    <t>Q9UMX5_NENF</t>
  </si>
  <si>
    <t>Q9UMY4-2_SNX12</t>
  </si>
  <si>
    <t>Q9UMZ2-6_SYNRG</t>
  </si>
  <si>
    <t>Q9UN37_VPS4A</t>
  </si>
  <si>
    <t>Q9UN86-2_G3BP2</t>
  </si>
  <si>
    <t>Q9UNE7_STUB1</t>
  </si>
  <si>
    <t>Q9UNF0-2_PACSIN2</t>
  </si>
  <si>
    <t>Q9UNF1_MAGED2</t>
  </si>
  <si>
    <t>Q9UNH6_SNX7</t>
  </si>
  <si>
    <t>Q9UNH7_SNX6</t>
  </si>
  <si>
    <t>Q9UNK0_STX8</t>
  </si>
  <si>
    <t>Q9UNM6_PSMD13</t>
  </si>
  <si>
    <t>Q9UNN5_FAF1</t>
  </si>
  <si>
    <t>Q9UNN8_PROCR</t>
  </si>
  <si>
    <t>Q9UNP9_PPIE</t>
  </si>
  <si>
    <t>Q9UNS1-2_TIMELESS</t>
  </si>
  <si>
    <t>Q9UNS2_COPS3</t>
  </si>
  <si>
    <t>Q9UNT1-2_RABL2B</t>
  </si>
  <si>
    <t>Q9UNW1_MINPP1</t>
  </si>
  <si>
    <t>Q9UNW9_NOVA2</t>
  </si>
  <si>
    <t>Q9UNY4_TTF2</t>
  </si>
  <si>
    <t>Q9UNZ2-5_NSFL1C</t>
  </si>
  <si>
    <t>Q9UNZ5_C19orf53</t>
  </si>
  <si>
    <t>Q9UP83_COG5</t>
  </si>
  <si>
    <t>Q9UP95-5_SLC12A4</t>
  </si>
  <si>
    <t>Q9UPN6_SCAF8</t>
  </si>
  <si>
    <t>Q9UPN7_PPP6R1</t>
  </si>
  <si>
    <t>Q9UPN9-2_TRIM33</t>
  </si>
  <si>
    <t>Q9UPQ9-1_TNRC6B</t>
  </si>
  <si>
    <t>Q9UPR0_PLCL2</t>
  </si>
  <si>
    <t>Q9UPR3_SMG5</t>
  </si>
  <si>
    <t>Q9UPT5-2_EXOC7</t>
  </si>
  <si>
    <t>Q9UPT8_ZC3H4</t>
  </si>
  <si>
    <t>Q9UPT9_USP22</t>
  </si>
  <si>
    <t>Q9UPU5_USP24</t>
  </si>
  <si>
    <t>Q9UPU7-2_TBC1D2B</t>
  </si>
  <si>
    <t>Q9UPW5_AGTPBP1</t>
  </si>
  <si>
    <t>Q9UPY8_MAPRE3</t>
  </si>
  <si>
    <t>Q9UQ13-2_SHOC2</t>
  </si>
  <si>
    <t>Q9UQ35_SRRM2</t>
  </si>
  <si>
    <t>Q9UQ53-2_MGAT4B</t>
  </si>
  <si>
    <t>Q9UQ80_PA2G4</t>
  </si>
  <si>
    <t>Q9UQ84-4_EXO1</t>
  </si>
  <si>
    <t>Q9UQ90_SPG7</t>
  </si>
  <si>
    <t>Q9UQE7_SMC3</t>
  </si>
  <si>
    <t>Q9UQN3_CHMP2B</t>
  </si>
  <si>
    <t>Q9UQR0_SCML2</t>
  </si>
  <si>
    <t>Q9Y217_MTMR6</t>
  </si>
  <si>
    <t>Q9Y219_JAG2</t>
  </si>
  <si>
    <t>Q9Y224_C14orf166</t>
  </si>
  <si>
    <t>Q9Y230_RUVBL2</t>
  </si>
  <si>
    <t>Q9Y233_PDE10A</t>
  </si>
  <si>
    <t>Q9Y237_PIN4</t>
  </si>
  <si>
    <t>Q9Y242_TCF19</t>
  </si>
  <si>
    <t>Q9Y243-2_AKT3</t>
  </si>
  <si>
    <t>Q9Y248_GINS2</t>
  </si>
  <si>
    <t>Q9Y255_PRELID1</t>
  </si>
  <si>
    <t>Q9Y259_CHKB</t>
  </si>
  <si>
    <t>Q9Y263_PLAA</t>
  </si>
  <si>
    <t>Q9Y265_RUVBL1</t>
  </si>
  <si>
    <t>Q9Y266_NUDC</t>
  </si>
  <si>
    <t>Q9Y276_BCS1L</t>
  </si>
  <si>
    <t>Q9Y277_VDAC3</t>
  </si>
  <si>
    <t>Q9Y281_CFL2</t>
  </si>
  <si>
    <t>Q9Y289_SLC5A6</t>
  </si>
  <si>
    <t>Q9Y295_DRG1</t>
  </si>
  <si>
    <t>Q9Y2B0_CNPY2</t>
  </si>
  <si>
    <t>Q9Y2C2_UST</t>
  </si>
  <si>
    <t>Q9Y2D5-6_AKAP2</t>
  </si>
  <si>
    <t>Q9Y2G2-4_CARD8</t>
  </si>
  <si>
    <t>Q9Y2G3_ATP11B</t>
  </si>
  <si>
    <t>Q9Y2G5_POFUT2</t>
  </si>
  <si>
    <t>Q9Y2H0-1_DLGAP4</t>
  </si>
  <si>
    <t>Q9Y2H1_STK38L</t>
  </si>
  <si>
    <t>Q9Y2H6-2_FNDC3A</t>
  </si>
  <si>
    <t>Q9Y2J2_EPB41L3</t>
  </si>
  <si>
    <t>Q9Y2J2-2_EPB41L3</t>
  </si>
  <si>
    <t>Q9Y2K7-4_KDM2A</t>
  </si>
  <si>
    <t>Q9Y2L1_DIS3</t>
  </si>
  <si>
    <t>Q9Y2Q0-3_ATP8A1</t>
  </si>
  <si>
    <t>Q9Y2Q5_LAMTOR2</t>
  </si>
  <si>
    <t>Q9Y2R0_COA3</t>
  </si>
  <si>
    <t>Q9Y2S0_POLR1D</t>
  </si>
  <si>
    <t>Q9Y2S6_TMA7</t>
  </si>
  <si>
    <t>Q9Y2S7_POLDIP2</t>
  </si>
  <si>
    <t>Q9Y2T2_AP3M1</t>
  </si>
  <si>
    <t>Q9Y2T4-3_PPP2R2C</t>
  </si>
  <si>
    <t>Q9Y2U5_MAP3K2</t>
  </si>
  <si>
    <t>Q9Y2U8_LEMD3</t>
  </si>
  <si>
    <t>Q9Y2V2_CARHSP1</t>
  </si>
  <si>
    <t>Q9Y2V7-2_COG6</t>
  </si>
  <si>
    <t>Q9Y2W1_THRAP3</t>
  </si>
  <si>
    <t>Q9Y2X3_NOP58</t>
  </si>
  <si>
    <t>Q9Y2X7_GIT1</t>
  </si>
  <si>
    <t>Q9Y2Y1_POLR3K</t>
  </si>
  <si>
    <t>Q9Y2Z0-2_SUGT1</t>
  </si>
  <si>
    <t>Q9Y2Z2-5_MTO1</t>
  </si>
  <si>
    <t>Q9Y2Z4_YARS2</t>
  </si>
  <si>
    <t>Q9Y2Z9-3_COQ6</t>
  </si>
  <si>
    <t>Q9Y303-2_AMDHD2</t>
  </si>
  <si>
    <t>Q9Y305_ACOT9</t>
  </si>
  <si>
    <t>Q9Y314_NOSIP</t>
  </si>
  <si>
    <t>Q9Y316_MEMO1</t>
  </si>
  <si>
    <t>Q9Y320-2_TMX2</t>
  </si>
  <si>
    <t>Q9Y333_LSM2</t>
  </si>
  <si>
    <t>Q9Y371_SH3GLB1</t>
  </si>
  <si>
    <t>Q9Y375_NDUFAF1</t>
  </si>
  <si>
    <t>Q9Y376_CAB39</t>
  </si>
  <si>
    <t>Q9Y383_LUC7L2</t>
  </si>
  <si>
    <t>Q9Y394-2_DHRS7</t>
  </si>
  <si>
    <t>Q9Y3A3_MOB4</t>
  </si>
  <si>
    <t>Q9Y3A5_SBDS</t>
  </si>
  <si>
    <t>Q9Y3A6_TMED5</t>
  </si>
  <si>
    <t>Q9Y3B3-2_TMED7</t>
  </si>
  <si>
    <t>Q9Y3B7_MRPL11</t>
  </si>
  <si>
    <t>Q9Y3B9_RRP15</t>
  </si>
  <si>
    <t>Q9Y3C1_NOP16</t>
  </si>
  <si>
    <t>Q9Y3C4_TPRKB</t>
  </si>
  <si>
    <t>Q9Y3C6_PPIL1</t>
  </si>
  <si>
    <t>Q9Y3C8_UFC1</t>
  </si>
  <si>
    <t>Q9Y3D0_FAM96B</t>
  </si>
  <si>
    <t>Q9Y3D2_MSRB2</t>
  </si>
  <si>
    <t>Q9Y3D6_FIS1</t>
  </si>
  <si>
    <t>Q9Y3D8_TAF9</t>
  </si>
  <si>
    <t>Q9Y3E2_BOLA1</t>
  </si>
  <si>
    <t>Q9Y3E7-4_CHMP3</t>
  </si>
  <si>
    <t>Q9Y3F4_STRAP</t>
  </si>
  <si>
    <t>Q9Y3I0_C22orf28</t>
  </si>
  <si>
    <t>Q9Y3I1_FBXO7</t>
  </si>
  <si>
    <t>Q9Y3L3_SH3BP1</t>
  </si>
  <si>
    <t>Q9Y3L5_RAP2C</t>
  </si>
  <si>
    <t>Q9Y3P9_RABGAP1</t>
  </si>
  <si>
    <t>Q9Y3Q8_TSC22D4</t>
  </si>
  <si>
    <t>Q9Y3R5-2_DOPEY2</t>
  </si>
  <si>
    <t>Q9Y3S2_ZNF330</t>
  </si>
  <si>
    <t>Q9Y3T6_R3HCC1</t>
  </si>
  <si>
    <t>Q9Y3T9_NOC2L</t>
  </si>
  <si>
    <t>Q9Y3X0_CCDC9</t>
  </si>
  <si>
    <t>Q9Y3Z3-4_SAMHD1</t>
  </si>
  <si>
    <t>Q9Y448_KNSTRN</t>
  </si>
  <si>
    <t>Q9Y450-4_HBS1L</t>
  </si>
  <si>
    <t>Q9Y467_SALL2</t>
  </si>
  <si>
    <t>Q9Y490_TLN1</t>
  </si>
  <si>
    <t>Q9Y4C1_KDM3A</t>
  </si>
  <si>
    <t>Q9Y4C2-2_FAM115A</t>
  </si>
  <si>
    <t>Q9Y4E1-2_FAM21C</t>
  </si>
  <si>
    <t>Q9Y4E8_USP15</t>
  </si>
  <si>
    <t>Q9Y4F1_FARP1</t>
  </si>
  <si>
    <t>Q9Y4H2_IRS2</t>
  </si>
  <si>
    <t>Q9Y4K3_TRAF6</t>
  </si>
  <si>
    <t>Q9Y4K4_MAP4K5</t>
  </si>
  <si>
    <t>Q9Y4P1-6_ATG4B</t>
  </si>
  <si>
    <t>Q9Y4P8-3_WIPI2</t>
  </si>
  <si>
    <t>Q9Y4R8_TELO2</t>
  </si>
  <si>
    <t>Q9Y4U1_MMACHC</t>
  </si>
  <si>
    <t>Q9Y4W6_AFG3L2</t>
  </si>
  <si>
    <t>Q9Y4X5_ARIH1</t>
  </si>
  <si>
    <t>Q9Y4Z0_LSM4</t>
  </si>
  <si>
    <t>Q9Y508_RNF114</t>
  </si>
  <si>
    <t>Q9Y512_SAMM50</t>
  </si>
  <si>
    <t>Q9Y546_LRRC42</t>
  </si>
  <si>
    <t>Q9Y570_PPME1</t>
  </si>
  <si>
    <t>Q9Y584_TIMM22</t>
  </si>
  <si>
    <t>Q9Y597-3_KCTD3</t>
  </si>
  <si>
    <t>Q9Y5A9_YTHDF2</t>
  </si>
  <si>
    <t>Q9Y5B0_CTDP1</t>
  </si>
  <si>
    <t>Q9Y5B8-2_NME7</t>
  </si>
  <si>
    <t>Q9Y5J5_PHLDA3</t>
  </si>
  <si>
    <t>Q9Y5J6_TIMM10B</t>
  </si>
  <si>
    <t>Q9Y5J7_TIMM9</t>
  </si>
  <si>
    <t>Q9Y5K5-2_UCHL5</t>
  </si>
  <si>
    <t>Q9Y5K6_CD2AP</t>
  </si>
  <si>
    <t>Q9Y5K8_ATP6V1D</t>
  </si>
  <si>
    <t>Q9Y5L2_HILPDA</t>
  </si>
  <si>
    <t>Q9Y5L4_TIMM13</t>
  </si>
  <si>
    <t>Q9Y5M8_SRPRB</t>
  </si>
  <si>
    <t>Q9Y5N5_N6AMT1</t>
  </si>
  <si>
    <t>Q9Y5N6_ORC6</t>
  </si>
  <si>
    <t>Q9Y5P4-2_COL4A3BP</t>
  </si>
  <si>
    <t>Q9Y5P6_GMPPB</t>
  </si>
  <si>
    <t>Q9Y5Q8_GTF3C5</t>
  </si>
  <si>
    <t>Q9Y5Q9_GTF3C3</t>
  </si>
  <si>
    <t>Q9Y5S2_CDC42BPB</t>
  </si>
  <si>
    <t>Q9Y5S9_RBM8A</t>
  </si>
  <si>
    <t>Q9Y5T5-5_USP16</t>
  </si>
  <si>
    <t>Q9Y5U2-2_TSSC4</t>
  </si>
  <si>
    <t>Q9Y5V0_ZNF706</t>
  </si>
  <si>
    <t>Q9Y5X1_SNX9</t>
  </si>
  <si>
    <t>Q9Y5X2_SNX8</t>
  </si>
  <si>
    <t>Q9Y5X3_SNX5</t>
  </si>
  <si>
    <t>Q9Y5Y0_FLVCR1</t>
  </si>
  <si>
    <t>Q9Y5Y2_NUBP2</t>
  </si>
  <si>
    <t>Q9Y5Z4_HEBP2</t>
  </si>
  <si>
    <t>Q9Y5Z9-2_UBIAD1</t>
  </si>
  <si>
    <t>Q9Y605_MRFAP1</t>
  </si>
  <si>
    <t>Q9Y608-4_LRRFIP2</t>
  </si>
  <si>
    <t>Q9Y613_FHOD1</t>
  </si>
  <si>
    <t>Q9Y617_PSAT1</t>
  </si>
  <si>
    <t>Q9Y619_SLC25A15</t>
  </si>
  <si>
    <t>Q9Y639-1_NPTN</t>
  </si>
  <si>
    <t>Q9Y657_SPIN1</t>
  </si>
  <si>
    <t>Q9Y673_ALG5</t>
  </si>
  <si>
    <t>Q9Y678_COPG1</t>
  </si>
  <si>
    <t>Q9Y679-2_AUP1</t>
  </si>
  <si>
    <t>Q9Y680-3_FKBP7</t>
  </si>
  <si>
    <t>Q9Y696_CLIC4</t>
  </si>
  <si>
    <t>Q9Y697-2_NFS1</t>
  </si>
  <si>
    <t>Q9Y6A4_C16orf80</t>
  </si>
  <si>
    <t>Q9Y6A5_TACC3</t>
  </si>
  <si>
    <t>Q9Y6B6_SAR1B</t>
  </si>
  <si>
    <t>Q9Y6C9_MTCH2</t>
  </si>
  <si>
    <t>Q9Y6D5_ARFGEF2</t>
  </si>
  <si>
    <t>Q9Y6D9_MAD1L1</t>
  </si>
  <si>
    <t>Q9Y6G9_DYNC1LI1</t>
  </si>
  <si>
    <t>Q9Y6H1_CHCHD2</t>
  </si>
  <si>
    <t>Q9Y6I3-3_EPN1</t>
  </si>
  <si>
    <t>Q9Y6I9_TEX264</t>
  </si>
  <si>
    <t>Q9Y6K0_CEPT1</t>
  </si>
  <si>
    <t>Q9Y6K9_IKBKG</t>
  </si>
  <si>
    <t>Q9Y6M5_SLC30A1</t>
  </si>
  <si>
    <t>Q9Y6N7-6_ROBO1</t>
  </si>
  <si>
    <t>Q9Y6Q2_STON1</t>
  </si>
  <si>
    <t>Q9Y6Q9-2_NCOA3</t>
  </si>
  <si>
    <t>Q9Y6R0_NUMBL</t>
  </si>
  <si>
    <t>Q9Y6W3_CAPN7</t>
  </si>
  <si>
    <t>Q9Y6W5_WASF2</t>
  </si>
  <si>
    <t>Q9Y6X8_ZHX2</t>
  </si>
  <si>
    <t>R4GMN1_MOSPD2</t>
  </si>
  <si>
    <t>R4GMR5_PSMD8</t>
  </si>
  <si>
    <t>R4GMU8_LAMTOR5</t>
  </si>
  <si>
    <t>R4GMX3_BMI1</t>
  </si>
  <si>
    <t>R4GMZ8_FBXO44</t>
  </si>
  <si>
    <t>R4GN33_MAPKAPK5</t>
  </si>
  <si>
    <t>R4GN50_PTP4A2</t>
  </si>
  <si>
    <t>R4GN55_YTHDF3</t>
  </si>
  <si>
    <t>R4GNH3_PSMC3</t>
  </si>
  <si>
    <t>Melting_Curves/meltCurve_A0AVI4_TMEM129.pdf</t>
  </si>
  <si>
    <t>Melting_Curves/meltCurve_A0AVT1_UBA6.pdf</t>
  </si>
  <si>
    <t>Melting_Curves/meltCurve_A0FGR8_2_ESYT2.pdf</t>
  </si>
  <si>
    <t>Melting_Curves/meltCurve_A0MZ66_KIAA1598.pdf</t>
  </si>
  <si>
    <t>Melting_Curves/meltCurve_A0PJW6_TMEM223.pdf</t>
  </si>
  <si>
    <t>Melting_Curves/meltCurve_A1L0T0_ILVBL.pdf</t>
  </si>
  <si>
    <t>Melting_Curves/meltCurve_A1L188_C17orf89.pdf</t>
  </si>
  <si>
    <t>Melting_Curves/meltCurve_A1X283_SH3PXD2B.pdf</t>
  </si>
  <si>
    <t>Melting_Curves/meltCurve_A2A274_ACO2.pdf</t>
  </si>
  <si>
    <t>Melting_Curves/meltCurve_A2A2V1_PRNP.pdf</t>
  </si>
  <si>
    <t>Melting_Curves/meltCurve_A2AEA2_HLA_C.pdf</t>
  </si>
  <si>
    <t>Melting_Curves/meltCurve_A2RU67_KIAA1467.pdf</t>
  </si>
  <si>
    <t>Melting_Curves/meltCurve_A2RUC4_TYW5.pdf</t>
  </si>
  <si>
    <t>Melting_Curves/meltCurve_A3KFL4_EXOSC2.pdf</t>
  </si>
  <si>
    <t>Melting_Curves/meltCurve_A3KN83_3_SBNO1.pdf</t>
  </si>
  <si>
    <t>Melting_Curves/meltCurve_A4D126_2_ISPD.pdf</t>
  </si>
  <si>
    <t>Melting_Curves/meltCurve_A4D1E9_GTPBP10.pdf</t>
  </si>
  <si>
    <t>Melting_Curves/meltCurve_A4D1S0_2_KLRG2.pdf</t>
  </si>
  <si>
    <t>Melting_Curves/meltCurve_A4D212_DKFZP586J0619.pdf</t>
  </si>
  <si>
    <t>Melting_Curves/meltCurve_A4D2B0_MBLAC1.pdf</t>
  </si>
  <si>
    <t>Melting_Curves/meltCurve_A4UGR9_2_XIRP2.pdf</t>
  </si>
  <si>
    <t>Melting_Curves/meltCurve_A6H8Z3_RAB3GAP1.pdf</t>
  </si>
  <si>
    <t>Melting_Curves/meltCurve_A6NCL7_ANKRD33B.pdf</t>
  </si>
  <si>
    <t>Melting_Curves/meltCurve_A6ND99_HS2ST1.pdf</t>
  </si>
  <si>
    <t>Melting_Curves/meltCurve_A6NDB9_PALM3.pdf</t>
  </si>
  <si>
    <t>Melting_Curves/meltCurve_A6NDG6_PGP.pdf</t>
  </si>
  <si>
    <t>Melting_Curves/meltCurve_A6NDJ8_.pdf</t>
  </si>
  <si>
    <t>Melting_Curves/meltCurve_A6NDU8_C5orf51.pdf</t>
  </si>
  <si>
    <t>Melting_Curves/meltCurve_A6NED2_RCCD1.pdf</t>
  </si>
  <si>
    <t>Melting_Curves/meltCurve_A6NEM2_HCFC1.pdf</t>
  </si>
  <si>
    <t>Melting_Curves/meltCurve_A6NEM5_PIGK.pdf</t>
  </si>
  <si>
    <t>Melting_Curves/meltCurve_A6NF31_OFD1.pdf</t>
  </si>
  <si>
    <t>Melting_Curves/meltCurve_A6NF51_BPNT1.pdf</t>
  </si>
  <si>
    <t>Melting_Curves/meltCurve_A6NG32_CHMP1A.pdf</t>
  </si>
  <si>
    <t>Melting_Curves/meltCurve_A6NG79_PRCC.pdf</t>
  </si>
  <si>
    <t>Melting_Curves/meltCurve_A6NGC4_TLCD2.pdf</t>
  </si>
  <si>
    <t>Melting_Curves/meltCurve_A6NGP5_HN1L.pdf</t>
  </si>
  <si>
    <t>Melting_Curves/meltCurve_A6NHL2_2_TUBAL3.pdf</t>
  </si>
  <si>
    <t>Melting_Curves/meltCurve_A6NHR2_MRPL37.pdf</t>
  </si>
  <si>
    <t>Melting_Curves/meltCurve_A6NHR9_SMCHD1.pdf</t>
  </si>
  <si>
    <t>Melting_Curves/meltCurve_A6NIH7_UNC119B.pdf</t>
  </si>
  <si>
    <t>Melting_Curves/meltCurve_A6NIZ0_NDEL1.pdf</t>
  </si>
  <si>
    <t>Melting_Curves/meltCurve_A6NJ78_METTL15.pdf</t>
  </si>
  <si>
    <t>Melting_Curves/meltCurve_A6NJB5_CCDC144A.pdf</t>
  </si>
  <si>
    <t>Melting_Curves/meltCurve_A6NKB8_RNPEP.pdf</t>
  </si>
  <si>
    <t>Melting_Curves/meltCurve_A6NKD9_CCDC85C.pdf</t>
  </si>
  <si>
    <t>Melting_Curves/meltCurve_A6NL54_ZMYM3.pdf</t>
  </si>
  <si>
    <t>Melting_Curves/meltCurve_A6NLP3_TRIM5.pdf</t>
  </si>
  <si>
    <t>Melting_Curves/meltCurve_A6NMH6_SEPT8.pdf</t>
  </si>
  <si>
    <t>Melting_Curves/meltCurve_A6NML8_DIAPH2.pdf</t>
  </si>
  <si>
    <t>Melting_Curves/meltCurve_A6NMN0_PHKA1.pdf</t>
  </si>
  <si>
    <t>Melting_Curves/meltCurve_A6NMQ1_POLA1.pdf</t>
  </si>
  <si>
    <t>Melting_Curves/meltCurve_A6NMY3_ALMS1.pdf</t>
  </si>
  <si>
    <t>Melting_Curves/meltCurve_A6NN80_ANXA6.pdf</t>
  </si>
  <si>
    <t>Melting_Curves/meltCurve_A6NNI4_CD9.pdf</t>
  </si>
  <si>
    <t>Melting_Curves/meltCurve_A6PVM9_AIF1L.pdf</t>
  </si>
  <si>
    <t>Melting_Curves/meltCurve_A6ZKI3_FAM127A.pdf</t>
  </si>
  <si>
    <t>Melting_Curves/meltCurve_A8K0B5_ZBTB8OS.pdf</t>
  </si>
  <si>
    <t>Melting_Curves/meltCurve_A8K0M9_SELK.pdf</t>
  </si>
  <si>
    <t>Melting_Curves/meltCurve_A8MPS7_YDJC.pdf</t>
  </si>
  <si>
    <t>Melting_Curves/meltCurve_A8MQ02_MLLT4.pdf</t>
  </si>
  <si>
    <t>Melting_Curves/meltCurve_A8MRB1_S100B.pdf</t>
  </si>
  <si>
    <t>Melting_Curves/meltCurve_A8MSH5_RTFDC1.pdf</t>
  </si>
  <si>
    <t>Melting_Curves/meltCurve_A8MU44_HOOK1.pdf</t>
  </si>
  <si>
    <t>Melting_Curves/meltCurve_A8MU58_AIMP2.pdf</t>
  </si>
  <si>
    <t>Melting_Curves/meltCurve_A8MUA9_SUMO3.pdf</t>
  </si>
  <si>
    <t>Melting_Curves/meltCurve_A8MUB1_TUBA4A.pdf</t>
  </si>
  <si>
    <t>Melting_Curves/meltCurve_A8MUM1_TSSC1.pdf</t>
  </si>
  <si>
    <t>Melting_Curves/meltCurve_A8MVQ8_GGPS1.pdf</t>
  </si>
  <si>
    <t>Melting_Curves/meltCurve_A8MVW0_FAM171A2.pdf</t>
  </si>
  <si>
    <t>Melting_Curves/meltCurve_A8MVZ6_BICD1.pdf</t>
  </si>
  <si>
    <t>Melting_Curves/meltCurve_A8MWY0_KIAA1324L.pdf</t>
  </si>
  <si>
    <t>Melting_Curves/meltCurve_A8MX75_ERCC2.pdf</t>
  </si>
  <si>
    <t>Melting_Curves/meltCurve_A8MXE8_RAI1.pdf</t>
  </si>
  <si>
    <t>Melting_Curves/meltCurve_A8MXP9_MATR3.pdf</t>
  </si>
  <si>
    <t>Melting_Curves/meltCurve_A8MXQ1_PTTG1IP.pdf</t>
  </si>
  <si>
    <t>Melting_Curves/meltCurve_A8MXV4_NUDT19.pdf</t>
  </si>
  <si>
    <t>Melting_Curves/meltCurve_A8MYQ9_RAB34.pdf</t>
  </si>
  <si>
    <t>Melting_Curves/meltCurve_A8MYT4_PIK3C3.pdf</t>
  </si>
  <si>
    <t>Melting_Curves/meltCurve_A9UHW6_MIF4GD.pdf</t>
  </si>
  <si>
    <t>Melting_Curves/meltCurve_A9Z1X7_SRRM1.pdf</t>
  </si>
  <si>
    <t>Melting_Curves/meltCurve_A9Z1Z3_FER1L4.pdf</t>
  </si>
  <si>
    <t>Melting_Curves/meltCurve_B0AZU2_KIAA0930.pdf</t>
  </si>
  <si>
    <t>Melting_Curves/meltCurve_B0FLL2_PFKFB2.pdf</t>
  </si>
  <si>
    <t>Melting_Curves/meltCurve_B0LM41_RBM14.pdf</t>
  </si>
  <si>
    <t>Melting_Curves/meltCurve_B0QY89_EIF3L.pdf</t>
  </si>
  <si>
    <t>Melting_Curves/meltCurve_B0QY95_SMCR7L.pdf</t>
  </si>
  <si>
    <t>Melting_Curves/meltCurve_B0QYI3_TBC1D22A.pdf</t>
  </si>
  <si>
    <t>Melting_Curves/meltCurve_B0QYK0_EWSR1.pdf</t>
  </si>
  <si>
    <t>Melting_Curves/meltCurve_B0QZ18_CPNE1.pdf</t>
  </si>
  <si>
    <t>Melting_Curves/meltCurve_B0QZ40_COMMD6.pdf</t>
  </si>
  <si>
    <t>Melting_Curves/meltCurve_B0UX83_BAG6.pdf</t>
  </si>
  <si>
    <t>Melting_Curves/meltCurve_B0UXB6_ABHD16A.pdf</t>
  </si>
  <si>
    <t>Melting_Curves/meltCurve_B0UZY3_EHMT2.pdf</t>
  </si>
  <si>
    <t>Melting_Curves/meltCurve_B0V043_VARS.pdf</t>
  </si>
  <si>
    <t>Melting_Curves/meltCurve_B0YIW2_APOC3.pdf</t>
  </si>
  <si>
    <t>Melting_Curves/meltCurve_B1AH87_TSPO.pdf</t>
  </si>
  <si>
    <t>Melting_Curves/meltCurve_B1AHD1_NHP2L1.pdf</t>
  </si>
  <si>
    <t>Melting_Curves/meltCurve_B1AK13_HMGCL.pdf</t>
  </si>
  <si>
    <t>Melting_Curves/meltCurve_B1AK53_ESPN.pdf</t>
  </si>
  <si>
    <t>Melting_Curves/meltCurve_B1AKC9_EPHB2.pdf</t>
  </si>
  <si>
    <t>Melting_Curves/meltCurve_B1AKJ5_NRD1.pdf</t>
  </si>
  <si>
    <t>Melting_Curves/meltCurve_B1AKR6_DYNLRB1.pdf</t>
  </si>
  <si>
    <t>Melting_Curves/meltCurve_B1AKZ5_PEA15.pdf</t>
  </si>
  <si>
    <t>Melting_Curves/meltCurve_B1ALH6_PHYH.pdf</t>
  </si>
  <si>
    <t>Melting_Curves/meltCurve_B1ALM5_TMEM9.pdf</t>
  </si>
  <si>
    <t>Melting_Curves/meltCurve_B1AMU7_EXOSC1.pdf</t>
  </si>
  <si>
    <t>Melting_Curves/meltCurve_B1AN99_PRSS3.pdf</t>
  </si>
  <si>
    <t>Melting_Curves/meltCurve_B1ANH0_GUK1.pdf</t>
  </si>
  <si>
    <t>Melting_Curves/meltCurve_B1AP15_CD55.pdf</t>
  </si>
  <si>
    <t>Melting_Curves/meltCurve_B1AUU8_EPS15.pdf</t>
  </si>
  <si>
    <t>Melting_Curves/meltCurve_B3KS98_EIF3S3.pdf</t>
  </si>
  <si>
    <t>Melting_Curves/meltCurve_B3KSH1_EIF3F.pdf</t>
  </si>
  <si>
    <t>Melting_Curves/meltCurve_B3KSI3_BCAT2.pdf</t>
  </si>
  <si>
    <t>Melting_Curves/meltCurve_B3KSI9_LZTFL1.pdf</t>
  </si>
  <si>
    <t>Melting_Curves/meltCurve_B3KUK2_SOD2.pdf</t>
  </si>
  <si>
    <t>Melting_Curves/meltCurve_B3KVH8_PHF23.pdf</t>
  </si>
  <si>
    <t>Melting_Curves/meltCurve_B3KVZ3_CENPH.pdf</t>
  </si>
  <si>
    <t>Melting_Curves/meltCurve_B3KWN8_PYROXD1.pdf</t>
  </si>
  <si>
    <t>Melting_Curves/meltCurve_B4DDF4_CNN2.pdf</t>
  </si>
  <si>
    <t>Melting_Curves/meltCurve_B4DDY8_HARS2.pdf</t>
  </si>
  <si>
    <t>Melting_Curves/meltCurve_B4DE11_SLC35A2.pdf</t>
  </si>
  <si>
    <t>Melting_Curves/meltCurve_B4DE60_REEP2.pdf</t>
  </si>
  <si>
    <t>Melting_Curves/meltCurve_B4DEB8_TSPAN7.pdf</t>
  </si>
  <si>
    <t>Melting_Curves/meltCurve_B4DEK4_SNX2.pdf</t>
  </si>
  <si>
    <t>Melting_Curves/meltCurve_B4DEZ3_NDUFA13.pdf</t>
  </si>
  <si>
    <t>Melting_Curves/meltCurve_B4DFF2_SLC17A5.pdf</t>
  </si>
  <si>
    <t>Melting_Curves/meltCurve_B4DGU4_CTNNB1.pdf</t>
  </si>
  <si>
    <t>Melting_Curves/meltCurve_B4DGX2_PIP4K2A.pdf</t>
  </si>
  <si>
    <t>Melting_Curves/meltCurve_B4DH53_MAP1S.pdf</t>
  </si>
  <si>
    <t>Melting_Curves/meltCurve_B4DIG7_PIP5K1B.pdf</t>
  </si>
  <si>
    <t>Melting_Curves/meltCurve_B4DIT7_TGM2.pdf</t>
  </si>
  <si>
    <t>Melting_Curves/meltCurve_B4DJA5_RAB5A.pdf</t>
  </si>
  <si>
    <t>Melting_Curves/meltCurve_B4DJN2_SLC25A14.pdf</t>
  </si>
  <si>
    <t>Melting_Curves/meltCurve_B4DJP7_SNRPD3.pdf</t>
  </si>
  <si>
    <t>Melting_Curves/meltCurve_B4DJV2_CS.pdf</t>
  </si>
  <si>
    <t>Melting_Curves/meltCurve_B4DJV5_PWP1.pdf</t>
  </si>
  <si>
    <t>Melting_Curves/meltCurve_B4DK44_NAPB.pdf</t>
  </si>
  <si>
    <t>Melting_Curves/meltCurve_B4DK80_TOP3A.pdf</t>
  </si>
  <si>
    <t>Melting_Curves/meltCurve_B4DKB2_ECE1.pdf</t>
  </si>
  <si>
    <t>Melting_Curves/meltCurve_B4DKF9_ZNF286A.pdf</t>
  </si>
  <si>
    <t>Melting_Curves/meltCurve_B4DKL4_LSR.pdf</t>
  </si>
  <si>
    <t>Melting_Curves/meltCurve_B4DL54_CHURC1_FNTB.pdf</t>
  </si>
  <si>
    <t>Melting_Curves/meltCurve_B4DLE8_CRYBG3.pdf</t>
  </si>
  <si>
    <t>Melting_Curves/meltCurve_B4DLH2_C2orf18.pdf</t>
  </si>
  <si>
    <t>Melting_Curves/meltCurve_B4DLN1_SLC25A10.pdf</t>
  </si>
  <si>
    <t>Melting_Curves/meltCurve_B4DLT4_RPS6KB1.pdf</t>
  </si>
  <si>
    <t>Melting_Curves/meltCurve_B4DLW8_DDX5.pdf</t>
  </si>
  <si>
    <t>Melting_Curves/meltCurve_B4DLZ9_RNF220.pdf</t>
  </si>
  <si>
    <t>Melting_Curves/meltCurve_B4DM89_BSDC1.pdf</t>
  </si>
  <si>
    <t>Melting_Curves/meltCurve_B4DME9_KLC4.pdf</t>
  </si>
  <si>
    <t>Melting_Curves/meltCurve_B4DMU4_FAM45A.pdf</t>
  </si>
  <si>
    <t>Melting_Curves/meltCurve_B4DMX0_KDSR.pdf</t>
  </si>
  <si>
    <t>Melting_Curves/meltCurve_B4DP21_PTGES3.pdf</t>
  </si>
  <si>
    <t>Melting_Curves/meltCurve_B4DP38_WDR77.pdf</t>
  </si>
  <si>
    <t>Melting_Curves/meltCurve_B4DP61_SMN1.pdf</t>
  </si>
  <si>
    <t>Melting_Curves/meltCurve_B4DPY5_SNX11.pdf</t>
  </si>
  <si>
    <t>Melting_Curves/meltCurve_B4DPY8_TOX4.pdf</t>
  </si>
  <si>
    <t>Melting_Curves/meltCurve_B4DQJ8_PGD.pdf</t>
  </si>
  <si>
    <t>Melting_Curves/meltCurve_B4DR03_NAA40.pdf</t>
  </si>
  <si>
    <t>Melting_Curves/meltCurve_B4DR61_SEC61A1.pdf</t>
  </si>
  <si>
    <t>Melting_Curves/meltCurve_B4DR80_STK24.pdf</t>
  </si>
  <si>
    <t>Melting_Curves/meltCurve_B4DR94_YKT6.pdf</t>
  </si>
  <si>
    <t>Melting_Curves/meltCurve_B4DRM7_SIMC1.pdf</t>
  </si>
  <si>
    <t>Melting_Curves/meltCurve_B4DS06_MPPED1.pdf</t>
  </si>
  <si>
    <t>Melting_Curves/meltCurve_B4DSD4_C9orf41.pdf</t>
  </si>
  <si>
    <t>Melting_Curves/meltCurve_B4DSH5_SLITRK5.pdf</t>
  </si>
  <si>
    <t>Melting_Curves/meltCurve_B4DT77_ANXA7.pdf</t>
  </si>
  <si>
    <t>Melting_Curves/meltCurve_B4DTA3_SLC25A46.pdf</t>
  </si>
  <si>
    <t>Melting_Curves/meltCurve_B4DUB9_SLC35F2.pdf</t>
  </si>
  <si>
    <t>Melting_Curves/meltCurve_B4DUS9_BPNT1.pdf</t>
  </si>
  <si>
    <t>Melting_Curves/meltCurve_B4DVE7_ANXA11.pdf</t>
  </si>
  <si>
    <t>Melting_Curves/meltCurve_B4DVY1_EIF3D.pdf</t>
  </si>
  <si>
    <t>Melting_Curves/meltCurve_B4DWA1_BAIAP2.pdf</t>
  </si>
  <si>
    <t>Melting_Curves/meltCurve_B4DWI1_HACL1.pdf</t>
  </si>
  <si>
    <t>Melting_Curves/meltCurve_B4DWL9_MPP7.pdf</t>
  </si>
  <si>
    <t>Melting_Curves/meltCurve_B4DXZ6_FXR1.pdf</t>
  </si>
  <si>
    <t>Melting_Curves/meltCurve_B4DYB4_NUP35.pdf</t>
  </si>
  <si>
    <t>Melting_Curves/meltCurve_B4DZG7_ARL1.pdf</t>
  </si>
  <si>
    <t>Melting_Curves/meltCurve_B4DZH6_HDAC6.pdf</t>
  </si>
  <si>
    <t>Melting_Curves/meltCurve_B4DZP4_DYNC1LI2.pdf</t>
  </si>
  <si>
    <t>Melting_Curves/meltCurve_B4DZW6_RMDN1.pdf</t>
  </si>
  <si>
    <t>Melting_Curves/meltCurve_B4E0G4_PHF6.pdf</t>
  </si>
  <si>
    <t>Melting_Curves/meltCurve_B4E0G6_RBM6.pdf</t>
  </si>
  <si>
    <t>Melting_Curves/meltCurve_B4E0T2_PEX5.pdf</t>
  </si>
  <si>
    <t>Melting_Curves/meltCurve_B4E0V0_PNPO.pdf</t>
  </si>
  <si>
    <t>Melting_Curves/meltCurve_B4E0Y9_MST4.pdf</t>
  </si>
  <si>
    <t>Melting_Curves/meltCurve_B4E1Q4_RIOK3.pdf</t>
  </si>
  <si>
    <t>Melting_Curves/meltCurve_B4E241_SFRS3.pdf</t>
  </si>
  <si>
    <t>Melting_Curves/meltCurve_B4E2V5_STOM.pdf</t>
  </si>
  <si>
    <t>Melting_Curves/meltCurve_B4E2W0_HADHB.pdf</t>
  </si>
  <si>
    <t>Melting_Curves/meltCurve_B4E2X3_METTL13.pdf</t>
  </si>
  <si>
    <t>Melting_Curves/meltCurve_B4E3E5_DVL3.pdf</t>
  </si>
  <si>
    <t>Melting_Curves/meltCurve_B5AK60_ABCB1.pdf</t>
  </si>
  <si>
    <t>Melting_Curves/meltCurve_B5MBX5_LBH.pdf</t>
  </si>
  <si>
    <t>Melting_Curves/meltCurve_B5MBZ0_EML4.pdf</t>
  </si>
  <si>
    <t>Melting_Curves/meltCurve_B5MC15_CBLB.pdf</t>
  </si>
  <si>
    <t>Melting_Curves/meltCurve_B5MCD7_SYNGR1.pdf</t>
  </si>
  <si>
    <t>Melting_Curves/meltCurve_B5MCF9_PES1.pdf</t>
  </si>
  <si>
    <t>Melting_Curves/meltCurve_B5MCN7_NCOA1.pdf</t>
  </si>
  <si>
    <t>Melting_Curves/meltCurve_B5MD46_TBC1D10A.pdf</t>
  </si>
  <si>
    <t>Melting_Curves/meltCurve_B5MDE0_RFT1.pdf</t>
  </si>
  <si>
    <t>Melting_Curves/meltCurve_B5MDU6_C2orf43.pdf</t>
  </si>
  <si>
    <t>Melting_Curves/meltCurve_B7Z254_PDIA6.pdf</t>
  </si>
  <si>
    <t>Melting_Curves/meltCurve_B7Z291_MTMR9.pdf</t>
  </si>
  <si>
    <t>Melting_Curves/meltCurve_B7Z2B2_MFSD8.pdf</t>
  </si>
  <si>
    <t>Melting_Curves/meltCurve_B7Z382_NT5C2.pdf</t>
  </si>
  <si>
    <t>Melting_Curves/meltCurve_B7Z3P1_TBCE.pdf</t>
  </si>
  <si>
    <t>Melting_Curves/meltCurve_B7Z456_GGA3.pdf</t>
  </si>
  <si>
    <t>Melting_Curves/meltCurve_B7Z4K6_DNASE2.pdf</t>
  </si>
  <si>
    <t>Melting_Curves/meltCurve_B7Z4U0_TOMM40L.pdf</t>
  </si>
  <si>
    <t>Melting_Curves/meltCurve_B7Z4W5_CCBL1.pdf</t>
  </si>
  <si>
    <t>Melting_Curves/meltCurve_B7Z5G4_STMN3.pdf</t>
  </si>
  <si>
    <t>Melting_Curves/meltCurve_B7Z5N5_SMAD2.pdf</t>
  </si>
  <si>
    <t>Melting_Curves/meltCurve_B7Z5R6_NBR1.pdf</t>
  </si>
  <si>
    <t>Melting_Curves/meltCurve_B7Z5W1_F11R.pdf</t>
  </si>
  <si>
    <t>Melting_Curves/meltCurve_B7Z5X7_WARS2.pdf</t>
  </si>
  <si>
    <t>Melting_Curves/meltCurve_B7Z683_ABR.pdf</t>
  </si>
  <si>
    <t>Melting_Curves/meltCurve_B7Z6M4_TNFAIP1.pdf</t>
  </si>
  <si>
    <t>Melting_Curves/meltCurve_B7Z7F3_RANBP3.pdf</t>
  </si>
  <si>
    <t>Melting_Curves/meltCurve_B7Z7X8_ATL2.pdf</t>
  </si>
  <si>
    <t>Melting_Curves/meltCurve_B7Z815_USP7.pdf</t>
  </si>
  <si>
    <t>Melting_Curves/meltCurve_B7Z817_DHCR24.pdf</t>
  </si>
  <si>
    <t>Melting_Curves/meltCurve_B7Z831_GPRC5B.pdf</t>
  </si>
  <si>
    <t>Melting_Curves/meltCurve_B7Z860_CCDC117.pdf</t>
  </si>
  <si>
    <t>Melting_Curves/meltCurve_B7Z8H2_TRDMT1.pdf</t>
  </si>
  <si>
    <t>Melting_Curves/meltCurve_B7Z9I1_ACADM.pdf</t>
  </si>
  <si>
    <t>Melting_Curves/meltCurve_B7Z9I3_ATP6AP2.pdf</t>
  </si>
  <si>
    <t>Melting_Curves/meltCurve_B7Z9J4_CALB1.pdf</t>
  </si>
  <si>
    <t>Melting_Curves/meltCurve_B7Z9S8_ATP1B1.pdf</t>
  </si>
  <si>
    <t>Melting_Curves/meltCurve_B7ZC38_SH3GLB2.pdf</t>
  </si>
  <si>
    <t>Melting_Curves/meltCurve_B7ZKK9_PPP2R5E.pdf</t>
  </si>
  <si>
    <t>Melting_Curves/meltCurve_B7ZKM0_SART3.pdf</t>
  </si>
  <si>
    <t>Melting_Curves/meltCurve_B7ZKQ9_SCARB1.pdf</t>
  </si>
  <si>
    <t>Melting_Curves/meltCurve_B7ZL88_COX18.pdf</t>
  </si>
  <si>
    <t>Melting_Curves/meltCurve_B7ZLZ2_EDEM3.pdf</t>
  </si>
  <si>
    <t>Melting_Curves/meltCurve_B8X2Z3_RLTPR.pdf</t>
  </si>
  <si>
    <t>Melting_Curves/meltCurve_B8ZZB8_CNRIP1.pdf</t>
  </si>
  <si>
    <t>Melting_Curves/meltCurve_B8ZZD4_TAX1BP1.pdf</t>
  </si>
  <si>
    <t>Melting_Curves/meltCurve_B8ZZJ1_FAM126A.pdf</t>
  </si>
  <si>
    <t>Melting_Curves/meltCurve_B8ZZN6_SUMO1.pdf</t>
  </si>
  <si>
    <t>Melting_Curves/meltCurve_B8ZZQ6_PTMA.pdf</t>
  </si>
  <si>
    <t>Melting_Curves/meltCurve_B8ZZU8_TCEB2.pdf</t>
  </si>
  <si>
    <t>Melting_Curves/meltCurve_B8ZZY2_AGFG1.pdf</t>
  </si>
  <si>
    <t>Melting_Curves/meltCurve_B9A018_USP39.pdf</t>
  </si>
  <si>
    <t>Melting_Curves/meltCurve_B9A054_RHBDD1.pdf</t>
  </si>
  <si>
    <t>Melting_Curves/meltCurve_B9A067_IMMT.pdf</t>
  </si>
  <si>
    <t>Melting_Curves/meltCurve_B9EGE7_ZNF507.pdf</t>
  </si>
  <si>
    <t>Melting_Curves/meltCurve_C0H5Y7_BAK1.pdf</t>
  </si>
  <si>
    <t>Melting_Curves/meltCurve_C1IDX9_ATG12.pdf</t>
  </si>
  <si>
    <t>Melting_Curves/meltCurve_C4AMC7_WASH3P.pdf</t>
  </si>
  <si>
    <t>Melting_Curves/meltCurve_C6GKU9_MED30S.pdf</t>
  </si>
  <si>
    <t>Melting_Curves/meltCurve_C9IYZ1_ASNSD1.pdf</t>
  </si>
  <si>
    <t>Melting_Curves/meltCurve_C9IZZ8_ITGB1BP1.pdf</t>
  </si>
  <si>
    <t>Melting_Curves/meltCurve_C9J0I9_ZC3HC1.pdf</t>
  </si>
  <si>
    <t>Melting_Curves/meltCurve_C9J0J7_PFN2.pdf</t>
  </si>
  <si>
    <t>Melting_Curves/meltCurve_C9J0K6_SRI.pdf</t>
  </si>
  <si>
    <t>Melting_Curves/meltCurve_C9J173_INPP1.pdf</t>
  </si>
  <si>
    <t>Melting_Curves/meltCurve_C9J212_UBE2F.pdf</t>
  </si>
  <si>
    <t>Melting_Curves/meltCurve_C9J2P0_UBE2E1.pdf</t>
  </si>
  <si>
    <t>Melting_Curves/meltCurve_C9J2U4_TAMM41.pdf</t>
  </si>
  <si>
    <t>Melting_Curves/meltCurve_C9J2V2_IKBKG.pdf</t>
  </si>
  <si>
    <t>Melting_Curves/meltCurve_C9J3D2_PHC2.pdf</t>
  </si>
  <si>
    <t>Melting_Curves/meltCurve_C9J3D7_CROT.pdf</t>
  </si>
  <si>
    <t>Melting_Curves/meltCurve_C9J3L7_REPIN1.pdf</t>
  </si>
  <si>
    <t>Melting_Curves/meltCurve_C9J3L8_SSR1.pdf</t>
  </si>
  <si>
    <t>Melting_Curves/meltCurve_C9J4M6_POLR2B.pdf</t>
  </si>
  <si>
    <t>Melting_Curves/meltCurve_C9J4Z3_RPL37A.pdf</t>
  </si>
  <si>
    <t>Melting_Curves/meltCurve_C9J5C3_PDCD10.pdf</t>
  </si>
  <si>
    <t>Melting_Curves/meltCurve_C9J5X1_IGF1R.pdf</t>
  </si>
  <si>
    <t>Melting_Curves/meltCurve_C9J695_TANGO2.pdf</t>
  </si>
  <si>
    <t>Melting_Curves/meltCurve_C9J6W2_KIF20B.pdf</t>
  </si>
  <si>
    <t>Melting_Curves/meltCurve_C9J715_NISCH.pdf</t>
  </si>
  <si>
    <t>Melting_Curves/meltCurve_C9J7E5_TNPO3.pdf</t>
  </si>
  <si>
    <t>Melting_Curves/meltCurve_C9J7E8_MKLN1.pdf</t>
  </si>
  <si>
    <t>Melting_Curves/meltCurve_C9J7T7_NCOR2.pdf</t>
  </si>
  <si>
    <t>Melting_Curves/meltCurve_C9J8H5_ZMAT3.pdf</t>
  </si>
  <si>
    <t>Melting_Curves/meltCurve_C9J8Q5_ALDH5A1.pdf</t>
  </si>
  <si>
    <t>Melting_Curves/meltCurve_C9J9K3_RPSA.pdf</t>
  </si>
  <si>
    <t>Melting_Curves/meltCurve_C9JA08_NMD3.pdf</t>
  </si>
  <si>
    <t>Melting_Curves/meltCurve_C9JA28_SSR3.pdf</t>
  </si>
  <si>
    <t>Melting_Curves/meltCurve_C9JAB2_SRSF7.pdf</t>
  </si>
  <si>
    <t>Melting_Curves/meltCurve_C9JAW5_HIGD1A.pdf</t>
  </si>
  <si>
    <t>Melting_Curves/meltCurve_C9JCC6_DRAP1.pdf</t>
  </si>
  <si>
    <t>Melting_Curves/meltCurve_C9JDS9_TUBA4A.pdf</t>
  </si>
  <si>
    <t>Melting_Curves/meltCurve_C9JE12_TMUB1.pdf</t>
  </si>
  <si>
    <t>Melting_Curves/meltCurve_C9JE15_ADCK2.pdf</t>
  </si>
  <si>
    <t>Melting_Curves/meltCurve_C9JEL3_EIF4E2.pdf</t>
  </si>
  <si>
    <t>Melting_Curves/meltCurve_C9JFR7_CYCS.pdf</t>
  </si>
  <si>
    <t>Melting_Curves/meltCurve_C9JG97_AAMP.pdf</t>
  </si>
  <si>
    <t>Melting_Curves/meltCurve_C9JIF9_APEH.pdf</t>
  </si>
  <si>
    <t>Melting_Curves/meltCurve_C9JIM0_PBLD.pdf</t>
  </si>
  <si>
    <t>Melting_Curves/meltCurve_C9JIY2_KRIT1.pdf</t>
  </si>
  <si>
    <t>Melting_Curves/meltCurve_C9JIZ6_PSAP.pdf</t>
  </si>
  <si>
    <t>Melting_Curves/meltCurve_C9JJV6_MYADM.pdf</t>
  </si>
  <si>
    <t>Melting_Curves/meltCurve_C9JK10_ITGA6.pdf</t>
  </si>
  <si>
    <t>Melting_Curves/meltCurve_C9JK89_SH2B2.pdf</t>
  </si>
  <si>
    <t>Melting_Curves/meltCurve_C9JLU1_POLR2H.pdf</t>
  </si>
  <si>
    <t>Melting_Curves/meltCurve_C9JLV4_APAF1.pdf</t>
  </si>
  <si>
    <t>Melting_Curves/meltCurve_C9JN15_PPIG.pdf</t>
  </si>
  <si>
    <t>Melting_Curves/meltCurve_C9JNA8_IP6K1.pdf</t>
  </si>
  <si>
    <t>Melting_Curves/meltCurve_C9JNE2_OARD1.pdf</t>
  </si>
  <si>
    <t>Melting_Curves/meltCurve_C9JP00_MBNL1.pdf</t>
  </si>
  <si>
    <t>Melting_Curves/meltCurve_C9JP16_CRTAP.pdf</t>
  </si>
  <si>
    <t>Melting_Curves/meltCurve_C9JP85_NRF1.pdf</t>
  </si>
  <si>
    <t>Melting_Curves/meltCurve_C9JPM4_ARF4.pdf</t>
  </si>
  <si>
    <t>Melting_Curves/meltCurve_C9JQB1_NME6.pdf</t>
  </si>
  <si>
    <t>Melting_Curves/meltCurve_C9JQV3_STK11IP.pdf</t>
  </si>
  <si>
    <t>Melting_Curves/meltCurve_C9JRY4_SEC22A.pdf</t>
  </si>
  <si>
    <t>Melting_Curves/meltCurve_C9JRZ6_CHCHD3.pdf</t>
  </si>
  <si>
    <t>Melting_Curves/meltCurve_C9JSG1_DPP8.pdf</t>
  </si>
  <si>
    <t>Melting_Curves/meltCurve_C9JUH5_SERP1.pdf</t>
  </si>
  <si>
    <t>Melting_Curves/meltCurve_C9JXB8_RPL24.pdf</t>
  </si>
  <si>
    <t>Melting_Curves/meltCurve_C9JXI1_FOXJ3.pdf</t>
  </si>
  <si>
    <t>Melting_Curves/meltCurve_C9JYM0_POP7.pdf</t>
  </si>
  <si>
    <t>Melting_Curves/meltCurve_C9JYQ9_RPL22L1.pdf</t>
  </si>
  <si>
    <t>Melting_Curves/meltCurve_C9JYY6_NRCAM.pdf</t>
  </si>
  <si>
    <t>Melting_Curves/meltCurve_C9JYY9_NUDT5.pdf</t>
  </si>
  <si>
    <t>Melting_Curves/meltCurve_C9JZB0_INPP5K.pdf</t>
  </si>
  <si>
    <t>Melting_Curves/meltCurve_C9K0J5_RAPH1.pdf</t>
  </si>
  <si>
    <t>Melting_Curves/meltCurve_D3YTA4_PALM2.pdf</t>
  </si>
  <si>
    <t>Melting_Curves/meltCurve_D3YTB1_RPL32.pdf</t>
  </si>
  <si>
    <t>Melting_Curves/meltCurve_D3YTB5_IRAK1.pdf</t>
  </si>
  <si>
    <t>Melting_Curves/meltCurve_D6R938_CAMK2D.pdf</t>
  </si>
  <si>
    <t>Melting_Curves/meltCurve_D6R9G1_CDK7.pdf</t>
  </si>
  <si>
    <t>Melting_Curves/meltCurve_D6R9U7_POLR3G.pdf</t>
  </si>
  <si>
    <t>Melting_Curves/meltCurve_D6R9X7_ERCC6.pdf</t>
  </si>
  <si>
    <t>Melting_Curves/meltCurve_D6R9Z7_COX7C.pdf</t>
  </si>
  <si>
    <t>Melting_Curves/meltCurve_D6RAT0_RPS3A.pdf</t>
  </si>
  <si>
    <t>Melting_Curves/meltCurve_D6RB01_FAM169A.pdf</t>
  </si>
  <si>
    <t>Melting_Curves/meltCurve_D6RBS5_ELMOD2.pdf</t>
  </si>
  <si>
    <t>Melting_Curves/meltCurve_D6RBW1_EIF4E.pdf</t>
  </si>
  <si>
    <t>Melting_Curves/meltCurve_D6RCD0_HSD17B11.pdf</t>
  </si>
  <si>
    <t>Melting_Curves/meltCurve_D6RCD9_TMEM175.pdf</t>
  </si>
  <si>
    <t>Melting_Curves/meltCurve_D6RDM3_SLC41A3.pdf</t>
  </si>
  <si>
    <t>Melting_Curves/meltCurve_D6RDX7_EMB.pdf</t>
  </si>
  <si>
    <t>Melting_Curves/meltCurve_D6RE84_ALG13.pdf</t>
  </si>
  <si>
    <t>Melting_Curves/meltCurve_D6REA0_PET112.pdf</t>
  </si>
  <si>
    <t>Melting_Curves/meltCurve_D6REX3_SEC31A.pdf</t>
  </si>
  <si>
    <t>Melting_Curves/meltCurve_D6RF85_ZNF652.pdf</t>
  </si>
  <si>
    <t>Melting_Curves/meltCurve_D6RF92_CXCL6.pdf</t>
  </si>
  <si>
    <t>Melting_Curves/meltCurve_D6RFG8_DCK.pdf</t>
  </si>
  <si>
    <t>Melting_Curves/meltCurve_D6RFH4_CYB5B.pdf</t>
  </si>
  <si>
    <t>Melting_Curves/meltCurve_D6RGI3_SEPT11.pdf</t>
  </si>
  <si>
    <t>Melting_Curves/meltCurve_D6RGJ7_SLC9B2.pdf</t>
  </si>
  <si>
    <t>Melting_Curves/meltCurve_D6RHD2_SPRY1.pdf</t>
  </si>
  <si>
    <t>Melting_Curves/meltCurve_D6RHD3_CENPK.pdf</t>
  </si>
  <si>
    <t>Melting_Curves/meltCurve_D6RHI9_RNASET2.pdf</t>
  </si>
  <si>
    <t>Melting_Curves/meltCurve_D6RIE3_COX7A2.pdf</t>
  </si>
  <si>
    <t>Melting_Curves/meltCurve_D6W592_HNRPLL.pdf</t>
  </si>
  <si>
    <t>Melting_Curves/meltCurve_E2QRB3_PYCR1.pdf</t>
  </si>
  <si>
    <t>Melting_Curves/meltCurve_E2QRD5_C15orf38_AP3S2.pdf</t>
  </si>
  <si>
    <t>Melting_Curves/meltCurve_E2QRF9_GMNN.pdf</t>
  </si>
  <si>
    <t>Melting_Curves/meltCurve_E5KLJ5_OPA1.pdf</t>
  </si>
  <si>
    <t>Melting_Curves/meltCurve_E5RFJ1_NSMCE2.pdf</t>
  </si>
  <si>
    <t>Melting_Curves/meltCurve_E5RFQ1_EBF1.pdf</t>
  </si>
  <si>
    <t>Melting_Curves/meltCurve_E5RG13_IMPA1.pdf</t>
  </si>
  <si>
    <t>Melting_Curves/meltCurve_E5RG17_TATDN1.pdf</t>
  </si>
  <si>
    <t>Melting_Curves/meltCurve_E5RGQ3_RWDD1.pdf</t>
  </si>
  <si>
    <t>Melting_Curves/meltCurve_E5RGX5_STMN2.pdf</t>
  </si>
  <si>
    <t>Melting_Curves/meltCurve_E5RGY0_DERL1.pdf</t>
  </si>
  <si>
    <t>Melting_Curves/meltCurve_E5RHG8_TCEB1.pdf</t>
  </si>
  <si>
    <t>Melting_Curves/meltCurve_E5RHT1_PSEN2.pdf</t>
  </si>
  <si>
    <t>Melting_Curves/meltCurve_E5RIH5_TTI2.pdf</t>
  </si>
  <si>
    <t>Melting_Curves/meltCurve_E5RIJ0_POLB.pdf</t>
  </si>
  <si>
    <t>Melting_Curves/meltCurve_E5RJ68_AP3B1.pdf</t>
  </si>
  <si>
    <t>Melting_Curves/meltCurve_E5RJ97_TRPS1.pdf</t>
  </si>
  <si>
    <t>Melting_Curves/meltCurve_E5RJ99_ZFAND1.pdf</t>
  </si>
  <si>
    <t>Melting_Curves/meltCurve_E5RJB8_SDC2.pdf</t>
  </si>
  <si>
    <t>Melting_Curves/meltCurve_E5RJJ3_NUDT18.pdf</t>
  </si>
  <si>
    <t>Melting_Curves/meltCurve_E5RJR5_SKP1.pdf</t>
  </si>
  <si>
    <t>Melting_Curves/meltCurve_E5RJS5_MTFR1.pdf</t>
  </si>
  <si>
    <t>Melting_Curves/meltCurve_E5RJV7_SGK3.pdf</t>
  </si>
  <si>
    <t>Melting_Curves/meltCurve_E7EM64_COPS6.pdf</t>
  </si>
  <si>
    <t>Melting_Curves/meltCurve_E7EM95_RNF5.pdf</t>
  </si>
  <si>
    <t>Melting_Curves/meltCurve_E7EMB1_SWAP70.pdf</t>
  </si>
  <si>
    <t>Melting_Curves/meltCurve_E7EMD6_AKAP10.pdf</t>
  </si>
  <si>
    <t>Melting_Curves/meltCurve_E7EMM4_ASAH1.pdf</t>
  </si>
  <si>
    <t>Melting_Curves/meltCurve_E7EMX7_RAI14.pdf</t>
  </si>
  <si>
    <t>Melting_Curves/meltCurve_E7EN68_SETMAR.pdf</t>
  </si>
  <si>
    <t>Melting_Curves/meltCurve_E7EN86_ZNF143.pdf</t>
  </si>
  <si>
    <t>Melting_Curves/meltCurve_E7ENA9_NCSTN.pdf</t>
  </si>
  <si>
    <t>Melting_Curves/meltCurve_E7ENN3_SYNE1.pdf</t>
  </si>
  <si>
    <t>Melting_Curves/meltCurve_E7ENR4_HK1.pdf</t>
  </si>
  <si>
    <t>Melting_Curves/meltCurve_E7EP87_NARF.pdf</t>
  </si>
  <si>
    <t>Melting_Curves/meltCurve_E7EPB3_RPL14.pdf</t>
  </si>
  <si>
    <t>Melting_Curves/meltCurve_E7EPC6_CD44.pdf</t>
  </si>
  <si>
    <t>Melting_Curves/meltCurve_E7EPD0_TOM1.pdf</t>
  </si>
  <si>
    <t>Melting_Curves/meltCurve_E7EPL4_PDXDC1.pdf</t>
  </si>
  <si>
    <t>Melting_Curves/meltCurve_E7EPN9_PRRC2C.pdf</t>
  </si>
  <si>
    <t>Melting_Curves/meltCurve_E7EPT4_NDUFV2.pdf</t>
  </si>
  <si>
    <t>Melting_Curves/meltCurve_E7EPV7_SNCA.pdf</t>
  </si>
  <si>
    <t>Melting_Curves/meltCurve_E7EPY1_TNIP1.pdf</t>
  </si>
  <si>
    <t>Melting_Curves/meltCurve_E7EQ29_GLB1.pdf</t>
  </si>
  <si>
    <t>Melting_Curves/meltCurve_E7EQ69_NAA50.pdf</t>
  </si>
  <si>
    <t>Melting_Curves/meltCurve_E7EQ72_TMED2.pdf</t>
  </si>
  <si>
    <t>Melting_Curves/meltCurve_E7EQA9_TANK.pdf</t>
  </si>
  <si>
    <t>Melting_Curves/meltCurve_E7EQI7_KIAA0196.pdf</t>
  </si>
  <si>
    <t>Melting_Curves/meltCurve_E7EQN6_SENP6.pdf</t>
  </si>
  <si>
    <t>Melting_Curves/meltCurve_E7EQR8_YIPF3.pdf</t>
  </si>
  <si>
    <t>Melting_Curves/meltCurve_E7EQR9_DMD.pdf</t>
  </si>
  <si>
    <t>Melting_Curves/meltCurve_E7EQT4_ACIN1.pdf</t>
  </si>
  <si>
    <t>Melting_Curves/meltCurve_E7EQX7_TP53.pdf</t>
  </si>
  <si>
    <t>Melting_Curves/meltCurve_E7EQY1_FAM136A.pdf</t>
  </si>
  <si>
    <t>Melting_Curves/meltCurve_E7ER60_SYNJ2.pdf</t>
  </si>
  <si>
    <t>Melting_Curves/meltCurve_E7ER68_FAM91A1.pdf</t>
  </si>
  <si>
    <t>Melting_Curves/meltCurve_E7ER77_ERMP1.pdf</t>
  </si>
  <si>
    <t>Melting_Curves/meltCurve_E7ER89_PAPSS2.pdf</t>
  </si>
  <si>
    <t>Melting_Curves/meltCurve_E7ERB7_GMIP.pdf</t>
  </si>
  <si>
    <t>Melting_Curves/meltCurve_E7ERC6_ATP2C1.pdf</t>
  </si>
  <si>
    <t>Melting_Curves/meltCurve_E7ERI8_CLASP2.pdf</t>
  </si>
  <si>
    <t>Melting_Curves/meltCurve_E7ERK9_EIF2B4.pdf</t>
  </si>
  <si>
    <t>Melting_Curves/meltCurve_E7ERS3_ZC3H18.pdf</t>
  </si>
  <si>
    <t>Melting_Curves/meltCurve_E7ES35_TTC38.pdf</t>
  </si>
  <si>
    <t>Melting_Curves/meltCurve_E7ES43_HSPA4L.pdf</t>
  </si>
  <si>
    <t>Melting_Curves/meltCurve_E7ES96_PSEN1.pdf</t>
  </si>
  <si>
    <t>Melting_Curves/meltCurve_E7ESG2_CLSPN.pdf</t>
  </si>
  <si>
    <t>Melting_Curves/meltCurve_E7ESP9_NEFM.pdf</t>
  </si>
  <si>
    <t>Melting_Curves/meltCurve_E7EST9_USP19.pdf</t>
  </si>
  <si>
    <t>Melting_Curves/meltCurve_E7ESZ7_NDUFA10.pdf</t>
  </si>
  <si>
    <t>Melting_Curves/meltCurve_E7ET15_U2SURP.pdf</t>
  </si>
  <si>
    <t>Melting_Curves/meltCurve_E7ET49_DAGLB.pdf</t>
  </si>
  <si>
    <t>Melting_Curves/meltCurve_E7ETB3_DNPEP.pdf</t>
  </si>
  <si>
    <t>Melting_Curves/meltCurve_E7ETE0_METTL8.pdf</t>
  </si>
  <si>
    <t>Melting_Curves/meltCurve_E7ETU5_RBMS1.pdf</t>
  </si>
  <si>
    <t>Melting_Curves/meltCurve_E7ETU9_PLOD2.pdf</t>
  </si>
  <si>
    <t>Melting_Curves/meltCurve_E7ETY4_MARK2.pdf</t>
  </si>
  <si>
    <t>Melting_Curves/meltCurve_E7ETY7_GPX8.pdf</t>
  </si>
  <si>
    <t>Melting_Curves/meltCurve_E7ETZ0_CALM1.pdf</t>
  </si>
  <si>
    <t>Melting_Curves/meltCurve_E7ETZ4_BZW2.pdf</t>
  </si>
  <si>
    <t>Melting_Curves/meltCurve_E7EU09_FGFR1.pdf</t>
  </si>
  <si>
    <t>Melting_Curves/meltCurve_E7EU23_GDI2.pdf</t>
  </si>
  <si>
    <t>Melting_Curves/meltCurve_E7EU96_CSNK2A1.pdf</t>
  </si>
  <si>
    <t>Melting_Curves/meltCurve_E7EUC7_UGP2.pdf</t>
  </si>
  <si>
    <t>Melting_Curves/meltCurve_E7EUM5_NUP54.pdf</t>
  </si>
  <si>
    <t>Melting_Curves/meltCurve_E7EUU4_EIF4G1.pdf</t>
  </si>
  <si>
    <t>Melting_Curves/meltCurve_E7EUY3_PCCB.pdf</t>
  </si>
  <si>
    <t>Melting_Curves/meltCurve_E7EV56_PCM1.pdf</t>
  </si>
  <si>
    <t>Melting_Curves/meltCurve_E7EV87_DEPTOR.pdf</t>
  </si>
  <si>
    <t>Melting_Curves/meltCurve_E7EVA0_MAP4.pdf</t>
  </si>
  <si>
    <t>Melting_Curves/meltCurve_E7EVC7_ATG16L1.pdf</t>
  </si>
  <si>
    <t>Melting_Curves/meltCurve_E7EVD6_LPHN3.pdf</t>
  </si>
  <si>
    <t>Melting_Curves/meltCurve_E7EVH7_KLC1.pdf</t>
  </si>
  <si>
    <t>Melting_Curves/meltCurve_E7EVH9_HDHD1.pdf</t>
  </si>
  <si>
    <t>Melting_Curves/meltCurve_E7EVJ5_CYFIP2.pdf</t>
  </si>
  <si>
    <t>Melting_Curves/meltCurve_E7EVW7_HCLS1.pdf</t>
  </si>
  <si>
    <t>Melting_Curves/meltCurve_E7EVX8_PRPF31.pdf</t>
  </si>
  <si>
    <t>Melting_Curves/meltCurve_E7EW05_SDAD1.pdf</t>
  </si>
  <si>
    <t>Melting_Curves/meltCurve_E7EW20_MYO6.pdf</t>
  </si>
  <si>
    <t>Melting_Curves/meltCurve_E7EW59_SALL2.pdf</t>
  </si>
  <si>
    <t>Melting_Curves/meltCurve_E7EW69_SEPT10.pdf</t>
  </si>
  <si>
    <t>Melting_Curves/meltCurve_E7EW77_ABI2.pdf</t>
  </si>
  <si>
    <t>Melting_Curves/meltCurve_E7EW84_EXOC6.pdf</t>
  </si>
  <si>
    <t>Melting_Curves/meltCurve_E7EWP0_NDUFB5.pdf</t>
  </si>
  <si>
    <t>Melting_Curves/meltCurve_E7EX01_MPP2.pdf</t>
  </si>
  <si>
    <t>Melting_Curves/meltCurve_E7EX53_RPL15.pdf</t>
  </si>
  <si>
    <t>Melting_Curves/meltCurve_E7EX90_DCTN1.pdf</t>
  </si>
  <si>
    <t>Melting_Curves/meltCurve_E9PAU2_RAVER1.pdf</t>
  </si>
  <si>
    <t>Melting_Curves/meltCurve_E9PAV9_GPATCH4.pdf</t>
  </si>
  <si>
    <t>Melting_Curves/meltCurve_E9PB35_NUSAP1.pdf</t>
  </si>
  <si>
    <t>Melting_Curves/meltCurve_E9PB61_ALYREF.pdf</t>
  </si>
  <si>
    <t>Melting_Curves/meltCurve_E9PB90_HK2.pdf</t>
  </si>
  <si>
    <t>Melting_Curves/meltCurve_E9PC15_AGK.pdf</t>
  </si>
  <si>
    <t>Melting_Curves/meltCurve_E9PC26_BUB1.pdf</t>
  </si>
  <si>
    <t>Melting_Curves/meltCurve_E9PC47_LIMK1.pdf</t>
  </si>
  <si>
    <t>Melting_Curves/meltCurve_E9PC74_EIF2B5.pdf</t>
  </si>
  <si>
    <t>Melting_Curves/meltCurve_E9PC84_TNC.pdf</t>
  </si>
  <si>
    <t>Melting_Curves/meltCurve_E9PCH4_FNIP1.pdf</t>
  </si>
  <si>
    <t>Melting_Curves/meltCurve_E9PCN2_GUCY1B3.pdf</t>
  </si>
  <si>
    <t>Melting_Curves/meltCurve_E9PCW1_GOSR1.pdf</t>
  </si>
  <si>
    <t>Melting_Curves/meltCurve_E9PCX3_ELF2.pdf</t>
  </si>
  <si>
    <t>Melting_Curves/meltCurve_E9PCY7_HNRNPH1.pdf</t>
  </si>
  <si>
    <t>Melting_Curves/meltCurve_E9PD50_SMG7.pdf</t>
  </si>
  <si>
    <t>Melting_Curves/meltCurve_E9PD53_SMC4.pdf</t>
  </si>
  <si>
    <t>Melting_Curves/meltCurve_E9PD90_CKAP2.pdf</t>
  </si>
  <si>
    <t>Melting_Curves/meltCurve_E9PD99_LRCH3.pdf</t>
  </si>
  <si>
    <t>Melting_Curves/meltCurve_E9PDF6_MYO1B.pdf</t>
  </si>
  <si>
    <t>Melting_Curves/meltCurve_E9PDJ1_CACNA1C.pdf</t>
  </si>
  <si>
    <t>Melting_Curves/meltCurve_E9PDW2_OXCT1.pdf</t>
  </si>
  <si>
    <t>Melting_Curves/meltCurve_E9PE47_SLC2A13.pdf</t>
  </si>
  <si>
    <t>Melting_Curves/meltCurve_E9PE82_ACADS.pdf</t>
  </si>
  <si>
    <t>Melting_Curves/meltCurve_E9PEE8_ITGB6.pdf</t>
  </si>
  <si>
    <t>Melting_Curves/meltCurve_E9PEH6_SGCE.pdf</t>
  </si>
  <si>
    <t>Melting_Curves/meltCurve_E9PEK8_ATF2.pdf</t>
  </si>
  <si>
    <t>Melting_Curves/meltCurve_E9PEN8_XPO7.pdf</t>
  </si>
  <si>
    <t>Melting_Curves/meltCurve_E9PEP6_NRP1.pdf</t>
  </si>
  <si>
    <t>Melting_Curves/meltCurve_E9PER6_PDPK1.pdf</t>
  </si>
  <si>
    <t>Melting_Curves/meltCurve_E9PEZ3_DIAPH1.pdf</t>
  </si>
  <si>
    <t>Melting_Curves/meltCurve_E9PEZ5_KIAA1107.pdf</t>
  </si>
  <si>
    <t>Melting_Curves/meltCurve_E9PF10_NUP155.pdf</t>
  </si>
  <si>
    <t>Melting_Curves/meltCurve_E9PF16_ACSF2.pdf</t>
  </si>
  <si>
    <t>Melting_Curves/meltCurve_E9PF18_HADH.pdf</t>
  </si>
  <si>
    <t>Melting_Curves/meltCurve_E9PF19_TBL2.pdf</t>
  </si>
  <si>
    <t>Melting_Curves/meltCurve_E9PFB9_CCDC18.pdf</t>
  </si>
  <si>
    <t>Melting_Curves/meltCurve_E9PFD7_EGFR.pdf</t>
  </si>
  <si>
    <t>Melting_Curves/meltCurve_E9PFN5_GSTK1.pdf</t>
  </si>
  <si>
    <t>Melting_Curves/meltCurve_E9PFR3_PPP2R5D.pdf</t>
  </si>
  <si>
    <t>Melting_Curves/meltCurve_E9PFW8_SQSTM1.pdf</t>
  </si>
  <si>
    <t>Melting_Curves/meltCurve_E9PG19_FCHSD2.pdf</t>
  </si>
  <si>
    <t>Melting_Curves/meltCurve_E9PG22_CEP97.pdf</t>
  </si>
  <si>
    <t>Melting_Curves/meltCurve_E9PG40_APP.pdf</t>
  </si>
  <si>
    <t>Melting_Curves/meltCurve_E9PG71_EPHA4.pdf</t>
  </si>
  <si>
    <t>Melting_Curves/meltCurve_E9PGC0_RASA1.pdf</t>
  </si>
  <si>
    <t>Melting_Curves/meltCurve_E9PGI3_INTS12.pdf</t>
  </si>
  <si>
    <t>Melting_Curves/meltCurve_E9PGQ0_SLC25A44.pdf</t>
  </si>
  <si>
    <t>Melting_Curves/meltCurve_E9PGT1_TSN.pdf</t>
  </si>
  <si>
    <t>Melting_Curves/meltCurve_E9PGT3_RPS6KA1.pdf</t>
  </si>
  <si>
    <t>Melting_Curves/meltCurve_E9PGT6_COPS8.pdf</t>
  </si>
  <si>
    <t>Melting_Curves/meltCurve_E9PGW7_MED22.pdf</t>
  </si>
  <si>
    <t>Melting_Curves/meltCurve_E9PH29_PRDX3.pdf</t>
  </si>
  <si>
    <t>Melting_Curves/meltCurve_E9PHA2_NCAPH.pdf</t>
  </si>
  <si>
    <t>Melting_Curves/meltCurve_E9PHC0_INPP4B.pdf</t>
  </si>
  <si>
    <t>Melting_Curves/meltCurve_E9PHG5_CYP20A1.pdf</t>
  </si>
  <si>
    <t>Melting_Curves/meltCurve_E9PHK9_TCOF1.pdf</t>
  </si>
  <si>
    <t>Melting_Curves/meltCurve_E9PHN7_GSTM2.pdf</t>
  </si>
  <si>
    <t>Melting_Curves/meltCurve_E9PHV4_POLR2D.pdf</t>
  </si>
  <si>
    <t>Melting_Curves/meltCurve_E9PIE4_MTCH2.pdf</t>
  </si>
  <si>
    <t>Melting_Curves/meltCurve_E9PIN3_NXF1.pdf</t>
  </si>
  <si>
    <t>Melting_Curves/meltCurve_E9PIQ1_BRCA2.pdf</t>
  </si>
  <si>
    <t>Melting_Curves/meltCurve_E9PIR7_TXNRD1.pdf</t>
  </si>
  <si>
    <t>Melting_Curves/meltCurve_E9PJ81_UBXN1.pdf</t>
  </si>
  <si>
    <t>Melting_Curves/meltCurve_E9PJB8_VIMP.pdf</t>
  </si>
  <si>
    <t>Melting_Curves/meltCurve_E9PJD7_CYHR1.pdf</t>
  </si>
  <si>
    <t>Melting_Curves/meltCurve_E9PJH1_MKNK1.pdf</t>
  </si>
  <si>
    <t>Melting_Curves/meltCurve_E9PJK1_CD81.pdf</t>
  </si>
  <si>
    <t>Melting_Curves/meltCurve_E9PJW9_OSBPL9.pdf</t>
  </si>
  <si>
    <t>Melting_Curves/meltCurve_E9PK01_EEF1D.pdf</t>
  </si>
  <si>
    <t>Melting_Curves/meltCurve_E9PK91_BCLAF1.pdf</t>
  </si>
  <si>
    <t>Melting_Curves/meltCurve_E9PKG1_PRMT1.pdf</t>
  </si>
  <si>
    <t>Melting_Curves/meltCurve_E9PKS9_TRAPPC4.pdf</t>
  </si>
  <si>
    <t>Melting_Curves/meltCurve_E9PKT4_TMEM123.pdf</t>
  </si>
  <si>
    <t>Melting_Curves/meltCurve_E9PKV8_TTC9C.pdf</t>
  </si>
  <si>
    <t>Melting_Curves/meltCurve_E9PKZ0_RPL8.pdf</t>
  </si>
  <si>
    <t>Melting_Curves/meltCurve_E9PL01_SPCS2.pdf</t>
  </si>
  <si>
    <t>Melting_Curves/meltCurve_E9PL10_BTF3L4.pdf</t>
  </si>
  <si>
    <t>Melting_Curves/meltCurve_E9PL17_CLP1.pdf</t>
  </si>
  <si>
    <t>Melting_Curves/meltCurve_E9PL22_HYOU1.pdf</t>
  </si>
  <si>
    <t>Melting_Curves/meltCurve_E9PL40_TSPAN18.pdf</t>
  </si>
  <si>
    <t>Melting_Curves/meltCurve_E9PL57_NEDD8_MDP1.pdf</t>
  </si>
  <si>
    <t>Melting_Curves/meltCurve_E9PLJ2_CHIA.pdf</t>
  </si>
  <si>
    <t>Melting_Curves/meltCurve_E9PLK3_NPEPPS.pdf</t>
  </si>
  <si>
    <t>Melting_Curves/meltCurve_E9PLL6_RPL27A.pdf</t>
  </si>
  <si>
    <t>Melting_Curves/meltCurve_E9PLY5_MACF1.pdf</t>
  </si>
  <si>
    <t>Melting_Curves/meltCurve_E9PM46_USP47.pdf</t>
  </si>
  <si>
    <t>Melting_Curves/meltCurve_E9PMI6_CLNS1A.pdf</t>
  </si>
  <si>
    <t>Melting_Curves/meltCurve_E9PMJ2_FAM118B.pdf</t>
  </si>
  <si>
    <t>Melting_Curves/meltCurve_E9PMM3_PEX16.pdf</t>
  </si>
  <si>
    <t>Melting_Curves/meltCurve_E9PMQ6_HSF1.pdf</t>
  </si>
  <si>
    <t>Melting_Curves/meltCurve_E9PND3_EBAG9.pdf</t>
  </si>
  <si>
    <t>Melting_Curves/meltCurve_E9PNK6_TPD52L1.pdf</t>
  </si>
  <si>
    <t>Melting_Curves/meltCurve_E9PNN3_PTS.pdf</t>
  </si>
  <si>
    <t>Melting_Curves/meltCurve_E9PNP2_SSR2.pdf</t>
  </si>
  <si>
    <t>Melting_Curves/meltCurve_E9PNP3_AAMDC.pdf</t>
  </si>
  <si>
    <t>Melting_Curves/meltCurve_E9PNT2_ARHGAP27.pdf</t>
  </si>
  <si>
    <t>Melting_Curves/meltCurve_E9PNW4_CD59.pdf</t>
  </si>
  <si>
    <t>Melting_Curves/meltCurve_E9PQ61_ZC3H11A.pdf</t>
  </si>
  <si>
    <t>Melting_Curves/meltCurve_E9PQN5_PPP2R5B.pdf</t>
  </si>
  <si>
    <t>Melting_Curves/meltCurve_E9PQR7_VPS28.pdf</t>
  </si>
  <si>
    <t>Melting_Curves/meltCurve_E9PQY3_ACP2.pdf</t>
  </si>
  <si>
    <t>Melting_Curves/meltCurve_E9PQZ2_ST3GAL4.pdf</t>
  </si>
  <si>
    <t>Melting_Curves/meltCurve_E9PR30_FAU.pdf</t>
  </si>
  <si>
    <t>Melting_Curves/meltCurve_E9PR76_MAF1.pdf</t>
  </si>
  <si>
    <t>Melting_Curves/meltCurve_E9PRJ3_CD151.pdf</t>
  </si>
  <si>
    <t>Melting_Curves/meltCurve_E9PS17_SCYL1.pdf</t>
  </si>
  <si>
    <t>Melting_Curves/meltCurve_E9PS38_NEDD8_MDP1.pdf</t>
  </si>
  <si>
    <t>Melting_Curves/meltCurve_E9PS97_PARVA.pdf</t>
  </si>
  <si>
    <t>Melting_Curves/meltCurve_E9PSI1_TM9SF1.pdf</t>
  </si>
  <si>
    <t>Melting_Curves/meltCurve_F2Z2E2_IQGAP3.pdf</t>
  </si>
  <si>
    <t>Melting_Curves/meltCurve_F2Z2U8_MYH14.pdf</t>
  </si>
  <si>
    <t>Melting_Curves/meltCurve_F2Z2W6_HMGN1.pdf</t>
  </si>
  <si>
    <t>Melting_Curves/meltCurve_F2Z2W7_TRMT2A.pdf</t>
  </si>
  <si>
    <t>Melting_Curves/meltCurve_F2Z2X4_XPO4.pdf</t>
  </si>
  <si>
    <t>Melting_Curves/meltCurve_F5GWE5_PITPNA.pdf</t>
  </si>
  <si>
    <t>Melting_Curves/meltCurve_F5GWI9_CCDC53.pdf</t>
  </si>
  <si>
    <t>Melting_Curves/meltCurve_F5GWU7_SMAD5.pdf</t>
  </si>
  <si>
    <t>Melting_Curves/meltCurve_F5GWX5_CHD4.pdf</t>
  </si>
  <si>
    <t>Melting_Curves/meltCurve_F5GWY5_PODXL.pdf</t>
  </si>
  <si>
    <t>Melting_Curves/meltCurve_F5GX09_FAM76B.pdf</t>
  </si>
  <si>
    <t>Melting_Curves/meltCurve_F5GX30_PHC1.pdf</t>
  </si>
  <si>
    <t>Melting_Curves/meltCurve_F5GXC8_SUCLA2.pdf</t>
  </si>
  <si>
    <t>Melting_Curves/meltCurve_F5GXC9_LTBP4.pdf</t>
  </si>
  <si>
    <t>Melting_Curves/meltCurve_F5GXE4_ATE1.pdf</t>
  </si>
  <si>
    <t>Melting_Curves/meltCurve_F5GXI4_PTPRK.pdf</t>
  </si>
  <si>
    <t>Melting_Curves/meltCurve_F5GXX5_DAD1.pdf</t>
  </si>
  <si>
    <t>Melting_Curves/meltCurve_F5GY92_GPBP1.pdf</t>
  </si>
  <si>
    <t>Melting_Curves/meltCurve_F5GY99_GALNT1.pdf</t>
  </si>
  <si>
    <t>Melting_Curves/meltCurve_F5GYC1_ABCD3.pdf</t>
  </si>
  <si>
    <t>Melting_Curves/meltCurve_F5GYE8_CEP112.pdf</t>
  </si>
  <si>
    <t>Melting_Curves/meltCurve_F5GYJ5_.pdf</t>
  </si>
  <si>
    <t>Melting_Curves/meltCurve_F5GYK2_STRN4.pdf</t>
  </si>
  <si>
    <t>Melting_Curves/meltCurve_F5GYN4_OTUB1.pdf</t>
  </si>
  <si>
    <t>Melting_Curves/meltCurve_F5GYQ1_ATP6V0D1.pdf</t>
  </si>
  <si>
    <t>Melting_Curves/meltCurve_F5GZ78_PXN.pdf</t>
  </si>
  <si>
    <t>Melting_Curves/meltCurve_F5GZ84_FARP2.pdf</t>
  </si>
  <si>
    <t>Melting_Curves/meltCurve_F5GZN3_MFGE8.pdf</t>
  </si>
  <si>
    <t>Melting_Curves/meltCurve_F5GZP3_TRIM59.pdf</t>
  </si>
  <si>
    <t>Melting_Curves/meltCurve_F5GZS0_DHX36.pdf</t>
  </si>
  <si>
    <t>Melting_Curves/meltCurve_F5GZS6_SLC3A2.pdf</t>
  </si>
  <si>
    <t>Melting_Curves/meltCurve_F5GZU5_MED15.pdf</t>
  </si>
  <si>
    <t>Melting_Curves/meltCurve_F5GZX9_FAM120B.pdf</t>
  </si>
  <si>
    <t>Melting_Curves/meltCurve_F5GZZ0_ALKBH2.pdf</t>
  </si>
  <si>
    <t>Melting_Curves/meltCurve_F5H0L8_SEC23IP.pdf</t>
  </si>
  <si>
    <t>Melting_Curves/meltCurve_F5H0U5_GLTP.pdf</t>
  </si>
  <si>
    <t>Melting_Curves/meltCurve_F5H1G9_ABI1.pdf</t>
  </si>
  <si>
    <t>Melting_Curves/meltCurve_F5H1H0_L1CAM.pdf</t>
  </si>
  <si>
    <t>Melting_Curves/meltCurve_F5H1L4_TXNRD2.pdf</t>
  </si>
  <si>
    <t>Melting_Curves/meltCurve_F5H1N7_KIAA1211.pdf</t>
  </si>
  <si>
    <t>Melting_Curves/meltCurve_F5H1U9_MPDZ.pdf</t>
  </si>
  <si>
    <t>Melting_Curves/meltCurve_F5H1X8_LRBA.pdf</t>
  </si>
  <si>
    <t>Melting_Curves/meltCurve_F5H2H5_ANKLE2.pdf</t>
  </si>
  <si>
    <t>Melting_Curves/meltCurve_F5H2J3_VMP1.pdf</t>
  </si>
  <si>
    <t>Melting_Curves/meltCurve_F5H2M7_WNK1.pdf</t>
  </si>
  <si>
    <t>Melting_Curves/meltCurve_F5H2Q7_KIAA1715.pdf</t>
  </si>
  <si>
    <t>Melting_Curves/meltCurve_F5H2S7_DCTN2.pdf</t>
  </si>
  <si>
    <t>Melting_Curves/meltCurve_F5H2U7_NECAP1.pdf</t>
  </si>
  <si>
    <t>Melting_Curves/meltCurve_F5H2U8_HMGA2.pdf</t>
  </si>
  <si>
    <t>Melting_Curves/meltCurve_F5H2V5_FADS3.pdf</t>
  </si>
  <si>
    <t>Melting_Curves/meltCurve_F5H2X3_NRP2.pdf</t>
  </si>
  <si>
    <t>Melting_Curves/meltCurve_F5H357_RBPMS.pdf</t>
  </si>
  <si>
    <t>Melting_Curves/meltCurve_F5H365_SEC23A.pdf</t>
  </si>
  <si>
    <t>Melting_Curves/meltCurve_F5H3J3_CHST10.pdf</t>
  </si>
  <si>
    <t>Melting_Curves/meltCurve_F5H450_FZD10.pdf</t>
  </si>
  <si>
    <t>Melting_Curves/meltCurve_F5H4G7_KPNA6.pdf</t>
  </si>
  <si>
    <t>Melting_Curves/meltCurve_F5H4I5_ITM2C.pdf</t>
  </si>
  <si>
    <t>Melting_Curves/meltCurve_F5H4J2_PEX14.pdf</t>
  </si>
  <si>
    <t>Melting_Curves/meltCurve_F5H4K0_WLS.pdf</t>
  </si>
  <si>
    <t>Melting_Curves/meltCurve_F5H4N6_GRIP1.pdf</t>
  </si>
  <si>
    <t>Melting_Curves/meltCurve_F5H4Q5_VPS37C.pdf</t>
  </si>
  <si>
    <t>Melting_Curves/meltCurve_F5H4R0_EVI5.pdf</t>
  </si>
  <si>
    <t>Melting_Curves/meltCurve_F5H4V9_PDCD2.pdf</t>
  </si>
  <si>
    <t>Melting_Curves/meltCurve_F5H4Z3_PSMF1.pdf</t>
  </si>
  <si>
    <t>Melting_Curves/meltCurve_F5H527_SSH2.pdf</t>
  </si>
  <si>
    <t>Melting_Curves/meltCurve_F5H564_EIF4G3.pdf</t>
  </si>
  <si>
    <t>Melting_Curves/meltCurve_F5H569_ATP6V0A1.pdf</t>
  </si>
  <si>
    <t>Melting_Curves/meltCurve_F5H577_BRK1.pdf</t>
  </si>
  <si>
    <t>Melting_Curves/meltCurve_F5H5D3_TUBA1C.pdf</t>
  </si>
  <si>
    <t>Melting_Curves/meltCurve_F5H5K6_NOC4L.pdf</t>
  </si>
  <si>
    <t>Melting_Curves/meltCurve_F5H5M9_TNIK.pdf</t>
  </si>
  <si>
    <t>Melting_Curves/meltCurve_F5H5N1_NDUFS7.pdf</t>
  </si>
  <si>
    <t>Melting_Curves/meltCurve_F5H5P2_BCKDHA.pdf</t>
  </si>
  <si>
    <t>Melting_Curves/meltCurve_F5H5R8_NAT1.pdf</t>
  </si>
  <si>
    <t>Melting_Curves/meltCurve_F5H620_OXNAD1.pdf</t>
  </si>
  <si>
    <t>Melting_Curves/meltCurve_F5H648_TAP1.pdf</t>
  </si>
  <si>
    <t>Melting_Curves/meltCurve_F5H685_MED23.pdf</t>
  </si>
  <si>
    <t>Melting_Curves/meltCurve_F5H698_LARS.pdf</t>
  </si>
  <si>
    <t>Melting_Curves/meltCurve_F5H6I7_ATL3.pdf</t>
  </si>
  <si>
    <t>Melting_Curves/meltCurve_F5H715_AIDA.pdf</t>
  </si>
  <si>
    <t>Melting_Curves/meltCurve_F5H721_WBP11.pdf</t>
  </si>
  <si>
    <t>Melting_Curves/meltCurve_F5H7J5_RPTOR.pdf</t>
  </si>
  <si>
    <t>Melting_Curves/meltCurve_F5H7M3_DLAT.pdf</t>
  </si>
  <si>
    <t>Melting_Curves/meltCurve_F5H7Q8_MICB.pdf</t>
  </si>
  <si>
    <t>Melting_Curves/meltCurve_F5H843_SLC16A7.pdf</t>
  </si>
  <si>
    <t>Melting_Curves/meltCurve_F5H860_INPP4A.pdf</t>
  </si>
  <si>
    <t>Melting_Curves/meltCurve_F5H897_TRAP1.pdf</t>
  </si>
  <si>
    <t>Melting_Curves/meltCurve_F5H8D7_XRCC1.pdf</t>
  </si>
  <si>
    <t>Melting_Curves/meltCurve_F5H8F7_ASH2L.pdf</t>
  </si>
  <si>
    <t>Melting_Curves/meltCurve_F5H8G1_STARD10.pdf</t>
  </si>
  <si>
    <t>Melting_Curves/meltCurve_F5H8J3_CLPTM1.pdf</t>
  </si>
  <si>
    <t>Melting_Curves/meltCurve_F5H8L0_RABGAP1L.pdf</t>
  </si>
  <si>
    <t>Melting_Curves/meltCurve_F6PQP6_EPN2.pdf</t>
  </si>
  <si>
    <t>Melting_Curves/meltCurve_F6RY50_SIPA1.pdf</t>
  </si>
  <si>
    <t>Melting_Curves/meltCurve_F6S0T5_KDM1A.pdf</t>
  </si>
  <si>
    <t>Melting_Curves/meltCurve_F6T1Q0_PDE12.pdf</t>
  </si>
  <si>
    <t>Melting_Curves/meltCurve_F6U1T9_PPP3R1.pdf</t>
  </si>
  <si>
    <t>Melting_Curves/meltCurve_F6XY72_NME2.pdf</t>
  </si>
  <si>
    <t>Melting_Curves/meltCurve_F8VPD4_CAD.pdf</t>
  </si>
  <si>
    <t>Melting_Curves/meltCurve_F8VQ10_DDX39B.pdf</t>
  </si>
  <si>
    <t>Melting_Curves/meltCurve_F8VQD4_C12orf75.pdf</t>
  </si>
  <si>
    <t>Melting_Curves/meltCurve_F8VQX6_METTL7A.pdf</t>
  </si>
  <si>
    <t>Melting_Curves/meltCurve_F8VQY2_UIMC1.pdf</t>
  </si>
  <si>
    <t>Melting_Curves/meltCurve_F8VQZ7_METAP2.pdf</t>
  </si>
  <si>
    <t>Melting_Curves/meltCurve_F8VSL3_NFYB.pdf</t>
  </si>
  <si>
    <t>Melting_Curves/meltCurve_F8VSZ4_PLXNA1.pdf</t>
  </si>
  <si>
    <t>Melting_Curves/meltCurve_F8VUA8_C14orf79.pdf</t>
  </si>
  <si>
    <t>Melting_Curves/meltCurve_F8VUY8_SLC38A2.pdf</t>
  </si>
  <si>
    <t>Melting_Curves/meltCurve_F8VV59_NAP1L1.pdf</t>
  </si>
  <si>
    <t>Melting_Curves/meltCurve_F8VVA7_COPZ1.pdf</t>
  </si>
  <si>
    <t>Melting_Curves/meltCurve_F8VVB6_NELL2.pdf</t>
  </si>
  <si>
    <t>Melting_Curves/meltCurve_F8VW96_CSRP2.pdf</t>
  </si>
  <si>
    <t>Melting_Curves/meltCurve_F8VWA5_CASP9.pdf</t>
  </si>
  <si>
    <t>Melting_Curves/meltCurve_F8VWA9_ALG10B.pdf</t>
  </si>
  <si>
    <t>Melting_Curves/meltCurve_F8VWE0_TSPAN31.pdf</t>
  </si>
  <si>
    <t>Melting_Curves/meltCurve_F8VWH9_ARFGAP1.pdf</t>
  </si>
  <si>
    <t>Melting_Curves/meltCurve_F8VWL0_TFCP2.pdf</t>
  </si>
  <si>
    <t>Melting_Curves/meltCurve_F8VX04_SLC38A1.pdf</t>
  </si>
  <si>
    <t>Melting_Curves/meltCurve_F8VXC8_SMARCC2.pdf</t>
  </si>
  <si>
    <t>Melting_Curves/meltCurve_F8VXG7_SCAF11.pdf</t>
  </si>
  <si>
    <t>Melting_Curves/meltCurve_F8VXI9_GIT2.pdf</t>
  </si>
  <si>
    <t>Melting_Curves/meltCurve_F8VYZ4_COPZ1.pdf</t>
  </si>
  <si>
    <t>Melting_Curves/meltCurve_F8VZ44_AAAS.pdf</t>
  </si>
  <si>
    <t>Melting_Curves/meltCurve_F8VZJ2_NACA.pdf</t>
  </si>
  <si>
    <t>Melting_Curves/meltCurve_F8W038_C17orf49.pdf</t>
  </si>
  <si>
    <t>Melting_Curves/meltCurve_F8W052_TROAP.pdf</t>
  </si>
  <si>
    <t>Melting_Curves/meltCurve_F8W0J4_YEATS4.pdf</t>
  </si>
  <si>
    <t>Melting_Curves/meltCurve_F8W0J6_NAP1L1.pdf</t>
  </si>
  <si>
    <t>Melting_Curves/meltCurve_F8W0R1_ERGIC2.pdf</t>
  </si>
  <si>
    <t>Melting_Curves/meltCurve_F8W0W8_PPP1CC.pdf</t>
  </si>
  <si>
    <t>Melting_Curves/meltCurve_F8W145_CNOT2.pdf</t>
  </si>
  <si>
    <t>Melting_Curves/meltCurve_F8W181_RPL6.pdf</t>
  </si>
  <si>
    <t>Melting_Curves/meltCurve_F8W1R9_TGFBR1.pdf</t>
  </si>
  <si>
    <t>Melting_Curves/meltCurve_F8W681_DPAGT1.pdf</t>
  </si>
  <si>
    <t>Melting_Curves/meltCurve_F8W685_BNIPL.pdf</t>
  </si>
  <si>
    <t>Melting_Curves/meltCurve_F8W689_RFX5.pdf</t>
  </si>
  <si>
    <t>Melting_Curves/meltCurve_F8W6I7_HNRNPA1.pdf</t>
  </si>
  <si>
    <t>Melting_Curves/meltCurve_F8W6T6_TLE4.pdf</t>
  </si>
  <si>
    <t>Melting_Curves/meltCurve_F8W717_EML1.pdf</t>
  </si>
  <si>
    <t>Melting_Curves/meltCurve_F8W782_ADIPOR1.pdf</t>
  </si>
  <si>
    <t>Melting_Curves/meltCurve_F8W7D6_GPHN.pdf</t>
  </si>
  <si>
    <t>Melting_Curves/meltCurve_F8W7Q4_FAM162A.pdf</t>
  </si>
  <si>
    <t>Melting_Curves/meltCurve_F8W8C2_VEZT.pdf</t>
  </si>
  <si>
    <t>Melting_Curves/meltCurve_F8W8D3_SLBP.pdf</t>
  </si>
  <si>
    <t>Melting_Curves/meltCurve_F8W8I6_TIA1.pdf</t>
  </si>
  <si>
    <t>Melting_Curves/meltCurve_F8W8M4_ABLIM1.pdf</t>
  </si>
  <si>
    <t>Melting_Curves/meltCurve_F8W8Q9_STX5.pdf</t>
  </si>
  <si>
    <t>Melting_Curves/meltCurve_F8W8R3_POLD2.pdf</t>
  </si>
  <si>
    <t>Melting_Curves/meltCurve_F8W8Z9_TOMM5.pdf</t>
  </si>
  <si>
    <t>Melting_Curves/meltCurve_F8W930_IGF2BP2.pdf</t>
  </si>
  <si>
    <t>Melting_Curves/meltCurve_F8W943_ASL.pdf</t>
  </si>
  <si>
    <t>Melting_Curves/meltCurve_F8W9A8_PPIP5K1.pdf</t>
  </si>
  <si>
    <t>Melting_Curves/meltCurve_F8W9F9_WNK2.pdf</t>
  </si>
  <si>
    <t>Melting_Curves/meltCurve_F8W9I8_SLC26A6.pdf</t>
  </si>
  <si>
    <t>Melting_Curves/meltCurve_F8W9R9_MED24.pdf</t>
  </si>
  <si>
    <t>Melting_Curves/meltCurve_F8W9Z6_STX16.pdf</t>
  </si>
  <si>
    <t>Melting_Curves/meltCurve_F8WA11_CLASP1.pdf</t>
  </si>
  <si>
    <t>Melting_Curves/meltCurve_F8WA86_CNN3.pdf</t>
  </si>
  <si>
    <t>Melting_Curves/meltCurve_F8WAD8_ADAM22.pdf</t>
  </si>
  <si>
    <t>Melting_Curves/meltCurve_F8WAE5_EIF2A.pdf</t>
  </si>
  <si>
    <t>Melting_Curves/meltCurve_F8WAN1_.pdf</t>
  </si>
  <si>
    <t>Melting_Curves/meltCurve_F8WBH3_ALDH16A1.pdf</t>
  </si>
  <si>
    <t>Melting_Curves/meltCurve_F8WBJ6_PNO1.pdf</t>
  </si>
  <si>
    <t>Melting_Curves/meltCurve_F8WBK5_MRPL40.pdf</t>
  </si>
  <si>
    <t>Melting_Curves/meltCurve_F8WBS5_RPL35A.pdf</t>
  </si>
  <si>
    <t>Melting_Curves/meltCurve_F8WBY6_GTPBP8.pdf</t>
  </si>
  <si>
    <t>Melting_Curves/meltCurve_F8WC68_DOM3Z.pdf</t>
  </si>
  <si>
    <t>Melting_Curves/meltCurve_F8WCX2_ZNF687.pdf</t>
  </si>
  <si>
    <t>Melting_Curves/meltCurve_F8WE74_SLC25A17.pdf</t>
  </si>
  <si>
    <t>Melting_Curves/meltCurve_F8WE91_DNMT3A.pdf</t>
  </si>
  <si>
    <t>Melting_Curves/meltCurve_F8WEE4_ZFAND2B.pdf</t>
  </si>
  <si>
    <t>Melting_Curves/meltCurve_F8WEG4_CBWD2.pdf</t>
  </si>
  <si>
    <t>Melting_Curves/meltCurve_F8WF93_ALG3.pdf</t>
  </si>
  <si>
    <t>Melting_Curves/meltCurve_G3V0I5_NDUFV1.pdf</t>
  </si>
  <si>
    <t>Melting_Curves/meltCurve_G3V0I6_OTUD4.pdf</t>
  </si>
  <si>
    <t>Melting_Curves/meltCurve_G3V130_MTERFD1.pdf</t>
  </si>
  <si>
    <t>Melting_Curves/meltCurve_G3V1D3_DPP3.pdf</t>
  </si>
  <si>
    <t>Melting_Curves/meltCurve_G3V1K3_PON2.pdf</t>
  </si>
  <si>
    <t>Melting_Curves/meltCurve_G3V1N2_HBA2.pdf</t>
  </si>
  <si>
    <t>Melting_Curves/meltCurve_G3V1P3_LOH12CR1.pdf</t>
  </si>
  <si>
    <t>Melting_Curves/meltCurve_G3V1R3_ZEB1.pdf</t>
  </si>
  <si>
    <t>Melting_Curves/meltCurve_G3V1R9_ISYNA1.pdf</t>
  </si>
  <si>
    <t>Melting_Curves/meltCurve_G3V1S6_GALNT2.pdf</t>
  </si>
  <si>
    <t>Melting_Curves/meltCurve_G3V1U0_ATF7IP.pdf</t>
  </si>
  <si>
    <t>Melting_Curves/meltCurve_G3V1U5_GOLT1B.pdf</t>
  </si>
  <si>
    <t>Melting_Curves/meltCurve_G3V1V4_GTSF1.pdf</t>
  </si>
  <si>
    <t>Melting_Curves/meltCurve_G3V203_RPL18.pdf</t>
  </si>
  <si>
    <t>Melting_Curves/meltCurve_G3V238_METTL10.pdf</t>
  </si>
  <si>
    <t>Melting_Curves/meltCurve_G3V2F7_TMEM189.pdf</t>
  </si>
  <si>
    <t>Melting_Curves/meltCurve_G3V2J7_CDKN3.pdf</t>
  </si>
  <si>
    <t>Melting_Curves/meltCurve_G3V325_ATP5J2_PTCD1.pdf</t>
  </si>
  <si>
    <t>Melting_Curves/meltCurve_G3V3M6_APEX1.pdf</t>
  </si>
  <si>
    <t>Melting_Curves/meltCurve_G3V3R7_ATXN3.pdf</t>
  </si>
  <si>
    <t>Melting_Curves/meltCurve_G3V439_SIVA1.pdf</t>
  </si>
  <si>
    <t>Melting_Curves/meltCurve_G3V541_HAUS4.pdf</t>
  </si>
  <si>
    <t>Melting_Curves/meltCurve_G3V578_NDRG2.pdf</t>
  </si>
  <si>
    <t>Melting_Curves/meltCurve_G3V583_FAM177A1.pdf</t>
  </si>
  <si>
    <t>Melting_Curves/meltCurve_G3V599_CTAGE5.pdf</t>
  </si>
  <si>
    <t>Melting_Curves/meltCurve_G3V5T0_GSTZ1.pdf</t>
  </si>
  <si>
    <t>Melting_Curves/meltCurve_G3V5T9_CDK2.pdf</t>
  </si>
  <si>
    <t>Melting_Curves/meltCurve_G3V5X4_SYNE2.pdf</t>
  </si>
  <si>
    <t>Melting_Curves/meltCurve_G3V5Z7_PSMA6.pdf</t>
  </si>
  <si>
    <t>Melting_Curves/meltCurve_G3XA81_TMEM48.pdf</t>
  </si>
  <si>
    <t>Melting_Curves/meltCurve_G3XAA0_ARID1B.pdf</t>
  </si>
  <si>
    <t>Melting_Curves/meltCurve_G3XAA2_MAP4K4.pdf</t>
  </si>
  <si>
    <t>Melting_Curves/meltCurve_G3XAI2_LAMB1.pdf</t>
  </si>
  <si>
    <t>Melting_Curves/meltCurve_G3XAN8_TIMM8B.pdf</t>
  </si>
  <si>
    <t>Melting_Curves/meltCurve_G3XAP3_ABCB8.pdf</t>
  </si>
  <si>
    <t>Melting_Curves/meltCurve_G5E979_ATG4A.pdf</t>
  </si>
  <si>
    <t>Melting_Curves/meltCurve_G5E994_GPR107.pdf</t>
  </si>
  <si>
    <t>Melting_Curves/meltCurve_G5E9A6_USP11.pdf</t>
  </si>
  <si>
    <t>Melting_Curves/meltCurve_G5E9A7_DMWD.pdf</t>
  </si>
  <si>
    <t>Melting_Curves/meltCurve_G5E9C8_SOS1.pdf</t>
  </si>
  <si>
    <t>Melting_Curves/meltCurve_G5E9E7_TJP1.pdf</t>
  </si>
  <si>
    <t>Melting_Curves/meltCurve_G5E9T8_GOSR1.pdf</t>
  </si>
  <si>
    <t>Melting_Curves/meltCurve_G5E9V4_HPS3.pdf</t>
  </si>
  <si>
    <t>Melting_Curves/meltCurve_G5E9Z4_PI4K2B.pdf</t>
  </si>
  <si>
    <t>Melting_Curves/meltCurve_G5EA30_CELF1.pdf</t>
  </si>
  <si>
    <t>Melting_Curves/meltCurve_G5EA42_TMOD2.pdf</t>
  </si>
  <si>
    <t>Melting_Curves/meltCurve_G5EA52_PDIA3.pdf</t>
  </si>
  <si>
    <t>Melting_Curves/meltCurve_G8JL86_COBLL1.pdf</t>
  </si>
  <si>
    <t>Melting_Curves/meltCurve_G8JL98_TDG.pdf</t>
  </si>
  <si>
    <t>Melting_Curves/meltCurve_G8JLA2_MYL6.pdf</t>
  </si>
  <si>
    <t>Melting_Curves/meltCurve_G8JLB3_PUS1.pdf</t>
  </si>
  <si>
    <t>Melting_Curves/meltCurve_G8JLC6_MIA3.pdf</t>
  </si>
  <si>
    <t>Melting_Curves/meltCurve_G8JLD3_ERC1.pdf</t>
  </si>
  <si>
    <t>Melting_Curves/meltCurve_G8JLI5_WDR45.pdf</t>
  </si>
  <si>
    <t>Melting_Curves/meltCurve_G8JLI6_LEPREL2.pdf</t>
  </si>
  <si>
    <t>Melting_Curves/meltCurve_G8JLK4_TACC1.pdf</t>
  </si>
  <si>
    <t>Melting_Curves/meltCurve_G8JLL2_PPT2.pdf</t>
  </si>
  <si>
    <t>Melting_Curves/meltCurve_H0UI80_TH1L.pdf</t>
  </si>
  <si>
    <t>Melting_Curves/meltCurve_H0Y2L5_ARFRP1.pdf</t>
  </si>
  <si>
    <t>Melting_Curves/meltCurve_H0Y2P9_PIGX.pdf</t>
  </si>
  <si>
    <t>Melting_Curves/meltCurve_H0Y2V6_CEP170.pdf</t>
  </si>
  <si>
    <t>Melting_Curves/meltCurve_H0Y360_AMPD2.pdf</t>
  </si>
  <si>
    <t>Melting_Curves/meltCurve_H0Y384_ODF2.pdf</t>
  </si>
  <si>
    <t>Melting_Curves/meltCurve_H0Y3A0_RPL35.pdf</t>
  </si>
  <si>
    <t>Melting_Curves/meltCurve_H0Y3A3_DAB2IP.pdf</t>
  </si>
  <si>
    <t>Melting_Curves/meltCurve_H0Y3P2_EIF4G2.pdf</t>
  </si>
  <si>
    <t>Melting_Curves/meltCurve_H0Y3X6_NELFA.pdf</t>
  </si>
  <si>
    <t>Melting_Curves/meltCurve_H0Y494_SIK3.pdf</t>
  </si>
  <si>
    <t>Melting_Curves/meltCurve_H0Y4M8_ZNF185.pdf</t>
  </si>
  <si>
    <t>Melting_Curves/meltCurve_H0Y4R1_IMPDH2.pdf</t>
  </si>
  <si>
    <t>Melting_Curves/meltCurve_H0Y4W2_TRRAP.pdf</t>
  </si>
  <si>
    <t>Melting_Curves/meltCurve_H0Y5C0_LPHN2.pdf</t>
  </si>
  <si>
    <t>Melting_Curves/meltCurve_H0Y5M6_PRKD3.pdf</t>
  </si>
  <si>
    <t>Melting_Curves/meltCurve_H0Y612_TRIM33.pdf</t>
  </si>
  <si>
    <t>Melting_Curves/meltCurve_H0Y614_UFM1.pdf</t>
  </si>
  <si>
    <t>Melting_Curves/meltCurve_H0Y6A0_ARFGAP3.pdf</t>
  </si>
  <si>
    <t>Melting_Curves/meltCurve_H0Y6C3_PYCRL.pdf</t>
  </si>
  <si>
    <t>Melting_Curves/meltCurve_H0Y6I0_GOLGA4.pdf</t>
  </si>
  <si>
    <t>Melting_Curves/meltCurve_H0Y6J0_NME4.pdf</t>
  </si>
  <si>
    <t>Melting_Curves/meltCurve_H0Y6K2_BRD2.pdf</t>
  </si>
  <si>
    <t>Melting_Curves/meltCurve_H0Y6K5_SP3.pdf</t>
  </si>
  <si>
    <t>Melting_Curves/meltCurve_H0Y7L9_ABCD1.pdf</t>
  </si>
  <si>
    <t>Melting_Curves/meltCurve_H0Y860_STIM2.pdf</t>
  </si>
  <si>
    <t>Melting_Curves/meltCurve_H0Y8C3_MTCH1.pdf</t>
  </si>
  <si>
    <t>Melting_Curves/meltCurve_H0Y8X4_DNPH1.pdf</t>
  </si>
  <si>
    <t>Melting_Curves/meltCurve_H0Y9Q7_CANX.pdf</t>
  </si>
  <si>
    <t>Melting_Curves/meltCurve_H0Y9T8_PRR5_ARHGAP8.pdf</t>
  </si>
  <si>
    <t>Melting_Curves/meltCurve_H0Y9V2_UBE2B.pdf</t>
  </si>
  <si>
    <t>Melting_Curves/meltCurve_H0Y9X1_TMA16.pdf</t>
  </si>
  <si>
    <t>Melting_Curves/meltCurve_H0YA20_DGKQ.pdf</t>
  </si>
  <si>
    <t>Melting_Curves/meltCurve_H0YAA8_MED28.pdf</t>
  </si>
  <si>
    <t>Melting_Curves/meltCurve_H0YAJ5_APBB2.pdf</t>
  </si>
  <si>
    <t>Melting_Curves/meltCurve_H0YAN2_ENTPD4.pdf</t>
  </si>
  <si>
    <t>Melting_Curves/meltCurve_H0YAT1_SH2D4A.pdf</t>
  </si>
  <si>
    <t>Melting_Curves/meltCurve_H0YAT2_MRPS28.pdf</t>
  </si>
  <si>
    <t>Melting_Curves/meltCurve_H0YB09_C14orf159.pdf</t>
  </si>
  <si>
    <t>Melting_Curves/meltCurve_H0YBS1_INTS8.pdf</t>
  </si>
  <si>
    <t>Melting_Curves/meltCurve_H0YCB3_ASCC1.pdf</t>
  </si>
  <si>
    <t>Melting_Curves/meltCurve_H0YCK3_ADAR.pdf</t>
  </si>
  <si>
    <t>Melting_Curves/meltCurve_H0YDI1_CD58.pdf</t>
  </si>
  <si>
    <t>Melting_Curves/meltCurve_H0YDQ1_ALG8.pdf</t>
  </si>
  <si>
    <t>Melting_Curves/meltCurve_H0YDU8_PPP5C.pdf</t>
  </si>
  <si>
    <t>Melting_Curves/meltCurve_H0YEB6_SSSCA1.pdf</t>
  </si>
  <si>
    <t>Melting_Curves/meltCurve_H0YEF3_RNASEH2C.pdf</t>
  </si>
  <si>
    <t>Melting_Curves/meltCurve_H0YEN5_RPS2.pdf</t>
  </si>
  <si>
    <t>Melting_Curves/meltCurve_H0YF29_C8orf82.pdf</t>
  </si>
  <si>
    <t>Melting_Curves/meltCurve_H0YGA7_CADM1.pdf</t>
  </si>
  <si>
    <t>Melting_Curves/meltCurve_H0YGR4_REXO2.pdf</t>
  </si>
  <si>
    <t>Melting_Curves/meltCurve_H0YGT9_JOSD1.pdf</t>
  </si>
  <si>
    <t>Melting_Curves/meltCurve_H0YH69_ETNK1.pdf</t>
  </si>
  <si>
    <t>Melting_Curves/meltCurve_H0YH87_ATXN2.pdf</t>
  </si>
  <si>
    <t>Melting_Curves/meltCurve_H0YIE8_WDR83.pdf</t>
  </si>
  <si>
    <t>Melting_Curves/meltCurve_H0YIE9_FBXO21.pdf</t>
  </si>
  <si>
    <t>Melting_Curves/meltCurve_H0YIV5_LETMD1.pdf</t>
  </si>
  <si>
    <t>Melting_Curves/meltCurve_H0YIV9_.pdf</t>
  </si>
  <si>
    <t>Melting_Curves/meltCurve_H0YK48_TPM1.pdf</t>
  </si>
  <si>
    <t>Melting_Curves/meltCurve_H0YK61_EMC4.pdf</t>
  </si>
  <si>
    <t>Melting_Curves/meltCurve_H0YKT5_TLE3.pdf</t>
  </si>
  <si>
    <t>Melting_Curves/meltCurve_H0YL72_IDH3A.pdf</t>
  </si>
  <si>
    <t>Melting_Curves/meltCurve_H0YLB5_POU2F1.pdf</t>
  </si>
  <si>
    <t>Melting_Curves/meltCurve_H0YMB3_GMPR2.pdf</t>
  </si>
  <si>
    <t>Melting_Curves/meltCurve_H0YMF4_RPL28.pdf</t>
  </si>
  <si>
    <t>Melting_Curves/meltCurve_H0YMW2_AKAP13.pdf</t>
  </si>
  <si>
    <t>Melting_Curves/meltCurve_H0YNA7_SPPL2A.pdf</t>
  </si>
  <si>
    <t>Melting_Curves/meltCurve_H0YNG3_SEC11A.pdf</t>
  </si>
  <si>
    <t>Melting_Curves/meltCurve_H3BLU7_AKR7A2.pdf</t>
  </si>
  <si>
    <t>Melting_Curves/meltCurve_H3BLW6_TMEM63B.pdf</t>
  </si>
  <si>
    <t>Melting_Curves/meltCurve_H3BLW9_SWI5.pdf</t>
  </si>
  <si>
    <t>Melting_Curves/meltCurve_H3BLZ2_DBNDD1.pdf</t>
  </si>
  <si>
    <t>Melting_Curves/meltCurve_H3BLZ8_DDX17.pdf</t>
  </si>
  <si>
    <t>Melting_Curves/meltCurve_H3BM14_NUB1.pdf</t>
  </si>
  <si>
    <t>Melting_Curves/meltCurve_H3BMD8_ARPP19.pdf</t>
  </si>
  <si>
    <t>Melting_Curves/meltCurve_H3BMF4_SPNS1.pdf</t>
  </si>
  <si>
    <t>Melting_Curves/meltCurve_H3BMJ2_C15orf39.pdf</t>
  </si>
  <si>
    <t>Melting_Curves/meltCurve_H3BMM5_.pdf</t>
  </si>
  <si>
    <t>Melting_Curves/meltCurve_H3BMS0_RNPS1.pdf</t>
  </si>
  <si>
    <t>Melting_Curves/meltCurve_H3BMV2_C17orf103.pdf</t>
  </si>
  <si>
    <t>Melting_Curves/meltCurve_H3BN87_SLC38A7.pdf</t>
  </si>
  <si>
    <t>Melting_Curves/meltCurve_H3BN98_.pdf</t>
  </si>
  <si>
    <t>Melting_Curves/meltCurve_H3BNA7_KIAA0513.pdf</t>
  </si>
  <si>
    <t>Melting_Curves/meltCurve_H3BNM4_INO80E.pdf</t>
  </si>
  <si>
    <t>Melting_Curves/meltCurve_H3BP20_HEXA.pdf</t>
  </si>
  <si>
    <t>Melting_Curves/meltCurve_H3BPC4_UBE2I.pdf</t>
  </si>
  <si>
    <t>Melting_Curves/meltCurve_H3BPE1_MACF1.pdf</t>
  </si>
  <si>
    <t>Melting_Curves/meltCurve_H3BPF5_RPGRIP1L.pdf</t>
  </si>
  <si>
    <t>Melting_Curves/meltCurve_H3BPK3_HAGH.pdf</t>
  </si>
  <si>
    <t>Melting_Curves/meltCurve_H3BPL0_CLN3.pdf</t>
  </si>
  <si>
    <t>Melting_Curves/meltCurve_H3BPQ3_NDRG4.pdf</t>
  </si>
  <si>
    <t>Melting_Curves/meltCurve_H3BPR3_SNX33.pdf</t>
  </si>
  <si>
    <t>Melting_Curves/meltCurve_H3BPX2_OBSCN.pdf</t>
  </si>
  <si>
    <t>Melting_Curves/meltCurve_H3BQZ7_hCG_2044799.pdf</t>
  </si>
  <si>
    <t>Melting_Curves/meltCurve_H3BR06_TERF2.pdf</t>
  </si>
  <si>
    <t>Melting_Curves/meltCurve_H3BR94_DCTN5.pdf</t>
  </si>
  <si>
    <t>Melting_Curves/meltCurve_H3BRB3_KIF22.pdf</t>
  </si>
  <si>
    <t>Melting_Curves/meltCurve_H3BRB6_ZNRF1.pdf</t>
  </si>
  <si>
    <t>Melting_Curves/meltCurve_H3BRD1_UBE2I.pdf</t>
  </si>
  <si>
    <t>Melting_Curves/meltCurve_H3BRD2_GFER.pdf</t>
  </si>
  <si>
    <t>Melting_Curves/meltCurve_H3BRF9_ZFYVE19.pdf</t>
  </si>
  <si>
    <t>Melting_Curves/meltCurve_H3BRL3_UBFD1.pdf</t>
  </si>
  <si>
    <t>Melting_Curves/meltCurve_H3BRS1_NFATC3.pdf</t>
  </si>
  <si>
    <t>Melting_Curves/meltCurve_H3BRU1_FAM219B.pdf</t>
  </si>
  <si>
    <t>Melting_Curves/meltCurve_H3BRV0_EIF3C.pdf</t>
  </si>
  <si>
    <t>Melting_Curves/meltCurve_H3BS42_ZNF768.pdf</t>
  </si>
  <si>
    <t>Melting_Curves/meltCurve_H3BS89_TMEM178B.pdf</t>
  </si>
  <si>
    <t>Melting_Curves/meltCurve_H3BSH7_CIRH1A.pdf</t>
  </si>
  <si>
    <t>Melting_Curves/meltCurve_H3BSM5_GABARAPL2.pdf</t>
  </si>
  <si>
    <t>Melting_Curves/meltCurve_H3BSW6_CTU2.pdf</t>
  </si>
  <si>
    <t>Melting_Curves/meltCurve_H3BT12_FEM1B.pdf</t>
  </si>
  <si>
    <t>Melting_Curves/meltCurve_H3BTL1_MAP1LC3B.pdf</t>
  </si>
  <si>
    <t>Melting_Curves/meltCurve_H3BTX0_.pdf</t>
  </si>
  <si>
    <t>Melting_Curves/meltCurve_H3BTX7_RNF166.pdf</t>
  </si>
  <si>
    <t>Melting_Curves/meltCurve_H3BU23_CDR2.pdf</t>
  </si>
  <si>
    <t>Melting_Curves/meltCurve_H3BU49_ARL2BP.pdf</t>
  </si>
  <si>
    <t>Melting_Curves/meltCurve_H3BU63_PPCDC.pdf</t>
  </si>
  <si>
    <t>Melting_Curves/meltCurve_H3BUF6_ATXN2L.pdf</t>
  </si>
  <si>
    <t>Melting_Curves/meltCurve_H3BUQ2_OGFOD1.pdf</t>
  </si>
  <si>
    <t>Melting_Curves/meltCurve_H3BV23_UBL7.pdf</t>
  </si>
  <si>
    <t>Melting_Curves/meltCurve_H7BXD5_GCA.pdf</t>
  </si>
  <si>
    <t>Melting_Curves/meltCurve_H7BXF4_SMPD4.pdf</t>
  </si>
  <si>
    <t>Melting_Curves/meltCurve_H7BXG9_EFR3B.pdf</t>
  </si>
  <si>
    <t>Melting_Curves/meltCurve_H7BXH2_PPP6R3.pdf</t>
  </si>
  <si>
    <t>Melting_Curves/meltCurve_H7BXH9_METTL21A.pdf</t>
  </si>
  <si>
    <t>Melting_Curves/meltCurve_H7BXI5_ERGIC3.pdf</t>
  </si>
  <si>
    <t>Melting_Curves/meltCurve_H7BXT7_BET1L.pdf</t>
  </si>
  <si>
    <t>Melting_Curves/meltCurve_H7BXW7_MPC1.pdf</t>
  </si>
  <si>
    <t>Melting_Curves/meltCurve_H7BXY6_TSPAN14.pdf</t>
  </si>
  <si>
    <t>Melting_Curves/meltCurve_H7BY58_PCMT1.pdf</t>
  </si>
  <si>
    <t>Melting_Curves/meltCurve_H7BYQ6_INTS9.pdf</t>
  </si>
  <si>
    <t>Melting_Curves/meltCurve_H7BYT1_CSNK1D.pdf</t>
  </si>
  <si>
    <t>Melting_Curves/meltCurve_H7BYY1_TPM1.pdf</t>
  </si>
  <si>
    <t>Melting_Curves/meltCurve_H7BYY4_PSTK.pdf</t>
  </si>
  <si>
    <t>Melting_Curves/meltCurve_H7BZJ3_PDIA3.pdf</t>
  </si>
  <si>
    <t>Melting_Curves/meltCurve_H7C0E9_R3HDM2.pdf</t>
  </si>
  <si>
    <t>Melting_Curves/meltCurve_H7C0G7_NHEJ1.pdf</t>
  </si>
  <si>
    <t>Melting_Curves/meltCurve_H7C0V4_RTN4R.pdf</t>
  </si>
  <si>
    <t>Melting_Curves/meltCurve_H7C107_IQSEC1.pdf</t>
  </si>
  <si>
    <t>Melting_Curves/meltCurve_H7C112_FBXL19.pdf</t>
  </si>
  <si>
    <t>Melting_Curves/meltCurve_H7C173_MZT2B.pdf</t>
  </si>
  <si>
    <t>Melting_Curves/meltCurve_H7C189_USP4.pdf</t>
  </si>
  <si>
    <t>Melting_Curves/meltCurve_H7C1E4_AP1S1.pdf</t>
  </si>
  <si>
    <t>Melting_Curves/meltCurve_H7C1J4_UHRF1BP1.pdf</t>
  </si>
  <si>
    <t>Melting_Curves/meltCurve_H7C1U3_CC2D1B.pdf</t>
  </si>
  <si>
    <t>Melting_Curves/meltCurve_H7C1U8_APOO.pdf</t>
  </si>
  <si>
    <t>Melting_Curves/meltCurve_H7C1W4_TATDN2.pdf</t>
  </si>
  <si>
    <t>Melting_Curves/meltCurve_H7C270_CTDSP1.pdf</t>
  </si>
  <si>
    <t>Melting_Curves/meltCurve_H7C293_MZT2B.pdf</t>
  </si>
  <si>
    <t>Melting_Curves/meltCurve_H7C2P2_SDK2.pdf</t>
  </si>
  <si>
    <t>Melting_Curves/meltCurve_H7C3C7_SNAP47.pdf</t>
  </si>
  <si>
    <t>Melting_Curves/meltCurve_H7C3D5_FAM134A.pdf</t>
  </si>
  <si>
    <t>Melting_Curves/meltCurve_H7C3D8_CMC1.pdf</t>
  </si>
  <si>
    <t>Melting_Curves/meltCurve_H7C3M5_DPY19L1.pdf</t>
  </si>
  <si>
    <t>Melting_Curves/meltCurve_H7C3P4_GNS.pdf</t>
  </si>
  <si>
    <t>Melting_Curves/meltCurve_H7C484_ARV1.pdf</t>
  </si>
  <si>
    <t>Melting_Curves/meltCurve_H7C4M4_HEG1.pdf</t>
  </si>
  <si>
    <t>Melting_Curves/meltCurve_H7C4N1_TMEM222.pdf</t>
  </si>
  <si>
    <t>Melting_Curves/meltCurve_H7C525_CCDC58.pdf</t>
  </si>
  <si>
    <t>Melting_Curves/meltCurve_H7C5G1_IAH1.pdf</t>
  </si>
  <si>
    <t>Melting_Curves/meltCurve_H7C5J7_C3orf52.pdf</t>
  </si>
  <si>
    <t>Melting_Curves/meltCurve_H9KV59_PRC1.pdf</t>
  </si>
  <si>
    <t>Melting_Curves/meltCurve_H9KV61_PWWP2B.pdf</t>
  </si>
  <si>
    <t>Melting_Curves/meltCurve_H9KVB8_MICU1.pdf</t>
  </si>
  <si>
    <t>Melting_Curves/meltCurve_H9ZYI9_GABPB1.pdf</t>
  </si>
  <si>
    <t>Melting_Curves/meltCurve_I3L097_.pdf</t>
  </si>
  <si>
    <t>Melting_Curves/meltCurve_I3L0A4_WASH6P.pdf</t>
  </si>
  <si>
    <t>Melting_Curves/meltCurve_I3L0C1_SMG1.pdf</t>
  </si>
  <si>
    <t>Melting_Curves/meltCurve_I3L0K1_GOSR2.pdf</t>
  </si>
  <si>
    <t>Melting_Curves/meltCurve_I3L0K7_TRAP1.pdf</t>
  </si>
  <si>
    <t>Melting_Curves/meltCurve_I3L0L6_RNF167.pdf</t>
  </si>
  <si>
    <t>Melting_Curves/meltCurve_I3L0N3_NSF.pdf</t>
  </si>
  <si>
    <t>Melting_Curves/meltCurve_I3L1H5_DPH1.pdf</t>
  </si>
  <si>
    <t>Melting_Curves/meltCurve_I3L1P8_SLC25A11.pdf</t>
  </si>
  <si>
    <t>Melting_Curves/meltCurve_I3L2B0_CLUH.pdf</t>
  </si>
  <si>
    <t>Melting_Curves/meltCurve_I3L2C7_GEMIN4.pdf</t>
  </si>
  <si>
    <t>Melting_Curves/meltCurve_I3L2L5_FAM195B.pdf</t>
  </si>
  <si>
    <t>Melting_Curves/meltCurve_I3L2N2_DVL2.pdf</t>
  </si>
  <si>
    <t>Melting_Curves/meltCurve_I3L3A8_PELP1.pdf</t>
  </si>
  <si>
    <t>Melting_Curves/meltCurve_I3L3B4_.pdf</t>
  </si>
  <si>
    <t>Melting_Curves/meltCurve_I3L448_ATPAF1.pdf</t>
  </si>
  <si>
    <t>Melting_Curves/meltCurve_I3L4B1_MYL4.pdf</t>
  </si>
  <si>
    <t>Melting_Curves/meltCurve_I3L4D1_ELMO3.pdf</t>
  </si>
  <si>
    <t>Melting_Curves/meltCurve_I3L4X3_NFKBIB.pdf</t>
  </si>
  <si>
    <t>Melting_Curves/meltCurve_I6L894_ANK2.pdf</t>
  </si>
  <si>
    <t>Melting_Curves/meltCurve_I6L8B7_FABP5.pdf</t>
  </si>
  <si>
    <t>Melting_Curves/meltCurve_J3KMW8_CACTIN.pdf</t>
  </si>
  <si>
    <t>Melting_Curves/meltCurve_J3KMY5_NPC2.pdf</t>
  </si>
  <si>
    <t>Melting_Curves/meltCurve_J3KMZ7_INTS2.pdf</t>
  </si>
  <si>
    <t>Melting_Curves/meltCurve_J3KMZ8_DPF2.pdf</t>
  </si>
  <si>
    <t>Melting_Curves/meltCurve_J3KMZ9_LDLR.pdf</t>
  </si>
  <si>
    <t>Melting_Curves/meltCurve_J3KN10_PI4KA.pdf</t>
  </si>
  <si>
    <t>Melting_Curves/meltCurve_J3KN16_KIAA0368.pdf</t>
  </si>
  <si>
    <t>Melting_Curves/meltCurve_J3KN27_FBRSL1.pdf</t>
  </si>
  <si>
    <t>Melting_Curves/meltCurve_J3KN29_PSMD9.pdf</t>
  </si>
  <si>
    <t>Melting_Curves/meltCurve_J3KN49_OBSL1.pdf</t>
  </si>
  <si>
    <t>Melting_Curves/meltCurve_J3KN59_BNIP2.pdf</t>
  </si>
  <si>
    <t>Melting_Curves/meltCurve_J3KN66_TOR1AIP1.pdf</t>
  </si>
  <si>
    <t>Melting_Curves/meltCurve_J3KN69_NCEH1.pdf</t>
  </si>
  <si>
    <t>Melting_Curves/meltCurve_J3KNA0_OXA1L.pdf</t>
  </si>
  <si>
    <t>Melting_Curves/meltCurve_J3KNC0_GTF2A1.pdf</t>
  </si>
  <si>
    <t>Melting_Curves/meltCurve_J3KNF4_CCS.pdf</t>
  </si>
  <si>
    <t>Melting_Curves/meltCurve_J3KNI1_COG4.pdf</t>
  </si>
  <si>
    <t>Melting_Curves/meltCurve_J3KNL3_CHID1.pdf</t>
  </si>
  <si>
    <t>Melting_Curves/meltCurve_J3KNL6_SEC16A.pdf</t>
  </si>
  <si>
    <t>Melting_Curves/meltCurve_J3KNL9_ZFYVE1.pdf</t>
  </si>
  <si>
    <t>Melting_Curves/meltCurve_J3KNN3_PHKG2.pdf</t>
  </si>
  <si>
    <t>Melting_Curves/meltCurve_J3KNN5_DDX41.pdf</t>
  </si>
  <si>
    <t>Melting_Curves/meltCurve_J3KNN7_BRAP.pdf</t>
  </si>
  <si>
    <t>Melting_Curves/meltCurve_J3KNQ1_ZFP1.pdf</t>
  </si>
  <si>
    <t>Melting_Curves/meltCurve_J3KNR0_MARK3.pdf</t>
  </si>
  <si>
    <t>Melting_Curves/meltCurve_J3KNU8_ALDH6A1.pdf</t>
  </si>
  <si>
    <t>Melting_Curves/meltCurve_J3KNW4_FHL2.pdf</t>
  </si>
  <si>
    <t>Melting_Curves/meltCurve_J3KP15_SRSF2.pdf</t>
  </si>
  <si>
    <t>Melting_Curves/meltCurve_J3KP22_PTPRA.pdf</t>
  </si>
  <si>
    <t>Melting_Curves/meltCurve_J3KP29_NUP98.pdf</t>
  </si>
  <si>
    <t>Melting_Curves/meltCurve_J3KP30_DNTTIP2.pdf</t>
  </si>
  <si>
    <t>Melting_Curves/meltCurve_J3KP68_ETNK2.pdf</t>
  </si>
  <si>
    <t>Melting_Curves/meltCurve_J3KP75_PHACTR2.pdf</t>
  </si>
  <si>
    <t>Melting_Curves/meltCurve_J3KP99_HS6ST2.pdf</t>
  </si>
  <si>
    <t>Melting_Curves/meltCurve_J3KPF9_KIF3A.pdf</t>
  </si>
  <si>
    <t>Melting_Curves/meltCurve_J3KPH8_HDAC7.pdf</t>
  </si>
  <si>
    <t>Melting_Curves/meltCurve_J3KPJ3_CAMKK1.pdf</t>
  </si>
  <si>
    <t>Melting_Curves/meltCurve_J3KPK1_SYNJ1.pdf</t>
  </si>
  <si>
    <t>Melting_Curves/meltCurve_J3KPN1_TESC.pdf</t>
  </si>
  <si>
    <t>Melting_Curves/meltCurve_J3KPP4_LUC7L3.pdf</t>
  </si>
  <si>
    <t>Melting_Curves/meltCurve_J3KPP7_ARRB1.pdf</t>
  </si>
  <si>
    <t>Melting_Curves/meltCurve_J3KPS0_DNAJB12.pdf</t>
  </si>
  <si>
    <t>Melting_Curves/meltCurve_J3KPT4_TRABD.pdf</t>
  </si>
  <si>
    <t>Melting_Curves/meltCurve_J3KPV7_MPST.pdf</t>
  </si>
  <si>
    <t>Melting_Curves/meltCurve_J3KPW7_HDAC2.pdf</t>
  </si>
  <si>
    <t>Melting_Curves/meltCurve_J3KPY9_ANTXR2.pdf</t>
  </si>
  <si>
    <t>Melting_Curves/meltCurve_J3KPZ8_RFXANK.pdf</t>
  </si>
  <si>
    <t>Melting_Curves/meltCurve_J3KQ32_OLA1.pdf</t>
  </si>
  <si>
    <t>Melting_Curves/meltCurve_J3KQ48_PTRH2.pdf</t>
  </si>
  <si>
    <t>Melting_Curves/meltCurve_J3KQ88_C6orf203.pdf</t>
  </si>
  <si>
    <t>Melting_Curves/meltCurve_J3KQB0_THUMPD1.pdf</t>
  </si>
  <si>
    <t>Melting_Curves/meltCurve_J3KQC7_GTF2H2.pdf</t>
  </si>
  <si>
    <t>Melting_Curves/meltCurve_J3KQE0_SUN2.pdf</t>
  </si>
  <si>
    <t>Melting_Curves/meltCurve_J3KQE5_RAN.pdf</t>
  </si>
  <si>
    <t>Melting_Curves/meltCurve_J3KQG4_GBA.pdf</t>
  </si>
  <si>
    <t>Melting_Curves/meltCurve_J3KQJ1_SUMF2.pdf</t>
  </si>
  <si>
    <t>Melting_Curves/meltCurve_J3KQL8_APOL2.pdf</t>
  </si>
  <si>
    <t>Melting_Curves/meltCurve_J3KQU9_AP1G1.pdf</t>
  </si>
  <si>
    <t>Melting_Curves/meltCurve_J3KR35_CCDC12.pdf</t>
  </si>
  <si>
    <t>Melting_Curves/meltCurve_J3KR97_TBCD.pdf</t>
  </si>
  <si>
    <t>Melting_Curves/meltCurve_J3KRC8_C16orf55.pdf</t>
  </si>
  <si>
    <t>Melting_Curves/meltCurve_J3KRG2_GSDMA.pdf</t>
  </si>
  <si>
    <t>Melting_Curves/meltCurve_J3KRN4_MAP3K3.pdf</t>
  </si>
  <si>
    <t>Melting_Curves/meltCurve_J3KRR5_PIGL.pdf</t>
  </si>
  <si>
    <t>Melting_Curves/meltCurve_J3KS05_CBX1.pdf</t>
  </si>
  <si>
    <t>Melting_Curves/meltCurve_J3KS81_TMEM199.pdf</t>
  </si>
  <si>
    <t>Melting_Curves/meltCurve_J3KSD8_BLMH.pdf</t>
  </si>
  <si>
    <t>Melting_Curves/meltCurve_J3KSH1_AMZ2.pdf</t>
  </si>
  <si>
    <t>Melting_Curves/meltCurve_J3KTA1_FBXL20.pdf</t>
  </si>
  <si>
    <t>Melting_Curves/meltCurve_J3KTD6_AURKB.pdf</t>
  </si>
  <si>
    <t>Melting_Curves/meltCurve_J3KTL2_SRSF1.pdf</t>
  </si>
  <si>
    <t>Melting_Curves/meltCurve_J3QK89_CHERP.pdf</t>
  </si>
  <si>
    <t>Melting_Curves/meltCurve_J3QKP5_ALDOC.pdf</t>
  </si>
  <si>
    <t>Melting_Curves/meltCurve_J3QKR3_PSMB3.pdf</t>
  </si>
  <si>
    <t>Melting_Curves/meltCurve_J3QKS7_SMARCE1.pdf</t>
  </si>
  <si>
    <t>Melting_Curves/meltCurve_J3QL56_SCO1.pdf</t>
  </si>
  <si>
    <t>Melting_Curves/meltCurve_J3QL71_SCRN2.pdf</t>
  </si>
  <si>
    <t>Melting_Curves/meltCurve_J3QLB2_SLC39A11.pdf</t>
  </si>
  <si>
    <t>Melting_Curves/meltCurve_J3QLD9_FLOT2.pdf</t>
  </si>
  <si>
    <t>Melting_Curves/meltCurve_J3QLR8_MRPS23.pdf</t>
  </si>
  <si>
    <t>Melting_Curves/meltCurve_J3QLS3_MRPS7.pdf</t>
  </si>
  <si>
    <t>Melting_Curves/meltCurve_J3QQ66_ZFHX4.pdf</t>
  </si>
  <si>
    <t>Melting_Curves/meltCurve_J3QQJ0_SAP30BP.pdf</t>
  </si>
  <si>
    <t>Melting_Curves/meltCurve_J3QQT2_RPL17.pdf</t>
  </si>
  <si>
    <t>Melting_Curves/meltCurve_J3QQX3_FDXR.pdf</t>
  </si>
  <si>
    <t>Melting_Curves/meltCurve_J3QQY0_MSL1.pdf</t>
  </si>
  <si>
    <t>Melting_Curves/meltCurve_J3QR07_YTHDC1.pdf</t>
  </si>
  <si>
    <t>Melting_Curves/meltCurve_J3QR09_RPL19.pdf</t>
  </si>
  <si>
    <t>Melting_Curves/meltCurve_J3QRD1_ALDH3A2.pdf</t>
  </si>
  <si>
    <t>Melting_Curves/meltCurve_J3QRM9_ORMDL3.pdf</t>
  </si>
  <si>
    <t>Melting_Curves/meltCurve_J3QRS3_MYL12A.pdf</t>
  </si>
  <si>
    <t>Melting_Curves/meltCurve_J3QRS9_ZNF207.pdf</t>
  </si>
  <si>
    <t>Melting_Curves/meltCurve_J3QRU4_VAMP2.pdf</t>
  </si>
  <si>
    <t>Melting_Curves/meltCurve_J3QS41_HELZ.pdf</t>
  </si>
  <si>
    <t>Melting_Curves/meltCurve_J3QSD7_CDK12.pdf</t>
  </si>
  <si>
    <t>Melting_Curves/meltCurve_J3QSR7_KIAA1549.pdf</t>
  </si>
  <si>
    <t>Melting_Curves/meltCurve_J3QT73_COPS7B.pdf</t>
  </si>
  <si>
    <t>Melting_Curves/meltCurve_J3QTA6_CHCHD6.pdf</t>
  </si>
  <si>
    <t>Melting_Curves/meltCurve_J3QTQ0_DST.pdf</t>
  </si>
  <si>
    <t>Melting_Curves/meltCurve_J9JID7_LMNB2.pdf</t>
  </si>
  <si>
    <t>Melting_Curves/meltCurve_J9JID9_PITPNC1.pdf</t>
  </si>
  <si>
    <t>Melting_Curves/meltCurve_J9JIE6_TMCO1.pdf</t>
  </si>
  <si>
    <t>Melting_Curves/meltCurve_J9JIG6_ARSG.pdf</t>
  </si>
  <si>
    <t>Melting_Curves/meltCurve_K4DI92_RWDD4.pdf</t>
  </si>
  <si>
    <t>Melting_Curves/meltCurve_K4DI93_CUL4B.pdf</t>
  </si>
  <si>
    <t>Melting_Curves/meltCurve_K7EIE8_MBD3.pdf</t>
  </si>
  <si>
    <t>Melting_Curves/meltCurve_K7EIG1_CLUH.pdf</t>
  </si>
  <si>
    <t>Melting_Curves/meltCurve_K7EIK7_EML2.pdf</t>
  </si>
  <si>
    <t>Melting_Curves/meltCurve_K7EIL6_.pdf</t>
  </si>
  <si>
    <t>Melting_Curves/meltCurve_K7EIP7_YIPF2.pdf</t>
  </si>
  <si>
    <t>Melting_Curves/meltCurve_K7EIS0_TUBG1.pdf</t>
  </si>
  <si>
    <t>Melting_Curves/meltCurve_K7EIU8_SMAD4.pdf</t>
  </si>
  <si>
    <t>Melting_Curves/meltCurve_K7EJ08_SEC14L1.pdf</t>
  </si>
  <si>
    <t>Melting_Curves/meltCurve_K7EJ78_RPS15.pdf</t>
  </si>
  <si>
    <t>Melting_Curves/meltCurve_K7EJH0_SPC24.pdf</t>
  </si>
  <si>
    <t>Melting_Curves/meltCurve_K7EJL1_AP1M1.pdf</t>
  </si>
  <si>
    <t>Melting_Curves/meltCurve_K7EJQ7_SEC11C.pdf</t>
  </si>
  <si>
    <t>Melting_Curves/meltCurve_K7EK07_H3F3B.pdf</t>
  </si>
  <si>
    <t>Melting_Curves/meltCurve_K7EKE6_LONP1.pdf</t>
  </si>
  <si>
    <t>Melting_Curves/meltCurve_K7EKI4_MRPL4.pdf</t>
  </si>
  <si>
    <t>Melting_Curves/meltCurve_K7EKS3_POLRMT.pdf</t>
  </si>
  <si>
    <t>Melting_Curves/meltCurve_K7EKW3_TMUB2.pdf</t>
  </si>
  <si>
    <t>Melting_Curves/meltCurve_K7EKZ9_LINC00493.pdf</t>
  </si>
  <si>
    <t>Melting_Curves/meltCurve_K7EL68_CDC37.pdf</t>
  </si>
  <si>
    <t>Melting_Curves/meltCurve_K7EL81_PPP1R12C.pdf</t>
  </si>
  <si>
    <t>Melting_Curves/meltCurve_K7ELL7_PRKCSH.pdf</t>
  </si>
  <si>
    <t>Melting_Curves/meltCurve_K7ELY2_STX10.pdf</t>
  </si>
  <si>
    <t>Melting_Curves/meltCurve_K7EM02_KATNAL2.pdf</t>
  </si>
  <si>
    <t>Melting_Curves/meltCurve_K7EM09_TMEM205.pdf</t>
  </si>
  <si>
    <t>Melting_Curves/meltCurve_K7EM38_ACTG1.pdf</t>
  </si>
  <si>
    <t>Melting_Curves/meltCurve_K7EN05_ELOF1.pdf</t>
  </si>
  <si>
    <t>Melting_Curves/meltCurve_K7EN78_R3HDM4.pdf</t>
  </si>
  <si>
    <t>Melting_Curves/meltCurve_K7EN88_hCG_2039718.pdf</t>
  </si>
  <si>
    <t>Melting_Curves/meltCurve_K7ENF0_NARS.pdf</t>
  </si>
  <si>
    <t>Melting_Curves/meltCurve_K7ENL9_C18orf8.pdf</t>
  </si>
  <si>
    <t>Melting_Curves/meltCurve_K7EP31_ATP5SL.pdf</t>
  </si>
  <si>
    <t>Melting_Curves/meltCurve_K7EP32_UBXN6.pdf</t>
  </si>
  <si>
    <t>Melting_Curves/meltCurve_K7EQ34_TMEM161A.pdf</t>
  </si>
  <si>
    <t>Melting_Curves/meltCurve_K7EQ77_NDUFA11.pdf</t>
  </si>
  <si>
    <t>Melting_Curves/meltCurve_K7EQG1_QPCTL.pdf</t>
  </si>
  <si>
    <t>Melting_Curves/meltCurve_K7EQH5_AES.pdf</t>
  </si>
  <si>
    <t>Melting_Curves/meltCurve_K7EQL6_USP32.pdf</t>
  </si>
  <si>
    <t>Melting_Curves/meltCurve_K7EQW8_TPM4.pdf</t>
  </si>
  <si>
    <t>Melting_Curves/meltCurve_K7ER00_FARSA.pdf</t>
  </si>
  <si>
    <t>Melting_Curves/meltCurve_K7ERF1_EIF3K.pdf</t>
  </si>
  <si>
    <t>Melting_Curves/meltCurve_K7ERH7_DTNA.pdf</t>
  </si>
  <si>
    <t>Melting_Curves/meltCurve_K7ERQ0_YIF1B.pdf</t>
  </si>
  <si>
    <t>Melting_Curves/meltCurve_K7ERV3_TK1.pdf</t>
  </si>
  <si>
    <t>Melting_Curves/meltCurve_K7ES11_UBE2O.pdf</t>
  </si>
  <si>
    <t>Melting_Curves/meltCurve_K7ESA4_ATF7.pdf</t>
  </si>
  <si>
    <t>Melting_Curves/meltCurve_K7ESE3_RAD23A.pdf</t>
  </si>
  <si>
    <t>Melting_Curves/meltCurve_K7ESE6_G6PC3.pdf</t>
  </si>
  <si>
    <t>Melting_Curves/meltCurve_K7ESI9_DNM2.pdf</t>
  </si>
  <si>
    <t>Melting_Curves/meltCurve_K7ESL1_TXNL4A.pdf</t>
  </si>
  <si>
    <t>Melting_Curves/meltCurve_K7ESP4_DCAKD.pdf</t>
  </si>
  <si>
    <t>Melting_Curves/meltCurve_M0QWZ7_SARS2.pdf</t>
  </si>
  <si>
    <t>Melting_Curves/meltCurve_M0QX07_BABAM1.pdf</t>
  </si>
  <si>
    <t>Melting_Curves/meltCurve_M0QXA7_WIZ.pdf</t>
  </si>
  <si>
    <t>Melting_Curves/meltCurve_M0QXB4_COPE.pdf</t>
  </si>
  <si>
    <t>Melting_Curves/meltCurve_M0QXB5_ETHE1.pdf</t>
  </si>
  <si>
    <t>Melting_Curves/meltCurve_M0QXD0_MCOLN1.pdf</t>
  </si>
  <si>
    <t>Melting_Curves/meltCurve_M0QXN5_NUP62.pdf</t>
  </si>
  <si>
    <t>Melting_Curves/meltCurve_M0QXT0_USF2.pdf</t>
  </si>
  <si>
    <t>Melting_Curves/meltCurve_M0QXZ5_ZNF428.pdf</t>
  </si>
  <si>
    <t>Melting_Curves/meltCurve_M0QY77_KXD1.pdf</t>
  </si>
  <si>
    <t>Melting_Curves/meltCurve_M0QYA2_PIH1D1.pdf</t>
  </si>
  <si>
    <t>Melting_Curves/meltCurve_M0QYH2_PNKP.pdf</t>
  </si>
  <si>
    <t>Melting_Curves/meltCurve_M0QYM7_TUBB4A.pdf</t>
  </si>
  <si>
    <t>Melting_Curves/meltCurve_M0QYS1_RPL13A.pdf</t>
  </si>
  <si>
    <t>Melting_Curves/meltCurve_M0QYT0_.pdf</t>
  </si>
  <si>
    <t>Melting_Curves/meltCurve_M0QYT5_USE1.pdf</t>
  </si>
  <si>
    <t>Melting_Curves/meltCurve_M0QZ12_GRAMD1A.pdf</t>
  </si>
  <si>
    <t>Melting_Curves/meltCurve_M0QZ23_C19orf44.pdf</t>
  </si>
  <si>
    <t>Melting_Curves/meltCurve_M0QZL8_JOSD2.pdf</t>
  </si>
  <si>
    <t>Melting_Curves/meltCurve_M0QZM1_HNRNPM.pdf</t>
  </si>
  <si>
    <t>Melting_Curves/meltCurve_M0QZS4_ZNF737.pdf</t>
  </si>
  <si>
    <t>Melting_Curves/meltCurve_M0QZW1_PRKD2.pdf</t>
  </si>
  <si>
    <t>Melting_Curves/meltCurve_M0R042_TUBB4A.pdf</t>
  </si>
  <si>
    <t>Melting_Curves/meltCurve_M0R0E9_SPHK2.pdf</t>
  </si>
  <si>
    <t>Melting_Curves/meltCurve_M0R0F0_RPS5.pdf</t>
  </si>
  <si>
    <t>Melting_Curves/meltCurve_M0R0V1_PLEKHA4.pdf</t>
  </si>
  <si>
    <t>Melting_Curves/meltCurve_M0R117_RPL18A.pdf</t>
  </si>
  <si>
    <t>Melting_Curves/meltCurve_M0R150_.pdf</t>
  </si>
  <si>
    <t>Melting_Curves/meltCurve_M0R226_MRPL34.pdf</t>
  </si>
  <si>
    <t>Melting_Curves/meltCurve_M0R299_FBL.pdf</t>
  </si>
  <si>
    <t>Melting_Curves/meltCurve_M0R2B7_POLD1.pdf</t>
  </si>
  <si>
    <t>Melting_Curves/meltCurve_M0R2D3_TUBB4A.pdf</t>
  </si>
  <si>
    <t>Melting_Curves/meltCurve_M0R2G0_LRRC4B.pdf</t>
  </si>
  <si>
    <t>Melting_Curves/meltCurve_M0R3D4_RABAC1.pdf</t>
  </si>
  <si>
    <t>Melting_Curves/meltCurve_O00116_AGPS.pdf</t>
  </si>
  <si>
    <t>Melting_Curves/meltCurve_O00124_3_UBXN8.pdf</t>
  </si>
  <si>
    <t>Melting_Curves/meltCurve_O00139_2_KIF2A.pdf</t>
  </si>
  <si>
    <t>Melting_Curves/meltCurve_O00148_DDX39A.pdf</t>
  </si>
  <si>
    <t>Melting_Curves/meltCurve_O00151_PDLIM1.pdf</t>
  </si>
  <si>
    <t>Melting_Curves/meltCurve_O00154_4_ACOT7.pdf</t>
  </si>
  <si>
    <t>Melting_Curves/meltCurve_O00159_MYO1C.pdf</t>
  </si>
  <si>
    <t>Melting_Curves/meltCurve_O00161_SNAP23.pdf</t>
  </si>
  <si>
    <t>Melting_Curves/meltCurve_O00165_5_HAX1.pdf</t>
  </si>
  <si>
    <t>Melting_Curves/meltCurve_O00170_AIP.pdf</t>
  </si>
  <si>
    <t>Melting_Curves/meltCurve_O00178_GTPBP1.pdf</t>
  </si>
  <si>
    <t>Melting_Curves/meltCurve_O00186_STXBP3.pdf</t>
  </si>
  <si>
    <t>Melting_Curves/meltCurve_O00193_SMAP.pdf</t>
  </si>
  <si>
    <t>Melting_Curves/meltCurve_O00213_2_APBB1.pdf</t>
  </si>
  <si>
    <t>Melting_Curves/meltCurve_O00217_NDUFS8.pdf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</si>
  <si>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</si>
  <si>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</si>
  <si>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</si>
  <si>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</si>
  <si>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Melting_Curves/meltCurve_O00264_PGRMC1.pdf</t>
  </si>
  <si>
    <t>Melting_Curves/meltCurve_O00267_2_SUPT5H.pdf</t>
  </si>
  <si>
    <t>Melting_Curves/meltCurve_O00273_DFFA.pdf</t>
  </si>
  <si>
    <t>Melting_Curves/meltCurve_O00273_2_DFFA.pdf</t>
  </si>
  <si>
    <t>Melting_Curves/meltCurve_O00287_RFXAP.pdf</t>
  </si>
  <si>
    <t>Melting_Curves/meltCurve_O00291_HIP1.pdf</t>
  </si>
  <si>
    <t>Melting_Curves/meltCurve_O00299_CLIC1.pdf</t>
  </si>
  <si>
    <t>Melting_Curves/meltCurve_O00330_PDHX.pdf</t>
  </si>
  <si>
    <t>Melting_Curves/meltCurve_O00399_DCTN6.pdf</t>
  </si>
  <si>
    <t>Melting_Curves/meltCurve_O00400_SLC33A1.pdf</t>
  </si>
  <si>
    <t>Melting_Curves/meltCurve_O00401_WASL.pdf</t>
  </si>
  <si>
    <t>Melting_Curves/meltCurve_O00410_IPO5.pdf</t>
  </si>
  <si>
    <t>Melting_Curves/meltCurve_O00418_EEF2K.pdf</t>
  </si>
  <si>
    <t>Melting_Curves/meltCurve_O00425_IGF2BP3.pdf</t>
  </si>
  <si>
    <t>Melting_Curves/meltCurve_O00429_3_DNM1L.pdf</t>
  </si>
  <si>
    <t>Melting_Curves/meltCurve_O00429_4_DNM1L.pdf</t>
  </si>
  <si>
    <t>Melting_Curves/meltCurve_O00442_RTCA.pdf</t>
  </si>
  <si>
    <t>Melting_Curves/meltCurve_O00451_GFRA2.pdf</t>
  </si>
  <si>
    <t>Melting_Curves/meltCurve_O00459_PIK3R2.pdf</t>
  </si>
  <si>
    <t>Melting_Curves/meltCurve_O00461_GOLIM4.pdf</t>
  </si>
  <si>
    <t>Melting_Curves/meltCurve_O00479_HMGN4.pdf</t>
  </si>
  <si>
    <t>Melting_Curves/meltCurve_O00483_NDUFA4.pdf</t>
  </si>
  <si>
    <t>Melting_Curves/meltCurve_O00487_PSMD14.pdf</t>
  </si>
  <si>
    <t>Melting_Curves/meltCurve_O00505_KPNA3.pdf</t>
  </si>
  <si>
    <t>Melting_Curves/meltCurve_O00506_STK25.pdf</t>
  </si>
  <si>
    <t>Melting_Curves/meltCurve_O00512_BCL9.pdf</t>
  </si>
  <si>
    <t>Melting_Curves/meltCurve_O00560_3_SDCBP.pdf</t>
  </si>
  <si>
    <t>Melting_Curves/meltCurve_O00566_MPHOSPH10.pdf</t>
  </si>
  <si>
    <t>Melting_Curves/meltCurve_O00567_NOP56.pdf</t>
  </si>
  <si>
    <t>Melting_Curves/meltCurve_O00571_DDX3X.pdf</t>
  </si>
  <si>
    <t>Melting_Curves/meltCurve_O00625_PIR.pdf</t>
  </si>
  <si>
    <t>Melting_Curves/meltCurve_O00629_KPNA4.pdf</t>
  </si>
  <si>
    <t>Melting_Curves/meltCurve_O00635_TRIM38.pdf</t>
  </si>
  <si>
    <t>Melting_Curves/meltCurve_O00716_E2F3.pdf</t>
  </si>
  <si>
    <t>Melting_Curves/meltCurve_O00743_PPP6C.pdf</t>
  </si>
  <si>
    <t>Melting_Curves/meltCurve_O00754_2_MAN2B1.pdf</t>
  </si>
  <si>
    <t>Melting_Curves/meltCurve_O00762_UBE2C.pdf</t>
  </si>
  <si>
    <t>Melting_Curves/meltCurve_O00764_PDXK.pdf</t>
  </si>
  <si>
    <t>Melting_Curves/meltCurve_O00767_SCD.pdf</t>
  </si>
  <si>
    <t>Melting_Curves/meltCurve_O14497_2_ARID1A.pdf</t>
  </si>
  <si>
    <t>Melting_Curves/meltCurve_O14519_2_CDK2AP1.pdf</t>
  </si>
  <si>
    <t>Melting_Curves/meltCurve_O14523_C2CD2L.pdf</t>
  </si>
  <si>
    <t>Melting_Curves/meltCurve_O14524_2_TMEM194A.pdf</t>
  </si>
  <si>
    <t>Melting_Curves/meltCurve_O14531_DPYSL4.pdf</t>
  </si>
  <si>
    <t>Melting_Curves/meltCurve_O14545_TRAFD1.pdf</t>
  </si>
  <si>
    <t>Melting_Curves/meltCurve_O14548_COX7A2L.pdf</t>
  </si>
  <si>
    <t>Melting_Curves/meltCurve_O14578_CIT.pdf</t>
  </si>
  <si>
    <t>Melting_Curves/meltCurve_O14613_CDC42EP2.pdf</t>
  </si>
  <si>
    <t>Melting_Curves/meltCurve_O14617_4_AP3D1.pdf</t>
  </si>
  <si>
    <t>Melting_Curves/meltCurve_O14656_TOR1A.pdf</t>
  </si>
  <si>
    <t>Melting_Curves/meltCurve_O14657_TOR1B.pdf</t>
  </si>
  <si>
    <t>Melting_Curves/meltCurve_O14672_ADAM10.pdf</t>
  </si>
  <si>
    <t>Melting_Curves/meltCurve_O14686_MLL2.pdf</t>
  </si>
  <si>
    <t>Melting_Curves/meltCurve_O14732_2_IMPA2.pdf</t>
  </si>
  <si>
    <t>Melting_Curves/meltCurve_O14733_MAP2K7.pdf</t>
  </si>
  <si>
    <t>Melting_Curves/meltCurve_O14734_ACOT8.pdf</t>
  </si>
  <si>
    <t>Melting_Curves/meltCurve_O14737_PDCD5.pdf</t>
  </si>
  <si>
    <t>Melting_Curves/meltCurve_O14744_PRMT5.pdf</t>
  </si>
  <si>
    <t>Melting_Curves/meltCurve_O14745_SLC9A3R1.pdf</t>
  </si>
  <si>
    <t>Melting_Curves/meltCurve_O14757_CHEK1.pdf</t>
  </si>
  <si>
    <t>Melting_Curves/meltCurve_O14763_2_TNFRSF10B.pdf</t>
  </si>
  <si>
    <t>Melting_Curves/meltCurve_O14772_FPGT.pdf</t>
  </si>
  <si>
    <t>Melting_Curves/meltCurve_O14773_2_TPP1.pdf</t>
  </si>
  <si>
    <t>Melting_Curves/meltCurve_O14776_2_TCERG1.pdf</t>
  </si>
  <si>
    <t>Melting_Curves/meltCurve_O14777_NDC80.pdf</t>
  </si>
  <si>
    <t>Melting_Curves/meltCurve_O14787_2_TNPO2.pdf</t>
  </si>
  <si>
    <t>Melting_Curves/meltCurve_O14810_CPLX1.pdf</t>
  </si>
  <si>
    <t>Melting_Curves/meltCurve_O14818_PSMA7.pdf</t>
  </si>
  <si>
    <t>Melting_Curves/meltCurve_O14828_SCAMP3.pdf</t>
  </si>
  <si>
    <t>Melting_Curves/meltCurve_O14867_BACH1.pdf</t>
  </si>
  <si>
    <t>Melting_Curves/meltCurve_O14893_2_GEMIN2.pdf</t>
  </si>
  <si>
    <t>Melting_Curves/meltCurve_O14908_GIPC1.pdf</t>
  </si>
  <si>
    <t>Melting_Curves/meltCurve_O14920_IKBKB.pdf</t>
  </si>
  <si>
    <t>Melting_Curves/meltCurve_O14925_TIMM23.pdf</t>
  </si>
  <si>
    <t>Melting_Curves/meltCurve_O14929_HAT1.pdf</t>
  </si>
  <si>
    <t>Melting_Curves/meltCurve_O14936_3_CASK.pdf</t>
  </si>
  <si>
    <t>Melting_Curves/meltCurve_O14964_HGS.pdf</t>
  </si>
  <si>
    <t>Melting_Curves/meltCurve_O14965_AURKA.pdf</t>
  </si>
  <si>
    <t>Melting_Curves/meltCurve_O14967_CLGN.pdf</t>
  </si>
  <si>
    <t>Melting_Curves/meltCurve_O14974_2_PPP1R12A.pdf</t>
  </si>
  <si>
    <t>Melting_Curves/meltCurve_O14976_GAK.pdf</t>
  </si>
  <si>
    <t>Melting_Curves/meltCurve_O14979_3_HNRPDL.pdf</t>
  </si>
  <si>
    <t>Melting_Curves/meltCurve_O14980_XPO1.pdf</t>
  </si>
  <si>
    <t>Melting_Curves/meltCurve_O14981_BTAF1.pdf</t>
  </si>
  <si>
    <t>Melting_Curves/meltCurve_O15013_4_ARHGEF10.pdf</t>
  </si>
  <si>
    <t>Melting_Curves/meltCurve_O15014_ZNF609.pdf</t>
  </si>
  <si>
    <t>Melting_Curves/meltCurve_O15020_2_SPTBN2.pdf</t>
  </si>
  <si>
    <t>Melting_Curves/meltCurve_O15031_PLXNB2.pdf</t>
  </si>
  <si>
    <t>Melting_Curves/meltCurve_O15037_KHNYN.pdf</t>
  </si>
  <si>
    <t>Melting_Curves/meltCurve_O15047_SETD1A.pdf</t>
  </si>
  <si>
    <t>Melting_Curves/meltCurve_O15063_KIAA0355.pdf</t>
  </si>
  <si>
    <t>Melting_Curves/meltCurve_O15066_KIF3B.pdf</t>
  </si>
  <si>
    <t>Melting_Curves/meltCurve_O15067_PFAS.pdf</t>
  </si>
  <si>
    <t>Melting_Curves/meltCurve_O15091_4_KIAA0391.pdf</t>
  </si>
  <si>
    <t>Melting_Curves/meltCurve_O15111_CHUK.pdf</t>
  </si>
  <si>
    <t>Melting_Curves/meltCurve_O15116_LSM1.pdf</t>
  </si>
  <si>
    <t>Melting_Curves/meltCurve_O15118_NPC1.pdf</t>
  </si>
  <si>
    <t>Melting_Curves/meltCurve_O15120_AGPAT2.pdf</t>
  </si>
  <si>
    <t>Melting_Curves/meltCurve_O15121_DEGS1.pdf</t>
  </si>
  <si>
    <t>Melting_Curves/meltCurve_O15126_SCAMP1.pdf</t>
  </si>
  <si>
    <t>Melting_Curves/meltCurve_O15127_SCAMP2.pdf</t>
  </si>
  <si>
    <t>Melting_Curves/meltCurve_O15143_ARPC1B.pdf</t>
  </si>
  <si>
    <t>Melting_Curves/meltCurve_O15144_ARPC2.pdf</t>
  </si>
  <si>
    <t>Melting_Curves/meltCurve_O15145_ARPC3.pdf</t>
  </si>
  <si>
    <t>Melting_Curves/meltCurve_O15155_BET1.pdf</t>
  </si>
  <si>
    <t>Melting_Curves/meltCurve_O15160_POLR1C.pdf</t>
  </si>
  <si>
    <t>Melting_Curves/meltCurve_O15164_2_TRIM24.pdf</t>
  </si>
  <si>
    <t>Melting_Curves/meltCurve_O15169_2_AXIN1.pdf</t>
  </si>
  <si>
    <t>Melting_Curves/meltCurve_O15173_PGRMC2.pdf</t>
  </si>
  <si>
    <t>Melting_Curves/meltCurve_O15212_PFDN6.pdf</t>
  </si>
  <si>
    <t>Melting_Curves/meltCurve_O15228_GNPAT.pdf</t>
  </si>
  <si>
    <t>Melting_Curves/meltCurve_O15234_CASC3.pdf</t>
  </si>
  <si>
    <t>Melting_Curves/meltCurve_O15258_RER1.pdf</t>
  </si>
  <si>
    <t>Melting_Curves/meltCurve_O15269_SPTLC1.pdf</t>
  </si>
  <si>
    <t>Melting_Curves/meltCurve_O15270_SPTLC2.pdf</t>
  </si>
  <si>
    <t>Melting_Curves/meltCurve_O15294_3_OGT.pdf</t>
  </si>
  <si>
    <t>Melting_Curves/meltCurve_O15305_PMM2.pdf</t>
  </si>
  <si>
    <t>Melting_Curves/meltCurve_O15344_MID1.pdf</t>
  </si>
  <si>
    <t>Melting_Curves/meltCurve_O15347_HMGB3.pdf</t>
  </si>
  <si>
    <t>Melting_Curves/meltCurve_O15355_PPM1G.pdf</t>
  </si>
  <si>
    <t>Melting_Curves/meltCurve_O15357_INPPL1.pdf</t>
  </si>
  <si>
    <t>Melting_Curves/meltCurve_O15397_IPO8.pdf</t>
  </si>
  <si>
    <t>Melting_Curves/meltCurve_O15400_2_STX7.pdf</t>
  </si>
  <si>
    <t>Melting_Curves/meltCurve_O15431_SLC31A1.pdf</t>
  </si>
  <si>
    <t>Melting_Curves/meltCurve_O15439_2_ABCC4.pdf</t>
  </si>
  <si>
    <t>Melting_Curves/meltCurve_O15446_CD3EAP.pdf</t>
  </si>
  <si>
    <t>Melting_Curves/meltCurve_O15460_2_P4HA2.pdf</t>
  </si>
  <si>
    <t>Melting_Curves/meltCurve_O15511_ARPC5.pdf</t>
  </si>
  <si>
    <t>Melting_Curves/meltCurve_O15541_RNF113A.pdf</t>
  </si>
  <si>
    <t>Melting_Curves/meltCurve_O43143_DHX15.pdf</t>
  </si>
  <si>
    <t>Melting_Curves/meltCurve_O43148_RNMT.pdf</t>
  </si>
  <si>
    <t>Melting_Curves/meltCurve_O43150_2_ASAP2.pdf</t>
  </si>
  <si>
    <t>Melting_Curves/meltCurve_O43155_FLRT2.pdf</t>
  </si>
  <si>
    <t>Melting_Curves/meltCurve_O43164_2_PJA2.pdf</t>
  </si>
  <si>
    <t>Melting_Curves/meltCurve_O43172_2_PRPF4.pdf</t>
  </si>
  <si>
    <t>Melting_Curves/meltCurve_O43175_PHGDH.pdf</t>
  </si>
  <si>
    <t>Melting_Curves/meltCurve_O43242_PSMD3.pdf</t>
  </si>
  <si>
    <t>Melting_Curves/meltCurve_O43251_6_RBFOX2.pdf</t>
  </si>
  <si>
    <t>Melting_Curves/meltCurve_O43252_PAPSS1.pdf</t>
  </si>
  <si>
    <t>Melting_Curves/meltCurve_O43257_ZNHIT1.pdf</t>
  </si>
  <si>
    <t>Melting_Curves/meltCurve_O43264_ZW10.pdf</t>
  </si>
  <si>
    <t>Melting_Curves/meltCurve_O43290_SART1.pdf</t>
  </si>
  <si>
    <t>Melting_Curves/meltCurve_O43299_2_AP5Z1.pdf</t>
  </si>
  <si>
    <t>Melting_Curves/meltCurve_O43301_HSPA12A.pdf</t>
  </si>
  <si>
    <t>Melting_Curves/meltCurve_O43310_CTIF.pdf</t>
  </si>
  <si>
    <t>Melting_Curves/meltCurve_O43314_2_PPIP5K2.pdf</t>
  </si>
  <si>
    <t>Melting_Curves/meltCurve_O43318_2_MAP3K7.pdf</t>
  </si>
  <si>
    <t>Melting_Curves/meltCurve_O43353_RIPK2.pdf</t>
  </si>
  <si>
    <t>Melting_Curves/meltCurve_O43379_WDR62.pdf</t>
  </si>
  <si>
    <t>Melting_Curves/meltCurve_O43390_HNRNPR.pdf</t>
  </si>
  <si>
    <t>Melting_Curves/meltCurve_O43395_PRPF3.pdf</t>
  </si>
  <si>
    <t>Melting_Curves/meltCurve_O43396_TXNL1.pdf</t>
  </si>
  <si>
    <t>Melting_Curves/meltCurve_O43399_TPD52L2.pdf</t>
  </si>
  <si>
    <t>Melting_Curves/meltCurve_O43399_2_TPD52L2.pdf</t>
  </si>
  <si>
    <t>Melting_Curves/meltCurve_O43402_EMC8.pdf</t>
  </si>
  <si>
    <t>Melting_Curves/meltCurve_O43447_PPIH.pdf</t>
  </si>
  <si>
    <t>Melting_Curves/meltCurve_O43464_3_HTRA2.pdf</t>
  </si>
  <si>
    <t>Melting_Curves/meltCurve_O43474_1_KLF4.pdf</t>
  </si>
  <si>
    <t>Melting_Curves/meltCurve_O43482_OIP5.pdf</t>
  </si>
  <si>
    <t>Melting_Curves/meltCurve_O43491_EPB41L2.pdf</t>
  </si>
  <si>
    <t>Melting_Curves/meltCurve_O43493_2_TGOLN2.pdf</t>
  </si>
  <si>
    <t>Melting_Curves/meltCurve_O43502_RAD51C.pdf</t>
  </si>
  <si>
    <t>Melting_Curves/meltCurve_O43505_B3GNT1.pdf</t>
  </si>
  <si>
    <t>Melting_Curves/meltCurve_O43513_MED7.pdf</t>
  </si>
  <si>
    <t>Melting_Curves/meltCurve_O43516_WIPF1.pdf</t>
  </si>
  <si>
    <t>Melting_Curves/meltCurve_O43521_6_BCL2L11.pdf</t>
  </si>
  <si>
    <t>Melting_Curves/meltCurve_O43524_FOXO3.pdf</t>
  </si>
  <si>
    <t>Melting_Curves/meltCurve_O43567_RNF13.pdf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</si>
  <si>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</si>
  <si>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</si>
  <si>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</si>
  <si>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</si>
  <si>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</si>
  <si>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</si>
  <si>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</si>
  <si>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Melting_Curves/meltCurve_O43657_TSPAN6.pdf</t>
  </si>
  <si>
    <t>Melting_Curves/meltCurve_O43665_2_RGS10.pdf</t>
  </si>
  <si>
    <t>Melting_Curves/meltCurve_O43676_NDUFB3.pdf</t>
  </si>
  <si>
    <t>Melting_Curves/meltCurve_O43677_NDUFC1.pdf</t>
  </si>
  <si>
    <t>Melting_Curves/meltCurve_O43678_NDUFA2.pdf</t>
  </si>
  <si>
    <t>Melting_Curves/meltCurve_O43681_ASNA1.pdf</t>
  </si>
  <si>
    <t>Melting_Curves/meltCurve_O43684_BUB3.pdf</t>
  </si>
  <si>
    <t>Melting_Curves/meltCurve_O43684_2_BUB3.pdf</t>
  </si>
  <si>
    <t>Melting_Curves/meltCurve_O43707_ACTN4.pdf</t>
  </si>
  <si>
    <t>Melting_Curves/meltCurve_O43709_WBSCR22.pdf</t>
  </si>
  <si>
    <t>Melting_Curves/meltCurve_O43715_TRIAP1.pdf</t>
  </si>
  <si>
    <t>Melting_Curves/meltCurve_O43719_HTATSF1.pdf</t>
  </si>
  <si>
    <t>Melting_Curves/meltCurve_O43752_STX6.pdf</t>
  </si>
  <si>
    <t>Melting_Curves/meltCurve_O43765_SGTA.pdf</t>
  </si>
  <si>
    <t>Melting_Curves/meltCurve_O43766_LIAS.pdf</t>
  </si>
  <si>
    <t>Melting_Curves/meltCurve_O43768_ENSA.pdf</t>
  </si>
  <si>
    <t>Melting_Curves/meltCurve_O43772_SLC25A20.pdf</t>
  </si>
  <si>
    <t>Melting_Curves/meltCurve_O43776_NARS.pdf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</si>
  <si>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</si>
  <si>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</si>
  <si>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</si>
  <si>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</si>
  <si>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</si>
  <si>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Melting_Curves/meltCurve_O43819_SCO2.pdf</t>
  </si>
  <si>
    <t>Melting_Curves/meltCurve_O43820_4_HYAL3.pdf</t>
  </si>
  <si>
    <t>Melting_Curves/meltCurve_O43823_AKAP8.pdf</t>
  </si>
  <si>
    <t>Melting_Curves/meltCurve_O43826_SLC37A4.pdf</t>
  </si>
  <si>
    <t>Melting_Curves/meltCurve_O43829_ZBTB14.pdf</t>
  </si>
  <si>
    <t>Melting_Curves/meltCurve_O43837_IDH3B.pdf</t>
  </si>
  <si>
    <t>Melting_Curves/meltCurve_O43852_CALU.pdf</t>
  </si>
  <si>
    <t>Melting_Curves/meltCurve_O43865_AHCYL1.pdf</t>
  </si>
  <si>
    <t>Melting_Curves/meltCurve_O43896_KIF1C.pdf</t>
  </si>
  <si>
    <t>Melting_Curves/meltCurve_O43913_2_ORC5.pdf</t>
  </si>
  <si>
    <t>Melting_Curves/meltCurve_O43920_NDUFS5.pdf</t>
  </si>
  <si>
    <t>Melting_Curves/meltCurve_O43929_ORC4.pdf</t>
  </si>
  <si>
    <t>Melting_Curves/meltCurve_O43933_PEX1.pdf</t>
  </si>
  <si>
    <t>Melting_Curves/meltCurve_O60216_RAD21.pdf</t>
  </si>
  <si>
    <t>Melting_Curves/meltCurve_O60220_TIMM8A.pdf</t>
  </si>
  <si>
    <t>Melting_Curves/meltCurve_O60231_DHX16.pdf</t>
  </si>
  <si>
    <t>Melting_Curves/meltCurve_O60239_2_SH3BP5.pdf</t>
  </si>
  <si>
    <t>Melting_Curves/meltCurve_O60256_PRPSAP2.pdf</t>
  </si>
  <si>
    <t>Melting_Curves/meltCurve_O60262_GNG7.pdf</t>
  </si>
  <si>
    <t>Melting_Curves/meltCurve_O60264_SMARCA5.pdf</t>
  </si>
  <si>
    <t>Melting_Curves/meltCurve_O60271_4_SPAG9.pdf</t>
  </si>
  <si>
    <t>Melting_Curves/meltCurve_O60279_SUSD5.pdf</t>
  </si>
  <si>
    <t>Melting_Curves/meltCurve_O60282_KIF5C.pdf</t>
  </si>
  <si>
    <t>Melting_Curves/meltCurve_O60333_2_KIF1B.pdf</t>
  </si>
  <si>
    <t>Melting_Curves/meltCurve_O60343_2_TBC1D4.pdf</t>
  </si>
  <si>
    <t>Melting_Curves/meltCurve_O60344_4_ECE2.pdf</t>
  </si>
  <si>
    <t>Melting_Curves/meltCurve_O60347_TBC1D12.pdf</t>
  </si>
  <si>
    <t>Melting_Curves/meltCurve_O60427_FADS1.pdf</t>
  </si>
  <si>
    <t>Melting_Curves/meltCurve_O60443_DFNA5.pdf</t>
  </si>
  <si>
    <t>Melting_Curves/meltCurve_O60449_3_LY75.pdf</t>
  </si>
  <si>
    <t>Melting_Curves/meltCurve_O60476_MAN1A2.pdf</t>
  </si>
  <si>
    <t>Melting_Curves/meltCurve_O60488_2_ACSL4.pdf</t>
  </si>
  <si>
    <t>Melting_Curves/meltCurve_O60493_SNX3.pdf</t>
  </si>
  <si>
    <t>Melting_Curves/meltCurve_O60502_MGEA5.pdf</t>
  </si>
  <si>
    <t>Melting_Curves/meltCurve_O60504_2_SORBS3.pdf</t>
  </si>
  <si>
    <t>Melting_Curves/meltCurve_O60506_4_SYNCRIP.pdf</t>
  </si>
  <si>
    <t>Melting_Curves/meltCurve_O60524_4_NEMF.pdf</t>
  </si>
  <si>
    <t>Melting_Curves/meltCurve_O60547_GMDS.pdf</t>
  </si>
  <si>
    <t>Melting_Curves/meltCurve_O60563_CCNT1.pdf</t>
  </si>
  <si>
    <t>Melting_Curves/meltCurve_O60566_BUB1B.pdf</t>
  </si>
  <si>
    <t>Melting_Curves/meltCurve_O60568_PLOD3.pdf</t>
  </si>
  <si>
    <t>Melting_Curves/meltCurve_O60613_SEP15.pdf</t>
  </si>
  <si>
    <t>Melting_Curves/meltCurve_O60645_3_EXOC3.pdf</t>
  </si>
  <si>
    <t>Melting_Curves/meltCurve_O60664_PLIN3.pdf</t>
  </si>
  <si>
    <t>Melting_Curves/meltCurve_O60664_3_PLIN3.pdf</t>
  </si>
  <si>
    <t>Melting_Curves/meltCurve_O60671_RAD1.pdf</t>
  </si>
  <si>
    <t>Melting_Curves/meltCurve_O60678_PRMT3.pdf</t>
  </si>
  <si>
    <t>Melting_Curves/meltCurve_O60701_UGDH.pdf</t>
  </si>
  <si>
    <t>Melting_Curves/meltCurve_O60704_TPST2.pdf</t>
  </si>
  <si>
    <t>Melting_Curves/meltCurve_O60716_5_CTNND1.pdf</t>
  </si>
  <si>
    <t>Melting_Curves/meltCurve_O60725_ICMT.pdf</t>
  </si>
  <si>
    <t>Melting_Curves/meltCurve_O60749_SNX2.pdf</t>
  </si>
  <si>
    <t>Melting_Curves/meltCurve_O60763_USO1.pdf</t>
  </si>
  <si>
    <t>Melting_Curves/meltCurve_O60826_CCDC22.pdf</t>
  </si>
  <si>
    <t>Melting_Curves/meltCurve_O60828_PQBP1.pdf</t>
  </si>
  <si>
    <t>Melting_Curves/meltCurve_O60830_TIMM17B.pdf</t>
  </si>
  <si>
    <t>Melting_Curves/meltCurve_O60831_PRAF2.pdf</t>
  </si>
  <si>
    <t>Melting_Curves/meltCurve_O60832_DKC1.pdf</t>
  </si>
  <si>
    <t>Melting_Curves/meltCurve_O60841_EIF5B.pdf</t>
  </si>
  <si>
    <t>Melting_Curves/meltCurve_O60869_EDF1.pdf</t>
  </si>
  <si>
    <t>Melting_Curves/meltCurve_O60870_KIN.pdf</t>
  </si>
  <si>
    <t>Melting_Curves/meltCurve_O60884_DNAJA2.pdf</t>
  </si>
  <si>
    <t>Melting_Curves/meltCurve_O60885_BRD4.pdf</t>
  </si>
  <si>
    <t>Melting_Curves/meltCurve_O60888_3_CUTA.pdf</t>
  </si>
  <si>
    <t>Melting_Curves/meltCurve_O60906_SMPD2.pdf</t>
  </si>
  <si>
    <t>Melting_Curves/meltCurve_O60925_PFDN1.pdf</t>
  </si>
  <si>
    <t>Melting_Curves/meltCurve_O60927_PPP1R11.pdf</t>
  </si>
  <si>
    <t>Melting_Curves/meltCurve_O60934_NBN.pdf</t>
  </si>
  <si>
    <t>Melting_Curves/meltCurve_O60942_RNGTT.pdf</t>
  </si>
  <si>
    <t>Melting_Curves/meltCurve_O75027_ABCB7.pdf</t>
  </si>
  <si>
    <t>Melting_Curves/meltCurve_O75044_SRGAP2.pdf</t>
  </si>
  <si>
    <t>Melting_Curves/meltCurve_O75051_PLXNA2.pdf</t>
  </si>
  <si>
    <t>Melting_Curves/meltCurve_O75054_IGSF3.pdf</t>
  </si>
  <si>
    <t>Melting_Curves/meltCurve_O75061_4_DNAJC6.pdf</t>
  </si>
  <si>
    <t>Melting_Curves/meltCurve_O75063_FAM20B.pdf</t>
  </si>
  <si>
    <t>Melting_Curves/meltCurve_O75083_WDR1.pdf</t>
  </si>
  <si>
    <t>Melting_Curves/meltCurve_O75084_FZD7.pdf</t>
  </si>
  <si>
    <t>Melting_Curves/meltCurve_O75110_ATP9A.pdf</t>
  </si>
  <si>
    <t>Melting_Curves/meltCurve_O75113_N4BP1.pdf</t>
  </si>
  <si>
    <t>Melting_Curves/meltCurve_O75116_ROCK2.pdf</t>
  </si>
  <si>
    <t>Melting_Curves/meltCurve_O75131_CPNE3.pdf</t>
  </si>
  <si>
    <t>Melting_Curves/meltCurve_O75143_2_ATG13.pdf</t>
  </si>
  <si>
    <t>Melting_Curves/meltCurve_O75146_HIP1R.pdf</t>
  </si>
  <si>
    <t>Melting_Curves/meltCurve_O75150_RNF40.pdf</t>
  </si>
  <si>
    <t>Melting_Curves/meltCurve_O75155_CAND2.pdf</t>
  </si>
  <si>
    <t>Melting_Curves/meltCurve_O75157_2_TSC22D2.pdf</t>
  </si>
  <si>
    <t>Melting_Curves/meltCurve_O75164_KDM4A.pdf</t>
  </si>
  <si>
    <t>Melting_Curves/meltCurve_O75170_6_PPP6R2.pdf</t>
  </si>
  <si>
    <t>Melting_Curves/meltCurve_O75175_CNOT3.pdf</t>
  </si>
  <si>
    <t>Melting_Curves/meltCurve_O75179_2_ANKRD17.pdf</t>
  </si>
  <si>
    <t>Melting_Curves/meltCurve_O75191_XYLB.pdf</t>
  </si>
  <si>
    <t>Melting_Curves/meltCurve_O75208_COQ9.pdf</t>
  </si>
  <si>
    <t>Melting_Curves/meltCurve_O75223_GGCT.pdf</t>
  </si>
  <si>
    <t>Melting_Curves/meltCurve_O75306_2_NDUFS2.pdf</t>
  </si>
  <si>
    <t>Melting_Curves/meltCurve_O75312_ZNF259.pdf</t>
  </si>
  <si>
    <t>Melting_Curves/meltCurve_O75323_GBAS.pdf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</si>
  <si>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</si>
  <si>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</si>
  <si>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</si>
  <si>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</si>
  <si>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</si>
  <si>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Melting_Curves/meltCurve_O75368_SH3BGRL.pdf</t>
  </si>
  <si>
    <t>Melting_Curves/meltCurve_O75369_8_FLNB.pdf</t>
  </si>
  <si>
    <t>Melting_Curves/meltCurve_O75376_NCOR1.pdf</t>
  </si>
  <si>
    <t>Melting_Curves/meltCurve_O75379_VAMP4.pdf</t>
  </si>
  <si>
    <t>Melting_Curves/meltCurve_O75380_NDUFS6.pdf</t>
  </si>
  <si>
    <t>Melting_Curves/meltCurve_O75387_SLC43A1.pdf</t>
  </si>
  <si>
    <t>Melting_Curves/meltCurve_O75391_SPAG7.pdf</t>
  </si>
  <si>
    <t>Melting_Curves/meltCurve_O75396_SEC22B.pdf</t>
  </si>
  <si>
    <t>Melting_Curves/meltCurve_O75400_2_PRPF40A.pdf</t>
  </si>
  <si>
    <t>Melting_Curves/meltCurve_O75419_2_CDC45.pdf</t>
  </si>
  <si>
    <t>Melting_Curves/meltCurve_O75420_GIGYF1.pdf</t>
  </si>
  <si>
    <t>Melting_Curves/meltCurve_O75427_LRCH4.pdf</t>
  </si>
  <si>
    <t>Melting_Curves/meltCurve_O75436_VPS26A.pdf</t>
  </si>
  <si>
    <t>Melting_Curves/meltCurve_O75438_NDUFB1.pdf</t>
  </si>
  <si>
    <t>Melting_Curves/meltCurve_O75439_PMPCB.pdf</t>
  </si>
  <si>
    <t>Melting_Curves/meltCurve_O75449_KATNA1.pdf</t>
  </si>
  <si>
    <t>Melting_Curves/meltCurve_O75475_PSIP1.pdf</t>
  </si>
  <si>
    <t>Melting_Curves/meltCurve_O75489_NDUFS3.pdf</t>
  </si>
  <si>
    <t>Melting_Curves/meltCurve_O75506_HSBP1.pdf</t>
  </si>
  <si>
    <t>Melting_Curves/meltCurve_O75521_2_ECI2.pdf</t>
  </si>
  <si>
    <t>Melting_Curves/meltCurve_O75526_RBMXL2.pdf</t>
  </si>
  <si>
    <t>Melting_Curves/meltCurve_O75531_BANF1.pdf</t>
  </si>
  <si>
    <t>Melting_Curves/meltCurve_O75533_SF3B1.pdf</t>
  </si>
  <si>
    <t>Melting_Curves/meltCurve_O75534_2_CSDE1.pdf</t>
  </si>
  <si>
    <t>Melting_Curves/meltCurve_O75554_WBP4.pdf</t>
  </si>
  <si>
    <t>Melting_Curves/meltCurve_O75570_MTRF1.pdf</t>
  </si>
  <si>
    <t>Melting_Curves/meltCurve_O75582_RPS6KA5.pdf</t>
  </si>
  <si>
    <t>Melting_Curves/meltCurve_O75600_GCAT.pdf</t>
  </si>
  <si>
    <t>Melting_Curves/meltCurve_O75607_NPM3.pdf</t>
  </si>
  <si>
    <t>Melting_Curves/meltCurve_O75608_2_LYPLA1.pdf</t>
  </si>
  <si>
    <t>Melting_Curves/meltCurve_O75616_ERAL1.pdf</t>
  </si>
  <si>
    <t>Melting_Curves/meltCurve_O75629_CREG1.pdf</t>
  </si>
  <si>
    <t>Melting_Curves/meltCurve_O75648_TRMU.pdf</t>
  </si>
  <si>
    <t>Melting_Curves/meltCurve_O75663_TIPRL.pdf</t>
  </si>
  <si>
    <t>Melting_Curves/meltCurve_O75688_PPM1B.pdf</t>
  </si>
  <si>
    <t>Melting_Curves/meltCurve_O75689_ADAP1.pdf</t>
  </si>
  <si>
    <t>Melting_Curves/meltCurve_O75695_RP2.pdf</t>
  </si>
  <si>
    <t>Melting_Curves/meltCurve_O75717_WDHD1.pdf</t>
  </si>
  <si>
    <t>Melting_Curves/meltCurve_O75746_SLC25A12.pdf</t>
  </si>
  <si>
    <t>Melting_Curves/meltCurve_O75781_PALM.pdf</t>
  </si>
  <si>
    <t>Melting_Curves/meltCurve_O75792_RNASEH2A.pdf</t>
  </si>
  <si>
    <t>Melting_Curves/meltCurve_O75794_CDC123.pdf</t>
  </si>
  <si>
    <t>Melting_Curves/meltCurve_O75808_SOLH.pdf</t>
  </si>
  <si>
    <t>Melting_Curves/meltCurve_O75821_EIF3G.pdf</t>
  </si>
  <si>
    <t>Melting_Curves/meltCurve_O75822_EIF3J.pdf</t>
  </si>
  <si>
    <t>Melting_Curves/meltCurve_O75828_CBR3.pdf</t>
  </si>
  <si>
    <t>Melting_Curves/meltCurve_O75832_PSMD10.pdf</t>
  </si>
  <si>
    <t>Melting_Curves/meltCurve_O75844_ZMPSTE24.pdf</t>
  </si>
  <si>
    <t>Melting_Curves/meltCurve_O75874_IDH1.pdf</t>
  </si>
  <si>
    <t>Melting_Curves/meltCurve_O75882_3_ATRN.pdf</t>
  </si>
  <si>
    <t>Melting_Curves/meltCurve_O75884_RBBP9.pdf</t>
  </si>
  <si>
    <t>Melting_Curves/meltCurve_O75886_STAM2.pdf</t>
  </si>
  <si>
    <t>Melting_Curves/meltCurve_O75915_ARL6IP5.pdf</t>
  </si>
  <si>
    <t>Melting_Curves/meltCurve_O75928_3_PIAS2.pdf</t>
  </si>
  <si>
    <t>Melting_Curves/meltCurve_O75934_BCAS2.pdf</t>
  </si>
  <si>
    <t>Melting_Curves/meltCurve_O75937_DNAJC8.pdf</t>
  </si>
  <si>
    <t>Melting_Curves/meltCurve_O75940_SMNDC1.pdf</t>
  </si>
  <si>
    <t>Melting_Curves/meltCurve_O75947_ATP5H.pdf</t>
  </si>
  <si>
    <t>Melting_Curves/meltCurve_O75964_ATP5L.pdf</t>
  </si>
  <si>
    <t>Melting_Curves/meltCurve_O75976_CPD.pdf</t>
  </si>
  <si>
    <t>Melting_Curves/meltCurve_O76003_GLRX3.pdf</t>
  </si>
  <si>
    <t>Melting_Curves/meltCurve_O76024_WFS1.pdf</t>
  </si>
  <si>
    <t>Melting_Curves/meltCurve_O76031_CLPX.pdf</t>
  </si>
  <si>
    <t>Melting_Curves/meltCurve_O76041_2_NEBL.pdf</t>
  </si>
  <si>
    <t>Melting_Curves/meltCurve_O76070_SNCG.pdf</t>
  </si>
  <si>
    <t>Melting_Curves/meltCurve_O76071_CIAO1.pdf</t>
  </si>
  <si>
    <t>Melting_Curves/meltCurve_O76075_2_DFFB.pdf</t>
  </si>
  <si>
    <t>Melting_Curves/meltCurve_O76080_ZFAND5.pdf</t>
  </si>
  <si>
    <t>Melting_Curves/meltCurve_O76095_2_JTB.pdf</t>
  </si>
  <si>
    <t>Melting_Curves/meltCurve_O94760_DDAH1.pdf</t>
  </si>
  <si>
    <t>Melting_Curves/meltCurve_O94761_RECQL4.pdf</t>
  </si>
  <si>
    <t>Melting_Curves/meltCurve_O94763_URI1.pdf</t>
  </si>
  <si>
    <t>Melting_Curves/meltCurve_O94766_B3GAT3.pdf</t>
  </si>
  <si>
    <t>Melting_Curves/meltCurve_O94776_MTA2.pdf</t>
  </si>
  <si>
    <t>Melting_Curves/meltCurve_O94782_USP1.pdf</t>
  </si>
  <si>
    <t>Melting_Curves/meltCurve_O94788_2_ALDH1A2.pdf</t>
  </si>
  <si>
    <t>Melting_Curves/meltCurve_O94804_STK10.pdf</t>
  </si>
  <si>
    <t>Melting_Curves/meltCurve_O94811_TPPP.pdf</t>
  </si>
  <si>
    <t>Melting_Curves/meltCurve_O94819_KBTBD11.pdf</t>
  </si>
  <si>
    <t>Melting_Curves/meltCurve_O94822_LTN1.pdf</t>
  </si>
  <si>
    <t>Melting_Curves/meltCurve_O94826_TOMM70A.pdf</t>
  </si>
  <si>
    <t>Melting_Curves/meltCurve_O94829_IPO13.pdf</t>
  </si>
  <si>
    <t>Melting_Curves/meltCurve_O94830_DDHD2.pdf</t>
  </si>
  <si>
    <t>Melting_Curves/meltCurve_O94832_MYO1D.pdf</t>
  </si>
  <si>
    <t>Melting_Curves/meltCurve_O94851_5_MICAL2.pdf</t>
  </si>
  <si>
    <t>Melting_Curves/meltCurve_O94855_SEC24D.pdf</t>
  </si>
  <si>
    <t>Melting_Curves/meltCurve_O94864_2_SUPT7L.pdf</t>
  </si>
  <si>
    <t>Melting_Curves/meltCurve_O94874_UFL1.pdf</t>
  </si>
  <si>
    <t>Melting_Curves/meltCurve_O94880_PHF14.pdf</t>
  </si>
  <si>
    <t>Melting_Curves/meltCurve_O94885_SASH1.pdf</t>
  </si>
  <si>
    <t>Melting_Curves/meltCurve_O94888_UBXN7.pdf</t>
  </si>
  <si>
    <t>Melting_Curves/meltCurve_O94903_PROSC.pdf</t>
  </si>
  <si>
    <t>Melting_Curves/meltCurve_O94913_PCF11.pdf</t>
  </si>
  <si>
    <t>Melting_Curves/meltCurve_O94919_ENDOD1.pdf</t>
  </si>
  <si>
    <t>Melting_Curves/meltCurve_O94925_3_GLS.pdf</t>
  </si>
  <si>
    <t>Melting_Curves/meltCurve_O94927_HAUS5.pdf</t>
  </si>
  <si>
    <t>Melting_Curves/meltCurve_O94967_2_WDR47.pdf</t>
  </si>
  <si>
    <t>Melting_Curves/meltCurve_O94973_AP2A2.pdf</t>
  </si>
  <si>
    <t>Melting_Curves/meltCurve_O94992_HEXIM1.pdf</t>
  </si>
  <si>
    <t>Melting_Curves/meltCurve_O95057_DIRAS1.pdf</t>
  </si>
  <si>
    <t>Melting_Curves/meltCurve_O95067_CCNB2.pdf</t>
  </si>
  <si>
    <t>Melting_Curves/meltCurve_O95081_AGFG2.pdf</t>
  </si>
  <si>
    <t>Melting_Curves/meltCurve_O95104_3_SCAF4.pdf</t>
  </si>
  <si>
    <t>Melting_Curves/meltCurve_O95136_S1PR2.pdf</t>
  </si>
  <si>
    <t>Melting_Curves/meltCurve_O95139_NDUFB6.pdf</t>
  </si>
  <si>
    <t>Melting_Curves/meltCurve_O95140_MFN2.pdf</t>
  </si>
  <si>
    <t>Melting_Curves/meltCurve_O95155_2_UBE4B.pdf</t>
  </si>
  <si>
    <t>Melting_Curves/meltCurve_O95159_ZFPL1.pdf</t>
  </si>
  <si>
    <t>Melting_Curves/meltCurve_O95163_IKBKAP.pdf</t>
  </si>
  <si>
    <t>Melting_Curves/meltCurve_O95167_NDUFA3.pdf</t>
  </si>
  <si>
    <t>Melting_Curves/meltCurve_O95168_NDUFB4.pdf</t>
  </si>
  <si>
    <t>Melting_Curves/meltCurve_O95197_7_RTN3.pdf</t>
  </si>
  <si>
    <t>Melting_Curves/meltCurve_O95202_LETM1.pdf</t>
  </si>
  <si>
    <t>Melting_Curves/meltCurve_O95218_2_ZRANB2.pdf</t>
  </si>
  <si>
    <t>Melting_Curves/meltCurve_O95219_SNX4.pdf</t>
  </si>
  <si>
    <t>Melting_Curves/meltCurve_O95229_ZWINT.pdf</t>
  </si>
  <si>
    <t>Melting_Curves/meltCurve_O95239_KIF4A.pdf</t>
  </si>
  <si>
    <t>Melting_Curves/meltCurve_O95251_4_KAT7.pdf</t>
  </si>
  <si>
    <t>Melting_Curves/meltCurve_O95273_CCNDBP1.pdf</t>
  </si>
  <si>
    <t>Melting_Curves/meltCurve_O95292_VAPB.pdf</t>
  </si>
  <si>
    <t>Melting_Curves/meltCurve_O95295_SNAPIN.pdf</t>
  </si>
  <si>
    <t>Melting_Curves/meltCurve_O95297_2_MPZL1.pdf</t>
  </si>
  <si>
    <t>Melting_Curves/meltCurve_O95298_2_NDUFC2.pdf</t>
  </si>
  <si>
    <t>Melting_Curves/meltCurve_O95302_FKBP9.pdf</t>
  </si>
  <si>
    <t>Melting_Curves/meltCurve_O95336_PGLS.pdf</t>
  </si>
  <si>
    <t>Melting_Curves/meltCurve_O95347_SMC2.pdf</t>
  </si>
  <si>
    <t>Melting_Curves/meltCurve_O95352_ATG7.pdf</t>
  </si>
  <si>
    <t>Melting_Curves/meltCurve_O95363_FARS2.pdf</t>
  </si>
  <si>
    <t>Melting_Curves/meltCurve_O95372_LYPLA2.pdf</t>
  </si>
  <si>
    <t>Melting_Curves/meltCurve_O95373_IPO7.pdf</t>
  </si>
  <si>
    <t>Melting_Curves/meltCurve_O95376_ARIH2.pdf</t>
  </si>
  <si>
    <t>Melting_Curves/meltCurve_O95391_SLU7.pdf</t>
  </si>
  <si>
    <t>Melting_Curves/meltCurve_O95394_PGM3.pdf</t>
  </si>
  <si>
    <t>Melting_Curves/meltCurve_O95396_MOCS3.pdf</t>
  </si>
  <si>
    <t>Melting_Curves/meltCurve_O95400_CD2BP2.pdf</t>
  </si>
  <si>
    <t>Melting_Curves/meltCurve_O95405_ZFYVE9.pdf</t>
  </si>
  <si>
    <t>Melting_Curves/meltCurve_O95429_2_BAG4.pdf</t>
  </si>
  <si>
    <t>Melting_Curves/meltCurve_O95433_AHSA1.pdf</t>
  </si>
  <si>
    <t>Melting_Curves/meltCurve_O95453_2_PARN.pdf</t>
  </si>
  <si>
    <t>Melting_Curves/meltCurve_O95456_PSMG1.pdf</t>
  </si>
  <si>
    <t>Melting_Curves/meltCurve_O95470_SGPL1.pdf</t>
  </si>
  <si>
    <t>Melting_Curves/meltCurve_O95486_SEC24A.pdf</t>
  </si>
  <si>
    <t>Melting_Curves/meltCurve_O95487_2_SEC24B.pdf</t>
  </si>
  <si>
    <t>Melting_Curves/meltCurve_O95551_TDP2.pdf</t>
  </si>
  <si>
    <t>Melting_Curves/meltCurve_O95573_ACSL3.pdf</t>
  </si>
  <si>
    <t>Melting_Curves/meltCurve_O95613_2_PCNT.pdf</t>
  </si>
  <si>
    <t>Melting_Curves/meltCurve_O95620_DUS4L.pdf</t>
  </si>
  <si>
    <t>Melting_Curves/meltCurve_O95628_5_CNOT4.pdf</t>
  </si>
  <si>
    <t>Melting_Curves/meltCurve_O95630_STAMBP.pdf</t>
  </si>
  <si>
    <t>Melting_Curves/meltCurve_O95671_2_ASMTL.pdf</t>
  </si>
  <si>
    <t>Melting_Curves/meltCurve_O95684_FGFR1OP.pdf</t>
  </si>
  <si>
    <t>Melting_Curves/meltCurve_O95685_PPP1R3D.pdf</t>
  </si>
  <si>
    <t>Melting_Curves/meltCurve_O95716_RAB3D.pdf</t>
  </si>
  <si>
    <t>Melting_Curves/meltCurve_O95721_SNAP29.pdf</t>
  </si>
  <si>
    <t>Melting_Curves/meltCurve_O95747_OXSR1.pdf</t>
  </si>
  <si>
    <t>Melting_Curves/meltCurve_O95751_LDOC1.pdf</t>
  </si>
  <si>
    <t>Melting_Curves/meltCurve_O95755_2_RAB36.pdf</t>
  </si>
  <si>
    <t>Melting_Curves/meltCurve_O95758_1_PTBP3.pdf</t>
  </si>
  <si>
    <t>Melting_Curves/meltCurve_O95777_NAA38.pdf</t>
  </si>
  <si>
    <t>Melting_Curves/meltCurve_O95782_2_AP2A1.pdf</t>
  </si>
  <si>
    <t>Melting_Curves/meltCurve_O95816_BAG2.pdf</t>
  </si>
  <si>
    <t>Melting_Curves/meltCurve_O95817_BAG3.pdf</t>
  </si>
  <si>
    <t>Melting_Curves/meltCurve_O95822_MLYCD.pdf</t>
  </si>
  <si>
    <t>Melting_Curves/meltCurve_O95825_CRYZL1.pdf</t>
  </si>
  <si>
    <t>Melting_Curves/meltCurve_O95831_3_AIFM1.pdf</t>
  </si>
  <si>
    <t>Melting_Curves/meltCurve_O95835_LATS1.pdf</t>
  </si>
  <si>
    <t>Melting_Curves/meltCurve_O95857_TSPAN13.pdf</t>
  </si>
  <si>
    <t>Melting_Curves/meltCurve_O95865_DDAH2.pdf</t>
  </si>
  <si>
    <t>Melting_Curves/meltCurve_O95873_C6orf47.pdf</t>
  </si>
  <si>
    <t>Melting_Curves/meltCurve_O95881_TXNDC12.pdf</t>
  </si>
  <si>
    <t>Melting_Curves/meltCurve_O95905_ECD.pdf</t>
  </si>
  <si>
    <t>Melting_Curves/meltCurve_O95926_SYF2.pdf</t>
  </si>
  <si>
    <t>Melting_Curves/meltCurve_O95989_NUDT3.pdf</t>
  </si>
  <si>
    <t>Melting_Curves/meltCurve_O95997_PTTG1.pdf</t>
  </si>
  <si>
    <t>Melting_Curves/meltCurve_O95999_BCL10.pdf</t>
  </si>
  <si>
    <t>Melting_Curves/meltCurve_O96000_NDUFB10.pdf</t>
  </si>
  <si>
    <t>Melting_Curves/meltCurve_O96006_ZBED1.pdf</t>
  </si>
  <si>
    <t>Melting_Curves/meltCurve_O96007_MOCS2.pdf</t>
  </si>
  <si>
    <t>Melting_Curves/meltCurve_O96008_TOMM40.pdf</t>
  </si>
  <si>
    <t>Melting_Curves/meltCurve_O96011_PEX11B.pdf</t>
  </si>
  <si>
    <t>Melting_Curves/meltCurve_O96013_PAK4.pdf</t>
  </si>
  <si>
    <t>Melting_Curves/meltCurve_O96017_CHEK2.pdf</t>
  </si>
  <si>
    <t>Melting_Curves/meltCurve_O96018_APBA3.pdf</t>
  </si>
  <si>
    <t>Melting_Curves/meltCurve_O96019_ACTL6A.pdf</t>
  </si>
  <si>
    <t>Melting_Curves/meltCurve_O96033_MOCS2.pdf</t>
  </si>
  <si>
    <t>Melting_Curves/meltCurve_P00167_2_CYB5A.pdf</t>
  </si>
  <si>
    <t>Melting_Curves/meltCurve_P00338_LDHA.pdf</t>
  </si>
  <si>
    <t>Melting_Curves/meltCurve_P00367_GLUD1.pdf</t>
  </si>
  <si>
    <t>Melting_Curves/meltCurve_P00374_DHFR.pdf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</si>
  <si>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</si>
  <si>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</si>
  <si>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</si>
  <si>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</si>
  <si>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</si>
  <si>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</si>
  <si>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</si>
  <si>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Melting_Curves/meltCurve_P00519_2_ABL1.pdf</t>
  </si>
  <si>
    <t>Melting_Curves/meltCurve_P00558_PGK1.pdf</t>
  </si>
  <si>
    <t>Melting_Curves/meltCurve_P00813_ADA.pdf</t>
  </si>
  <si>
    <t>Melting_Curves/meltCurve_P00918_CA2.pdf</t>
  </si>
  <si>
    <t>Melting_Curves/meltCurve_P01034_CST3.pdf</t>
  </si>
  <si>
    <t>Melting_Curves/meltCurve_P01111_NRAS.pdf</t>
  </si>
  <si>
    <t>Melting_Curves/meltCurve_P01112_HRAS.pdf</t>
  </si>
  <si>
    <t>Melting_Curves/meltCurve_P01116_2_KRAS.pdf</t>
  </si>
  <si>
    <t>Melting_Curves/meltCurve_P01814_.pdf</t>
  </si>
  <si>
    <t>Melting_Curves/meltCurve_P01889_HLA_B.pdf</t>
  </si>
  <si>
    <t>Melting_Curves/meltCurve_P02008_HBZ.pdf</t>
  </si>
  <si>
    <t>Melting_Curves/meltCurve_P02100_HBE1.pdf</t>
  </si>
  <si>
    <t>Melting_Curves/meltCurve_P02545_LMNA.pdf</t>
  </si>
  <si>
    <t>Melting_Curves/meltCurve_P02786_TFRC.pdf</t>
  </si>
  <si>
    <t>Melting_Curves/meltCurve_P02794_FTH1.pdf</t>
  </si>
  <si>
    <t>Melting_Curves/meltCurve_P02795_MT2A.pdf</t>
  </si>
  <si>
    <t>Melting_Curves/meltCurve_P03928_MT_ATP8.pdf</t>
  </si>
  <si>
    <t>Melting_Curves/meltCurve_P04040_CAT.pdf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</si>
  <si>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</si>
  <si>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</si>
  <si>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</si>
  <si>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</si>
  <si>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Melting_Curves/meltCurve_P04150_9_NR3C1.pdf</t>
  </si>
  <si>
    <t>Melting_Curves/meltCurve_P04181_OAT.pdf</t>
  </si>
  <si>
    <t>Melting_Curves/meltCurve_P04183_TK1.pdf</t>
  </si>
  <si>
    <t>Melting_Curves/meltCurve_P04350_TUBB4A.pdf</t>
  </si>
  <si>
    <t>Melting_Curves/meltCurve_P04406_GAPDH.pdf</t>
  </si>
  <si>
    <t>Melting_Curves/meltCurve_P04626_4_ERBB2.pdf</t>
  </si>
  <si>
    <t>Melting_Curves/meltCurve_P04632_CAPNS1.pdf</t>
  </si>
  <si>
    <t>Melting_Curves/meltCurve_P04792_HSPB1.pdf</t>
  </si>
  <si>
    <t>Melting_Curves/meltCurve_P04818_TYMS.pdf</t>
  </si>
  <si>
    <t>Melting_Curves/meltCurve_P04843_RPN1.pdf</t>
  </si>
  <si>
    <t>Melting_Curves/meltCurve_P04844_2_RPN2.pdf</t>
  </si>
  <si>
    <t>Melting_Curves/meltCurve_P04899_GNAI2.pdf</t>
  </si>
  <si>
    <t>Melting_Curves/meltCurve_P04920_2_SLC4A2.pdf</t>
  </si>
  <si>
    <t>Melting_Curves/meltCurve_P05023_4_ATP1A1.pdf</t>
  </si>
  <si>
    <t>Melting_Curves/meltCurve_P05091_ALDH2.pdf</t>
  </si>
  <si>
    <t>Melting_Curves/meltCurve_P05141_SLC25A5.pdf</t>
  </si>
  <si>
    <t>Melting_Curves/meltCurve_P05198_EIF2S1.pdf</t>
  </si>
  <si>
    <t>Melting_Curves/meltCurve_P05204_HMGN2.pdf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</si>
  <si>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</si>
  <si>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</si>
  <si>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</si>
  <si>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</si>
  <si>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Melting_Curves/meltCurve_P05455_SSB.pdf</t>
  </si>
  <si>
    <t>Melting_Curves/meltCurve_P05556_ITGB1.pdf</t>
  </si>
  <si>
    <t>Melting_Curves/meltCurve_P05771_2_PRKCB.pdf</t>
  </si>
  <si>
    <t>Melting_Curves/meltCurve_P05783_KRT18.pdf</t>
  </si>
  <si>
    <t>Melting_Curves/meltCurve_P06132_UROD.pdf</t>
  </si>
  <si>
    <t>Melting_Curves/meltCurve_P06241_FYN.pdf</t>
  </si>
  <si>
    <t>Melting_Curves/meltCurve_P06280_GLA.pdf</t>
  </si>
  <si>
    <t>Melting_Curves/meltCurve_P06493_CDK1.pdf</t>
  </si>
  <si>
    <t>Melting_Curves/meltCurve_P06576_ATP5B.pdf</t>
  </si>
  <si>
    <t>Melting_Curves/meltCurve_P06733_ENO1.pdf</t>
  </si>
  <si>
    <t>Melting_Curves/meltCurve_P06737_2_PYGL.pdf</t>
  </si>
  <si>
    <t>Melting_Curves/meltCurve_P06744_GPI.pdf</t>
  </si>
  <si>
    <t>Melting_Curves/meltCurve_P06748_NPM1.pdf</t>
  </si>
  <si>
    <t>Melting_Curves/meltCurve_P06748_3_NPM1.pdf</t>
  </si>
  <si>
    <t>Melting_Curves/meltCurve_P06753_2_TPM3.pdf</t>
  </si>
  <si>
    <t>Melting_Curves/meltCurve_P06756_3_ITGAV.pdf</t>
  </si>
  <si>
    <t>Melting_Curves/meltCurve_P07099_EPHX1.pdf</t>
  </si>
  <si>
    <t>Melting_Curves/meltCurve_P07108_DBI.pdf</t>
  </si>
  <si>
    <t>Melting_Curves/meltCurve_P07195_LDHB.pdf</t>
  </si>
  <si>
    <t>Melting_Curves/meltCurve_P07196_NEFL.pdf</t>
  </si>
  <si>
    <t>Melting_Curves/meltCurve_P07203_GPX1.pdf</t>
  </si>
  <si>
    <t>Melting_Curves/meltCurve_P07205_PGK2.pdf</t>
  </si>
  <si>
    <t>Melting_Curves/meltCurve_P07237_P4HB.pdf</t>
  </si>
  <si>
    <t>Melting_Curves/meltCurve_P07339_CTSD.pdf</t>
  </si>
  <si>
    <t>Melting_Curves/meltCurve_P07355_ANXA2.pdf</t>
  </si>
  <si>
    <t>Melting_Curves/meltCurve_P07384_CAPN1.pdf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</si>
  <si>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</si>
  <si>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</si>
  <si>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</si>
  <si>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</si>
  <si>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</si>
  <si>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</si>
  <si>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</si>
  <si>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</si>
  <si>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</si>
  <si>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</si>
  <si>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Melting_Curves/meltCurve_P07948_LYN.pdf</t>
  </si>
  <si>
    <t>Melting_Curves/meltCurve_P07954_2_FH.pdf</t>
  </si>
  <si>
    <t>Melting_Curves/meltCurve_P07992_ERCC1.pdf</t>
  </si>
  <si>
    <t>Melting_Curves/meltCurve_P08047_SP1.pdf</t>
  </si>
  <si>
    <t>Melting_Curves/meltCurve_P08107_HSPA1A.pdf</t>
  </si>
  <si>
    <t>Melting_Curves/meltCurve_P08133_ANXA6.pdf</t>
  </si>
  <si>
    <t>Melting_Curves/meltCurve_P08237_PFKM.pdf</t>
  </si>
  <si>
    <t>Melting_Curves/meltCurve_P08238_HSP90AB1.pdf</t>
  </si>
  <si>
    <t>Melting_Curves/meltCurve_P08240_SRPR.pdf</t>
  </si>
  <si>
    <t>Melting_Curves/meltCurve_P08243_2_ASNS.pdf</t>
  </si>
  <si>
    <t>Melting_Curves/meltCurve_P08397_2_HMBS.pdf</t>
  </si>
  <si>
    <t>Melting_Curves/meltCurve_P08559_3_PDHA1.pdf</t>
  </si>
  <si>
    <t>Melting_Curves/meltCurve_P08574_CYC1.pdf</t>
  </si>
  <si>
    <t>Melting_Curves/meltCurve_P08581_MET.pdf</t>
  </si>
  <si>
    <t>Melting_Curves/meltCurve_P08582_MFI2.pdf</t>
  </si>
  <si>
    <t>Melting_Curves/meltCurve_P08621_2_SNRNP70.pdf</t>
  </si>
  <si>
    <t>Melting_Curves/meltCurve_P08648_ITGA5.pdf</t>
  </si>
  <si>
    <t>Melting_Curves/meltCurve_P08670_VIM.pdf</t>
  </si>
  <si>
    <t>Melting_Curves/meltCurve_P08754_GNAI3.pdf</t>
  </si>
  <si>
    <t>Melting_Curves/meltCurve_P08758_ANXA5.pdf</t>
  </si>
  <si>
    <t>Melting_Curves/meltCurve_P09104_ENO2.pdf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</si>
  <si>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</si>
  <si>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</si>
  <si>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</si>
  <si>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</si>
  <si>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Melting_Curves/meltCurve_P09382_LGALS1.pdf</t>
  </si>
  <si>
    <t>Melting_Curves/meltCurve_P09417_QDPR.pdf</t>
  </si>
  <si>
    <t>Melting_Curves/meltCurve_P09429_HMGB1.pdf</t>
  </si>
  <si>
    <t>Melting_Curves/meltCurve_P09486_SPARC.pdf</t>
  </si>
  <si>
    <t>Melting_Curves/meltCurve_P09493_4_TPM1.pdf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</si>
  <si>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</si>
  <si>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</si>
  <si>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</si>
  <si>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</si>
  <si>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Melting_Curves/meltCurve_P09601_HMOX1.pdf</t>
  </si>
  <si>
    <t>Melting_Curves/meltCurve_P09622_DLD.pdf</t>
  </si>
  <si>
    <t>Melting_Curves/meltCurve_P09661_SNRPA1.pdf</t>
  </si>
  <si>
    <t>Melting_Curves/meltCurve_P09669_COX6C.pdf</t>
  </si>
  <si>
    <t>Melting_Curves/meltCurve_P09874_PARP1.pdf</t>
  </si>
  <si>
    <t>Melting_Curves/meltCurve_P09936_UCHL1.pdf</t>
  </si>
  <si>
    <t>Melting_Curves/meltCurve_P09960_LTA4H.pdf</t>
  </si>
  <si>
    <t>Melting_Curves/meltCurve_P09972_ALDOC.pdf</t>
  </si>
  <si>
    <t>Melting_Curves/meltCurve_P0C7P0_CISD3.pdf</t>
  </si>
  <si>
    <t>Melting_Curves/meltCurve_P0C7T5_ATXN1L.pdf</t>
  </si>
  <si>
    <t>Melting_Curves/meltCurve_P0CAP2_2_POLR2M.pdf</t>
  </si>
  <si>
    <t>Melting_Curves/meltCurve_P0CG12_CHTF8.pdf</t>
  </si>
  <si>
    <t>Melting_Curves/meltCurve_P0CG35_TMSB15B.pdf</t>
  </si>
  <si>
    <t>Melting_Curves/meltCurve_P0CW22_RPS17L.pdf</t>
  </si>
  <si>
    <t>Melting_Curves/meltCurve_P0DI83_RAB34.pdf</t>
  </si>
  <si>
    <t>Melting_Curves/meltCurve_P0DJ93_SMIM13.pdf</t>
  </si>
  <si>
    <t>Melting_Curves/meltCurve_P10109_FDX1.pdf</t>
  </si>
  <si>
    <t>Melting_Curves/meltCurve_P10155_3_TROVE2.pdf</t>
  </si>
  <si>
    <t>Melting_Curves/meltCurve_P10176_COX8A.pdf</t>
  </si>
  <si>
    <t>Melting_Curves/meltCurve_P10253_GAA.pdf</t>
  </si>
  <si>
    <t>Melting_Curves/meltCurve_P10301_RRAS.pdf</t>
  </si>
  <si>
    <t>Melting_Curves/meltCurve_P10398_ARAF.pdf</t>
  </si>
  <si>
    <t>Melting_Curves/meltCurve_P10586_2_PTPRF.pdf</t>
  </si>
  <si>
    <t>Melting_Curves/meltCurve_P10588_NR2F6.pdf</t>
  </si>
  <si>
    <t>Melting_Curves/meltCurve_P10599_TXN.pdf</t>
  </si>
  <si>
    <t>Melting_Curves/meltCurve_P10606_COX5B.pdf</t>
  </si>
  <si>
    <t>Melting_Curves/meltCurve_P10619_CTSA.pdf</t>
  </si>
  <si>
    <t>Melting_Curves/meltCurve_P10636_MAPT.pdf</t>
  </si>
  <si>
    <t>Melting_Curves/meltCurve_P10644_PRKAR1A.pdf</t>
  </si>
  <si>
    <t>Melting_Curves/meltCurve_P10746_UROS.pdf</t>
  </si>
  <si>
    <t>Melting_Curves/meltCurve_P10768_ESD.pdf</t>
  </si>
  <si>
    <t>Melting_Curves/meltCurve_P10809_HSPD1.pdf</t>
  </si>
  <si>
    <t>Melting_Curves/meltCurve_P10909_4_CLU.pdf</t>
  </si>
  <si>
    <t>Melting_Curves/meltCurve_P11021_HSPA5.pdf</t>
  </si>
  <si>
    <t>Melting_Curves/meltCurve_P11047_LAMC1.pdf</t>
  </si>
  <si>
    <t>Melting_Curves/meltCurve_P11137_3_MAP2.pdf</t>
  </si>
  <si>
    <t>Melting_Curves/meltCurve_P11142_HSPA8.pdf</t>
  </si>
  <si>
    <t>Melting_Curves/meltCurve_P11166_SLC2A1.pdf</t>
  </si>
  <si>
    <t>Melting_Curves/meltCurve_P11171_EPB41.pdf</t>
  </si>
  <si>
    <t>Melting_Curves/meltCurve_P11171_2_EPB41.pdf</t>
  </si>
  <si>
    <t>Melting_Curves/meltCurve_P11172_UMPS.pdf</t>
  </si>
  <si>
    <t>Melting_Curves/meltCurve_P11177_2_PDHB.pdf</t>
  </si>
  <si>
    <t>Melting_Curves/meltCurve_P11216_PYGB.pdf</t>
  </si>
  <si>
    <t>Melting_Curves/meltCurve_P11233_RALA.pdf</t>
  </si>
  <si>
    <t>Melting_Curves/meltCurve_P11234_RALB.pdf</t>
  </si>
  <si>
    <t>Melting_Curves/meltCurve_P11274_2_BCR.pdf</t>
  </si>
  <si>
    <t>Melting_Curves/meltCurve_P11279_LAMP1.pdf</t>
  </si>
  <si>
    <t>Melting_Curves/meltCurve_P11387_TOP1.pdf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</si>
  <si>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</si>
  <si>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</si>
  <si>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</si>
  <si>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</si>
  <si>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</si>
  <si>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</si>
  <si>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</si>
  <si>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Melting_Curves/meltCurve_P11908_PRPS2.pdf</t>
  </si>
  <si>
    <t>Melting_Curves/meltCurve_P11940_PABPC1.pdf</t>
  </si>
  <si>
    <t>Melting_Curves/meltCurve_P12004_PCNA.pdf</t>
  </si>
  <si>
    <t>Melting_Curves/meltCurve_P12081_HARS.pdf</t>
  </si>
  <si>
    <t>Melting_Curves/meltCurve_P12109_COL6A1.pdf</t>
  </si>
  <si>
    <t>Melting_Curves/meltCurve_P12235_SLC25A4.pdf</t>
  </si>
  <si>
    <t>Melting_Curves/meltCurve_P12236_SLC25A6.pdf</t>
  </si>
  <si>
    <t>Melting_Curves/meltCurve_P12270_TPR.pdf</t>
  </si>
  <si>
    <t>Melting_Curves/meltCurve_P12277_CKB.pdf</t>
  </si>
  <si>
    <t>Melting_Curves/meltCurve_P12429_ANXA3.pdf</t>
  </si>
  <si>
    <t>Melting_Curves/meltCurve_P12532_CKMT1A.pdf</t>
  </si>
  <si>
    <t>Melting_Curves/meltCurve_P12814_2_ACTN1.pdf</t>
  </si>
  <si>
    <t>Melting_Curves/meltCurve_P12882_MYH1.pdf</t>
  </si>
  <si>
    <t>Melting_Curves/meltCurve_P12931_SRC.pdf</t>
  </si>
  <si>
    <t>Melting_Curves/meltCurve_P12955_3_PEPD.pdf</t>
  </si>
  <si>
    <t>Melting_Curves/meltCurve_P12956_XRCC6.pdf</t>
  </si>
  <si>
    <t>Melting_Curves/meltCurve_P13010_XRCC5.pdf</t>
  </si>
  <si>
    <t>Melting_Curves/meltCurve_P13051_UNG.pdf</t>
  </si>
  <si>
    <t>Melting_Curves/meltCurve_P13056_NR2C1.pdf</t>
  </si>
  <si>
    <t>Melting_Curves/meltCurve_P13073_COX4I1.pdf</t>
  </si>
  <si>
    <t>Melting_Curves/meltCurve_P13196_ALAS1.pdf</t>
  </si>
  <si>
    <t>Melting_Curves/meltCurve_P13489_RNH1.pdf</t>
  </si>
  <si>
    <t>Melting_Curves/meltCurve_P13498_CYBA.pdf</t>
  </si>
  <si>
    <t>Melting_Curves/meltCurve_P13591_1_NCAM1.pdf</t>
  </si>
  <si>
    <t>Melting_Curves/meltCurve_P13612_ITGA4.pdf</t>
  </si>
  <si>
    <t>Melting_Curves/meltCurve_P13639_EEF2.pdf</t>
  </si>
  <si>
    <t>Melting_Curves/meltCurve_P13667_PDIA4.pdf</t>
  </si>
  <si>
    <t>Melting_Curves/meltCurve_P13674_2_P4HA1.pdf</t>
  </si>
  <si>
    <t>Melting_Curves/meltCurve_P13693_TPT1.pdf</t>
  </si>
  <si>
    <t>Melting_Curves/meltCurve_P13797_PLS3.pdf</t>
  </si>
  <si>
    <t>Melting_Curves/meltCurve_P13804_ETFA.pdf</t>
  </si>
  <si>
    <t>Melting_Curves/meltCurve_P13861_PRKAR2A.pdf</t>
  </si>
  <si>
    <t>Melting_Curves/meltCurve_P13984_GTF2F2.pdf</t>
  </si>
  <si>
    <t>Melting_Curves/meltCurve_P13995_MTHFD2.pdf</t>
  </si>
  <si>
    <t>Melting_Curves/meltCurve_P14174_MIF.pdf</t>
  </si>
  <si>
    <t>Melting_Curves/meltCurve_P14209_3_CD99.pdf</t>
  </si>
  <si>
    <t>Melting_Curves/meltCurve_P14324_2_FDPS.pdf</t>
  </si>
  <si>
    <t>Melting_Curves/meltCurve_P14550_AKR1A1.pdf</t>
  </si>
  <si>
    <t>Melting_Curves/meltCurve_P14618_PKM.pdf</t>
  </si>
  <si>
    <t>Melting_Curves/meltCurve_P14618_2_PKM.pdf</t>
  </si>
  <si>
    <t>Melting_Curves/meltCurve_P14625_HSP90B1.pdf</t>
  </si>
  <si>
    <t>Melting_Curves/meltCurve_P14635_CCNB1.pdf</t>
  </si>
  <si>
    <t>Melting_Curves/meltCurve_P14649_MYL6B.pdf</t>
  </si>
  <si>
    <t>Melting_Curves/meltCurve_P14678_2_SNRPB.pdf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</si>
  <si>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</si>
  <si>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</si>
  <si>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</si>
  <si>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</si>
  <si>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</si>
  <si>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</si>
  <si>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Melting_Curves/meltCurve_P15104_GLUL.pdf</t>
  </si>
  <si>
    <t>Melting_Curves/meltCurve_P15121_AKR1B1.pdf</t>
  </si>
  <si>
    <t>Melting_Curves/meltCurve_P15151_3_PVR.pdf</t>
  </si>
  <si>
    <t>Melting_Curves/meltCurve_P15170_2_GSPT1.pdf</t>
  </si>
  <si>
    <t>Melting_Curves/meltCurve_P15289_ARSA.pdf</t>
  </si>
  <si>
    <t>Melting_Curves/meltCurve_P15311_EZR.pdf</t>
  </si>
  <si>
    <t>Melting_Curves/meltCurve_P15374_UCHL3.pdf</t>
  </si>
  <si>
    <t>Melting_Curves/meltCurve_P15529_16_CD46.pdf</t>
  </si>
  <si>
    <t>Melting_Curves/meltCurve_P15531_NME1.pdf</t>
  </si>
  <si>
    <t>Melting_Curves/meltCurve_P15848_ARSB.pdf</t>
  </si>
  <si>
    <t>Melting_Curves/meltCurve_P15882_CHN1.pdf</t>
  </si>
  <si>
    <t>Melting_Curves/meltCurve_P15923_TCF3.pdf</t>
  </si>
  <si>
    <t>Melting_Curves/meltCurve_P15923_2_TCF3.pdf</t>
  </si>
  <si>
    <t>Melting_Curves/meltCurve_P15924_DSP.pdf</t>
  </si>
  <si>
    <t>Melting_Curves/meltCurve_P15927_RPA2.pdf</t>
  </si>
  <si>
    <t>Melting_Curves/meltCurve_P16035_TIMP2.pdf</t>
  </si>
  <si>
    <t>Melting_Curves/meltCurve_P16152_CBR1.pdf</t>
  </si>
  <si>
    <t>Melting_Curves/meltCurve_P16298_PPP3CB.pdf</t>
  </si>
  <si>
    <t>Melting_Curves/meltCurve_P16333_NCK1.pdf</t>
  </si>
  <si>
    <t>Melting_Curves/meltCurve_P16383_GCFC2.pdf</t>
  </si>
  <si>
    <t>Melting_Curves/meltCurve_P16403_HIST1H1C.pdf</t>
  </si>
  <si>
    <t>Melting_Curves/meltCurve_P16435_POR.pdf</t>
  </si>
  <si>
    <t>Melting_Curves/meltCurve_P16591_3_FER.pdf</t>
  </si>
  <si>
    <t>Melting_Curves/meltCurve_P16615_ATP2A2.pdf</t>
  </si>
  <si>
    <t>Melting_Curves/meltCurve_P16885_PLCG2.pdf</t>
  </si>
  <si>
    <t>Melting_Curves/meltCurve_P16930_FAH.pdf</t>
  </si>
  <si>
    <t>Melting_Curves/meltCurve_P16949_STMN1.pdf</t>
  </si>
  <si>
    <t>Melting_Curves/meltCurve_P16989_YBX3.pdf</t>
  </si>
  <si>
    <t>Melting_Curves/meltCurve_P16989_2_YBX3.pdf</t>
  </si>
  <si>
    <t>Melting_Curves/meltCurve_P17028_ZNF24.pdf</t>
  </si>
  <si>
    <t>Melting_Curves/meltCurve_P17050_NAGA.pdf</t>
  </si>
  <si>
    <t>Melting_Curves/meltCurve_P17066_HSPA6.pdf</t>
  </si>
  <si>
    <t>Melting_Curves/meltCurve_P17096_2_HMGA1.pdf</t>
  </si>
  <si>
    <t>Melting_Curves/meltCurve_P17152_TMEM11.pdf</t>
  </si>
  <si>
    <t>Melting_Curves/meltCurve_P17174_GOT1.pdf</t>
  </si>
  <si>
    <t>Melting_Curves/meltCurve_P17252_PRKCA.pdf</t>
  </si>
  <si>
    <t>Melting_Curves/meltCurve_P17482_HOXB9.pdf</t>
  </si>
  <si>
    <t>Melting_Curves/meltCurve_P17509_HOXB6.pdf</t>
  </si>
  <si>
    <t>Melting_Curves/meltCurve_P17568_NDUFB7.pdf</t>
  </si>
  <si>
    <t>Melting_Curves/meltCurve_P17612_PRKACA.pdf</t>
  </si>
  <si>
    <t>Melting_Curves/meltCurve_P17655_CAPN2.pdf</t>
  </si>
  <si>
    <t>Melting_Curves/meltCurve_P17677_GAP43.pdf</t>
  </si>
  <si>
    <t>Melting_Curves/meltCurve_P17706_2_PTPN2.pdf</t>
  </si>
  <si>
    <t>Melting_Curves/meltCurve_P17812_CTPS1.pdf</t>
  </si>
  <si>
    <t>Melting_Curves/meltCurve_P17858_PFKL.pdf</t>
  </si>
  <si>
    <t>Melting_Curves/meltCurve_P17987_TCP1.pdf</t>
  </si>
  <si>
    <t>Melting_Curves/meltCurve_P18031_PTPN1.pdf</t>
  </si>
  <si>
    <t>Melting_Curves/meltCurve_P18084_ITGB5.pdf</t>
  </si>
  <si>
    <t>Melting_Curves/meltCurve_P18124_RPL7.pdf</t>
  </si>
  <si>
    <t>Melting_Curves/meltCurve_P18206_2_VCL.pdf</t>
  </si>
  <si>
    <t>Melting_Curves/meltCurve_P18583_6_SON.pdf</t>
  </si>
  <si>
    <t>Melting_Curves/meltCurve_P18615_NELFE.pdf</t>
  </si>
  <si>
    <t>Melting_Curves/meltCurve_P18669_PGAM1.pdf</t>
  </si>
  <si>
    <t>Melting_Curves/meltCurve_P18754_RCC1.pdf</t>
  </si>
  <si>
    <t>Melting_Curves/meltCurve_P18846_ATF1.pdf</t>
  </si>
  <si>
    <t>Melting_Curves/meltCurve_P18858_LIG1.pdf</t>
  </si>
  <si>
    <t>Melting_Curves/meltCurve_P18859_ATP5J.pdf</t>
  </si>
  <si>
    <t>Melting_Curves/meltCurve_P19022_CDH2.pdf</t>
  </si>
  <si>
    <t>Melting_Curves/meltCurve_P19174_2_PLCG1.pdf</t>
  </si>
  <si>
    <t>Melting_Curves/meltCurve_P19338_NCL.pdf</t>
  </si>
  <si>
    <t>Melting_Curves/meltCurve_P19387_POLR2C.pdf</t>
  </si>
  <si>
    <t>Melting_Curves/meltCurve_P19388_POLR2E.pdf</t>
  </si>
  <si>
    <t>Melting_Curves/meltCurve_P19525_2_EIF2AK2.pdf</t>
  </si>
  <si>
    <t>Melting_Curves/meltCurve_P19623_SRM.pdf</t>
  </si>
  <si>
    <t>Melting_Curves/meltCurve_P19784_CSNK2A2.pdf</t>
  </si>
  <si>
    <t>Melting_Curves/meltCurve_P19838_NFKB1.pdf</t>
  </si>
  <si>
    <t>Melting_Curves/meltCurve_P20020_6_ATP2B1.pdf</t>
  </si>
  <si>
    <t>Melting_Curves/meltCurve_P20042_EIF2S2.pdf</t>
  </si>
  <si>
    <t>Melting_Curves/meltCurve_P20248_CCNA2.pdf</t>
  </si>
  <si>
    <t>Melting_Curves/meltCurve_P20290_BTF3.pdf</t>
  </si>
  <si>
    <t>Melting_Curves/meltCurve_P20290_2_BTF3.pdf</t>
  </si>
  <si>
    <t>Melting_Curves/meltCurve_P20336_RAB3A.pdf</t>
  </si>
  <si>
    <t>Melting_Curves/meltCurve_P20338_RAB4A.pdf</t>
  </si>
  <si>
    <t>Melting_Curves/meltCurve_P20340_RAB6A.pdf</t>
  </si>
  <si>
    <t>Melting_Curves/meltCurve_P20585_MSH3.pdf</t>
  </si>
  <si>
    <t>Melting_Curves/meltCurve_P20618_PSMB1.pdf</t>
  </si>
  <si>
    <t>Melting_Curves/meltCurve_P20645_M6PR.pdf</t>
  </si>
  <si>
    <t>Melting_Curves/meltCurve_P20674_COX5A.pdf</t>
  </si>
  <si>
    <t>Melting_Curves/meltCurve_P20700_LMNB1.pdf</t>
  </si>
  <si>
    <t>Melting_Curves/meltCurve_P20810_5_CAST.pdf</t>
  </si>
  <si>
    <t>Melting_Curves/meltCurve_P20962_PTMS.pdf</t>
  </si>
  <si>
    <t>Melting_Curves/meltCurve_P21266_GSTM3.pdf</t>
  </si>
  <si>
    <t>Melting_Curves/meltCurve_P21281_ATP6V1B2.pdf</t>
  </si>
  <si>
    <t>Melting_Curves/meltCurve_P21283_ATP6V1C1.pdf</t>
  </si>
  <si>
    <t>Melting_Curves/meltCurve_P21399_ACO1.pdf</t>
  </si>
  <si>
    <t>Melting_Curves/meltCurve_P21580_TNFAIP3.pdf</t>
  </si>
  <si>
    <t>Melting_Curves/meltCurve_P21796_VDAC1.pdf</t>
  </si>
  <si>
    <t>Melting_Curves/meltCurve_P21912_SDHB.pdf</t>
  </si>
  <si>
    <t>Melting_Curves/meltCurve_P21964_2_COMT.pdf</t>
  </si>
  <si>
    <t>Melting_Curves/meltCurve_P22033_MUT.pdf</t>
  </si>
  <si>
    <t>Melting_Curves/meltCurve_P22059_OSBP.pdf</t>
  </si>
  <si>
    <t>Melting_Curves/meltCurve_P22102_GART.pdf</t>
  </si>
  <si>
    <t>Melting_Curves/meltCurve_P22234_PAICS.pdf</t>
  </si>
  <si>
    <t>Melting_Curves/meltCurve_P22307_7_SCP2.pdf</t>
  </si>
  <si>
    <t>Melting_Curves/meltCurve_P22314_UBA1.pdf</t>
  </si>
  <si>
    <t>Melting_Curves/meltCurve_P22413_ENPP1.pdf</t>
  </si>
  <si>
    <t>Melting_Curves/meltCurve_P22466_GAL.pdf</t>
  </si>
  <si>
    <t>Melting_Curves/meltCurve_P22570_FDXR.pdf</t>
  </si>
  <si>
    <t>Melting_Curves/meltCurve_P22626_HNRNPA2B1.pdf</t>
  </si>
  <si>
    <t>Melting_Curves/meltCurve_P22670_RFX1.pdf</t>
  </si>
  <si>
    <t>Melting_Curves/meltCurve_P22681_CBL.pdf</t>
  </si>
  <si>
    <t>Melting_Curves/meltCurve_P22695_UQCRC2.pdf</t>
  </si>
  <si>
    <t>Melting_Curves/meltCurve_P22830_FECH.pdf</t>
  </si>
  <si>
    <t>Melting_Curves/meltCurve_P23025_XPA.pdf</t>
  </si>
  <si>
    <t>Melting_Curves/meltCurve_P23193_TCEA1.pdf</t>
  </si>
  <si>
    <t>Melting_Curves/meltCurve_P23246_SFPQ.pdf</t>
  </si>
  <si>
    <t>Melting_Curves/meltCurve_P23284_PPIB.pdf</t>
  </si>
  <si>
    <t>Melting_Curves/meltCurve_P23368_ME2.pdf</t>
  </si>
  <si>
    <t>Melting_Curves/meltCurve_P23378_GLDC.pdf</t>
  </si>
  <si>
    <t>Melting_Curves/meltCurve_P23381_WARS.pdf</t>
  </si>
  <si>
    <t>Melting_Curves/meltCurve_P23396_RPS3.pdf</t>
  </si>
  <si>
    <t>Melting_Curves/meltCurve_P23434_GCSH.pdf</t>
  </si>
  <si>
    <t>Melting_Curves/meltCurve_P23470_2_PTPRG.pdf</t>
  </si>
  <si>
    <t>Melting_Curves/meltCurve_P23497_SP100.pdf</t>
  </si>
  <si>
    <t>Melting_Curves/meltCurve_P23508_MCC.pdf</t>
  </si>
  <si>
    <t>Melting_Curves/meltCurve_P23511_2_NFYA.pdf</t>
  </si>
  <si>
    <t>Melting_Curves/meltCurve_P23526_AHCY.pdf</t>
  </si>
  <si>
    <t>Melting_Curves/meltCurve_P23527_HIST1H2BO.pdf</t>
  </si>
  <si>
    <t>Melting_Curves/meltCurve_P23528_CFL1.pdf</t>
  </si>
  <si>
    <t>Melting_Curves/meltCurve_P23588_EIF4B.pdf</t>
  </si>
  <si>
    <t>Melting_Curves/meltCurve_P23634_6_ATP2B4.pdf</t>
  </si>
  <si>
    <t>Melting_Curves/meltCurve_P23786_CPT2.pdf</t>
  </si>
  <si>
    <t>Melting_Curves/meltCurve_P23919_DTYMK.pdf</t>
  </si>
  <si>
    <t>Melting_Curves/meltCurve_P23921_RRM1.pdf</t>
  </si>
  <si>
    <t>Melting_Curves/meltCurve_P24534_EEF1B2.pdf</t>
  </si>
  <si>
    <t>Melting_Curves/meltCurve_P24666_ACP1.pdf</t>
  </si>
  <si>
    <t>Melting_Curves/meltCurve_P24752_ACAT1.pdf</t>
  </si>
  <si>
    <t>Melting_Curves/meltCurve_P24928_POLR2A.pdf</t>
  </si>
  <si>
    <t>Melting_Curves/meltCurve_P25054_2_APC.pdf</t>
  </si>
  <si>
    <t>Melting_Curves/meltCurve_P25098_ADRBK1.pdf</t>
  </si>
  <si>
    <t>Melting_Curves/meltCurve_P25205_MCM3.pdf</t>
  </si>
  <si>
    <t>Melting_Curves/meltCurve_P25398_RPS12.pdf</t>
  </si>
  <si>
    <t>Melting_Curves/meltCurve_P25445_6_FAS.pdf</t>
  </si>
  <si>
    <t>Melting_Curves/meltCurve_P25490_YY1.pdf</t>
  </si>
  <si>
    <t>Melting_Curves/meltCurve_P25685_DNAJB1.pdf</t>
  </si>
  <si>
    <t>Melting_Curves/meltCurve_P25705_ATP5A1.pdf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</si>
  <si>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</si>
  <si>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</si>
  <si>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</si>
  <si>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</si>
  <si>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Melting_Curves/meltCurve_P25815_S100P.pdf</t>
  </si>
  <si>
    <t>Melting_Curves/meltCurve_P26006_ITGA3.pdf</t>
  </si>
  <si>
    <t>Melting_Curves/meltCurve_P26038_MSN.pdf</t>
  </si>
  <si>
    <t>Melting_Curves/meltCurve_P26196_DDX6.pdf</t>
  </si>
  <si>
    <t>Melting_Curves/meltCurve_P26358_DNMT1.pdf</t>
  </si>
  <si>
    <t>Melting_Curves/meltCurve_P26368_2_U2AF2.pdf</t>
  </si>
  <si>
    <t>Melting_Curves/meltCurve_P26373_RPL13.pdf</t>
  </si>
  <si>
    <t>Melting_Curves/meltCurve_P26374_CHML.pdf</t>
  </si>
  <si>
    <t>Melting_Curves/meltCurve_P26440_IVD.pdf</t>
  </si>
  <si>
    <t>Melting_Curves/meltCurve_P26572_MGAT1.pdf</t>
  </si>
  <si>
    <t>Melting_Curves/meltCurve_P26583_HMGB2.pdf</t>
  </si>
  <si>
    <t>Melting_Curves/meltCurve_P26599_PTBP1.pdf</t>
  </si>
  <si>
    <t>Melting_Curves/meltCurve_P26639_TARS.pdf</t>
  </si>
  <si>
    <t>Melting_Curves/meltCurve_P26641_EEF1G.pdf</t>
  </si>
  <si>
    <t>Melting_Curves/meltCurve_P26885_FKBP2.pdf</t>
  </si>
  <si>
    <t>Melting_Curves/meltCurve_P27144_AK4.pdf</t>
  </si>
  <si>
    <t>Melting_Curves/meltCurve_P27348_YWHAQ.pdf</t>
  </si>
  <si>
    <t>Melting_Curves/meltCurve_P27361_MAPK3.pdf</t>
  </si>
  <si>
    <t>Melting_Curves/meltCurve_P27540_3_ARNT.pdf</t>
  </si>
  <si>
    <t>Melting_Curves/meltCurve_P27635_RPL10.pdf</t>
  </si>
  <si>
    <t>Melting_Curves/meltCurve_P27694_RPA1.pdf</t>
  </si>
  <si>
    <t>Melting_Curves/meltCurve_P27797_CALR.pdf</t>
  </si>
  <si>
    <t>Melting_Curves/meltCurve_P27824_CANX.pdf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</si>
  <si>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</si>
  <si>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</si>
  <si>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</si>
  <si>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</si>
  <si>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Melting_Curves/meltCurve_P28289_TMOD1.pdf</t>
  </si>
  <si>
    <t>Melting_Curves/meltCurve_P28331_4_NDUFS1.pdf</t>
  </si>
  <si>
    <t>Melting_Curves/meltCurve_P28482_MAPK1.pdf</t>
  </si>
  <si>
    <t>Melting_Curves/meltCurve_P28715_ERCC5.pdf</t>
  </si>
  <si>
    <t>Melting_Curves/meltCurve_P28799_GRN.pdf</t>
  </si>
  <si>
    <t>Melting_Curves/meltCurve_P28838_2_LAP3.pdf</t>
  </si>
  <si>
    <t>Melting_Curves/meltCurve_P29084_GTF2E2.pdf</t>
  </si>
  <si>
    <t>Melting_Curves/meltCurve_P29218_IMPA1.pdf</t>
  </si>
  <si>
    <t>Melting_Curves/meltCurve_P29317_EPHA2.pdf</t>
  </si>
  <si>
    <t>Melting_Curves/meltCurve_P29353_7_SHC1.pdf</t>
  </si>
  <si>
    <t>Melting_Curves/meltCurve_P29372_5_MPG.pdf</t>
  </si>
  <si>
    <t>Melting_Curves/meltCurve_P29373_CRABP2.pdf</t>
  </si>
  <si>
    <t>Melting_Curves/meltCurve_P29401_TKT.pdf</t>
  </si>
  <si>
    <t>Melting_Curves/meltCurve_P29590_PML.pdf</t>
  </si>
  <si>
    <t>Melting_Curves/meltCurve_P29966_MARCKS.pdf</t>
  </si>
  <si>
    <t>Melting_Curves/meltCurve_P29992_GNA11.pdf</t>
  </si>
  <si>
    <t>Melting_Curves/meltCurve_P30038_ALDH4A1.pdf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</si>
  <si>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</si>
  <si>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</si>
  <si>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</si>
  <si>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</si>
  <si>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</si>
  <si>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</si>
  <si>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</si>
  <si>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</si>
  <si>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</si>
  <si>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</si>
  <si>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</si>
  <si>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</si>
  <si>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</si>
  <si>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Melting_Curves/meltCurve_P30291_WEE1.pdf</t>
  </si>
  <si>
    <t>Melting_Curves/meltCurve_P30307_2_CDC25C.pdf</t>
  </si>
  <si>
    <t>Melting_Curves/meltCurve_P30405_PPIF.pdf</t>
  </si>
  <si>
    <t>Melting_Curves/meltCurve_P30419_NMT1.pdf</t>
  </si>
  <si>
    <t>Melting_Curves/meltCurve_P30519_HMOX2.pdf</t>
  </si>
  <si>
    <t>Melting_Curves/meltCurve_P30520_ADSS.pdf</t>
  </si>
  <si>
    <t>Melting_Curves/meltCurve_P30533_LRPAP1.pdf</t>
  </si>
  <si>
    <t>Melting_Curves/meltCurve_P30566_ADSL.pdf</t>
  </si>
  <si>
    <t>Melting_Curves/meltCurve_P30613_2_PKLR.pdf</t>
  </si>
  <si>
    <t>Melting_Curves/meltCurve_P30622_1_CLIP1.pdf</t>
  </si>
  <si>
    <t>Melting_Curves/meltCurve_P30740_SERPINB1.pdf</t>
  </si>
  <si>
    <t>Melting_Curves/meltCurve_P30825_SLC7A1.pdf</t>
  </si>
  <si>
    <t>Melting_Curves/meltCurve_P30837_ALDH1B1.pdf</t>
  </si>
  <si>
    <t>Melting_Curves/meltCurve_P31040_SDHA.pdf</t>
  </si>
  <si>
    <t>Melting_Curves/meltCurve_P31146_CORO1A.pdf</t>
  </si>
  <si>
    <t>Melting_Curves/meltCurve_P31150_GDI1.pdf</t>
  </si>
  <si>
    <t>Melting_Curves/meltCurve_P31153_MAT2A.pdf</t>
  </si>
  <si>
    <t>Melting_Curves/meltCurve_P31323_PRKAR2B.pdf</t>
  </si>
  <si>
    <t>Melting_Curves/meltCurve_P31327_CPS1.pdf</t>
  </si>
  <si>
    <t>Melting_Curves/meltCurve_P31350_RRM2.pdf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</si>
  <si>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</si>
  <si>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</si>
  <si>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</si>
  <si>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</si>
  <si>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</si>
  <si>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</si>
  <si>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</si>
  <si>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Melting_Curves/meltCurve_P31946_YWHAB.pdf</t>
  </si>
  <si>
    <t>Melting_Curves/meltCurve_P31947_2_SFN.pdf</t>
  </si>
  <si>
    <t>Melting_Curves/meltCurve_P31948_STIP1.pdf</t>
  </si>
  <si>
    <t>Melting_Curves/meltCurve_P31949_S100A11.pdf</t>
  </si>
  <si>
    <t>Melting_Curves/meltCurve_P32019_3_INPP5B.pdf</t>
  </si>
  <si>
    <t>Melting_Curves/meltCurve_P32119_PRDX2.pdf</t>
  </si>
  <si>
    <t>Melting_Curves/meltCurve_P32121_5_ARRB2.pdf</t>
  </si>
  <si>
    <t>Melting_Curves/meltCurve_P32321_2_DCTD.pdf</t>
  </si>
  <si>
    <t>Melting_Curves/meltCurve_P32519_2_ELF1.pdf</t>
  </si>
  <si>
    <t>Melting_Curves/meltCurve_P32929_CTH.pdf</t>
  </si>
  <si>
    <t>Melting_Curves/meltCurve_P33121_2_ACSL1.pdf</t>
  </si>
  <si>
    <t>Melting_Curves/meltCurve_P33176_KIF5B.pdf</t>
  </si>
  <si>
    <t>Melting_Curves/meltCurve_P33240_2_CSTF2.pdf</t>
  </si>
  <si>
    <t>Melting_Curves/meltCurve_P33316_DUT.pdf</t>
  </si>
  <si>
    <t>Melting_Curves/meltCurve_P33316_2_DUT.pdf</t>
  </si>
  <si>
    <t>Melting_Curves/meltCurve_P33527_7_ABCC1.pdf</t>
  </si>
  <si>
    <t>Melting_Curves/meltCurve_P33552_CKS2.pdf</t>
  </si>
  <si>
    <t>Melting_Curves/meltCurve_P33908_MAN1A1.pdf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</si>
  <si>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</si>
  <si>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</si>
  <si>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</si>
  <si>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</si>
  <si>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Melting_Curves/meltCurve_P34896_2_SHMT1.pdf</t>
  </si>
  <si>
    <t>Melting_Curves/meltCurve_P34897_3_SHMT2.pdf</t>
  </si>
  <si>
    <t>Melting_Curves/meltCurve_P34931_HSPA1L.pdf</t>
  </si>
  <si>
    <t>Melting_Curves/meltCurve_P34932_HSPA4.pdf</t>
  </si>
  <si>
    <t>Melting_Curves/meltCurve_P34949_MPI.pdf</t>
  </si>
  <si>
    <t>Melting_Curves/meltCurve_P35219_CA8.pdf</t>
  </si>
  <si>
    <t>Melting_Curves/meltCurve_P35221_CTNNA1.pdf</t>
  </si>
  <si>
    <t>Melting_Curves/meltCurve_P35232_PHB.pdf</t>
  </si>
  <si>
    <t>Melting_Curves/meltCurve_P35237_SERPINB6.pdf</t>
  </si>
  <si>
    <t>Melting_Curves/meltCurve_P35240_5_NF2.pdf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</si>
  <si>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</si>
  <si>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</si>
  <si>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</si>
  <si>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</si>
  <si>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</si>
  <si>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</si>
  <si>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</si>
  <si>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</si>
  <si>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Melting_Curves/meltCurve_P35520_CBS.pdf</t>
  </si>
  <si>
    <t>Melting_Curves/meltCurve_P35573_AGL.pdf</t>
  </si>
  <si>
    <t>Melting_Curves/meltCurve_P35579_MYH9.pdf</t>
  </si>
  <si>
    <t>Melting_Curves/meltCurve_P35580_MYH10.pdf</t>
  </si>
  <si>
    <t>Melting_Curves/meltCurve_P35606_COPB2.pdf</t>
  </si>
  <si>
    <t>Melting_Curves/meltCurve_P35611_2_ADD1.pdf</t>
  </si>
  <si>
    <t>Melting_Curves/meltCurve_P35612_ADD2.pdf</t>
  </si>
  <si>
    <t>Melting_Curves/meltCurve_P35613_2_BSG.pdf</t>
  </si>
  <si>
    <t>Melting_Curves/meltCurve_P35637_2_FUS.pdf</t>
  </si>
  <si>
    <t>Melting_Curves/meltCurve_P35658_2_NUP214.pdf</t>
  </si>
  <si>
    <t>Melting_Curves/meltCurve_P35659_DEK.pdf</t>
  </si>
  <si>
    <t>Melting_Curves/meltCurve_P35754_GLRX.pdf</t>
  </si>
  <si>
    <t>Melting_Curves/meltCurve_P35790_2_CHKA.pdf</t>
  </si>
  <si>
    <t>Melting_Curves/meltCurve_P35813_PPM1A.pdf</t>
  </si>
  <si>
    <t>Melting_Curves/meltCurve_P35998_PSMC2.pdf</t>
  </si>
  <si>
    <t>Melting_Curves/meltCurve_P36404_ARL2.pdf</t>
  </si>
  <si>
    <t>Melting_Curves/meltCurve_P36405_ARL3.pdf</t>
  </si>
  <si>
    <t>Melting_Curves/meltCurve_P36406_3_TRIM23.pdf</t>
  </si>
  <si>
    <t>Melting_Curves/meltCurve_P36507_MAP2K2.pdf</t>
  </si>
  <si>
    <t>Melting_Curves/meltCurve_P36542_ATP5C1.pdf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</si>
  <si>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</si>
  <si>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</si>
  <si>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</si>
  <si>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</si>
  <si>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Melting_Curves/meltCurve_P36871_PGM1.pdf</t>
  </si>
  <si>
    <t>Melting_Curves/meltCurve_P36915_GNL1.pdf</t>
  </si>
  <si>
    <t>Melting_Curves/meltCurve_P36954_POLR2I.pdf</t>
  </si>
  <si>
    <t>Melting_Curves/meltCurve_P36957_DLST.pdf</t>
  </si>
  <si>
    <t>Melting_Curves/meltCurve_P36969_2_GPX4.pdf</t>
  </si>
  <si>
    <t>Melting_Curves/meltCurve_P37108_SRP14.pdf</t>
  </si>
  <si>
    <t>Melting_Curves/meltCurve_P37268_FDFT1.pdf</t>
  </si>
  <si>
    <t>Melting_Curves/meltCurve_P37287_3_PIGA.pdf</t>
  </si>
  <si>
    <t>Melting_Curves/meltCurve_P37802_TAGLN2.pdf</t>
  </si>
  <si>
    <t>Melting_Curves/meltCurve_P37837_TALDO1.pdf</t>
  </si>
  <si>
    <t>Melting_Curves/meltCurve_P38117_ETFB.pdf</t>
  </si>
  <si>
    <t>Melting_Curves/meltCurve_P38432_COIL.pdf</t>
  </si>
  <si>
    <t>Melting_Curves/meltCurve_P38435_GGCX.pdf</t>
  </si>
  <si>
    <t>Melting_Curves/meltCurve_P38606_ATP6V1A.pdf</t>
  </si>
  <si>
    <t>Melting_Curves/meltCurve_P38646_HSPA9.pdf</t>
  </si>
  <si>
    <t>Melting_Curves/meltCurve_P38919_EIF4A3.pdf</t>
  </si>
  <si>
    <t>Melting_Curves/meltCurve_P39019_RPS19.pdf</t>
  </si>
  <si>
    <t>Melting_Curves/meltCurve_P39656_DDOST.pdf</t>
  </si>
  <si>
    <t>Melting_Curves/meltCurve_P39687_ANP32A.pdf</t>
  </si>
  <si>
    <t>Melting_Curves/meltCurve_P39748_FEN1.pdf</t>
  </si>
  <si>
    <t>Melting_Curves/meltCurve_P39880_3_CUX1.pdf</t>
  </si>
  <si>
    <t>Melting_Curves/meltCurve_P40121_2_CAPG.pdf</t>
  </si>
  <si>
    <t>Melting_Curves/meltCurve_P40189_3_IL6ST.pdf</t>
  </si>
  <si>
    <t>Melting_Curves/meltCurve_P40222_TXLNA.pdf</t>
  </si>
  <si>
    <t>Melting_Curves/meltCurve_P40227_CCT6A.pdf</t>
  </si>
  <si>
    <t>Melting_Curves/meltCurve_P40337_3_VHL.pdf</t>
  </si>
  <si>
    <t>Melting_Curves/meltCurve_P40763_STAT3.pdf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</si>
  <si>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</si>
  <si>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</si>
  <si>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</si>
  <si>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</si>
  <si>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Melting_Curves/meltCurve_P40938_2_RFC3.pdf</t>
  </si>
  <si>
    <t>Melting_Curves/meltCurve_P40939_HADHA.pdf</t>
  </si>
  <si>
    <t>Melting_Curves/meltCurve_P41091_EIF2S3.pdf</t>
  </si>
  <si>
    <t>Melting_Curves/meltCurve_P41208_CETN2.pdf</t>
  </si>
  <si>
    <t>Melting_Curves/meltCurve_P41219_PRPH.pdf</t>
  </si>
  <si>
    <t>Melting_Curves/meltCurve_P41223_BUD31.pdf</t>
  </si>
  <si>
    <t>Melting_Curves/meltCurve_P41227_2_NAA10.pdf</t>
  </si>
  <si>
    <t>Melting_Curves/meltCurve_P41229_2_KDM5C.pdf</t>
  </si>
  <si>
    <t>Melting_Curves/meltCurve_P41236_PPP1R2.pdf</t>
  </si>
  <si>
    <t>Melting_Curves/meltCurve_P41240_CSK.pdf</t>
  </si>
  <si>
    <t>Melting_Curves/meltCurve_P41250_GARS.pdf</t>
  </si>
  <si>
    <t>Melting_Curves/meltCurve_P41440_SLC19A1.pdf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</si>
  <si>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</si>
  <si>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</si>
  <si>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</si>
  <si>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</si>
  <si>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Melting_Curves/meltCurve_P42166_TMPO.pdf</t>
  </si>
  <si>
    <t>Melting_Curves/meltCurve_P42167_TMPO.pdf</t>
  </si>
  <si>
    <t>Melting_Curves/meltCurve_P42167_2_TMPO.pdf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</si>
  <si>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</si>
  <si>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</si>
  <si>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</si>
  <si>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</si>
  <si>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Melting_Curves/meltCurve_P42345_MTOR.pdf</t>
  </si>
  <si>
    <t>Melting_Curves/meltCurve_P42574_CASP3.pdf</t>
  </si>
  <si>
    <t>Melting_Curves/meltCurve_P42575_CASP2.pdf</t>
  </si>
  <si>
    <t>Melting_Curves/meltCurve_P42677_RPS27.pdf</t>
  </si>
  <si>
    <t>Melting_Curves/meltCurve_P42684_6_ABL2.pdf</t>
  </si>
  <si>
    <t>Melting_Curves/meltCurve_P42702_LIFR.pdf</t>
  </si>
  <si>
    <t>Melting_Curves/meltCurve_P42704_LRPPRC.pdf</t>
  </si>
  <si>
    <t>Melting_Curves/meltCurve_P42765_ACAA2.pdf</t>
  </si>
  <si>
    <t>Melting_Curves/meltCurve_P42771_CDKN2A.pdf</t>
  </si>
  <si>
    <t>Melting_Curves/meltCurve_P42773_CDKN2C.pdf</t>
  </si>
  <si>
    <t>Melting_Curves/meltCurve_P42785_PRCP.pdf</t>
  </si>
  <si>
    <t>Melting_Curves/meltCurve_P43003_2_SLC1A3.pdf</t>
  </si>
  <si>
    <t>Melting_Curves/meltCurve_P43007_SLC1A4.pdf</t>
  </si>
  <si>
    <t>Melting_Curves/meltCurve_P43034_PAFAH1B1.pdf</t>
  </si>
  <si>
    <t>Melting_Curves/meltCurve_P43121_MCAM.pdf</t>
  </si>
  <si>
    <t>Melting_Curves/meltCurve_P43155_2_CRAT.pdf</t>
  </si>
  <si>
    <t>Melting_Curves/meltCurve_P43246_MSH2.pdf</t>
  </si>
  <si>
    <t>Melting_Curves/meltCurve_P43250_2_GRK6.pdf</t>
  </si>
  <si>
    <t>Melting_Curves/meltCurve_P43304_GPD2.pdf</t>
  </si>
  <si>
    <t>Melting_Curves/meltCurve_P43378_PTPN9.pdf</t>
  </si>
  <si>
    <t>Melting_Curves/meltCurve_P43405_2_SYK.pdf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</si>
  <si>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</si>
  <si>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</si>
  <si>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</si>
  <si>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</si>
  <si>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Melting_Curves/meltCurve_P45880_VDAC2.pdf</t>
  </si>
  <si>
    <t>Melting_Curves/meltCurve_P45880_2_VDAC2.pdf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</si>
  <si>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</si>
  <si>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</si>
  <si>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</si>
  <si>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</si>
  <si>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Melting_Curves/meltCurve_P45984_3_MAPK9.pdf</t>
  </si>
  <si>
    <t>Melting_Curves/meltCurve_P45985_MAP2K4.pdf</t>
  </si>
  <si>
    <t>Melting_Curves/meltCurve_P46013_MKI67.pdf</t>
  </si>
  <si>
    <t>Melting_Curves/meltCurve_P46013_2_MKI67.pdf</t>
  </si>
  <si>
    <t>Melting_Curves/meltCurve_P46019_PHKA2.pdf</t>
  </si>
  <si>
    <t>Melting_Curves/meltCurve_P46060_RANGAP1.pdf</t>
  </si>
  <si>
    <t>Melting_Curves/meltCurve_P46063_RECQL.pdf</t>
  </si>
  <si>
    <t>Melting_Curves/meltCurve_P46087_2_NOP2.pdf</t>
  </si>
  <si>
    <t>Melting_Curves/meltCurve_P46108_CRK.pdf</t>
  </si>
  <si>
    <t>Melting_Curves/meltCurve_P46109_CRKL.pdf</t>
  </si>
  <si>
    <t>Melting_Curves/meltCurve_P46199_MTIF2.pdf</t>
  </si>
  <si>
    <t>Melting_Curves/meltCurve_P46531_NOTCH1.pdf</t>
  </si>
  <si>
    <t>Melting_Curves/meltCurve_P46734_MAP2K3.pdf</t>
  </si>
  <si>
    <t>Melting_Curves/meltCurve_P46736_2_BRCC3.pdf</t>
  </si>
  <si>
    <t>Melting_Curves/meltCurve_P46777_RPL5.pdf</t>
  </si>
  <si>
    <t>Melting_Curves/meltCurve_P46778_RPL21.pdf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</si>
  <si>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</si>
  <si>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</si>
  <si>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</si>
  <si>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</si>
  <si>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Melting_Curves/meltCurve_P46937_YAP1.pdf</t>
  </si>
  <si>
    <t>Melting_Curves/meltCurve_P46937_2_YAP1.pdf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</si>
  <si>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</si>
  <si>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</si>
  <si>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</si>
  <si>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</si>
  <si>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Melting_Curves/meltCurve_P47224_RABIF.pdf</t>
  </si>
  <si>
    <t>Melting_Curves/meltCurve_P47712_PLA2G4A.pdf</t>
  </si>
  <si>
    <t>Melting_Curves/meltCurve_P47755_CAPZA2.pdf</t>
  </si>
  <si>
    <t>Melting_Curves/meltCurve_P47756_2_CAPZB.pdf</t>
  </si>
  <si>
    <t>Melting_Curves/meltCurve_P47813_EIF1AX.pdf</t>
  </si>
  <si>
    <t>Melting_Curves/meltCurve_P47914_RPL29.pdf</t>
  </si>
  <si>
    <t>Melting_Curves/meltCurve_P47928_ID4.pdf</t>
  </si>
  <si>
    <t>Melting_Curves/meltCurve_P47974_ZFP36L2.pdf</t>
  </si>
  <si>
    <t>Melting_Curves/meltCurve_P47985_UQCRFS1.pdf</t>
  </si>
  <si>
    <t>Melting_Curves/meltCurve_P48029_3_SLC6A8.pdf</t>
  </si>
  <si>
    <t>Melting_Curves/meltCurve_P48047_ATP5O.pdf</t>
  </si>
  <si>
    <t>Melting_Curves/meltCurve_P48050_KCNJ4.pdf</t>
  </si>
  <si>
    <t>Melting_Curves/meltCurve_P48059_LIMS1.pdf</t>
  </si>
  <si>
    <t>Melting_Curves/meltCurve_P48147_PREP.pdf</t>
  </si>
  <si>
    <t>Melting_Curves/meltCurve_P48163_ME1.pdf</t>
  </si>
  <si>
    <t>Melting_Curves/meltCurve_P48200_IREB2.pdf</t>
  </si>
  <si>
    <t>Melting_Curves/meltCurve_P48444_ARCN1.pdf</t>
  </si>
  <si>
    <t>Melting_Curves/meltCurve_P48449_3_LSS.pdf</t>
  </si>
  <si>
    <t>Melting_Curves/meltCurve_P48454_2_PPP3CC.pdf</t>
  </si>
  <si>
    <t>Melting_Curves/meltCurve_P48506_GCLC.pdf</t>
  </si>
  <si>
    <t>Melting_Curves/meltCurve_P48507_GCLM.pdf</t>
  </si>
  <si>
    <t>Melting_Curves/meltCurve_P48634_PRRC2A.pdf</t>
  </si>
  <si>
    <t>Melting_Curves/meltCurve_P48637_GSS.pdf</t>
  </si>
  <si>
    <t>Melting_Curves/meltCurve_P48643_CCT5.pdf</t>
  </si>
  <si>
    <t>Melting_Curves/meltCurve_P48681_NES.pdf</t>
  </si>
  <si>
    <t>Melting_Curves/meltCurve_P48723_HSPA13.pdf</t>
  </si>
  <si>
    <t>Melting_Curves/meltCurve_P48729_CSNK1A1.pdf</t>
  </si>
  <si>
    <t>Melting_Curves/meltCurve_P48735_IDH2.pdf</t>
  </si>
  <si>
    <t>Melting_Curves/meltCurve_P48739_PITPNB.pdf</t>
  </si>
  <si>
    <t>Melting_Curves/meltCurve_P48745_NOV.pdf</t>
  </si>
  <si>
    <t>Melting_Curves/meltCurve_P48960_2_CD97.pdf</t>
  </si>
  <si>
    <t>Melting_Curves/meltCurve_P49006_MARCKSL1.pdf</t>
  </si>
  <si>
    <t>Melting_Curves/meltCurve_P49069_CAMLG.pdf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</si>
  <si>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</si>
  <si>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</si>
  <si>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</si>
  <si>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</si>
  <si>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</si>
  <si>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Melting_Curves/meltCurve_P49321_NASP.pdf</t>
  </si>
  <si>
    <t>Melting_Curves/meltCurve_P49327_FASN.pdf</t>
  </si>
  <si>
    <t>Melting_Curves/meltCurve_P49354_FNTA.pdf</t>
  </si>
  <si>
    <t>Melting_Curves/meltCurve_P49356_FNTB.pdf</t>
  </si>
  <si>
    <t>Melting_Curves/meltCurve_P49366_DHPS.pdf</t>
  </si>
  <si>
    <t>Melting_Curves/meltCurve_P49368_CCT3.pdf</t>
  </si>
  <si>
    <t>Melting_Curves/meltCurve_P49411_TUFM.pdf</t>
  </si>
  <si>
    <t>Melting_Curves/meltCurve_P49419_2_ALDH7A1.pdf</t>
  </si>
  <si>
    <t>Melting_Curves/meltCurve_P49427_CDC34.pdf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</si>
  <si>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</si>
  <si>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</si>
  <si>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</si>
  <si>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</si>
  <si>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</si>
  <si>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</si>
  <si>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Melting_Curves/meltCurve_P49593_PPM1F.pdf</t>
  </si>
  <si>
    <t>Melting_Curves/meltCurve_P49642_PRIM1.pdf</t>
  </si>
  <si>
    <t>Melting_Curves/meltCurve_P49643_PRIM2.pdf</t>
  </si>
  <si>
    <t>Melting_Curves/meltCurve_P49674_CSNK1E.pdf</t>
  </si>
  <si>
    <t>Melting_Curves/meltCurve_P49721_PSMB2.pdf</t>
  </si>
  <si>
    <t>Melting_Curves/meltCurve_P49736_MCM2.pdf</t>
  </si>
  <si>
    <t>Melting_Curves/meltCurve_P49748_2_ACADVL.pdf</t>
  </si>
  <si>
    <t>Melting_Curves/meltCurve_P49750_3_YLPM1.pdf</t>
  </si>
  <si>
    <t>Melting_Curves/meltCurve_P49755_TMED10.pdf</t>
  </si>
  <si>
    <t>Melting_Curves/meltCurve_P49756_RBM25.pdf</t>
  </si>
  <si>
    <t>Melting_Curves/meltCurve_P49757_4_NUMB.pdf</t>
  </si>
  <si>
    <t>Melting_Curves/meltCurve_P49770_EIF2B2.pdf</t>
  </si>
  <si>
    <t>Melting_Curves/meltCurve_P49773_HINT1.pdf</t>
  </si>
  <si>
    <t>Melting_Curves/meltCurve_P49790_NUP153.pdf</t>
  </si>
  <si>
    <t>Melting_Curves/meltCurve_P49792_RANBP2.pdf</t>
  </si>
  <si>
    <t>Melting_Curves/meltCurve_P49840_GSK3A.pdf</t>
  </si>
  <si>
    <t>Melting_Curves/meltCurve_P49841_GSK3B.pdf</t>
  </si>
  <si>
    <t>Melting_Curves/meltCurve_P49903_SEPHS1.pdf</t>
  </si>
  <si>
    <t>Melting_Curves/meltCurve_P49914_MTHFS.pdf</t>
  </si>
  <si>
    <t>Melting_Curves/meltCurve_P49915_GMPS.pdf</t>
  </si>
  <si>
    <t>Melting_Curves/meltCurve_P49916_LIG3.pdf</t>
  </si>
  <si>
    <t>Melting_Curves/meltCurve_P49959_MRE11A.pdf</t>
  </si>
  <si>
    <t>Melting_Curves/meltCurve_P50053_KHK.pdf</t>
  </si>
  <si>
    <t>Melting_Curves/meltCurve_P50148_GNAQ.pdf</t>
  </si>
  <si>
    <t>Melting_Curves/meltCurve_P50151_GNG10.pdf</t>
  </si>
  <si>
    <t>Melting_Curves/meltCurve_P50219_MNX1.pdf</t>
  </si>
  <si>
    <t>Melting_Curves/meltCurve_P50224_SULT1A3.pdf</t>
  </si>
  <si>
    <t>Melting_Curves/meltCurve_P50225_SULT1A1.pdf</t>
  </si>
  <si>
    <t>Melting_Curves/meltCurve_P50336_PPOX.pdf</t>
  </si>
  <si>
    <t>Melting_Curves/meltCurve_P50402_EMD.pdf</t>
  </si>
  <si>
    <t>Melting_Curves/meltCurve_P50416_2_CPT1A.pdf</t>
  </si>
  <si>
    <t>Melting_Curves/meltCurve_P50452_SERPINB8.pdf</t>
  </si>
  <si>
    <t>Melting_Curves/meltCurve_P50454_SERPINH1.pdf</t>
  </si>
  <si>
    <t>Melting_Curves/meltCurve_P50502_ST13.pdf</t>
  </si>
  <si>
    <t>Melting_Curves/meltCurve_P50552_VASP.pdf</t>
  </si>
  <si>
    <t>Melting_Curves/meltCurve_P50579_METAP2.pdf</t>
  </si>
  <si>
    <t>Melting_Curves/meltCurve_P50583_NUDT2.pdf</t>
  </si>
  <si>
    <t>Melting_Curves/meltCurve_P50747_HLCS.pdf</t>
  </si>
  <si>
    <t>Melting_Curves/meltCurve_P50748_KNTC1.pdf</t>
  </si>
  <si>
    <t>Melting_Curves/meltCurve_P50749_RASSF2.pdf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</si>
  <si>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</si>
  <si>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</si>
  <si>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</si>
  <si>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</si>
  <si>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</si>
  <si>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</si>
  <si>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</si>
  <si>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</si>
  <si>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Melting_Curves/meltCurve_P51153_RAB13.pdf</t>
  </si>
  <si>
    <t>Melting_Curves/meltCurve_P51157_RAB28.pdf</t>
  </si>
  <si>
    <t>Melting_Curves/meltCurve_P51159_2_RAB27A.pdf</t>
  </si>
  <si>
    <t>Melting_Curves/meltCurve_P51397_DAP.pdf</t>
  </si>
  <si>
    <t>Melting_Curves/meltCurve_P51398_2_DAP3.pdf</t>
  </si>
  <si>
    <t>Melting_Curves/meltCurve_P51452_DUSP3.pdf</t>
  </si>
  <si>
    <t>Melting_Curves/meltCurve_P51511_MMP15.pdf</t>
  </si>
  <si>
    <t>Melting_Curves/meltCurve_P51513_4_NOVA1.pdf</t>
  </si>
  <si>
    <t>Melting_Curves/meltCurve_P51531_2_SMARCA2.pdf</t>
  </si>
  <si>
    <t>Melting_Curves/meltCurve_P51553_IDH3G.pdf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</si>
  <si>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</si>
  <si>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</si>
  <si>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</si>
  <si>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</si>
  <si>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Melting_Curves/meltCurve_P51659_HSD17B4.pdf</t>
  </si>
  <si>
    <t>Melting_Curves/meltCurve_P51665_PSMD7.pdf</t>
  </si>
  <si>
    <t>Melting_Curves/meltCurve_P51668_UBE2D1.pdf</t>
  </si>
  <si>
    <t>Melting_Curves/meltCurve_P51687_SUOX.pdf</t>
  </si>
  <si>
    <t>Melting_Curves/meltCurve_P51692_STAT5B.pdf</t>
  </si>
  <si>
    <t>Melting_Curves/meltCurve_P51790_4_CLCN3.pdf</t>
  </si>
  <si>
    <t>Melting_Curves/meltCurve_P51795_CLCN5.pdf</t>
  </si>
  <si>
    <t>Melting_Curves/meltCurve_P51798_2_CLCN7.pdf</t>
  </si>
  <si>
    <t>Melting_Curves/meltCurve_P51809_VAMP7.pdf</t>
  </si>
  <si>
    <t>Melting_Curves/meltCurve_P51812_RPS6KA3.pdf</t>
  </si>
  <si>
    <t>Melting_Curves/meltCurve_P51858_HDGF.pdf</t>
  </si>
  <si>
    <t>Melting_Curves/meltCurve_P51946_CCNH.pdf</t>
  </si>
  <si>
    <t>Melting_Curves/meltCurve_P51948_MNAT1.pdf</t>
  </si>
  <si>
    <t>Melting_Curves/meltCurve_P51970_NDUFA8.pdf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</si>
  <si>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</si>
  <si>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</si>
  <si>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</si>
  <si>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</si>
  <si>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</si>
  <si>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</si>
  <si>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Melting_Curves/meltCurve_P52435_POLR2J.pdf</t>
  </si>
  <si>
    <t>Melting_Curves/meltCurve_P52565_ARHGDIA.pdf</t>
  </si>
  <si>
    <t>Melting_Curves/meltCurve_P52569_SLC7A2.pdf</t>
  </si>
  <si>
    <t>Melting_Curves/meltCurve_P52597_HNRNPF.pdf</t>
  </si>
  <si>
    <t>Melting_Curves/meltCurve_P52630_4_STAT2.pdf</t>
  </si>
  <si>
    <t>Melting_Curves/meltCurve_P52657_GTF2A2.pdf</t>
  </si>
  <si>
    <t>Melting_Curves/meltCurve_P52701_MSH6.pdf</t>
  </si>
  <si>
    <t>Melting_Curves/meltCurve_P52732_KIF11.pdf</t>
  </si>
  <si>
    <t>Melting_Curves/meltCurve_P52735_3_VAV2.pdf</t>
  </si>
  <si>
    <t>Melting_Curves/meltCurve_P52758_HRSP12.pdf</t>
  </si>
  <si>
    <t>Melting_Curves/meltCurve_P52788_SMS.pdf</t>
  </si>
  <si>
    <t>Melting_Curves/meltCurve_P52799_EFNB2.pdf</t>
  </si>
  <si>
    <t>Melting_Curves/meltCurve_P52815_MRPL12.pdf</t>
  </si>
  <si>
    <t>Melting_Curves/meltCurve_P52888_THOP1.pdf</t>
  </si>
  <si>
    <t>Melting_Curves/meltCurve_P52907_CAPZA1.pdf</t>
  </si>
  <si>
    <t>Melting_Curves/meltCurve_P52943_CRIP2.pdf</t>
  </si>
  <si>
    <t>Melting_Curves/meltCurve_P53004_BLVRA.pdf</t>
  </si>
  <si>
    <t>Melting_Curves/meltCurve_P53007_SLC25A1.pdf</t>
  </si>
  <si>
    <t>Melting_Curves/meltCurve_P53350_PLK1.pdf</t>
  </si>
  <si>
    <t>Melting_Curves/meltCurve_P53365_ARFIP2.pdf</t>
  </si>
  <si>
    <t>Melting_Curves/meltCurve_P53367_ARFIP1.pdf</t>
  </si>
  <si>
    <t>Melting_Curves/meltCurve_P53367_2_ARFIP1.pdf</t>
  </si>
  <si>
    <t>Melting_Curves/meltCurve_P53384_2_NUBP1.pdf</t>
  </si>
  <si>
    <t>Melting_Curves/meltCurve_P53396_ACLY.pdf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</si>
  <si>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</si>
  <si>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</si>
  <si>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</si>
  <si>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</si>
  <si>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Melting_Curves/meltCurve_P53618_COPB1.pdf</t>
  </si>
  <si>
    <t>Melting_Curves/meltCurve_P53621_COPA.pdf</t>
  </si>
  <si>
    <t>Melting_Curves/meltCurve_P53634_CTSC.pdf</t>
  </si>
  <si>
    <t>Melting_Curves/meltCurve_P53701_HCCS.pdf</t>
  </si>
  <si>
    <t>Melting_Curves/meltCurve_P53778_MAPK12.pdf</t>
  </si>
  <si>
    <t>Melting_Curves/meltCurve_P53794_SLC5A3.pdf</t>
  </si>
  <si>
    <t>Melting_Curves/meltCurve_P53803_POLR2K.pdf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</si>
  <si>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</si>
  <si>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</si>
  <si>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</si>
  <si>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</si>
  <si>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</si>
  <si>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Melting_Curves/meltCurve_P54136_RARS.pdf</t>
  </si>
  <si>
    <t>Melting_Curves/meltCurve_P54259_ATN1.pdf</t>
  </si>
  <si>
    <t>Melting_Curves/meltCurve_P54289_4_CACNA2D1.pdf</t>
  </si>
  <si>
    <t>Melting_Curves/meltCurve_P54296_MYOM2.pdf</t>
  </si>
  <si>
    <t>Melting_Curves/meltCurve_P54577_YARS.pdf</t>
  </si>
  <si>
    <t>Melting_Curves/meltCurve_P54578_2_USP14.pdf</t>
  </si>
  <si>
    <t>Melting_Curves/meltCurve_P54619_2_PRKAG1.pdf</t>
  </si>
  <si>
    <t>Melting_Curves/meltCurve_P54646_PRKAA2.pdf</t>
  </si>
  <si>
    <t>Melting_Curves/meltCurve_P54652_HSPA2.pdf</t>
  </si>
  <si>
    <t>Melting_Curves/meltCurve_P54687_BCAT1.pdf</t>
  </si>
  <si>
    <t>Melting_Curves/meltCurve_P54707_ATP12A.pdf</t>
  </si>
  <si>
    <t>Melting_Curves/meltCurve_P54709_ATP1B3.pdf</t>
  </si>
  <si>
    <t>Melting_Curves/meltCurve_P54727_RAD23B.pdf</t>
  </si>
  <si>
    <t>Melting_Curves/meltCurve_P54802_NAGLU.pdf</t>
  </si>
  <si>
    <t>Melting_Curves/meltCurve_P54819_AK2.pdf</t>
  </si>
  <si>
    <t>Melting_Curves/meltCurve_P54826_GAS1.pdf</t>
  </si>
  <si>
    <t>Melting_Curves/meltCurve_P54886_2_ALDH18A1.pdf</t>
  </si>
  <si>
    <t>Melting_Curves/meltCurve_P54920_NAPA.pdf</t>
  </si>
  <si>
    <t>Melting_Curves/meltCurve_P55010_EIF5.pdf</t>
  </si>
  <si>
    <t>Melting_Curves/meltCurve_P55011_3_SLC12A2.pdf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</si>
  <si>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</si>
  <si>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</si>
  <si>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</si>
  <si>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</si>
  <si>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</si>
  <si>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Melting_Curves/meltCurve_P55082_2_MFAP3.pdf</t>
  </si>
  <si>
    <t>Melting_Curves/meltCurve_P55145_MANF.pdf</t>
  </si>
  <si>
    <t>Melting_Curves/meltCurve_P55199_ELL.pdf</t>
  </si>
  <si>
    <t>Melting_Curves/meltCurve_P55210_4_CASP7.pdf</t>
  </si>
  <si>
    <t>Melting_Curves/meltCurve_P55212_CASP6.pdf</t>
  </si>
  <si>
    <t>Melting_Curves/meltCurve_P55263_2_ADK.pdf</t>
  </si>
  <si>
    <t>Melting_Curves/meltCurve_P55268_LAMB2.pdf</t>
  </si>
  <si>
    <t>Melting_Curves/meltCurve_P55327_2_TPD52.pdf</t>
  </si>
  <si>
    <t>Melting_Curves/meltCurve_P55735_SEC13.pdf</t>
  </si>
  <si>
    <t>Melting_Curves/meltCurve_P55795_HNRNPH2.pdf</t>
  </si>
  <si>
    <t>Melting_Curves/meltCurve_P55884_EIF3B.pdf</t>
  </si>
  <si>
    <t>Melting_Curves/meltCurve_P55957_BID.pdf</t>
  </si>
  <si>
    <t>Melting_Curves/meltCurve_P56181_NDUFV3.pdf</t>
  </si>
  <si>
    <t>Melting_Curves/meltCurve_P56181_2_NDUFV3.pdf</t>
  </si>
  <si>
    <t>Melting_Curves/meltCurve_P56182_RRP1.pdf</t>
  </si>
  <si>
    <t>Melting_Curves/meltCurve_P56192_MARS.pdf</t>
  </si>
  <si>
    <t>Melting_Curves/meltCurve_P56270_2_MAZ.pdf</t>
  </si>
  <si>
    <t>Melting_Curves/meltCurve_P56277_CMC4.pdf</t>
  </si>
  <si>
    <t>Melting_Curves/meltCurve_P56378_MP68.pdf</t>
  </si>
  <si>
    <t>Melting_Curves/meltCurve_P56385_ATP5I.pdf</t>
  </si>
  <si>
    <t>Melting_Curves/meltCurve_P56524_HDAC4.pdf</t>
  </si>
  <si>
    <t>Melting_Curves/meltCurve_P56537_EIF6.pdf</t>
  </si>
  <si>
    <t>Melting_Curves/meltCurve_P56589_PEX3.pdf</t>
  </si>
  <si>
    <t>Melting_Curves/meltCurve_P56749_CLDN12.pdf</t>
  </si>
  <si>
    <t>Melting_Curves/meltCurve_P56937_3_HSD17B7.pdf</t>
  </si>
  <si>
    <t>Melting_Curves/meltCurve_P56945_4_BCAR1.pdf</t>
  </si>
  <si>
    <t>Melting_Curves/meltCurve_P56962_STX17.pdf</t>
  </si>
  <si>
    <t>Melting_Curves/meltCurve_P57054_3_PIGP.pdf</t>
  </si>
  <si>
    <t>Melting_Curves/meltCurve_P57060_RWDD2B.pdf</t>
  </si>
  <si>
    <t>Melting_Curves/meltCurve_P57076_C21orf59.pdf</t>
  </si>
  <si>
    <t>Melting_Curves/meltCurve_P57081_2_WDR4.pdf</t>
  </si>
  <si>
    <t>Melting_Curves/meltCurve_P57088_TMEM33.pdf</t>
  </si>
  <si>
    <t>Melting_Curves/meltCurve_P57105_SYNJ2BP.pdf</t>
  </si>
  <si>
    <t>Melting_Curves/meltCurve_P57737_3_CORO7.pdf</t>
  </si>
  <si>
    <t>Melting_Curves/meltCurve_P57740_NUP107.pdf</t>
  </si>
  <si>
    <t>Melting_Curves/meltCurve_P57768_2_SNX16.pdf</t>
  </si>
  <si>
    <t>Melting_Curves/meltCurve_P57772_EEFSEC.pdf</t>
  </si>
  <si>
    <t>Melting_Curves/meltCurve_P58004_SESN2.pdf</t>
  </si>
  <si>
    <t>Melting_Curves/meltCurve_P58005_SESN3.pdf</t>
  </si>
  <si>
    <t>Melting_Curves/meltCurve_P58107_EPPK1.pdf</t>
  </si>
  <si>
    <t>Melting_Curves/meltCurve_P58546_MTPN.pdf</t>
  </si>
  <si>
    <t>Melting_Curves/meltCurve_P58557_YBEY.pdf</t>
  </si>
  <si>
    <t>Melting_Curves/meltCurve_P59998_ARPC4.pdf</t>
  </si>
  <si>
    <t>Melting_Curves/meltCurve_P60059_SEC61G.pdf</t>
  </si>
  <si>
    <t>Melting_Curves/meltCurve_P60174_1_TPI1.pdf</t>
  </si>
  <si>
    <t>Melting_Curves/meltCurve_P60228_EIF3E.pdf</t>
  </si>
  <si>
    <t>Melting_Curves/meltCurve_P60468_SEC61B.pdf</t>
  </si>
  <si>
    <t>Melting_Curves/meltCurve_P60510_PPP4C.pdf</t>
  </si>
  <si>
    <t>Melting_Curves/meltCurve_P60602_ROMO1.pdf</t>
  </si>
  <si>
    <t>Melting_Curves/meltCurve_P60604_2_UBE2G2.pdf</t>
  </si>
  <si>
    <t>Melting_Curves/meltCurve_P60709_ACTB.pdf</t>
  </si>
  <si>
    <t>Melting_Curves/meltCurve_P60763_RAC3.pdf</t>
  </si>
  <si>
    <t>Melting_Curves/meltCurve_P60842_EIF4A1.pdf</t>
  </si>
  <si>
    <t>Melting_Curves/meltCurve_P60866_RPS20.pdf</t>
  </si>
  <si>
    <t>Melting_Curves/meltCurve_P60891_PRPS1.pdf</t>
  </si>
  <si>
    <t>Melting_Curves/meltCurve_P60896_SHFM1.pdf</t>
  </si>
  <si>
    <t>Melting_Curves/meltCurve_P60903_S100A10.pdf</t>
  </si>
  <si>
    <t>Melting_Curves/meltCurve_P60953_CDC42.pdf</t>
  </si>
  <si>
    <t>Melting_Curves/meltCurve_P60953_1_CDC42.pdf</t>
  </si>
  <si>
    <t>Melting_Curves/meltCurve_P60981_DSTN.pdf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</si>
  <si>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</si>
  <si>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</si>
  <si>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</si>
  <si>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</si>
  <si>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</si>
  <si>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</si>
  <si>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</si>
  <si>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</si>
  <si>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</si>
  <si>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</si>
  <si>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</si>
  <si>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</si>
  <si>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</si>
  <si>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</si>
  <si>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</si>
  <si>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</si>
  <si>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</si>
  <si>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Melting_Curves/meltCurve_P61218_POLR2F.pdf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</si>
  <si>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</si>
  <si>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</si>
  <si>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</si>
  <si>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</si>
  <si>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Melting_Curves/meltCurve_P61254_RPL26.pdf</t>
  </si>
  <si>
    <t>Melting_Curves/meltCurve_P61289_PSME3.pdf</t>
  </si>
  <si>
    <t>Melting_Curves/meltCurve_P61326_MAGOH.pdf</t>
  </si>
  <si>
    <t>Melting_Curves/meltCurve_P61457_PCBD1.pdf</t>
  </si>
  <si>
    <t>Melting_Curves/meltCurve_P61586_RHOA.pdf</t>
  </si>
  <si>
    <t>Melting_Curves/meltCurve_P61587_RND3.pdf</t>
  </si>
  <si>
    <t>Melting_Curves/meltCurve_P61599_NAA20.pdf</t>
  </si>
  <si>
    <t>Melting_Curves/meltCurve_P61604_HSPE1.pdf</t>
  </si>
  <si>
    <t>Melting_Curves/meltCurve_P61758_VBP1.pdf</t>
  </si>
  <si>
    <t>Melting_Curves/meltCurve_P61764_STXBP1.pdf</t>
  </si>
  <si>
    <t>Melting_Curves/meltCurve_P61925_PKIA.pdf</t>
  </si>
  <si>
    <t>Melting_Curves/meltCurve_P61927_RPL37.pdf</t>
  </si>
  <si>
    <t>Melting_Curves/meltCurve_P61956_SUMO2.pdf</t>
  </si>
  <si>
    <t>Melting_Curves/meltCurve_P61960_2_UFM1.pdf</t>
  </si>
  <si>
    <t>Melting_Curves/meltCurve_P61962_DCAF7.pdf</t>
  </si>
  <si>
    <t>Melting_Curves/meltCurve_P61964_WDR5.pdf</t>
  </si>
  <si>
    <t>Melting_Curves/meltCurve_P61970_NUTF2.pdf</t>
  </si>
  <si>
    <t>Melting_Curves/meltCurve_P61978_2_HNRNPK.pdf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</si>
  <si>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</si>
  <si>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</si>
  <si>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</si>
  <si>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</si>
  <si>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</si>
  <si>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</si>
  <si>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Melting_Curves/meltCurve_P62191_PSMC1.pdf</t>
  </si>
  <si>
    <t>Melting_Curves/meltCurve_P62195_2_PSMC5.pdf</t>
  </si>
  <si>
    <t>Melting_Curves/meltCurve_P62249_RPS16.pdf</t>
  </si>
  <si>
    <t>Melting_Curves/meltCurve_P62258_YWHAE.pdf</t>
  </si>
  <si>
    <t>Melting_Curves/meltCurve_P62263_RPS14.pdf</t>
  </si>
  <si>
    <t>Melting_Curves/meltCurve_P62266_RPS23.pdf</t>
  </si>
  <si>
    <t>Melting_Curves/meltCurve_P62269_RPS18.pdf</t>
  </si>
  <si>
    <t>Melting_Curves/meltCurve_P62273_RPS29.pdf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</si>
  <si>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</si>
  <si>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</si>
  <si>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</si>
  <si>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</si>
  <si>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</si>
  <si>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</si>
  <si>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</si>
  <si>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</si>
  <si>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</si>
  <si>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</si>
  <si>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</si>
  <si>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</si>
  <si>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</si>
  <si>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</si>
  <si>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</si>
  <si>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</si>
  <si>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Melting_Curves/meltCurve_P62633_4_CNBP.pdf</t>
  </si>
  <si>
    <t>Melting_Curves/meltCurve_P62701_RPS4X.pdf</t>
  </si>
  <si>
    <t>Melting_Curves/meltCurve_P62714_PPP2CB.pdf</t>
  </si>
  <si>
    <t>Melting_Curves/meltCurve_P62745_RHOB.pdf</t>
  </si>
  <si>
    <t>Melting_Curves/meltCurve_P62750_RPL23A.pdf</t>
  </si>
  <si>
    <t>Melting_Curves/meltCurve_P62753_RPS6.pdf</t>
  </si>
  <si>
    <t>Melting_Curves/meltCurve_P62805_HIST1H4A.pdf</t>
  </si>
  <si>
    <t>Melting_Curves/meltCurve_P62807_HIST1H2BC.pdf</t>
  </si>
  <si>
    <t>Melting_Curves/meltCurve_P62820_RAB1A.pdf</t>
  </si>
  <si>
    <t>Melting_Curves/meltCurve_P62829_RPL23.pdf</t>
  </si>
  <si>
    <t>Melting_Curves/meltCurve_P62834_RAP1A.pdf</t>
  </si>
  <si>
    <t>Melting_Curves/meltCurve_P62837_UBE2D2.pdf</t>
  </si>
  <si>
    <t>Melting_Curves/meltCurve_P62851_RPS25.pdf</t>
  </si>
  <si>
    <t>Melting_Curves/meltCurve_P62854_RPS26.pdf</t>
  </si>
  <si>
    <t>Melting_Curves/meltCurve_P62857_RPS28.pdf</t>
  </si>
  <si>
    <t>Melting_Curves/meltCurve_P62873_GNB1.pdf</t>
  </si>
  <si>
    <t>Melting_Curves/meltCurve_P62879_GNB2.pdf</t>
  </si>
  <si>
    <t>Melting_Curves/meltCurve_P62888_RPL30.pdf</t>
  </si>
  <si>
    <t>Melting_Curves/meltCurve_P62899_RPL31.pdf</t>
  </si>
  <si>
    <t>Melting_Curves/meltCurve_P62906_RPL10A.pdf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</si>
  <si>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</si>
  <si>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</si>
  <si>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</si>
  <si>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</si>
  <si>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Melting_Curves/meltCurve_P62987_UBA52.pdf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</si>
  <si>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</si>
  <si>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</si>
  <si>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</si>
  <si>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</si>
  <si>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Melting_Curves/meltCurve_P63092_GNAS.pdf</t>
  </si>
  <si>
    <t>Melting_Curves/meltCurve_P63096_GNAI1.pdf</t>
  </si>
  <si>
    <t>Melting_Curves/meltCurve_P63104_YWHAZ.pdf</t>
  </si>
  <si>
    <t>Melting_Curves/meltCurve_P63151_PPP2R2A.pdf</t>
  </si>
  <si>
    <t>Melting_Curves/meltCurve_P63167_DYNLL1.pdf</t>
  </si>
  <si>
    <t>Melting_Curves/meltCurve_P63173_RPL38.pdf</t>
  </si>
  <si>
    <t>Melting_Curves/meltCurve_P63218_GNG5.pdf</t>
  </si>
  <si>
    <t>Melting_Curves/meltCurve_P63220_RPS21.pdf</t>
  </si>
  <si>
    <t>Melting_Curves/meltCurve_P63241_EIF5A.pdf</t>
  </si>
  <si>
    <t>Melting_Curves/meltCurve_P63244_GNB2L1.pdf</t>
  </si>
  <si>
    <t>Melting_Curves/meltCurve_P63272_SUPT4H1.pdf</t>
  </si>
  <si>
    <t>Melting_Curves/meltCurve_P67775_PPP2CA.pdf</t>
  </si>
  <si>
    <t>Melting_Curves/meltCurve_P67809_YBX1.pdf</t>
  </si>
  <si>
    <t>Melting_Curves/meltCurve_P67936_TPM4.pdf</t>
  </si>
  <si>
    <t>Melting_Curves/meltCurve_P68032_ACTC1.pdf</t>
  </si>
  <si>
    <t>Melting_Curves/meltCurve_P68036_UBE2L3.pdf</t>
  </si>
  <si>
    <t>Melting_Curves/meltCurve_P68104_EEF1A1.pdf</t>
  </si>
  <si>
    <t>Melting_Curves/meltCurve_P68106_FKBP1B.pdf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</si>
  <si>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</si>
  <si>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</si>
  <si>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</si>
  <si>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</si>
  <si>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Melting_Curves/meltCurve_P68871_HBB.pdf</t>
  </si>
  <si>
    <t>Melting_Curves/meltCurve_P69892_HBG2.pdf</t>
  </si>
  <si>
    <t>Melting_Curves/meltCurve_P78310_CXADR.pdf</t>
  </si>
  <si>
    <t>Melting_Curves/meltCurve_P78318_IGBP1.pdf</t>
  </si>
  <si>
    <t>Melting_Curves/meltCurve_P78330_PSPH.pdf</t>
  </si>
  <si>
    <t>Melting_Curves/meltCurve_P78346_RPP30.pdf</t>
  </si>
  <si>
    <t>Melting_Curves/meltCurve_P78347_2_GTF2I.pdf</t>
  </si>
  <si>
    <t>Melting_Curves/meltCurve_P78371_CCT2.pdf</t>
  </si>
  <si>
    <t>Melting_Curves/meltCurve_P78406_RAE1.pdf</t>
  </si>
  <si>
    <t>Melting_Curves/meltCurve_P78417_GSTO1.pdf</t>
  </si>
  <si>
    <t>Melting_Curves/meltCurve_P78527_PRKDC.pdf</t>
  </si>
  <si>
    <t>Melting_Curves/meltCurve_P78536_ADAM17.pdf</t>
  </si>
  <si>
    <t>Melting_Curves/meltCurve_P78537_BLOC1S1.pdf</t>
  </si>
  <si>
    <t>Melting_Curves/meltCurve_P78540_ARG2.pdf</t>
  </si>
  <si>
    <t>Melting_Curves/meltCurve_P80217_IFI35.pdf</t>
  </si>
  <si>
    <t>Melting_Curves/meltCurve_P80297_MT1X.pdf</t>
  </si>
  <si>
    <t>Melting_Curves/meltCurve_P80303_NUCB2.pdf</t>
  </si>
  <si>
    <t>Melting_Curves/meltCurve_P80723_BASP1.pdf</t>
  </si>
  <si>
    <t>Melting_Curves/meltCurve_P81274_GPSM2.pdf</t>
  </si>
  <si>
    <t>Melting_Curves/meltCurve_P82094_TMF1.pdf</t>
  </si>
  <si>
    <t>Melting_Curves/meltCurve_P82664_MRPS10.pdf</t>
  </si>
  <si>
    <t>Melting_Curves/meltCurve_P82909_MRPS36.pdf</t>
  </si>
  <si>
    <t>Melting_Curves/meltCurve_P82930_MRPS34.pdf</t>
  </si>
  <si>
    <t>Melting_Curves/meltCurve_P82932_MRPS6.pdf</t>
  </si>
  <si>
    <t>Melting_Curves/meltCurve_P82979_SARNP.pdf</t>
  </si>
  <si>
    <t>Melting_Curves/meltCurve_P83436_COG7.pdf</t>
  </si>
  <si>
    <t>Melting_Curves/meltCurve_P84074_HPCA.pdf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</si>
  <si>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</si>
  <si>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</si>
  <si>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</si>
  <si>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</si>
  <si>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Melting_Curves/meltCurve_P84101_SERF2.pdf</t>
  </si>
  <si>
    <t>Melting_Curves/meltCurve_P84157_MXRA7.pdf</t>
  </si>
  <si>
    <t>Melting_Curves/meltCurve_P84157_2_MXRA7.pdf</t>
  </si>
  <si>
    <t>Melting_Curves/meltCurve_P84157_3_MXRA7.pdf</t>
  </si>
  <si>
    <t>Melting_Curves/meltCurve_P85037_FOXK1.pdf</t>
  </si>
  <si>
    <t>Melting_Curves/meltCurve_P86397_RPP14.pdf</t>
  </si>
  <si>
    <t>Melting_Curves/meltCurve_P86791_CCZ1.pdf</t>
  </si>
  <si>
    <t>Melting_Curves/meltCurve_P98082_3_DAB2.pdf</t>
  </si>
  <si>
    <t>Melting_Curves/meltCurve_P98170_XIAP.pdf</t>
  </si>
  <si>
    <t>Melting_Curves/meltCurve_P98172_EFNB1.pdf</t>
  </si>
  <si>
    <t>Melting_Curves/meltCurve_P98173_3_FAM3A.pdf</t>
  </si>
  <si>
    <t>Melting_Curves/meltCurve_P98175_2_RBM10.pdf</t>
  </si>
  <si>
    <t>Melting_Curves/meltCurve_P98179_RBM3.pdf</t>
  </si>
  <si>
    <t>Melting_Curves/meltCurve_Q00013_2_MPP1.pdf</t>
  </si>
  <si>
    <t>Melting_Curves/meltCurve_Q00059_TFAM.pdf</t>
  </si>
  <si>
    <t>Melting_Curves/meltCurve_Q00325_2_SLC25A3.pdf</t>
  </si>
  <si>
    <t>Melting_Curves/meltCurve_Q00341_HDLBP.pdf</t>
  </si>
  <si>
    <t>Melting_Curves/meltCurve_Q00403_GTF2B.pdf</t>
  </si>
  <si>
    <t>Melting_Curves/meltCurve_Q00534_CDK6.pdf</t>
  </si>
  <si>
    <t>Melting_Curves/meltCurve_Q00535_CDK5.pdf</t>
  </si>
  <si>
    <t>Melting_Curves/meltCurve_Q00536_CDK16.pdf</t>
  </si>
  <si>
    <t>Melting_Curves/meltCurve_Q00587_2_CDC42EP1.pdf</t>
  </si>
  <si>
    <t>Melting_Curves/meltCurve_Q00610_2_CLTC.pdf</t>
  </si>
  <si>
    <t>Melting_Curves/meltCurve_Q00653_4_NFKB2.pdf</t>
  </si>
  <si>
    <t>Melting_Curves/meltCurve_Q00688_FKBP3.pdf</t>
  </si>
  <si>
    <t>Melting_Curves/meltCurve_Q00765_REEP5.pdf</t>
  </si>
  <si>
    <t>Melting_Curves/meltCurve_Q00796_SORD.pdf</t>
  </si>
  <si>
    <t>Melting_Curves/meltCurve_Q00839_2_HNRNPU.pdf</t>
  </si>
  <si>
    <t>Melting_Curves/meltCurve_Q01081_U2AF1.pdf</t>
  </si>
  <si>
    <t>Melting_Curves/meltCurve_Q01082_SPTBN1.pdf</t>
  </si>
  <si>
    <t>Melting_Curves/meltCurve_Q01085_2_TIAL1.pdf</t>
  </si>
  <si>
    <t>Melting_Curves/meltCurve_Q01105_SET.pdf</t>
  </si>
  <si>
    <t>Melting_Curves/meltCurve_Q01167_FOXK2.pdf</t>
  </si>
  <si>
    <t>Melting_Curves/meltCurve_Q01415_GALK2.pdf</t>
  </si>
  <si>
    <t>Melting_Curves/meltCurve_Q01469_FABP5.pdf</t>
  </si>
  <si>
    <t>Melting_Curves/meltCurve_Q01518_2_CAP1.pdf</t>
  </si>
  <si>
    <t>Melting_Curves/meltCurve_Q01543_2_FLI1.pdf</t>
  </si>
  <si>
    <t>Melting_Curves/meltCurve_Q01581_HMGCS1.pdf</t>
  </si>
  <si>
    <t>Melting_Curves/meltCurve_Q01650_SLC7A5.pdf</t>
  </si>
  <si>
    <t>Melting_Curves/meltCurve_Q01658_DR1.pdf</t>
  </si>
  <si>
    <t>Melting_Curves/meltCurve_Q01813_PFKP.pdf</t>
  </si>
  <si>
    <t>Melting_Curves/meltCurve_Q01968_OCRL.pdf</t>
  </si>
  <si>
    <t>Melting_Curves/meltCurve_Q01970_PLCB3.pdf</t>
  </si>
  <si>
    <t>Melting_Curves/meltCurve_Q02078_3_MEF2A.pdf</t>
  </si>
  <si>
    <t>Melting_Curves/meltCurve_Q02083_2_NAAA.pdf</t>
  </si>
  <si>
    <t>Melting_Curves/meltCurve_Q02086_2_SP2.pdf</t>
  </si>
  <si>
    <t>Melting_Curves/meltCurve_Q02127_DHODH.pdf</t>
  </si>
  <si>
    <t>Melting_Curves/meltCurve_Q02156_PRKCE.pdf</t>
  </si>
  <si>
    <t>Melting_Curves/meltCurve_Q02241_KIF23.pdf</t>
  </si>
  <si>
    <t>Melting_Curves/meltCurve_Q02446_SP4.pdf</t>
  </si>
  <si>
    <t>Melting_Curves/meltCurve_Q02750_MAP2K1.pdf</t>
  </si>
  <si>
    <t>Melting_Curves/meltCurve_Q02763_2_TEK.pdf</t>
  </si>
  <si>
    <t>Melting_Curves/meltCurve_Q02790_FKBP4.pdf</t>
  </si>
  <si>
    <t>Melting_Curves/meltCurve_Q02809_PLOD1.pdf</t>
  </si>
  <si>
    <t>Melting_Curves/meltCurve_Q02818_NUCB1.pdf</t>
  </si>
  <si>
    <t>Melting_Curves/meltCurve_Q02833_3_RASSF7.pdf</t>
  </si>
  <si>
    <t>Melting_Curves/meltCurve_Q02952_3_AKAP12.pdf</t>
  </si>
  <si>
    <t>Melting_Curves/meltCurve_Q03154_ACY1.pdf</t>
  </si>
  <si>
    <t>Melting_Curves/meltCurve_Q04446_GBE1.pdf</t>
  </si>
  <si>
    <t>Melting_Curves/meltCurve_Q04637_3_EIF4G1.pdf</t>
  </si>
  <si>
    <t>Melting_Curves/meltCurve_Q04721_NOTCH2.pdf</t>
  </si>
  <si>
    <t>Melting_Curves/meltCurve_Q04724_TLE1.pdf</t>
  </si>
  <si>
    <t>Melting_Curves/meltCurve_Q04726_3_TLE3.pdf</t>
  </si>
  <si>
    <t>Melting_Curves/meltCurve_Q04759_2_PRKCQ.pdf</t>
  </si>
  <si>
    <t>Melting_Curves/meltCurve_Q04760_GLO1.pdf</t>
  </si>
  <si>
    <t>Melting_Curves/meltCurve_Q04828_AKR1C1.pdf</t>
  </si>
  <si>
    <t>Melting_Curves/meltCurve_Q04837_SSBP1.pdf</t>
  </si>
  <si>
    <t>Melting_Curves/meltCurve_Q04917_YWHAH.pdf</t>
  </si>
  <si>
    <t>Melting_Curves/meltCurve_Q04941_PLP2.pdf</t>
  </si>
  <si>
    <t>Melting_Curves/meltCurve_Q05048_CSTF1.pdf</t>
  </si>
  <si>
    <t>Melting_Curves/meltCurve_Q05086_3_UBE3A.pdf</t>
  </si>
  <si>
    <t>Melting_Curves/meltCurve_Q05209_PTPN12.pdf</t>
  </si>
  <si>
    <t>Melting_Curves/meltCurve_Q05469_2_LIPE.pdf</t>
  </si>
  <si>
    <t>Melting_Curves/meltCurve_Q05519_2_SRSF11.pdf</t>
  </si>
  <si>
    <t>Melting_Curves/meltCurve_Q05639_EEF1A2.pdf</t>
  </si>
  <si>
    <t>Melting_Curves/meltCurve_Q05655_PRKCD.pdf</t>
  </si>
  <si>
    <t>Melting_Curves/meltCurve_Q05682_4_CALD1.pdf</t>
  </si>
  <si>
    <t>Melting_Curves/meltCurve_Q05682_5_CALD1.pdf</t>
  </si>
  <si>
    <t>Melting_Curves/meltCurve_Q06124_PTPN11.pdf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</si>
  <si>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</si>
  <si>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</si>
  <si>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</si>
  <si>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</si>
  <si>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Melting_Curves/meltCurve_Q06330_5_RBPJ.pdf</t>
  </si>
  <si>
    <t>Melting_Curves/meltCurve_Q06481_APLP2.pdf</t>
  </si>
  <si>
    <t>Melting_Curves/meltCurve_Q06546_GABPA.pdf</t>
  </si>
  <si>
    <t>Melting_Curves/meltCurve_Q06547_2_GABPB1.pdf</t>
  </si>
  <si>
    <t>Melting_Curves/meltCurve_Q06587_RING1.pdf</t>
  </si>
  <si>
    <t>Melting_Curves/meltCurve_Q06609_3_RAD51.pdf</t>
  </si>
  <si>
    <t>Melting_Curves/meltCurve_Q06830_PRDX1.pdf</t>
  </si>
  <si>
    <t>Melting_Curves/meltCurve_Q07021_C1QBP.pdf</t>
  </si>
  <si>
    <t>Melting_Curves/meltCurve_Q07065_CKAP4.pdf</t>
  </si>
  <si>
    <t>Melting_Curves/meltCurve_Q07075_ENPEP.pdf</t>
  </si>
  <si>
    <t>Melting_Curves/meltCurve_Q07666_KHDRBS1.pdf</t>
  </si>
  <si>
    <t>Melting_Curves/meltCurve_Q07812_5_BAX.pdf</t>
  </si>
  <si>
    <t>Melting_Curves/meltCurve_Q07820_2_MCL1.pdf</t>
  </si>
  <si>
    <t>Melting_Curves/meltCurve_Q07866_6_KLC1.pdf</t>
  </si>
  <si>
    <t>Melting_Curves/meltCurve_Q07954_LRP1.pdf</t>
  </si>
  <si>
    <t>Melting_Curves/meltCurve_Q07960_ARHGAP1.pdf</t>
  </si>
  <si>
    <t>Melting_Curves/meltCurve_Q08170_SRSF4.pdf</t>
  </si>
  <si>
    <t>Melting_Curves/meltCurve_Q08209_2_PPP3CA.pdf</t>
  </si>
  <si>
    <t>Melting_Curves/meltCurve_Q08211_DHX9.pdf</t>
  </si>
  <si>
    <t>Melting_Curves/meltCurve_Q08257_CRYZ.pdf</t>
  </si>
  <si>
    <t>Melting_Curves/meltCurve_Q08289_6_CACNB2.pdf</t>
  </si>
  <si>
    <t>Melting_Curves/meltCurve_Q08357_SLC20A2.pdf</t>
  </si>
  <si>
    <t>Melting_Curves/meltCurve_Q08378_2_GOLGA3.pdf</t>
  </si>
  <si>
    <t>Melting_Curves/meltCurve_Q08379_GOLGA2.pdf</t>
  </si>
  <si>
    <t>Melting_Curves/meltCurve_Q08426_EHHADH.pdf</t>
  </si>
  <si>
    <t>Melting_Curves/meltCurve_Q08722_2_CD47.pdf</t>
  </si>
  <si>
    <t>Melting_Curves/meltCurve_Q08752_PPID.pdf</t>
  </si>
  <si>
    <t>Melting_Curves/meltCurve_Q08945_SSRP1.pdf</t>
  </si>
  <si>
    <t>Melting_Curves/meltCurve_Q08AD1_2_CAMSAP2.pdf</t>
  </si>
  <si>
    <t>Melting_Curves/meltCurve_Q08AG7_MZT1.pdf</t>
  </si>
  <si>
    <t>Melting_Curves/meltCurve_Q08AM6_VAC14.pdf</t>
  </si>
  <si>
    <t>Melting_Curves/meltCurve_Q08E86_KIAA0100.pdf</t>
  </si>
  <si>
    <t>Melting_Curves/meltCurve_Q08J23_NSUN2.pdf</t>
  </si>
  <si>
    <t>Melting_Curves/meltCurve_Q09028_3_RBBP4.pdf</t>
  </si>
  <si>
    <t>Melting_Curves/meltCurve_Q09161_NCBP1.pdf</t>
  </si>
  <si>
    <t>Melting_Curves/meltCurve_Q09472_EP300.pdf</t>
  </si>
  <si>
    <t>Melting_Curves/meltCurve_Q09666_AHNAK.pdf</t>
  </si>
  <si>
    <t>Melting_Curves/meltCurve_Q0VDF9_HSPA14.pdf</t>
  </si>
  <si>
    <t>Melting_Curves/meltCurve_Q0VDG4_SCRN3.pdf</t>
  </si>
  <si>
    <t>Melting_Curves/meltCurve_Q10469_MGAT2.pdf</t>
  </si>
  <si>
    <t>Melting_Curves/meltCurve_Q10567_2_AP1B1.pdf</t>
  </si>
  <si>
    <t>Melting_Curves/meltCurve_Q10713_PMPCA.pdf</t>
  </si>
  <si>
    <t>Melting_Curves/meltCurve_Q12765_SCRN1.pdf</t>
  </si>
  <si>
    <t>Melting_Curves/meltCurve_Q12769_NUP160.pdf</t>
  </si>
  <si>
    <t>Melting_Curves/meltCurve_Q12788_TBL3.pdf</t>
  </si>
  <si>
    <t>Melting_Curves/meltCurve_Q12792_TWF1.pdf</t>
  </si>
  <si>
    <t>Melting_Curves/meltCurve_Q12797_10_ASPH.pdf</t>
  </si>
  <si>
    <t>Melting_Curves/meltCurve_Q12834_CDC20.pdf</t>
  </si>
  <si>
    <t>Melting_Curves/meltCurve_Q12841_FSTL1.pdf</t>
  </si>
  <si>
    <t>Melting_Curves/meltCurve_Q12846_STX4.pdf</t>
  </si>
  <si>
    <t>Melting_Curves/meltCurve_Q12849_GRSF1.pdf</t>
  </si>
  <si>
    <t>Melting_Curves/meltCurve_Q12872_SFSWAP.pdf</t>
  </si>
  <si>
    <t>Melting_Curves/meltCurve_Q12874_SF3A3.pdf</t>
  </si>
  <si>
    <t>Melting_Curves/meltCurve_Q12888_TP53BP1.pdf</t>
  </si>
  <si>
    <t>Melting_Curves/meltCurve_Q12893_TMEM115.pdf</t>
  </si>
  <si>
    <t>Melting_Curves/meltCurve_Q12904_AIMP1.pdf</t>
  </si>
  <si>
    <t>Melting_Curves/meltCurve_Q12905_ILF2.pdf</t>
  </si>
  <si>
    <t>Melting_Curves/meltCurve_Q12906_ILF3.pdf</t>
  </si>
  <si>
    <t>Melting_Curves/meltCurve_Q12907_LMAN2.pdf</t>
  </si>
  <si>
    <t>Melting_Curves/meltCurve_Q12929_EPS8.pdf</t>
  </si>
  <si>
    <t>Melting_Curves/meltCurve_Q12933_3_TRAF2.pdf</t>
  </si>
  <si>
    <t>Melting_Curves/meltCurve_Q12948_FOXC1.pdf</t>
  </si>
  <si>
    <t>Melting_Curves/meltCurve_Q12955_6_ANK3.pdf</t>
  </si>
  <si>
    <t>Melting_Curves/meltCurve_Q12959_5_DLG1.pdf</t>
  </si>
  <si>
    <t>Melting_Curves/meltCurve_Q12962_TAF10.pdf</t>
  </si>
  <si>
    <t>Melting_Curves/meltCurve_Q12965_MYO1E.pdf</t>
  </si>
  <si>
    <t>Melting_Curves/meltCurve_Q12972_PPP1R8.pdf</t>
  </si>
  <si>
    <t>Melting_Curves/meltCurve_Q12972_2_PPP1R8.pdf</t>
  </si>
  <si>
    <t>Melting_Curves/meltCurve_Q12981_BNIP1.pdf</t>
  </si>
  <si>
    <t>Melting_Curves/meltCurve_Q12996_CSTF3.pdf</t>
  </si>
  <si>
    <t>Melting_Curves/meltCurve_Q13011_ECH1.pdf</t>
  </si>
  <si>
    <t>Melting_Curves/meltCurve_Q13015_MLLT11.pdf</t>
  </si>
  <si>
    <t>Melting_Curves/meltCurve_Q13017_2_ARHGAP5.pdf</t>
  </si>
  <si>
    <t>Melting_Curves/meltCurve_Q13033_2_STRN3.pdf</t>
  </si>
  <si>
    <t>Melting_Curves/meltCurve_Q13043_STK4.pdf</t>
  </si>
  <si>
    <t>Melting_Curves/meltCurve_Q13045_2_FLII.pdf</t>
  </si>
  <si>
    <t>Melting_Curves/meltCurve_Q13049_TRIM32.pdf</t>
  </si>
  <si>
    <t>Melting_Curves/meltCurve_Q13057_COASY.pdf</t>
  </si>
  <si>
    <t>Melting_Curves/meltCurve_Q13098_GPS1.pdf</t>
  </si>
  <si>
    <t>Melting_Curves/meltCurve_Q13111_2_CHAF1A.pdf</t>
  </si>
  <si>
    <t>Melting_Curves/meltCurve_Q13112_CHAF1B.pdf</t>
  </si>
  <si>
    <t>Melting_Curves/meltCurve_Q13115_2_DUSP4.pdf</t>
  </si>
  <si>
    <t>Melting_Curves/meltCurve_Q13123_IK.pdf</t>
  </si>
  <si>
    <t>Melting_Curves/meltCurve_Q13126_MTAP.pdf</t>
  </si>
  <si>
    <t>Melting_Curves/meltCurve_Q13131_PRKAA1.pdf</t>
  </si>
  <si>
    <t>Melting_Curves/meltCurve_Q13136_2_PPFIA1.pdf</t>
  </si>
  <si>
    <t>Melting_Curves/meltCurve_Q13137_4_CALCOCO2.pdf</t>
  </si>
  <si>
    <t>Melting_Curves/meltCurve_Q13148_TARDBP.pdf</t>
  </si>
  <si>
    <t>Melting_Curves/meltCurve_Q13151_HNRNPA0.pdf</t>
  </si>
  <si>
    <t>Melting_Curves/meltCurve_Q13153_PAK1.pdf</t>
  </si>
  <si>
    <t>Melting_Curves/meltCurve_Q13158_FADD.pdf</t>
  </si>
  <si>
    <t>Melting_Curves/meltCurve_Q13162_PRDX4.pdf</t>
  </si>
  <si>
    <t>Melting_Curves/meltCurve_Q13164_2_MAPK7.pdf</t>
  </si>
  <si>
    <t>Melting_Curves/meltCurve_Q13177_PAK2.pdf</t>
  </si>
  <si>
    <t>Melting_Curves/meltCurve_Q13185_CBX3.pdf</t>
  </si>
  <si>
    <t>Melting_Curves/meltCurve_Q13188_STK3.pdf</t>
  </si>
  <si>
    <t>Melting_Curves/meltCurve_Q13200_PSMD2.pdf</t>
  </si>
  <si>
    <t>Melting_Curves/meltCurve_Q13206_DDX10.pdf</t>
  </si>
  <si>
    <t>Melting_Curves/meltCurve_Q13217_DNAJC3.pdf</t>
  </si>
  <si>
    <t>Melting_Curves/meltCurve_Q13228_2_SELENBP1.pdf</t>
  </si>
  <si>
    <t>Melting_Curves/meltCurve_Q13232_NME3.pdf</t>
  </si>
  <si>
    <t>Melting_Curves/meltCurve_Q13243_3_SRSF5.pdf</t>
  </si>
  <si>
    <t>Melting_Curves/meltCurve_Q13247_3_SRSF6.pdf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</si>
  <si>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</si>
  <si>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</si>
  <si>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</si>
  <si>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</si>
  <si>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Melting_Curves/meltCurve_Q13308_PTK7.pdf</t>
  </si>
  <si>
    <t>Melting_Curves/meltCurve_Q13309_SKP2.pdf</t>
  </si>
  <si>
    <t>Melting_Curves/meltCurve_Q13310_3_PABPC4.pdf</t>
  </si>
  <si>
    <t>Melting_Curves/meltCurve_Q13322_2_GRB10.pdf</t>
  </si>
  <si>
    <t>Melting_Curves/meltCurve_Q13325_IFIT5.pdf</t>
  </si>
  <si>
    <t>Melting_Curves/meltCurve_Q13347_EIF3I.pdf</t>
  </si>
  <si>
    <t>Melting_Curves/meltCurve_Q13356_PPIL2.pdf</t>
  </si>
  <si>
    <t>Melting_Curves/meltCurve_Q13362_4_PPP2R5C.pdf</t>
  </si>
  <si>
    <t>Melting_Curves/meltCurve_Q13363_CTBP1.pdf</t>
  </si>
  <si>
    <t>Melting_Curves/meltCurve_Q13371_PDCL.pdf</t>
  </si>
  <si>
    <t>Melting_Curves/meltCurve_Q13395_TARBP1.pdf</t>
  </si>
  <si>
    <t>Melting_Curves/meltCurve_Q13405_MRPL49.pdf</t>
  </si>
  <si>
    <t>Melting_Curves/meltCurve_Q13409_6_DYNC1I2.pdf</t>
  </si>
  <si>
    <t>Melting_Curves/meltCurve_Q13416_ORC2.pdf</t>
  </si>
  <si>
    <t>Melting_Curves/meltCurve_Q13418_ILK.pdf</t>
  </si>
  <si>
    <t>Melting_Curves/meltCurve_Q13423_NNT.pdf</t>
  </si>
  <si>
    <t>Melting_Curves/meltCurve_Q13424_SNTA1.pdf</t>
  </si>
  <si>
    <t>Melting_Curves/meltCurve_Q13425_SNTB2.pdf</t>
  </si>
  <si>
    <t>Melting_Curves/meltCurve_Q13426_XRCC4.pdf</t>
  </si>
  <si>
    <t>Melting_Curves/meltCurve_Q13432_2_UNC119.pdf</t>
  </si>
  <si>
    <t>Melting_Curves/meltCurve_Q13435_SF3B2.pdf</t>
  </si>
  <si>
    <t>Melting_Curves/meltCurve_Q13438_5_OS9.pdf</t>
  </si>
  <si>
    <t>Melting_Curves/meltCurve_Q13442_PDAP1.pdf</t>
  </si>
  <si>
    <t>Melting_Curves/meltCurve_Q13443_ADAM9.pdf</t>
  </si>
  <si>
    <t>Melting_Curves/meltCurve_Q13444_8_ADAM15.pdf</t>
  </si>
  <si>
    <t>Melting_Curves/meltCurve_Q13445_TMED1.pdf</t>
  </si>
  <si>
    <t>Melting_Curves/meltCurve_Q13451_FKBP5.pdf</t>
  </si>
  <si>
    <t>Melting_Curves/meltCurve_Q13464_ROCK1.pdf</t>
  </si>
  <si>
    <t>Melting_Curves/meltCurve_Q13480_2_GAB1.pdf</t>
  </si>
  <si>
    <t>Melting_Curves/meltCurve_Q13492_3_PICALM.pdf</t>
  </si>
  <si>
    <t>Melting_Curves/meltCurve_Q13503_MED21.pdf</t>
  </si>
  <si>
    <t>Melting_Curves/meltCurve_Q13505_3_MTX1.pdf</t>
  </si>
  <si>
    <t>Melting_Curves/meltCurve_Q13509_TUBB3.pdf</t>
  </si>
  <si>
    <t>Melting_Curves/meltCurve_Q13526_PIN1.pdf</t>
  </si>
  <si>
    <t>Melting_Curves/meltCurve_Q13541_EIF4EBP1.pdf</t>
  </si>
  <si>
    <t>Melting_Curves/meltCurve_Q13542_EIF4EBP2.pdf</t>
  </si>
  <si>
    <t>Melting_Curves/meltCurve_Q13546_2_RIPK1.pdf</t>
  </si>
  <si>
    <t>Melting_Curves/meltCurve_Q13564_2_NAE1.pdf</t>
  </si>
  <si>
    <t>Melting_Curves/meltCurve_Q13572_ITPK1.pdf</t>
  </si>
  <si>
    <t>Melting_Curves/meltCurve_Q13573_SNW1.pdf</t>
  </si>
  <si>
    <t>Melting_Curves/meltCurve_Q13576_IQGAP2.pdf</t>
  </si>
  <si>
    <t>Melting_Curves/meltCurve_Q13586_STIM1.pdf</t>
  </si>
  <si>
    <t>Melting_Curves/meltCurve_Q13596_2_SNX1.pdf</t>
  </si>
  <si>
    <t>Melting_Curves/meltCurve_Q13614_MTMR2.pdf</t>
  </si>
  <si>
    <t>Melting_Curves/meltCurve_Q13616_CUL1.pdf</t>
  </si>
  <si>
    <t>Melting_Curves/meltCurve_Q13617_CUL2.pdf</t>
  </si>
  <si>
    <t>Melting_Curves/meltCurve_Q13618_2_CUL3.pdf</t>
  </si>
  <si>
    <t>Melting_Curves/meltCurve_Q13625_TP53BP2.pdf</t>
  </si>
  <si>
    <t>Melting_Curves/meltCurve_Q13630_TSTA3.pdf</t>
  </si>
  <si>
    <t>Melting_Curves/meltCurve_Q13636_RAB31.pdf</t>
  </si>
  <si>
    <t>Melting_Curves/meltCurve_Q13637_RAB32.pdf</t>
  </si>
  <si>
    <t>Melting_Curves/meltCurve_Q13641_TPBG.pdf</t>
  </si>
  <si>
    <t>Melting_Curves/meltCurve_Q13642_5_FHL1.pdf</t>
  </si>
  <si>
    <t>Melting_Curves/meltCurve_Q13643_FHL3.pdf</t>
  </si>
  <si>
    <t>Melting_Curves/meltCurve_Q13686_ALKBH1.pdf</t>
  </si>
  <si>
    <t>Melting_Curves/meltCurve_Q13724_MOGS.pdf</t>
  </si>
  <si>
    <t>Melting_Curves/meltCurve_Q13740_2_ALCAM.pdf</t>
  </si>
  <si>
    <t>Melting_Curves/meltCurve_Q13796_SHROOM2.pdf</t>
  </si>
  <si>
    <t>Melting_Curves/meltCurve_Q13813_3_SPTAN1.pdf</t>
  </si>
  <si>
    <t>Melting_Curves/meltCurve_Q13825_AUH.pdf</t>
  </si>
  <si>
    <t>Melting_Curves/meltCurve_Q13884_SNTB1.pdf</t>
  </si>
  <si>
    <t>Melting_Curves/meltCurve_Q13885_TUBB2A.pdf</t>
  </si>
  <si>
    <t>Melting_Curves/meltCurve_Q13895_BYSL.pdf</t>
  </si>
  <si>
    <t>Melting_Curves/meltCurve_Q13907_IDI1.pdf</t>
  </si>
  <si>
    <t>Melting_Curves/meltCurve_Q13951_2_CBFB.pdf</t>
  </si>
  <si>
    <t>Melting_Curves/meltCurve_Q13952_3_NFYC.pdf</t>
  </si>
  <si>
    <t>Melting_Curves/meltCurve_Q14008_2_CKAP5.pdf</t>
  </si>
  <si>
    <t>Melting_Curves/meltCurve_Q14011_CIRBP.pdf</t>
  </si>
  <si>
    <t>Melting_Curves/meltCurve_Q14012_CAMK1.pdf</t>
  </si>
  <si>
    <t>Melting_Curves/meltCurve_Q14019_COTL1.pdf</t>
  </si>
  <si>
    <t>Melting_Curves/meltCurve_Q14050_COL9A3.pdf</t>
  </si>
  <si>
    <t>Melting_Curves/meltCurve_Q14061_COX17.pdf</t>
  </si>
  <si>
    <t>Melting_Curves/meltCurve_Q14103_3_HNRNPD.pdf</t>
  </si>
  <si>
    <t>Melting_Curves/meltCurve_Q14108_SCARB2.pdf</t>
  </si>
  <si>
    <t>Melting_Curves/meltCurve_Q14114_2_LRP8.pdf</t>
  </si>
  <si>
    <t>Melting_Curves/meltCurve_Q14118_DAG1.pdf</t>
  </si>
  <si>
    <t>Melting_Curves/meltCurve_Q14126_DSG2.pdf</t>
  </si>
  <si>
    <t>Melting_Curves/meltCurve_Q14129_DGCR6.pdf</t>
  </si>
  <si>
    <t>Melting_Curves/meltCurve_Q14135_VGLL4.pdf</t>
  </si>
  <si>
    <t>Melting_Curves/meltCurve_Q14137_BOP1.pdf</t>
  </si>
  <si>
    <t>Melting_Curves/meltCurve_Q14139_UBE4A.pdf</t>
  </si>
  <si>
    <t>Melting_Curves/meltCurve_Q14145_KEAP1.pdf</t>
  </si>
  <si>
    <t>Melting_Curves/meltCurve_Q14151_SAFB2.pdf</t>
  </si>
  <si>
    <t>Melting_Curves/meltCurve_Q14152_EIF3A.pdf</t>
  </si>
  <si>
    <t>Melting_Curves/meltCurve_Q14157_UBAP2L.pdf</t>
  </si>
  <si>
    <t>Melting_Curves/meltCurve_Q14157_1_UBAP2L.pdf</t>
  </si>
  <si>
    <t>Melting_Curves/meltCurve_Q14160_SCRIB.pdf</t>
  </si>
  <si>
    <t>Melting_Curves/meltCurve_Q14165_MLEC.pdf</t>
  </si>
  <si>
    <t>Melting_Curves/meltCurve_Q14166_TTLL12.pdf</t>
  </si>
  <si>
    <t>Melting_Curves/meltCurve_Q14181_POLA2.pdf</t>
  </si>
  <si>
    <t>Melting_Curves/meltCurve_Q14195_2_DPYSL3.pdf</t>
  </si>
  <si>
    <t>Melting_Curves/meltCurve_Q14204_DYNC1H1.pdf</t>
  </si>
  <si>
    <t>Melting_Curves/meltCurve_Q14232_EIF2B1.pdf</t>
  </si>
  <si>
    <t>Melting_Curves/meltCurve_Q14240_EIF4A2.pdf</t>
  </si>
  <si>
    <t>Melting_Curves/meltCurve_Q14241_TCEB3.pdf</t>
  </si>
  <si>
    <t>Melting_Curves/meltCurve_Q14244_MAP7.pdf</t>
  </si>
  <si>
    <t>Melting_Curves/meltCurve_Q14247_CTTN.pdf</t>
  </si>
  <si>
    <t>Melting_Curves/meltCurve_Q14249_ENDOG.pdf</t>
  </si>
  <si>
    <t>Melting_Curves/meltCurve_Q14257_RCN2.pdf</t>
  </si>
  <si>
    <t>Melting_Curves/meltCurve_Q14315_2_FLNC.pdf</t>
  </si>
  <si>
    <t>Melting_Curves/meltCurve_Q14318_2_FKBP8.pdf</t>
  </si>
  <si>
    <t>Melting_Curves/meltCurve_Q14320_FAM50A.pdf</t>
  </si>
  <si>
    <t>Melting_Curves/meltCurve_Q14331_FRG1.pdf</t>
  </si>
  <si>
    <t>Melting_Curves/meltCurve_Q14344_GNA13.pdf</t>
  </si>
  <si>
    <t>Melting_Curves/meltCurve_Q14353_GAMT.pdf</t>
  </si>
  <si>
    <t>Melting_Curves/meltCurve_Q14376_GALE.pdf</t>
  </si>
  <si>
    <t>Melting_Curves/meltCurve_Q14444_2_CAPRIN1.pdf</t>
  </si>
  <si>
    <t>Melting_Curves/meltCurve_Q14469_HES1.pdf</t>
  </si>
  <si>
    <t>Melting_Curves/meltCurve_Q14498_2_RBM39.pdf</t>
  </si>
  <si>
    <t>Melting_Curves/meltCurve_Q14520_2_HABP2.pdf</t>
  </si>
  <si>
    <t>Melting_Curves/meltCurve_Q14534_SQLE.pdf</t>
  </si>
  <si>
    <t>Melting_Curves/meltCurve_Q14554_PDIA5.pdf</t>
  </si>
  <si>
    <t>Melting_Curves/meltCurve_Q14566_MCM6.pdf</t>
  </si>
  <si>
    <t>Melting_Curves/meltCurve_Q14651_PLS1.pdf</t>
  </si>
  <si>
    <t>Melting_Curves/meltCurve_Q14653_IRF3.pdf</t>
  </si>
  <si>
    <t>Melting_Curves/meltCurve_Q14657_LAGE3.pdf</t>
  </si>
  <si>
    <t>Melting_Curves/meltCurve_Q14669_2_TRIP12.pdf</t>
  </si>
  <si>
    <t>Melting_Curves/meltCurve_Q14671_PUM1.pdf</t>
  </si>
  <si>
    <t>Melting_Curves/meltCurve_Q14674_ESPL1.pdf</t>
  </si>
  <si>
    <t>Melting_Curves/meltCurve_Q14676_3_MDC1.pdf</t>
  </si>
  <si>
    <t>Melting_Curves/meltCurve_Q14677_CLINT1.pdf</t>
  </si>
  <si>
    <t>Melting_Curves/meltCurve_Q14681_KCTD2.pdf</t>
  </si>
  <si>
    <t>Melting_Curves/meltCurve_Q14683_SMC1A.pdf</t>
  </si>
  <si>
    <t>Melting_Curves/meltCurve_Q14684_2_RRP1B.pdf</t>
  </si>
  <si>
    <t>Melting_Curves/meltCurve_Q14686_NCOA6.pdf</t>
  </si>
  <si>
    <t>Melting_Curves/meltCurve_Q14687_2_GSE1.pdf</t>
  </si>
  <si>
    <t>Melting_Curves/meltCurve_Q14691_GINS1.pdf</t>
  </si>
  <si>
    <t>Melting_Curves/meltCurve_Q14694_USP10.pdf</t>
  </si>
  <si>
    <t>Melting_Curves/meltCurve_Q14696_MESDC2.pdf</t>
  </si>
  <si>
    <t>Melting_Curves/meltCurve_Q14697_GANAB.pdf</t>
  </si>
  <si>
    <t>Melting_Curves/meltCurve_Q14699_RFTN1.pdf</t>
  </si>
  <si>
    <t>Melting_Curves/meltCurve_Q14739_LBR.pdf</t>
  </si>
  <si>
    <t>Melting_Curves/meltCurve_Q14789_GOLGB1.pdf</t>
  </si>
  <si>
    <t>Melting_Curves/meltCurve_Q14790_CASP8.pdf</t>
  </si>
  <si>
    <t>Melting_Curves/meltCurve_Q147X3_NAA30.pdf</t>
  </si>
  <si>
    <t>Melting_Curves/meltCurve_Q14814_4_MEF2D.pdf</t>
  </si>
  <si>
    <t>Melting_Curves/meltCurve_Q14847_LASP1.pdf</t>
  </si>
  <si>
    <t>Melting_Curves/meltCurve_Q14872_MTF1.pdf</t>
  </si>
  <si>
    <t>Melting_Curves/meltCurve_Q14964_RAB39A.pdf</t>
  </si>
  <si>
    <t>Melting_Curves/meltCurve_Q14966_ZNF638.pdf</t>
  </si>
  <si>
    <t>Melting_Curves/meltCurve_Q14974_KPNB1.pdf</t>
  </si>
  <si>
    <t>Melting_Curves/meltCurve_Q14978_NOLC1.pdf</t>
  </si>
  <si>
    <t>Melting_Curves/meltCurve_Q14980_2_NUMA1.pdf</t>
  </si>
  <si>
    <t>Melting_Curves/meltCurve_Q14BN4_2_SLMAP.pdf</t>
  </si>
  <si>
    <t>Melting_Curves/meltCurve_Q14C86_6_GAPVD1.pdf</t>
  </si>
  <si>
    <t>Melting_Curves/meltCurve_Q14CS0_UBXN2B.pdf</t>
  </si>
  <si>
    <t>Melting_Curves/meltCurve_Q14CX7_2_NAA25.pdf</t>
  </si>
  <si>
    <t>Melting_Curves/meltCurve_Q14CZ7_FASTKD3.pdf</t>
  </si>
  <si>
    <t>Melting_Curves/meltCurve_Q15004_KIAA0101.pdf</t>
  </si>
  <si>
    <t>Melting_Curves/meltCurve_Q15006_EMC2.pdf</t>
  </si>
  <si>
    <t>Melting_Curves/meltCurve_Q15007_WTAP.pdf</t>
  </si>
  <si>
    <t>Melting_Curves/meltCurve_Q15008_PSMD6.pdf</t>
  </si>
  <si>
    <t>Melting_Curves/meltCurve_Q15012_LAPTM4A.pdf</t>
  </si>
  <si>
    <t>Melting_Curves/meltCurve_Q15013_MAD2L1BP.pdf</t>
  </si>
  <si>
    <t>Melting_Curves/meltCurve_Q15018_FAM175B.pdf</t>
  </si>
  <si>
    <t>Melting_Curves/meltCurve_Q15019_SEPT2.pdf</t>
  </si>
  <si>
    <t>Melting_Curves/meltCurve_Q15021_NCAPD2.pdf</t>
  </si>
  <si>
    <t>Melting_Curves/meltCurve_Q15024_EXOSC7.pdf</t>
  </si>
  <si>
    <t>Melting_Curves/meltCurve_Q15029_2_EFTUD2.pdf</t>
  </si>
  <si>
    <t>Melting_Curves/meltCurve_Q15032_2_R3HDM1.pdf</t>
  </si>
  <si>
    <t>Melting_Curves/meltCurve_Q15036_2_SNX17.pdf</t>
  </si>
  <si>
    <t>Melting_Curves/meltCurve_Q15038_2_DAZAP2.pdf</t>
  </si>
  <si>
    <t>Melting_Curves/meltCurve_Q15043_2_SLC39A14.pdf</t>
  </si>
  <si>
    <t>Melting_Curves/meltCurve_Q15046_KARS.pdf</t>
  </si>
  <si>
    <t>Melting_Curves/meltCurve_Q15047_3_SETDB1.pdf</t>
  </si>
  <si>
    <t>Melting_Curves/meltCurve_Q15051_IQCB1.pdf</t>
  </si>
  <si>
    <t>Melting_Curves/meltCurve_Q15056_EIF4H.pdf</t>
  </si>
  <si>
    <t>Melting_Curves/meltCurve_Q15056_2_EIF4H.pdf</t>
  </si>
  <si>
    <t>Melting_Curves/meltCurve_Q15057_ACAP2.pdf</t>
  </si>
  <si>
    <t>Melting_Curves/meltCurve_Q15059_BRD3.pdf</t>
  </si>
  <si>
    <t>Melting_Curves/meltCurve_Q15061_WDR43.pdf</t>
  </si>
  <si>
    <t>Melting_Curves/meltCurve_Q15067_2_ACOX1.pdf</t>
  </si>
  <si>
    <t>Melting_Curves/meltCurve_Q15075_EEA1.pdf</t>
  </si>
  <si>
    <t>Melting_Curves/meltCurve_Q15102_PAFAH1B3.pdf</t>
  </si>
  <si>
    <t>Melting_Curves/meltCurve_Q15111_PLCL1.pdf</t>
  </si>
  <si>
    <t>Melting_Curves/meltCurve_Q15118_PDK1.pdf</t>
  </si>
  <si>
    <t>Melting_Curves/meltCurve_Q15120_PDK3.pdf</t>
  </si>
  <si>
    <t>Melting_Curves/meltCurve_Q15125_EBP.pdf</t>
  </si>
  <si>
    <t>Melting_Curves/meltCurve_Q15126_PMVK.pdf</t>
  </si>
  <si>
    <t>Melting_Curves/meltCurve_Q15149_4_PLEC.pdf</t>
  </si>
  <si>
    <t>Melting_Curves/meltCurve_Q15155_NOMO1.pdf</t>
  </si>
  <si>
    <t>Melting_Curves/meltCurve_Q15170_2_TCEAL1.pdf</t>
  </si>
  <si>
    <t>Melting_Curves/meltCurve_Q15172_PPP2R5A.pdf</t>
  </si>
  <si>
    <t>Melting_Curves/meltCurve_Q15173_2_PPP2R5B.pdf</t>
  </si>
  <si>
    <t>Melting_Curves/meltCurve_Q15181_PPA1.pdf</t>
  </si>
  <si>
    <t>Melting_Curves/meltCurve_Q15208_STK38.pdf</t>
  </si>
  <si>
    <t>Melting_Curves/meltCurve_Q15233_NONO.pdf</t>
  </si>
  <si>
    <t>Melting_Curves/meltCurve_Q15257_PPP2R4.pdf</t>
  </si>
  <si>
    <t>Melting_Curves/meltCurve_Q15276_RABEP1.pdf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</si>
  <si>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</si>
  <si>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</si>
  <si>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</si>
  <si>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</si>
  <si>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Melting_Curves/meltCurve_Q15334_LLGL1.pdf</t>
  </si>
  <si>
    <t>Melting_Curves/meltCurve_Q15345_LRRC41.pdf</t>
  </si>
  <si>
    <t>Melting_Curves/meltCurve_Q15365_PCBP1.pdf</t>
  </si>
  <si>
    <t>Melting_Curves/meltCurve_Q15366_3_PCBP2.pdf</t>
  </si>
  <si>
    <t>Melting_Curves/meltCurve_Q15375_EPHA7.pdf</t>
  </si>
  <si>
    <t>Melting_Curves/meltCurve_Q15382_RHEB.pdf</t>
  </si>
  <si>
    <t>Melting_Curves/meltCurve_Q15388_TOMM20.pdf</t>
  </si>
  <si>
    <t>Melting_Curves/meltCurve_Q15393_SF3B3.pdf</t>
  </si>
  <si>
    <t>Melting_Curves/meltCurve_Q15398_3_DLGAP5.pdf</t>
  </si>
  <si>
    <t>Melting_Curves/meltCurve_Q15404_RSU1.pdf</t>
  </si>
  <si>
    <t>Melting_Curves/meltCurve_Q15424_2_SAFB.pdf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</si>
  <si>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</si>
  <si>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</si>
  <si>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</si>
  <si>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</si>
  <si>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Melting_Curves/meltCurve_Q15459_SF3A1.pdf</t>
  </si>
  <si>
    <t>Melting_Curves/meltCurve_Q15464_SHB.pdf</t>
  </si>
  <si>
    <t>Melting_Curves/meltCurve_Q15477_SKIV2L.pdf</t>
  </si>
  <si>
    <t>Melting_Curves/meltCurve_Q15506_SPA17.pdf</t>
  </si>
  <si>
    <t>Melting_Curves/meltCurve_Q15526_2_SURF1.pdf</t>
  </si>
  <si>
    <t>Melting_Curves/meltCurve_Q15527_SURF2.pdf</t>
  </si>
  <si>
    <t>Melting_Curves/meltCurve_Q15545_TAF7.pdf</t>
  </si>
  <si>
    <t>Melting_Curves/meltCurve_Q15555_MAPRE2.pdf</t>
  </si>
  <si>
    <t>Melting_Curves/meltCurve_Q15596_NCOA2.pdf</t>
  </si>
  <si>
    <t>Melting_Curves/meltCurve_Q15599_2_SLC9A3R2.pdf</t>
  </si>
  <si>
    <t>Melting_Curves/meltCurve_Q15633_2_TARBP2.pdf</t>
  </si>
  <si>
    <t>Melting_Curves/meltCurve_Q15637_5_SF1.pdf</t>
  </si>
  <si>
    <t>Melting_Curves/meltCurve_Q15642_TRIP10.pdf</t>
  </si>
  <si>
    <t>Melting_Curves/meltCurve_Q15642_2_TRIP10.pdf</t>
  </si>
  <si>
    <t>Melting_Curves/meltCurve_Q15643_TRIP11.pdf</t>
  </si>
  <si>
    <t>Melting_Curves/meltCurve_Q15645_TRIP13.pdf</t>
  </si>
  <si>
    <t>Melting_Curves/meltCurve_Q15649_ZNHIT3.pdf</t>
  </si>
  <si>
    <t>Melting_Curves/meltCurve_Q15652_2_JMJD1C.pdf</t>
  </si>
  <si>
    <t>Melting_Curves/meltCurve_Q15654_TRIP6.pdf</t>
  </si>
  <si>
    <t>Melting_Curves/meltCurve_Q15691_MAPRE1.pdf</t>
  </si>
  <si>
    <t>Melting_Curves/meltCurve_Q15714_TSC22D1.pdf</t>
  </si>
  <si>
    <t>Melting_Curves/meltCurve_Q15738_NSDHL.pdf</t>
  </si>
  <si>
    <t>Melting_Curves/meltCurve_Q15750_TAB1.pdf</t>
  </si>
  <si>
    <t>Melting_Curves/meltCurve_Q15758_SLC1A5.pdf</t>
  </si>
  <si>
    <t>Melting_Curves/meltCurve_Q15759_MAPK11.pdf</t>
  </si>
  <si>
    <t>Melting_Curves/meltCurve_Q15768_EFNB3.pdf</t>
  </si>
  <si>
    <t>Melting_Curves/meltCurve_Q15785_TOMM34.pdf</t>
  </si>
  <si>
    <t>Melting_Curves/meltCurve_Q15800_2_MSMO1.pdf</t>
  </si>
  <si>
    <t>Melting_Curves/meltCurve_Q15814_TBCC.pdf</t>
  </si>
  <si>
    <t>Melting_Curves/meltCurve_Q15818_NPTX1.pdf</t>
  </si>
  <si>
    <t>Melting_Curves/meltCurve_Q15819_UBE2V2.pdf</t>
  </si>
  <si>
    <t>Melting_Curves/meltCurve_Q15831_STK11.pdf</t>
  </si>
  <si>
    <t>Melting_Curves/meltCurve_Q15833_2_STXBP2.pdf</t>
  </si>
  <si>
    <t>Melting_Curves/meltCurve_Q15836_VAMP3.pdf</t>
  </si>
  <si>
    <t>Melting_Curves/meltCurve_Q15907_RAB11B.pdf</t>
  </si>
  <si>
    <t>Melting_Curves/meltCurve_Q15942_ZYX.pdf</t>
  </si>
  <si>
    <t>Melting_Curves/meltCurve_Q16134_ETFDH.pdf</t>
  </si>
  <si>
    <t>Melting_Curves/meltCurve_Q16143_SNCB.pdf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</si>
  <si>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</si>
  <si>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</si>
  <si>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</si>
  <si>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</si>
  <si>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</si>
  <si>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Melting_Curves/meltCurve_Q16401_2_PSMD5.pdf</t>
  </si>
  <si>
    <t>Melting_Curves/meltCurve_Q16512_PKN1.pdf</t>
  </si>
  <si>
    <t>Melting_Curves/meltCurve_Q16513_PKN2.pdf</t>
  </si>
  <si>
    <t>Melting_Curves/meltCurve_Q16514_2_TAF12.pdf</t>
  </si>
  <si>
    <t>Melting_Curves/meltCurve_Q16531_DDB1.pdf</t>
  </si>
  <si>
    <t>Melting_Curves/meltCurve_Q16539_MAPK14.pdf</t>
  </si>
  <si>
    <t>Melting_Curves/meltCurve_Q16543_CDC37.pdf</t>
  </si>
  <si>
    <t>Melting_Curves/meltCurve_Q16555_DPYSL2.pdf</t>
  </si>
  <si>
    <t>Melting_Curves/meltCurve_Q16566_CAMK4.pdf</t>
  </si>
  <si>
    <t>Melting_Curves/meltCurve_Q16576_RBBP7.pdf</t>
  </si>
  <si>
    <t>Melting_Curves/meltCurve_Q16576_2_RBBP7.pdf</t>
  </si>
  <si>
    <t>Melting_Curves/meltCurve_Q16587_5_ZNF74.pdf</t>
  </si>
  <si>
    <t>Melting_Curves/meltCurve_Q16594_TAF9.pdf</t>
  </si>
  <si>
    <t>Melting_Curves/meltCurve_Q16625_4_OCLN.pdf</t>
  </si>
  <si>
    <t>Melting_Curves/meltCurve_Q16626_MEA1.pdf</t>
  </si>
  <si>
    <t>Melting_Curves/meltCurve_Q16630_CPSF6.pdf</t>
  </si>
  <si>
    <t>Melting_Curves/meltCurve_Q16643_DBN1.pdf</t>
  </si>
  <si>
    <t>Melting_Curves/meltCurve_Q16644_MAPKAPK3.pdf</t>
  </si>
  <si>
    <t>Melting_Curves/meltCurve_Q16658_FSCN1.pdf</t>
  </si>
  <si>
    <t>Melting_Curves/meltCurve_Q16718_NDUFA5.pdf</t>
  </si>
  <si>
    <t>Melting_Curves/meltCurve_Q16720_8_ATP2B3.pdf</t>
  </si>
  <si>
    <t>Melting_Curves/meltCurve_Q16740_CLPP.pdf</t>
  </si>
  <si>
    <t>Melting_Curves/meltCurve_Q16762_TST.pdf</t>
  </si>
  <si>
    <t>Melting_Curves/meltCurve_Q16763_UBE2S.pdf</t>
  </si>
  <si>
    <t>Melting_Curves/meltCurve_Q16799_RTN1.pdf</t>
  </si>
  <si>
    <t>Melting_Curves/meltCurve_Q16822_PCK2.pdf</t>
  </si>
  <si>
    <t>Melting_Curves/meltCurve_Q16831_UPP1.pdf</t>
  </si>
  <si>
    <t>Melting_Curves/meltCurve_Q16850_CYP51A1.pdf</t>
  </si>
  <si>
    <t>Melting_Curves/meltCurve_Q16854_DGUOK.pdf</t>
  </si>
  <si>
    <t>Melting_Curves/meltCurve_Q16864_ATP6V1F.pdf</t>
  </si>
  <si>
    <t>Melting_Curves/meltCurve_Q17R31_2_TATDN3.pdf</t>
  </si>
  <si>
    <t>Melting_Curves/meltCurve_Q17RS7_GEN1.pdf</t>
  </si>
  <si>
    <t>Melting_Curves/meltCurve_Q17RU2_REL.pdf</t>
  </si>
  <si>
    <t>Melting_Curves/meltCurve_Q1MSJ5_2_CSPP1.pdf</t>
  </si>
  <si>
    <t>Melting_Curves/meltCurve_Q27J81_2_INF2.pdf</t>
  </si>
  <si>
    <t>Melting_Curves/meltCurve_Q29RF7_PDS5A.pdf</t>
  </si>
  <si>
    <t>Melting_Curves/meltCurve_Q2KHR3_QSER1.pdf</t>
  </si>
  <si>
    <t>Melting_Curves/meltCurve_Q2M2I8_2_AAK1.pdf</t>
  </si>
  <si>
    <t>Melting_Curves/meltCurve_Q2M2Z5_5_PLK1S1.pdf</t>
  </si>
  <si>
    <t>Melting_Curves/meltCurve_Q2NKX8_ERCC6L.pdf</t>
  </si>
  <si>
    <t>Melting_Curves/meltCurve_Q2NL82_TSR1.pdf</t>
  </si>
  <si>
    <t>Melting_Curves/meltCurve_Q2T9J0_TYSND1.pdf</t>
  </si>
  <si>
    <t>Melting_Curves/meltCurve_Q2TAA5_ALG11.pdf</t>
  </si>
  <si>
    <t>Melting_Curves/meltCurve_Q2TAL8_QRICH1.pdf</t>
  </si>
  <si>
    <t>Melting_Curves/meltCurve_Q2TAM5_RELA.pdf</t>
  </si>
  <si>
    <t>Melting_Curves/meltCurve_Q2TAY7_SMU1.pdf</t>
  </si>
  <si>
    <t>Melting_Curves/meltCurve_Q2TBE0_CWF19L2.pdf</t>
  </si>
  <si>
    <t>Melting_Curves/meltCurve_Q2YD98_UVSSA.pdf</t>
  </si>
  <si>
    <t>Melting_Curves/meltCurve_Q32MZ4_LRRFIP1.pdf</t>
  </si>
  <si>
    <t>Melting_Curves/meltCurve_Q32MZ4_2_LRRFIP1.pdf</t>
  </si>
  <si>
    <t>Melting_Curves/meltCurve_Q32MZ4_3_LRRFIP1.pdf</t>
  </si>
  <si>
    <t>Melting_Curves/meltCurve_Q32MZ4_4_LRRFIP1.pdf</t>
  </si>
  <si>
    <t>Melting_Curves/meltCurve_Q32N00_POLD3.pdf</t>
  </si>
  <si>
    <t>Melting_Curves/meltCurve_Q32NB8_PGS1.pdf</t>
  </si>
  <si>
    <t>Melting_Curves/meltCurve_Q32P28_LEPRE1.pdf</t>
  </si>
  <si>
    <t>Melting_Curves/meltCurve_Q32P28_3_LEPRE1.pdf</t>
  </si>
  <si>
    <t>Melting_Curves/meltCurve_Q32P41_TRMT5.pdf</t>
  </si>
  <si>
    <t>Melting_Curves/meltCurve_Q32Q12_NME1_NME2.pdf</t>
  </si>
  <si>
    <t>Melting_Curves/meltCurve_Q3B726_TWISTNB.pdf</t>
  </si>
  <si>
    <t>Melting_Curves/meltCurve_Q3KQU3_2_MAP7D1.pdf</t>
  </si>
  <si>
    <t>Melting_Curves/meltCurve_Q3KQV9_UAP1L1.pdf</t>
  </si>
  <si>
    <t>Melting_Curves/meltCurve_Q3KRA6_C2orf76.pdf</t>
  </si>
  <si>
    <t>Melting_Curves/meltCurve_Q3KRA9_ALKBH6.pdf</t>
  </si>
  <si>
    <t>Melting_Curves/meltCurve_Q3LXA3_DAK.pdf</t>
  </si>
  <si>
    <t>Melting_Curves/meltCurve_Q3MHD2_LSM12.pdf</t>
  </si>
  <si>
    <t>Melting_Curves/meltCurve_Q3MII6_TBC1D25.pdf</t>
  </si>
  <si>
    <t>Melting_Curves/meltCurve_Q3MIT2_PUS10.pdf</t>
  </si>
  <si>
    <t>Melting_Curves/meltCurve_Q3SXM5_HSDL1.pdf</t>
  </si>
  <si>
    <t>Melting_Curves/meltCurve_Q3V6T2_2_CCDC88A.pdf</t>
  </si>
  <si>
    <t>Melting_Curves/meltCurve_Q3YEC7_RABL6.pdf</t>
  </si>
  <si>
    <t>Melting_Curves/meltCurve_Q3ZCM7_TUBB8.pdf</t>
  </si>
  <si>
    <t>Melting_Curves/meltCurve_Q3ZCQ8_TIMM50.pdf</t>
  </si>
  <si>
    <t>Melting_Curves/meltCurve_Q3ZCW2_LGALSL.pdf</t>
  </si>
  <si>
    <t>Melting_Curves/meltCurve_Q495W5_2_FUT11.pdf</t>
  </si>
  <si>
    <t>Melting_Curves/meltCurve_Q49AH0_2_CDNF.pdf</t>
  </si>
  <si>
    <t>Melting_Curves/meltCurve_Q49AR2_C5orf22.pdf</t>
  </si>
  <si>
    <t>Melting_Curves/meltCurve_Q49B96_COX19.pdf</t>
  </si>
  <si>
    <t>Melting_Curves/meltCurve_Q4G0A6_FAM188B.pdf</t>
  </si>
  <si>
    <t>Melting_Curves/meltCurve_Q4G0F5_VPS26B.pdf</t>
  </si>
  <si>
    <t>Melting_Curves/meltCurve_Q4G0I0_CCSMST1.pdf</t>
  </si>
  <si>
    <t>Melting_Curves/meltCurve_Q4G0J3_LARP7.pdf</t>
  </si>
  <si>
    <t>Melting_Curves/meltCurve_Q4G0N4_NADKD1.pdf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</si>
  <si>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</si>
  <si>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</si>
  <si>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</si>
  <si>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</si>
  <si>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Melting_Curves/meltCurve_Q4KMQ2_3_ANO6.pdf</t>
  </si>
  <si>
    <t>Melting_Curves/meltCurve_Q4LDG9_DNAL1.pdf</t>
  </si>
  <si>
    <t>Melting_Curves/meltCurve_Q4V328_GRIPAP1.pdf</t>
  </si>
  <si>
    <t>Melting_Curves/meltCurve_Q4VC05_BCL7A.pdf</t>
  </si>
  <si>
    <t>Melting_Curves/meltCurve_Q4ZIN3_2_TMEM259.pdf</t>
  </si>
  <si>
    <t>Melting_Curves/meltCurve_Q504Q3_2_PAN2.pdf</t>
  </si>
  <si>
    <t>Melting_Curves/meltCurve_Q504U0_C4orf46.pdf</t>
  </si>
  <si>
    <t>Melting_Curves/meltCurve_Q52LJ0_2_FAM98B.pdf</t>
  </si>
  <si>
    <t>Melting_Curves/meltCurve_Q52LW3_ARHGAP29.pdf</t>
  </si>
  <si>
    <t>Melting_Curves/meltCurve_Q53EL6_2_PDCD4.pdf</t>
  </si>
  <si>
    <t>Melting_Curves/meltCurve_Q53ET0_CRTC2.pdf</t>
  </si>
  <si>
    <t>Melting_Curves/meltCurve_Q53EZ4_CEP55.pdf</t>
  </si>
  <si>
    <t>Melting_Curves/meltCurve_Q53F19_C17orf85.pdf</t>
  </si>
  <si>
    <t>Melting_Curves/meltCurve_Q53GG5_2_PDLIM3.pdf</t>
  </si>
  <si>
    <t>Melting_Curves/meltCurve_Q53GQ0_HSD17B12.pdf</t>
  </si>
  <si>
    <t>Melting_Curves/meltCurve_Q53H80_AKIRIN2.pdf</t>
  </si>
  <si>
    <t>Melting_Curves/meltCurve_Q53H82_LACTB2.pdf</t>
  </si>
  <si>
    <t>Melting_Curves/meltCurve_Q53H96_PYCRL.pdf</t>
  </si>
  <si>
    <t>Melting_Curves/meltCurve_Q53HV7_SMUG1.pdf</t>
  </si>
  <si>
    <t>Melting_Curves/meltCurve_Q53S33_BOLA3.pdf</t>
  </si>
  <si>
    <t>Melting_Curves/meltCurve_Q53S58_TMEM177.pdf</t>
  </si>
  <si>
    <t>Melting_Curves/meltCurve_Q53T59_HS1BP3.pdf</t>
  </si>
  <si>
    <t>Melting_Curves/meltCurve_Q562R1_ACTBL2.pdf</t>
  </si>
  <si>
    <t>Melting_Curves/meltCurve_Q567Q0_PPIA.pdf</t>
  </si>
  <si>
    <t>Melting_Curves/meltCurve_Q567V2_2_MPV17L2.pdf</t>
  </si>
  <si>
    <t>Melting_Curves/meltCurve_Q587I9_SFT2D3.pdf</t>
  </si>
  <si>
    <t>Melting_Curves/meltCurve_Q58A45_4_PAN3.pdf</t>
  </si>
  <si>
    <t>Melting_Curves/meltCurve_Q58FF8_HSP90AB2P.pdf</t>
  </si>
  <si>
    <t>Melting_Curves/meltCurve_Q58WW2_DCAF6.pdf</t>
  </si>
  <si>
    <t>Melting_Curves/meltCurve_Q5BKX5_C19orf54.pdf</t>
  </si>
  <si>
    <t>Melting_Curves/meltCurve_Q5C9Z4_NOM1.pdf</t>
  </si>
  <si>
    <t>Melting_Curves/meltCurve_Q5EBL4_RILPL1.pdf</t>
  </si>
  <si>
    <t>Melting_Curves/meltCurve_Q5EBL8_PDZD11.pdf</t>
  </si>
  <si>
    <t>Melting_Curves/meltCurve_Q5F1R6_DNAJC21.pdf</t>
  </si>
  <si>
    <t>Melting_Curves/meltCurve_Q5GLZ8_3_HERC4.pdf</t>
  </si>
  <si>
    <t>Melting_Curves/meltCurve_Q5H937_PKIG.pdf</t>
  </si>
  <si>
    <t>Melting_Curves/meltCurve_Q5H9A7_TIMP1.pdf</t>
  </si>
  <si>
    <t>Melting_Curves/meltCurve_Q5HY54_FLNA.pdf</t>
  </si>
  <si>
    <t>Melting_Curves/meltCurve_Q5HY92_FIGN.pdf</t>
  </si>
  <si>
    <t>Melting_Curves/meltCurve_Q5HYI7_MTX3.pdf</t>
  </si>
  <si>
    <t>Melting_Curves/meltCurve_Q5HYI8_RABL3.pdf</t>
  </si>
  <si>
    <t>Melting_Curves/meltCurve_Q5HYK3_COQ5.pdf</t>
  </si>
  <si>
    <t>Melting_Curves/meltCurve_Q5HYK7_2_SH3D19.pdf</t>
  </si>
  <si>
    <t>Melting_Curves/meltCurve_Q5JP53_TUBB.pdf</t>
  </si>
  <si>
    <t>Melting_Curves/meltCurve_Q5JPE7_2_NOMO2.pdf</t>
  </si>
  <si>
    <t>Melting_Curves/meltCurve_Q5JPH6_EARS2.pdf</t>
  </si>
  <si>
    <t>Melting_Curves/meltCurve_Q5JR01_EEF1A1.pdf</t>
  </si>
  <si>
    <t>Melting_Curves/meltCurve_Q5JR08_RHOC.pdf</t>
  </si>
  <si>
    <t>Melting_Curves/meltCurve_Q5JR95_RPS8.pdf</t>
  </si>
  <si>
    <t>Melting_Curves/meltCurve_Q5JRG1_NUPL1.pdf</t>
  </si>
  <si>
    <t>Melting_Curves/meltCurve_Q5JRX3_PITRM1.pdf</t>
  </si>
  <si>
    <t>Melting_Curves/meltCurve_Q5JS54_PSMG4.pdf</t>
  </si>
  <si>
    <t>Melting_Curves/meltCurve_Q5JSH3_2_WDR44.pdf</t>
  </si>
  <si>
    <t>Melting_Curves/meltCurve_Q5JSK7_HMGN5.pdf</t>
  </si>
  <si>
    <t>Melting_Curves/meltCurve_Q5JSZ5_PRRC2B.pdf</t>
  </si>
  <si>
    <t>Melting_Curves/meltCurve_Q5JTC6_2_AMER1.pdf</t>
  </si>
  <si>
    <t>Melting_Curves/meltCurve_Q5JTD0_2_TJAP1.pdf</t>
  </si>
  <si>
    <t>Melting_Curves/meltCurve_Q5JTH9_2_RRP12.pdf</t>
  </si>
  <si>
    <t>Melting_Curves/meltCurve_Q5JTJ3_3_COA6.pdf</t>
  </si>
  <si>
    <t>Melting_Curves/meltCurve_Q5JTV1_GMEB2.pdf</t>
  </si>
  <si>
    <t>Melting_Curves/meltCurve_Q5JTV8_TOR1AIP1.pdf</t>
  </si>
  <si>
    <t>Melting_Curves/meltCurve_Q5JTZ9_AARS2.pdf</t>
  </si>
  <si>
    <t>Melting_Curves/meltCurve_Q5JU69_TOR2A.pdf</t>
  </si>
  <si>
    <t>Melting_Curves/meltCurve_Q5JUA8_VPS16.pdf</t>
  </si>
  <si>
    <t>Melting_Curves/meltCurve_Q5JUE6_RAPGEF1.pdf</t>
  </si>
  <si>
    <t>Melting_Curves/meltCurve_Q5JUW8_DLG3.pdf</t>
  </si>
  <si>
    <t>Melting_Curves/meltCurve_Q5JV61_FRMD3.pdf</t>
  </si>
  <si>
    <t>Melting_Curves/meltCurve_Q5JV73_FRMPD3.pdf</t>
  </si>
  <si>
    <t>Melting_Curves/meltCurve_Q5JVD1_CNTRL.pdf</t>
  </si>
  <si>
    <t>Melting_Curves/meltCurve_Q5JVF3_3_PCID2.pdf</t>
  </si>
  <si>
    <t>Melting_Curves/meltCurve_Q5JVS0_HABP4.pdf</t>
  </si>
  <si>
    <t>Melting_Curves/meltCurve_Q5JVZ5_ELMO2.pdf</t>
  </si>
  <si>
    <t>Melting_Curves/meltCurve_Q5JW30_STAU1.pdf</t>
  </si>
  <si>
    <t>Melting_Curves/meltCurve_Q5JWB9_TMEM230.pdf</t>
  </si>
  <si>
    <t>Melting_Curves/meltCurve_Q5JXC2_MIIP.pdf</t>
  </si>
  <si>
    <t>Melting_Curves/meltCurve_Q5JXX2_MORF4L2.pdf</t>
  </si>
  <si>
    <t>Melting_Curves/meltCurve_Q5JY65_CRNKL1.pdf</t>
  </si>
  <si>
    <t>Melting_Curves/meltCurve_Q5K4L6_SLC27A3.pdf</t>
  </si>
  <si>
    <t>Melting_Curves/meltCurve_Q5M775_SPECC1.pdf</t>
  </si>
  <si>
    <t>Melting_Curves/meltCurve_Q5MIZ7_3_SMEK2.pdf</t>
  </si>
  <si>
    <t>Melting_Curves/meltCurve_Q5MNZ6_WDR45B.pdf</t>
  </si>
  <si>
    <t>Melting_Curves/meltCurve_Q5NDL2_EOGT.pdf</t>
  </si>
  <si>
    <t>Melting_Curves/meltCurve_Q5QJ74_TBCEL.pdf</t>
  </si>
  <si>
    <t>Melting_Curves/meltCurve_Q5QNY5_PEX19.pdf</t>
  </si>
  <si>
    <t>Melting_Curves/meltCurve_Q5QNZ2_ATP5F1.pdf</t>
  </si>
  <si>
    <t>Melting_Curves/meltCurve_Q5QP82_DCAF10.pdf</t>
  </si>
  <si>
    <t>Melting_Curves/meltCurve_Q5QPK2_DPM1.pdf</t>
  </si>
  <si>
    <t>Melting_Curves/meltCurve_Q5R363_SRPK1.pdf</t>
  </si>
  <si>
    <t>Melting_Curves/meltCurve_Q5R372_4_RABGAP1L.pdf</t>
  </si>
  <si>
    <t>Melting_Curves/meltCurve_Q5RGS4_PLEKHA1.pdf</t>
  </si>
  <si>
    <t>Melting_Curves/meltCurve_Q5RI15_COX20.pdf</t>
  </si>
  <si>
    <t>Melting_Curves/meltCurve_Q5RKV6_EXOSC6.pdf</t>
  </si>
  <si>
    <t>Melting_Curves/meltCurve_Q5SPY9_NPDC1.pdf</t>
  </si>
  <si>
    <t>Melting_Curves/meltCurve_Q5SQI0_5_ATAT1.pdf</t>
  </si>
  <si>
    <t>Melting_Curves/meltCurve_Q5SQP8_CTBP2.pdf</t>
  </si>
  <si>
    <t>Melting_Curves/meltCurve_Q5SQU3_PRKG1.pdf</t>
  </si>
  <si>
    <t>Melting_Curves/meltCurve_Q5SRE7_2_PHYHD1.pdf</t>
  </si>
  <si>
    <t>Melting_Curves/meltCurve_Q5SRQ6_CSNK2B.pdf</t>
  </si>
  <si>
    <t>Melting_Curves/meltCurve_Q5SSJ5_HP1BP3.pdf</t>
  </si>
  <si>
    <t>Melting_Curves/meltCurve_Q5ST30_VARS2.pdf</t>
  </si>
  <si>
    <t>Melting_Curves/meltCurve_Q5SVK8_DNMBP.pdf</t>
  </si>
  <si>
    <t>Melting_Curves/meltCurve_Q5SWX8_ODR4.pdf</t>
  </si>
  <si>
    <t>Melting_Curves/meltCurve_Q5SXM8_DNLZ.pdf</t>
  </si>
  <si>
    <t>Melting_Curves/meltCurve_Q5SYE7_2_NHSL1.pdf</t>
  </si>
  <si>
    <t>Melting_Curves/meltCurve_Q5SYW2_CIZ1.pdf</t>
  </si>
  <si>
    <t>Melting_Curves/meltCurve_Q5SZR4_TDRKH.pdf</t>
  </si>
  <si>
    <t>Melting_Curves/meltCurve_Q5T0D9_TPRG1L.pdf</t>
  </si>
  <si>
    <t>Melting_Curves/meltCurve_Q5T0N5_3_FNBP1L.pdf</t>
  </si>
  <si>
    <t>Melting_Curves/meltCurve_Q5T0Z6_PKIB.pdf</t>
  </si>
  <si>
    <t>Melting_Curves/meltCurve_Q5T123_SH3BGRL3.pdf</t>
  </si>
  <si>
    <t>Melting_Curves/meltCurve_Q5T160_RARS2.pdf</t>
  </si>
  <si>
    <t>Melting_Curves/meltCurve_Q5T171_PYGO2.pdf</t>
  </si>
  <si>
    <t>Melting_Curves/meltCurve_Q5T1B5_INPP5A.pdf</t>
  </si>
  <si>
    <t>Melting_Curves/meltCurve_Q5T1C6_THEM4.pdf</t>
  </si>
  <si>
    <t>Melting_Curves/meltCurve_Q5T1M5_FKBP15.pdf</t>
  </si>
  <si>
    <t>Melting_Curves/meltCurve_Q5T1V6_DDX59.pdf</t>
  </si>
  <si>
    <t>Melting_Curves/meltCurve_Q5T1Z0_LHPP.pdf</t>
  </si>
  <si>
    <t>Melting_Curves/meltCurve_Q5T2D3_OTUD3.pdf</t>
  </si>
  <si>
    <t>Melting_Curves/meltCurve_Q5T2E6_2_C10orf76.pdf</t>
  </si>
  <si>
    <t>Melting_Curves/meltCurve_Q5T2R2_3_PDSS1.pdf</t>
  </si>
  <si>
    <t>Melting_Curves/meltCurve_Q5T370_ARRDC1.pdf</t>
  </si>
  <si>
    <t>Melting_Curves/meltCurve_Q5T3Q7_HEATR1.pdf</t>
  </si>
  <si>
    <t>Melting_Curves/meltCurve_Q5T440_IBA57.pdf</t>
  </si>
  <si>
    <t>Melting_Curves/meltCurve_Q5T481_RBM20.pdf</t>
  </si>
  <si>
    <t>Melting_Curves/meltCurve_Q5T4S7_3_UBR4.pdf</t>
  </si>
  <si>
    <t>Melting_Curves/meltCurve_Q5T4U8_RABGGTB.pdf</t>
  </si>
  <si>
    <t>Melting_Curves/meltCurve_Q5T5C0_3_STXBP5.pdf</t>
  </si>
  <si>
    <t>Melting_Curves/meltCurve_Q5T5C7_SARS.pdf</t>
  </si>
  <si>
    <t>Melting_Curves/meltCurve_Q5T5P2_3_KIAA1217.pdf</t>
  </si>
  <si>
    <t>Melting_Curves/meltCurve_Q5T5U3_ARHGAP21.pdf</t>
  </si>
  <si>
    <t>Melting_Curves/meltCurve_Q5T5Y3_2_CAMSAP1.pdf</t>
  </si>
  <si>
    <t>Melting_Curves/meltCurve_Q5T6F2_UBAP2.pdf</t>
  </si>
  <si>
    <t>Melting_Curves/meltCurve_Q5T6V5_C9orf64.pdf</t>
  </si>
  <si>
    <t>Melting_Curves/meltCurve_Q5T7M9_FAM69A.pdf</t>
  </si>
  <si>
    <t>Melting_Curves/meltCurve_Q5T7V8_GORAB.pdf</t>
  </si>
  <si>
    <t>Melting_Curves/meltCurve_Q5T8D3_2_ACBD5.pdf</t>
  </si>
  <si>
    <t>Melting_Curves/meltCurve_Q5T8P6_2_RBM26.pdf</t>
  </si>
  <si>
    <t>Melting_Curves/meltCurve_Q5T8U5_SURF4.pdf</t>
  </si>
  <si>
    <t>Melting_Curves/meltCurve_Q5T9B7_AK1.pdf</t>
  </si>
  <si>
    <t>Melting_Curves/meltCurve_Q5TA45_2_CPSF3L.pdf</t>
  </si>
  <si>
    <t>Melting_Curves/meltCurve_Q5TA50_GLTPD1.pdf</t>
  </si>
  <si>
    <t>Melting_Curves/meltCurve_Q5TA58_AGO1.pdf</t>
  </si>
  <si>
    <t>Melting_Curves/meltCurve_Q5TA95_TTC4.pdf</t>
  </si>
  <si>
    <t>Melting_Curves/meltCurve_Q5TAX3_ZCCHC11.pdf</t>
  </si>
  <si>
    <t>Melting_Curves/meltCurve_Q5TBB1_RNASEH2B.pdf</t>
  </si>
  <si>
    <t>Melting_Curves/meltCurve_Q5TCM7_PTP4A1.pdf</t>
  </si>
  <si>
    <t>Melting_Curves/meltCurve_Q5TCQ9_3_MAGI3.pdf</t>
  </si>
  <si>
    <t>Melting_Curves/meltCurve_Q5TCX8_MLK4.pdf</t>
  </si>
  <si>
    <t>Melting_Curves/meltCurve_Q5TD07_NQO2.pdf</t>
  </si>
  <si>
    <t>Melting_Curves/meltCurve_Q5TDC5_C6orf89.pdf</t>
  </si>
  <si>
    <t>Melting_Curves/meltCurve_Q5TDH0_DDI2.pdf</t>
  </si>
  <si>
    <t>Melting_Curves/meltCurve_Q5TEU4_2_NDUFAF5.pdf</t>
  </si>
  <si>
    <t>Melting_Curves/meltCurve_Q5TFE4_NT5DC1.pdf</t>
  </si>
  <si>
    <t>Melting_Curves/meltCurve_Q5TH30_NDRG3.pdf</t>
  </si>
  <si>
    <t>Melting_Curves/meltCurve_Q5THK1_3_PRR14L.pdf</t>
  </si>
  <si>
    <t>Melting_Curves/meltCurve_Q5TIE1_SLC19A2.pdf</t>
  </si>
  <si>
    <t>Melting_Curves/meltCurve_Q5TZA2_CROCC.pdf</t>
  </si>
  <si>
    <t>Melting_Curves/meltCurve_Q5U5X0_LYRM7.pdf</t>
  </si>
  <si>
    <t>Melting_Curves/meltCurve_Q5UIP0_2_RIF1.pdf</t>
  </si>
  <si>
    <t>Melting_Curves/meltCurve_Q5VIR6_4_VPS53.pdf</t>
  </si>
  <si>
    <t>Melting_Curves/meltCurve_Q5VSG8_3_MANEAL.pdf</t>
  </si>
  <si>
    <t>Melting_Curves/meltCurve_Q5VSL9_STRIP1.pdf</t>
  </si>
  <si>
    <t>Melting_Curves/meltCurve_Q5VST6_ABHD17B.pdf</t>
  </si>
  <si>
    <t>Melting_Curves/meltCurve_Q5VT52_RPRD2.pdf</t>
  </si>
  <si>
    <t>Melting_Curves/meltCurve_Q5VT66_MARC1.pdf</t>
  </si>
  <si>
    <t>Melting_Curves/meltCurve_Q5VT94_GHITM.pdf</t>
  </si>
  <si>
    <t>Melting_Curves/meltCurve_Q5VTR2_RNF20.pdf</t>
  </si>
  <si>
    <t>Melting_Curves/meltCurve_Q5VU58_TPM3.pdf</t>
  </si>
  <si>
    <t>Melting_Curves/meltCurve_Q5VUA4_ZNF318.pdf</t>
  </si>
  <si>
    <t>Melting_Curves/meltCurve_Q5VV17_OTUD1.pdf</t>
  </si>
  <si>
    <t>Melting_Curves/meltCurve_Q5VV41_ARHGEF16.pdf</t>
  </si>
  <si>
    <t>Melting_Curves/meltCurve_Q5VV42_CDKAL1.pdf</t>
  </si>
  <si>
    <t>Melting_Curves/meltCurve_Q5VV50_ZNF691.pdf</t>
  </si>
  <si>
    <t>Melting_Curves/meltCurve_Q5VVD7_PLEKHM2.pdf</t>
  </si>
  <si>
    <t>Melting_Curves/meltCurve_Q5VVQ6_YOD1.pdf</t>
  </si>
  <si>
    <t>Melting_Curves/meltCurve_Q5VW27_NFIB.pdf</t>
  </si>
  <si>
    <t>Melting_Curves/meltCurve_Q5VW32_BROX.pdf</t>
  </si>
  <si>
    <t>Melting_Curves/meltCurve_Q5VW52_GPAM.pdf</t>
  </si>
  <si>
    <t>Melting_Curves/meltCurve_Q5VWJ9_SNX30.pdf</t>
  </si>
  <si>
    <t>Melting_Curves/meltCurve_Q5VWP2_FAM46C.pdf</t>
  </si>
  <si>
    <t>Melting_Curves/meltCurve_Q5VWZ2_LYPLAL1.pdf</t>
  </si>
  <si>
    <t>Melting_Curves/meltCurve_Q5VZR0_GLIPR2.pdf</t>
  </si>
  <si>
    <t>Melting_Curves/meltCurve_Q5VZU9_TPP2.pdf</t>
  </si>
  <si>
    <t>Melting_Curves/meltCurve_Q5W015_PFKFB3.pdf</t>
  </si>
  <si>
    <t>Melting_Curves/meltCurve_Q5W0V3_2_FAM160B1.pdf</t>
  </si>
  <si>
    <t>Melting_Curves/meltCurve_Q5W0Z9_3_ZDHHC20.pdf</t>
  </si>
  <si>
    <t>Melting_Curves/meltCurve_Q5W111_SPRYD7.pdf</t>
  </si>
  <si>
    <t>Melting_Curves/meltCurve_Q5W145_NDUFB8.pdf</t>
  </si>
  <si>
    <t>Melting_Curves/meltCurve_Q5XKP0_QIL1.pdf</t>
  </si>
  <si>
    <t>Melting_Curves/meltCurve_Q5XUX1_3_FBXW9.pdf</t>
  </si>
  <si>
    <t>Melting_Curves/meltCurve_Q5ZPR3_CD276.pdf</t>
  </si>
  <si>
    <t>Melting_Curves/meltCurve_Q641Q2_2_FAM21A.pdf</t>
  </si>
  <si>
    <t>Melting_Curves/meltCurve_Q643R3_LPCAT4.pdf</t>
  </si>
  <si>
    <t>Melting_Curves/meltCurve_Q658P3_3_STEAP3.pdf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</si>
  <si>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</si>
  <si>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</si>
  <si>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</si>
  <si>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</si>
  <si>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</si>
  <si>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Melting_Curves/meltCurve_Q68CQ4_DIEXF.pdf</t>
  </si>
  <si>
    <t>Melting_Curves/meltCurve_Q68CQ7_GLT8D1.pdf</t>
  </si>
  <si>
    <t>Melting_Curves/meltCurve_Q68D85_NCR3LG1.pdf</t>
  </si>
  <si>
    <t>Melting_Curves/meltCurve_Q68D91_MBLAC2.pdf</t>
  </si>
  <si>
    <t>Melting_Curves/meltCurve_Q68DH5_LMBRD2.pdf</t>
  </si>
  <si>
    <t>Melting_Curves/meltCurve_Q68E01_2_INTS3.pdf</t>
  </si>
  <si>
    <t>Melting_Curves/meltCurve_Q68EM7_ARHGAP17.pdf</t>
  </si>
  <si>
    <t>Melting_Curves/meltCurve_Q69YL0_.pdf</t>
  </si>
  <si>
    <t>Melting_Curves/meltCurve_Q69YN2_CWF19L1.pdf</t>
  </si>
  <si>
    <t>Melting_Curves/meltCurve_Q69YU5_C12orf73.pdf</t>
  </si>
  <si>
    <t>Melting_Curves/meltCurve_Q6AI08_HEATR6.pdf</t>
  </si>
  <si>
    <t>Melting_Curves/meltCurve_Q6DD87_ZNF787.pdf</t>
  </si>
  <si>
    <t>Melting_Curves/meltCurve_Q6DKI1_RPL7L1.pdf</t>
  </si>
  <si>
    <t>Melting_Curves/meltCurve_Q6DKJ4_NXN.pdf</t>
  </si>
  <si>
    <t>Melting_Curves/meltCurve_Q6DKK2_TTC19.pdf</t>
  </si>
  <si>
    <t>Melting_Curves/meltCurve_Q6EEV4_2_POLR2M.pdf</t>
  </si>
  <si>
    <t>Melting_Curves/meltCurve_Q6EMK4_VASN.pdf</t>
  </si>
  <si>
    <t>Melting_Curves/meltCurve_Q6FI81_3_CIAPIN1.pdf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</si>
  <si>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</si>
  <si>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</si>
  <si>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</si>
  <si>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</si>
  <si>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Melting_Curves/meltCurve_Q6I9Y2_THOC7.pdf</t>
  </si>
  <si>
    <t>Melting_Curves/meltCurve_Q6IA69_NADSYN1.pdf</t>
  </si>
  <si>
    <t>Melting_Curves/meltCurve_Q6IAA8_LAMTOR1.pdf</t>
  </si>
  <si>
    <t>Melting_Curves/meltCurve_Q6IAN0_DHRS7B.pdf</t>
  </si>
  <si>
    <t>Melting_Curves/meltCurve_Q6IBS0_TWF2.pdf</t>
  </si>
  <si>
    <t>Melting_Curves/meltCurve_Q6ICH7_ASPHD2.pdf</t>
  </si>
  <si>
    <t>Melting_Curves/meltCurve_Q6IEE7_TMEM132E.pdf</t>
  </si>
  <si>
    <t>Melting_Curves/meltCurve_Q6IN85_2_SMEK1.pdf</t>
  </si>
  <si>
    <t>Melting_Curves/meltCurve_Q6IPR3_TYW3.pdf</t>
  </si>
  <si>
    <t>Melting_Curves/meltCurve_Q6IQ22_RAB12.pdf</t>
  </si>
  <si>
    <t>Melting_Curves/meltCurve_Q6IQ49_2_SDE2.pdf</t>
  </si>
  <si>
    <t>Melting_Curves/meltCurve_Q6IS14_EIF5AL1.pdf</t>
  </si>
  <si>
    <t>Melting_Curves/meltCurve_Q6JHV3_USP3.pdf</t>
  </si>
  <si>
    <t>Melting_Curves/meltCurve_Q6JQN1_ACAD10.pdf</t>
  </si>
  <si>
    <t>Melting_Curves/meltCurve_Q6KC79_2_NIPBL.pdf</t>
  </si>
  <si>
    <t>Melting_Curves/meltCurve_Q6KCM7_SLC25A25.pdf</t>
  </si>
  <si>
    <t>Melting_Curves/meltCurve_Q6MZP7_LIN54.pdf</t>
  </si>
  <si>
    <t>Melting_Curves/meltCurve_Q6N069_NAA16.pdf</t>
  </si>
  <si>
    <t>Melting_Curves/meltCurve_Q6NSI4_4_CXorf57.pdf</t>
  </si>
  <si>
    <t>Melting_Curves/meltCurve_Q6NSJ2_2_PHLDB3.pdf</t>
  </si>
  <si>
    <t>Melting_Curves/meltCurve_Q6NT16_SLC18B1.pdf</t>
  </si>
  <si>
    <t>Melting_Curves/meltCurve_Q6NUK1_SLC25A24.pdf</t>
  </si>
  <si>
    <t>Melting_Curves/meltCurve_Q6NUM9_RETSAT.pdf</t>
  </si>
  <si>
    <t>Melting_Curves/meltCurve_Q6NUQ1_RINT1.pdf</t>
  </si>
  <si>
    <t>Melting_Curves/meltCurve_Q6NUQ4_2_TMEM214.pdf</t>
  </si>
  <si>
    <t>Melting_Curves/meltCurve_Q6NUS6_3_TCTN3.pdf</t>
  </si>
  <si>
    <t>Melting_Curves/meltCurve_Q6NVH7_SWSAP1.pdf</t>
  </si>
  <si>
    <t>Melting_Curves/meltCurve_Q6NVY1_HIBCH.pdf</t>
  </si>
  <si>
    <t>Melting_Curves/meltCurve_Q6NXE6_ARMC6.pdf</t>
  </si>
  <si>
    <t>Melting_Curves/meltCurve_Q6NXT1_ANKRD54.pdf</t>
  </si>
  <si>
    <t>Melting_Curves/meltCurve_Q6NYC1_JMJD6.pdf</t>
  </si>
  <si>
    <t>Melting_Curves/meltCurve_Q6NYC8_PPP1R18.pdf</t>
  </si>
  <si>
    <t>Melting_Curves/meltCurve_Q6NZI2_PTRF.pdf</t>
  </si>
  <si>
    <t>Melting_Curves/meltCurve_Q6NZY4_ZCCHC8.pdf</t>
  </si>
  <si>
    <t>Melting_Curves/meltCurve_Q6P087_2_RPUSD3.pdf</t>
  </si>
  <si>
    <t>Melting_Curves/meltCurve_Q6P161_MRPL54.pdf</t>
  </si>
  <si>
    <t>Melting_Curves/meltCurve_Q6P1J9_CDC73.pdf</t>
  </si>
  <si>
    <t>Melting_Curves/meltCurve_Q6P1K2_4_PMF1.pdf</t>
  </si>
  <si>
    <t>Melting_Curves/meltCurve_Q6P1L5_FAM117B.pdf</t>
  </si>
  <si>
    <t>Melting_Curves/meltCurve_Q6P1L8_MRPL14.pdf</t>
  </si>
  <si>
    <t>Melting_Curves/meltCurve_Q6P1M0_SLC27A4.pdf</t>
  </si>
  <si>
    <t>Melting_Curves/meltCurve_Q6P1N0_CC2D1A.pdf</t>
  </si>
  <si>
    <t>Melting_Curves/meltCurve_Q6P1Q9_METTL2B.pdf</t>
  </si>
  <si>
    <t>Melting_Curves/meltCurve_Q6P1R4_DUS1L.pdf</t>
  </si>
  <si>
    <t>Melting_Curves/meltCurve_Q6P2C8_2_MED27.pdf</t>
  </si>
  <si>
    <t>Melting_Curves/meltCurve_Q6P2E9_EDC4.pdf</t>
  </si>
  <si>
    <t>Melting_Curves/meltCurve_Q6P2H3_2_CEP85.pdf</t>
  </si>
  <si>
    <t>Melting_Curves/meltCurve_Q6P2P2_PRMT10.pdf</t>
  </si>
  <si>
    <t>Melting_Curves/meltCurve_Q6P3S6_FBXO42.pdf</t>
  </si>
  <si>
    <t>Melting_Curves/meltCurve_Q6P3W7_SCYL2.pdf</t>
  </si>
  <si>
    <t>Melting_Curves/meltCurve_Q6P3X3_TTC27.pdf</t>
  </si>
  <si>
    <t>Melting_Curves/meltCurve_Q6P444_MTFR2.pdf</t>
  </si>
  <si>
    <t>Melting_Curves/meltCurve_Q6P4A7_SFXN4.pdf</t>
  </si>
  <si>
    <t>Melting_Curves/meltCurve_Q6P4E1_CASC4.pdf</t>
  </si>
  <si>
    <t>Melting_Curves/meltCurve_Q6P4F2_FDX1L.pdf</t>
  </si>
  <si>
    <t>Melting_Curves/meltCurve_Q6P4I2_WDR73.pdf</t>
  </si>
  <si>
    <t>Melting_Curves/meltCurve_Q6P4R8_3_NFRKB.pdf</t>
  </si>
  <si>
    <t>Melting_Curves/meltCurve_Q6P582_MZT2A.pdf</t>
  </si>
  <si>
    <t>Melting_Curves/meltCurve_Q6P587_FAHD1.pdf</t>
  </si>
  <si>
    <t>Melting_Curves/meltCurve_Q6P6C2_ALKBH5.pdf</t>
  </si>
  <si>
    <t>Melting_Curves/meltCurve_Q6P9B6_KIAA1609.pdf</t>
  </si>
  <si>
    <t>Melting_Curves/meltCurve_Q6PCB5_RSBN1L.pdf</t>
  </si>
  <si>
    <t>Melting_Curves/meltCurve_Q6PCE3_PGM2L1.pdf</t>
  </si>
  <si>
    <t>Melting_Curves/meltCurve_Q6PD62_CTR9.pdf</t>
  </si>
  <si>
    <t>Melting_Curves/meltCurve_Q6PD74_AAGAB.pdf</t>
  </si>
  <si>
    <t>Melting_Curves/meltCurve_Q6PGP7_TTC37.pdf</t>
  </si>
  <si>
    <t>Melting_Curves/meltCurve_Q6PH81_C16orf87.pdf</t>
  </si>
  <si>
    <t>Melting_Curves/meltCurve_Q6PHR2_3_ULK3.pdf</t>
  </si>
  <si>
    <t>Melting_Curves/meltCurve_Q6PI48_DARS2.pdf</t>
  </si>
  <si>
    <t>Melting_Curves/meltCurve_Q6PI78_TMEM65.pdf</t>
  </si>
  <si>
    <t>Melting_Curves/meltCurve_Q6PID6_TTC33.pdf</t>
  </si>
  <si>
    <t>Melting_Curves/meltCurve_Q6PII3_CCDC174.pdf</t>
  </si>
  <si>
    <t>Melting_Curves/meltCurve_Q6PII5_2_HAGHL.pdf</t>
  </si>
  <si>
    <t>Melting_Curves/meltCurve_Q6PIW4_2_FIGNL1.pdf</t>
  </si>
  <si>
    <t>Melting_Curves/meltCurve_Q6PJ61_FBXO46.pdf</t>
  </si>
  <si>
    <t>Melting_Curves/meltCurve_Q6PJ69_TRIM65.pdf</t>
  </si>
  <si>
    <t>Melting_Curves/meltCurve_Q6PJG6_BRAT1.pdf</t>
  </si>
  <si>
    <t>Melting_Curves/meltCurve_Q6PJT7_5_ZC3H14.pdf</t>
  </si>
  <si>
    <t>Melting_Curves/meltCurve_Q6PJW8_CNST.pdf</t>
  </si>
  <si>
    <t>Melting_Curves/meltCurve_Q6PKG0_LARP1.pdf</t>
  </si>
  <si>
    <t>Melting_Curves/meltCurve_Q6PL24_TMED8.pdf</t>
  </si>
  <si>
    <t>Melting_Curves/meltCurve_Q6PML9_SLC30A9.pdf</t>
  </si>
  <si>
    <t>Melting_Curves/meltCurve_Q6QNY0_BLOC1S3.pdf</t>
  </si>
  <si>
    <t>Melting_Curves/meltCurve_Q6QNY1_BLOC1S2.pdf</t>
  </si>
  <si>
    <t>Melting_Curves/meltCurve_Q6RW13_2_AGTRAP.pdf</t>
  </si>
  <si>
    <t>Melting_Curves/meltCurve_Q6UB28_METAP1D.pdf</t>
  </si>
  <si>
    <t>Melting_Curves/meltCurve_Q6UB35_MTHFD1L.pdf</t>
  </si>
  <si>
    <t>Melting_Curves/meltCurve_Q6ULP2_3_AFTPH.pdf</t>
  </si>
  <si>
    <t>Melting_Curves/meltCurve_Q6UN15_3_FIP1L1.pdf</t>
  </si>
  <si>
    <t>Melting_Curves/meltCurve_Q6UVJ0_SASS6.pdf</t>
  </si>
  <si>
    <t>Melting_Curves/meltCurve_Q6UVY6_2_MOXD1.pdf</t>
  </si>
  <si>
    <t>Melting_Curves/meltCurve_Q6UW63_KDELC1.pdf</t>
  </si>
  <si>
    <t>Melting_Curves/meltCurve_Q6UWE0_LRSAM1.pdf</t>
  </si>
  <si>
    <t>Melting_Curves/meltCurve_Q6UWI4_SHISA2.pdf</t>
  </si>
  <si>
    <t>Melting_Curves/meltCurve_Q6UWP2_DHRS11.pdf</t>
  </si>
  <si>
    <t>Melting_Curves/meltCurve_Q6UWP7_3_LCLAT1.pdf</t>
  </si>
  <si>
    <t>Melting_Curves/meltCurve_Q6UWS5_PET117.pdf</t>
  </si>
  <si>
    <t>Melting_Curves/meltCurve_Q6UX04_CWC27.pdf</t>
  </si>
  <si>
    <t>Melting_Curves/meltCurve_Q6UX07_DHRS13.pdf</t>
  </si>
  <si>
    <t>Melting_Curves/meltCurve_Q6UX53_METTL7B.pdf</t>
  </si>
  <si>
    <t>Melting_Curves/meltCurve_Q6UX71_PLXDC2.pdf</t>
  </si>
  <si>
    <t>Melting_Curves/meltCurve_Q6UXD5_6_SEZ6L2.pdf</t>
  </si>
  <si>
    <t>Melting_Curves/meltCurve_Q6UXH1_4_CRELD2.pdf</t>
  </si>
  <si>
    <t>Melting_Curves/meltCurve_Q6UXN9_WDR82.pdf</t>
  </si>
  <si>
    <t>Melting_Curves/meltCurve_Q6UXV4_APOOL.pdf</t>
  </si>
  <si>
    <t>Melting_Curves/meltCurve_Q6VY07_PACS1.pdf</t>
  </si>
  <si>
    <t>Melting_Curves/meltCurve_Q6W2J9_4_BCOR.pdf</t>
  </si>
  <si>
    <t>Melting_Curves/meltCurve_Q6WCQ1_MPRIP.pdf</t>
  </si>
  <si>
    <t>Melting_Curves/meltCurve_Q6WKZ4_RAB11FIP1.pdf</t>
  </si>
  <si>
    <t>Melting_Curves/meltCurve_Q6XQN6_NAPRT1.pdf</t>
  </si>
  <si>
    <t>Melting_Curves/meltCurve_Q6Y1H2_PTPLB.pdf</t>
  </si>
  <si>
    <t>Melting_Curves/meltCurve_Q6Y7W6_4_GIGYF2.pdf</t>
  </si>
  <si>
    <t>Melting_Curves/meltCurve_Q6YHU6_3_THADA.pdf</t>
  </si>
  <si>
    <t>Melting_Curves/meltCurve_Q6YN16_HSDL2.pdf</t>
  </si>
  <si>
    <t>Melting_Curves/meltCurve_Q6YP21_3_CCBL2.pdf</t>
  </si>
  <si>
    <t>Melting_Curves/meltCurve_Q6ZMG9_CERS6.pdf</t>
  </si>
  <si>
    <t>Melting_Curves/meltCurve_Q6ZMR3_LDHAL6A.pdf</t>
  </si>
  <si>
    <t>Melting_Curves/meltCurve_Q6ZN17_LIN28B.pdf</t>
  </si>
  <si>
    <t>Melting_Curves/meltCurve_Q6ZN55_ZNF574.pdf</t>
  </si>
  <si>
    <t>Melting_Curves/meltCurve_Q6ZNB6_NFXL1.pdf</t>
  </si>
  <si>
    <t>Melting_Curves/meltCurve_Q6ZNW5_GDPGP1.pdf</t>
  </si>
  <si>
    <t>Melting_Curves/meltCurve_Q6ZPD9_DPY19L3.pdf</t>
  </si>
  <si>
    <t>Melting_Curves/meltCurve_Q6ZRP7_QSOX2.pdf</t>
  </si>
  <si>
    <t>Melting_Curves/meltCurve_Q6ZS17_2_FAM65A.pdf</t>
  </si>
  <si>
    <t>Melting_Curves/meltCurve_Q6ZSJ8_C1orf122.pdf</t>
  </si>
  <si>
    <t>Melting_Curves/meltCurve_Q6ZT21_2_TMPPE.pdf</t>
  </si>
  <si>
    <t>Melting_Curves/meltCurve_Q6ZT62_SH3BP1.pdf</t>
  </si>
  <si>
    <t>Melting_Curves/meltCurve_Q6ZVM7_2_TOM1L2.pdf</t>
  </si>
  <si>
    <t>Melting_Curves/meltCurve_Q6ZW49_4_PAXIP1.pdf</t>
  </si>
  <si>
    <t>Melting_Curves/meltCurve_Q6ZWJ1_STXBP4.pdf</t>
  </si>
  <si>
    <t>Melting_Curves/meltCurve_Q6ZXV5_2_TMTC3.pdf</t>
  </si>
  <si>
    <t>Melting_Curves/meltCurve_Q709C8_3_VPS13C.pdf</t>
  </si>
  <si>
    <t>Melting_Curves/meltCurve_Q709F0_ACAD11.pdf</t>
  </si>
  <si>
    <t>Melting_Curves/meltCurve_Q70IA6_MOB2.pdf</t>
  </si>
  <si>
    <t>Melting_Curves/meltCurve_Q70J99_UNC13D.pdf</t>
  </si>
  <si>
    <t>Melting_Curves/meltCurve_Q70UQ0_IKBIP.pdf</t>
  </si>
  <si>
    <t>Melting_Curves/meltCurve_Q70UQ0_4_IKBIP.pdf</t>
  </si>
  <si>
    <t>Melting_Curves/meltCurve_Q70Z53_3_FRA10AC1.pdf</t>
  </si>
  <si>
    <t>Melting_Curves/meltCurve_Q712K3_UBE2R2.pdf</t>
  </si>
  <si>
    <t>Melting_Curves/meltCurve_Q71SY5_5_MED25.pdf</t>
  </si>
  <si>
    <t>Melting_Curves/meltCurve_Q71UI9_H2AFV.pdf</t>
  </si>
  <si>
    <t>Melting_Curves/meltCurve_Q7KYR7_BTN2A1.pdf</t>
  </si>
  <si>
    <t>Melting_Curves/meltCurve_Q7KZ85_SUPT6H.pdf</t>
  </si>
  <si>
    <t>Melting_Curves/meltCurve_Q7KZ85_2_SUPT6H.pdf</t>
  </si>
  <si>
    <t>Melting_Curves/meltCurve_Q7KZF4_SND1.pdf</t>
  </si>
  <si>
    <t>Melting_Curves/meltCurve_Q7KZN9_2_COX15.pdf</t>
  </si>
  <si>
    <t>Melting_Curves/meltCurve_Q7L014_DDX46.pdf</t>
  </si>
  <si>
    <t>Melting_Curves/meltCurve_Q7L099_4_RUFY3.pdf</t>
  </si>
  <si>
    <t>Melting_Curves/meltCurve_Q7L0J3_2_SV2A.pdf</t>
  </si>
  <si>
    <t>Melting_Curves/meltCurve_Q7L0Y3_TRMT10C.pdf</t>
  </si>
  <si>
    <t>Melting_Curves/meltCurve_Q7L1Q6_BZW1.pdf</t>
  </si>
  <si>
    <t>Melting_Curves/meltCurve_Q7L1T6_CYB5R4.pdf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</si>
  <si>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</si>
  <si>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</si>
  <si>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</si>
  <si>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</si>
  <si>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Melting_Curves/meltCurve_Q7L3S4_ZNF771.pdf</t>
  </si>
  <si>
    <t>Melting_Curves/meltCurve_Q7L4I2_RSRC2.pdf</t>
  </si>
  <si>
    <t>Melting_Curves/meltCurve_Q7L523_RRAGA.pdf</t>
  </si>
  <si>
    <t>Melting_Curves/meltCurve_Q7L592_NDUFAF7.pdf</t>
  </si>
  <si>
    <t>Melting_Curves/meltCurve_Q7L5N7_LPCAT2.pdf</t>
  </si>
  <si>
    <t>Melting_Curves/meltCurve_Q7L5Y1_ENOSF1.pdf</t>
  </si>
  <si>
    <t>Melting_Curves/meltCurve_Q7L7V1_2_DHX32.pdf</t>
  </si>
  <si>
    <t>Melting_Curves/meltCurve_Q7L7X3_TAOK1.pdf</t>
  </si>
  <si>
    <t>Melting_Curves/meltCurve_Q7L8W6_ATPBD4.pdf</t>
  </si>
  <si>
    <t>Melting_Curves/meltCurve_Q7L985_LINGO2.pdf</t>
  </si>
  <si>
    <t>Melting_Curves/meltCurve_Q7LBC6_KDM3B.pdf</t>
  </si>
  <si>
    <t>Melting_Curves/meltCurve_Q7LBR1_CHMP1B.pdf</t>
  </si>
  <si>
    <t>Melting_Curves/meltCurve_Q7LG56_RRM2B.pdf</t>
  </si>
  <si>
    <t>Melting_Curves/meltCurve_Q7RTP0_NIPA1.pdf</t>
  </si>
  <si>
    <t>Melting_Curves/meltCurve_Q7RTP6_MICAL3.pdf</t>
  </si>
  <si>
    <t>Melting_Curves/meltCurve_Q7RTV0_PHF5A.pdf</t>
  </si>
  <si>
    <t>Melting_Curves/meltCurve_Q7Z2K8_GPRIN1.pdf</t>
  </si>
  <si>
    <t>Melting_Curves/meltCurve_Q7Z2W4_ZC3HAV1.pdf</t>
  </si>
  <si>
    <t>Melting_Curves/meltCurve_Q7Z2Z2_EFTUD1.pdf</t>
  </si>
  <si>
    <t>Melting_Curves/meltCurve_Q7Z309_5_FAM122B.pdf</t>
  </si>
  <si>
    <t>Melting_Curves/meltCurve_Q7Z3C6_2_ATG9A.pdf</t>
  </si>
  <si>
    <t>Melting_Curves/meltCurve_Q7Z3D4_LYSMD3.pdf</t>
  </si>
  <si>
    <t>Melting_Curves/meltCurve_Q7Z3E2_C10orf118.pdf</t>
  </si>
  <si>
    <t>Melting_Curves/meltCurve_Q7Z3K3_5_POGZ.pdf</t>
  </si>
  <si>
    <t>Melting_Curves/meltCurve_Q7Z3K6_4_MIER3.pdf</t>
  </si>
  <si>
    <t>Melting_Curves/meltCurve_Q7Z3T8_ZFYVE16.pdf</t>
  </si>
  <si>
    <t>Melting_Curves/meltCurve_Q7Z417_NUFIP2.pdf</t>
  </si>
  <si>
    <t>Melting_Curves/meltCurve_Q7Z422_2_SZRD1.pdf</t>
  </si>
  <si>
    <t>Melting_Curves/meltCurve_Q7Z434_MAVS.pdf</t>
  </si>
  <si>
    <t>Melting_Curves/meltCurve_Q7Z4G4_2_TRMT11.pdf</t>
  </si>
  <si>
    <t>Melting_Curves/meltCurve_Q7Z4H3_HDDC2.pdf</t>
  </si>
  <si>
    <t>Melting_Curves/meltCurve_Q7Z4H7_3_HAUS6.pdf</t>
  </si>
  <si>
    <t>Melting_Curves/meltCurve_Q7Z4H8_KDELC2.pdf</t>
  </si>
  <si>
    <t>Melting_Curves/meltCurve_Q7Z4K8_4_TRIM46.pdf</t>
  </si>
  <si>
    <t>Melting_Curves/meltCurve_Q7Z4Q2_HEATR3.pdf</t>
  </si>
  <si>
    <t>Melting_Curves/meltCurve_Q7Z4V5_HDGFRP2.pdf</t>
  </si>
  <si>
    <t>Melting_Curves/meltCurve_Q7Z4W1_DCXR.pdf</t>
  </si>
  <si>
    <t>Melting_Curves/meltCurve_Q7Z5G4_3_GOLGA7.pdf</t>
  </si>
  <si>
    <t>Melting_Curves/meltCurve_Q7Z5K2_WAPAL.pdf</t>
  </si>
  <si>
    <t>Melting_Curves/meltCurve_Q7Z5L2_2_R3HCC1L.pdf</t>
  </si>
  <si>
    <t>Melting_Curves/meltCurve_Q7Z5L9_IRF2BP2.pdf</t>
  </si>
  <si>
    <t>Melting_Curves/meltCurve_Q7Z5W3_BCDIN3D.pdf</t>
  </si>
  <si>
    <t>Melting_Curves/meltCurve_Q7Z5Y7_KCTD20.pdf</t>
  </si>
  <si>
    <t>Melting_Curves/meltCurve_Q7Z624_CAMKMT.pdf</t>
  </si>
  <si>
    <t>Melting_Curves/meltCurve_Q7Z6B7_2_SRGAP1.pdf</t>
  </si>
  <si>
    <t>Melting_Curves/meltCurve_Q7Z6E9_2_RBBP6.pdf</t>
  </si>
  <si>
    <t>Melting_Curves/meltCurve_Q7Z6I8_C5orf24.pdf</t>
  </si>
  <si>
    <t>Melting_Curves/meltCurve_Q7Z6J0_SH3RF1.pdf</t>
  </si>
  <si>
    <t>Melting_Curves/meltCurve_Q7Z6J8_UBE3D.pdf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</si>
  <si>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</si>
  <si>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</si>
  <si>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</si>
  <si>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</si>
  <si>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Melting_Curves/meltCurve_Q7Z6M4_MTERFD2.pdf</t>
  </si>
  <si>
    <t>Melting_Curves/meltCurve_Q7Z6V5_2_ADAT2.pdf</t>
  </si>
  <si>
    <t>Melting_Curves/meltCurve_Q7Z6Z7_2_HUWE1.pdf</t>
  </si>
  <si>
    <t>Melting_Curves/meltCurve_Q7Z7A3_CTU1.pdf</t>
  </si>
  <si>
    <t>Melting_Curves/meltCurve_Q7Z7C8_TAF8.pdf</t>
  </si>
  <si>
    <t>Melting_Curves/meltCurve_Q7Z7E8_UBE2Q1.pdf</t>
  </si>
  <si>
    <t>Melting_Curves/meltCurve_Q7Z7F0_2_KIAA0907.pdf</t>
  </si>
  <si>
    <t>Melting_Curves/meltCurve_Q7Z7H5_3_TMED4.pdf</t>
  </si>
  <si>
    <t>Melting_Curves/meltCurve_Q7Z7L1_SLFN11.pdf</t>
  </si>
  <si>
    <t>Melting_Curves/meltCurve_Q7Z7L8_C11orf96.pdf</t>
  </si>
  <si>
    <t>Melting_Curves/meltCurve_Q7Z7M9_GALNT5.pdf</t>
  </si>
  <si>
    <t>Melting_Curves/meltCurve_Q7Z7N9_TMEM179B.pdf</t>
  </si>
  <si>
    <t>Melting_Curves/meltCurve_Q86SF2_GALNT7.pdf</t>
  </si>
  <si>
    <t>Melting_Curves/meltCurve_Q86SK9_2_SCD5.pdf</t>
  </si>
  <si>
    <t>Melting_Curves/meltCurve_Q86SQ7_SDCCAG8.pdf</t>
  </si>
  <si>
    <t>Melting_Curves/meltCurve_Q86SQ9_3_DHDDS.pdf</t>
  </si>
  <si>
    <t>Melting_Curves/meltCurve_Q86SX6_GLRX5.pdf</t>
  </si>
  <si>
    <t>Melting_Curves/meltCurve_Q86T03_TMEM55B.pdf</t>
  </si>
  <si>
    <t>Melting_Curves/meltCurve_Q86TA1_MOB3B.pdf</t>
  </si>
  <si>
    <t>Melting_Curves/meltCurve_Q86TB9_4_PATL1.pdf</t>
  </si>
  <si>
    <t>Melting_Curves/meltCurve_Q86TG7_2_PEG10.pdf</t>
  </si>
  <si>
    <t>Melting_Curves/meltCurve_Q86TI2_DPP9.pdf</t>
  </si>
  <si>
    <t>Melting_Curves/meltCurve_Q86TN4_TRPT1.pdf</t>
  </si>
  <si>
    <t>Melting_Curves/meltCurve_Q86TP1_PRUNE.pdf</t>
  </si>
  <si>
    <t>Melting_Curves/meltCurve_Q86TU7_SETD3.pdf</t>
  </si>
  <si>
    <t>Melting_Curves/meltCurve_Q86TV3_LGMN.pdf</t>
  </si>
  <si>
    <t>Melting_Curves/meltCurve_Q86TW2_3_ADCK1.pdf</t>
  </si>
  <si>
    <t>Melting_Curves/meltCurve_Q86U28_ISCA2.pdf</t>
  </si>
  <si>
    <t>Melting_Curves/meltCurve_Q86U44_METTL3.pdf</t>
  </si>
  <si>
    <t>Melting_Curves/meltCurve_Q86U70_3_LDB1.pdf</t>
  </si>
  <si>
    <t>Melting_Curves/meltCurve_Q86U90_YRDC.pdf</t>
  </si>
  <si>
    <t>Melting_Curves/meltCurve_Q86UA1_PRPF39.pdf</t>
  </si>
  <si>
    <t>Melting_Curves/meltCurve_Q86UD0_SAPCD2.pdf</t>
  </si>
  <si>
    <t>Melting_Curves/meltCurve_Q86UE4_MTDH.pdf</t>
  </si>
  <si>
    <t>Melting_Curves/meltCurve_Q86UE8_2_TLK2.pdf</t>
  </si>
  <si>
    <t>Melting_Curves/meltCurve_Q86UK7_3_ZNF598.pdf</t>
  </si>
  <si>
    <t>Melting_Curves/meltCurve_Q86UL3_AGPAT6.pdf</t>
  </si>
  <si>
    <t>Melting_Curves/meltCurve_Q86UN3_RTN4RL2.pdf</t>
  </si>
  <si>
    <t>Melting_Curves/meltCurve_Q86UP2_KTN1.pdf</t>
  </si>
  <si>
    <t>Melting_Curves/meltCurve_Q86US8_SMG6.pdf</t>
  </si>
  <si>
    <t>Melting_Curves/meltCurve_Q86UU0_4_BCL9L.pdf</t>
  </si>
  <si>
    <t>Melting_Curves/meltCurve_Q86UU1_2_PHLDB1.pdf</t>
  </si>
  <si>
    <t>Melting_Curves/meltCurve_Q86UV5_USP48.pdf</t>
  </si>
  <si>
    <t>Melting_Curves/meltCurve_Q86UX7_2_FERMT3.pdf</t>
  </si>
  <si>
    <t>Melting_Curves/meltCurve_Q86UY0_TXNDC5.pdf</t>
  </si>
  <si>
    <t>Melting_Curves/meltCurve_Q86UY8_2_NT5DC3.pdf</t>
  </si>
  <si>
    <t>Melting_Curves/meltCurve_Q86V21_AACS.pdf</t>
  </si>
  <si>
    <t>Melting_Curves/meltCurve_Q86V24_ADIPOR2.pdf</t>
  </si>
  <si>
    <t>Melting_Curves/meltCurve_Q86V48_LUZP1.pdf</t>
  </si>
  <si>
    <t>Melting_Curves/meltCurve_Q86V85_GPR180.pdf</t>
  </si>
  <si>
    <t>Melting_Curves/meltCurve_Q86V87_FAM160B2.pdf</t>
  </si>
  <si>
    <t>Melting_Curves/meltCurve_Q86VG3_C11orf74.pdf</t>
  </si>
  <si>
    <t>Melting_Curves/meltCurve_Q86VN1_2_VPS36.pdf</t>
  </si>
  <si>
    <t>Melting_Curves/meltCurve_Q86VP6_CAND1.pdf</t>
  </si>
  <si>
    <t>Melting_Curves/meltCurve_Q86VQ1_GLCCI1.pdf</t>
  </si>
  <si>
    <t>Melting_Curves/meltCurve_Q86VQ2_WASF3.pdf</t>
  </si>
  <si>
    <t>Melting_Curves/meltCurve_Q86VR2_FAM134C.pdf</t>
  </si>
  <si>
    <t>Melting_Curves/meltCurve_Q86VS8_HOOK3.pdf</t>
  </si>
  <si>
    <t>Melting_Curves/meltCurve_Q86VU5_COMTD1.pdf</t>
  </si>
  <si>
    <t>Melting_Curves/meltCurve_Q86W33_TPRA1.pdf</t>
  </si>
  <si>
    <t>Melting_Curves/meltCurve_Q86W42_THOC6.pdf</t>
  </si>
  <si>
    <t>Melting_Curves/meltCurve_Q86W50_METTL16.pdf</t>
  </si>
  <si>
    <t>Melting_Curves/meltCurve_Q86W56_PARG.pdf</t>
  </si>
  <si>
    <t>Melting_Curves/meltCurve_Q86W92_4_PPFIBP1.pdf</t>
  </si>
  <si>
    <t>Melting_Curves/meltCurve_Q86WA6_2_BPHL.pdf</t>
  </si>
  <si>
    <t>Melting_Curves/meltCurve_Q86WJ1_2_CHD1L.pdf</t>
  </si>
  <si>
    <t>Melting_Curves/meltCurve_Q86WQ0_NR2C2AP.pdf</t>
  </si>
  <si>
    <t>Melting_Curves/meltCurve_Q86WR0_CCDC25.pdf</t>
  </si>
  <si>
    <t>Melting_Curves/meltCurve_Q86WR7_PROSER2.pdf</t>
  </si>
  <si>
    <t>Melting_Curves/meltCurve_Q86WV6_TMEM173.pdf</t>
  </si>
  <si>
    <t>Melting_Curves/meltCurve_Q86WV7_CCDC43.pdf</t>
  </si>
  <si>
    <t>Melting_Curves/meltCurve_Q86X02_CDR2L.pdf</t>
  </si>
  <si>
    <t>Melting_Curves/meltCurve_Q86X27_RALGPS2.pdf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</si>
  <si>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</si>
  <si>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</si>
  <si>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</si>
  <si>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</si>
  <si>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Melting_Curves/meltCurve_Q86XK3_3_SFR1.pdf</t>
  </si>
  <si>
    <t>Melting_Curves/meltCurve_Q86XP3_DDX42.pdf</t>
  </si>
  <si>
    <t>Melting_Curves/meltCurve_Q86Y37_CACUL1.pdf</t>
  </si>
  <si>
    <t>Melting_Curves/meltCurve_Q86Y56_HEATR2.pdf</t>
  </si>
  <si>
    <t>Melting_Curves/meltCurve_Q86Y82_STX12.pdf</t>
  </si>
  <si>
    <t>Melting_Curves/meltCurve_Q86YB8_ERO1LB.pdf</t>
  </si>
  <si>
    <t>Melting_Curves/meltCurve_Q86YH6_PDSS2.pdf</t>
  </si>
  <si>
    <t>Melting_Curves/meltCurve_Q86YL5_TDRP.pdf</t>
  </si>
  <si>
    <t>Melting_Curves/meltCurve_Q86YR5_4_GPSM1.pdf</t>
  </si>
  <si>
    <t>Melting_Curves/meltCurve_Q86YS3_2_RAB11FIP4.pdf</t>
  </si>
  <si>
    <t>Melting_Curves/meltCurve_Q86YV5_SGK223.pdf</t>
  </si>
  <si>
    <t>Melting_Curves/meltCurve_Q86YV9_HPS6.pdf</t>
  </si>
  <si>
    <t>Melting_Curves/meltCurve_Q8IU81_IRF2BP1.pdf</t>
  </si>
  <si>
    <t>Melting_Curves/meltCurve_Q8IU85_2_CAMK1D.pdf</t>
  </si>
  <si>
    <t>Melting_Curves/meltCurve_Q8IUC8_2_GALNT13.pdf</t>
  </si>
  <si>
    <t>Melting_Curves/meltCurve_Q8IUF8_2_MINA.pdf</t>
  </si>
  <si>
    <t>Melting_Curves/meltCurve_Q8IUH4_ZDHHC13.pdf</t>
  </si>
  <si>
    <t>Melting_Curves/meltCurve_Q8IUI8_CRLF3.pdf</t>
  </si>
  <si>
    <t>Melting_Curves/meltCurve_Q8IUR0_TRAPPC5.pdf</t>
  </si>
  <si>
    <t>Melting_Curves/meltCurve_Q8IUW5_RELL1.pdf</t>
  </si>
  <si>
    <t>Melting_Curves/meltCurve_Q8IUX1_4_TMEM126B.pdf</t>
  </si>
  <si>
    <t>Melting_Curves/meltCurve_Q8IV04_TBC1D10C.pdf</t>
  </si>
  <si>
    <t>Melting_Curves/meltCurve_Q8IV08_PLD3.pdf</t>
  </si>
  <si>
    <t>Melting_Curves/meltCurve_Q8IV38_ANKMY2.pdf</t>
  </si>
  <si>
    <t>Melting_Curves/meltCurve_Q8IV63_3_VRK3.pdf</t>
  </si>
  <si>
    <t>Melting_Curves/meltCurve_Q8IVB5_LIX1L.pdf</t>
  </si>
  <si>
    <t>Melting_Curves/meltCurve_Q8IVD9_NUDCD3.pdf</t>
  </si>
  <si>
    <t>Melting_Curves/meltCurve_Q8IVF2_3_AHNAK2.pdf</t>
  </si>
  <si>
    <t>Melting_Curves/meltCurve_Q8IVF6_ANKRD18A.pdf</t>
  </si>
  <si>
    <t>Melting_Curves/meltCurve_Q8IVH8_3_MAP4K3.pdf</t>
  </si>
  <si>
    <t>Melting_Curves/meltCurve_Q8IVM0_CCDC50.pdf</t>
  </si>
  <si>
    <t>Melting_Curves/meltCurve_Q8IVM0_2_CCDC50.pdf</t>
  </si>
  <si>
    <t>Melting_Curves/meltCurve_Q8IVS2_MCAT.pdf</t>
  </si>
  <si>
    <t>Melting_Curves/meltCurve_Q8IVW6_4_ARID3B.pdf</t>
  </si>
  <si>
    <t>Melting_Curves/meltCurve_Q8IW45_CARKD.pdf</t>
  </si>
  <si>
    <t>Melting_Curves/meltCurve_Q8IWA4_MFN1.pdf</t>
  </si>
  <si>
    <t>Melting_Curves/meltCurve_Q8IWB1_ITPRIP.pdf</t>
  </si>
  <si>
    <t>Melting_Curves/meltCurve_Q8IWB7_WDFY1.pdf</t>
  </si>
  <si>
    <t>Melting_Curves/meltCurve_Q8IWB9_TEX2.pdf</t>
  </si>
  <si>
    <t>Melting_Curves/meltCurve_Q8IWC1_2_MAP7D3.pdf</t>
  </si>
  <si>
    <t>Melting_Curves/meltCurve_Q8IWE4_DCUN1D3.pdf</t>
  </si>
  <si>
    <t>Melting_Curves/meltCurve_Q8IWF6_DENND6A.pdf</t>
  </si>
  <si>
    <t>Melting_Curves/meltCurve_Q8IWI9_MGA.pdf</t>
  </si>
  <si>
    <t>Melting_Curves/meltCurve_Q8IWJ2_GCC2.pdf</t>
  </si>
  <si>
    <t>Melting_Curves/meltCurve_Q8IWL3_HSCB.pdf</t>
  </si>
  <si>
    <t>Melting_Curves/meltCurve_Q8IWP9_CCDC28A.pdf</t>
  </si>
  <si>
    <t>Melting_Curves/meltCurve_Q8IWU2_LMTK2.pdf</t>
  </si>
  <si>
    <t>Melting_Curves/meltCurve_Q8IWV8_4_UBR2.pdf</t>
  </si>
  <si>
    <t>Melting_Curves/meltCurve_Q8IWW6_4_ARHGAP12.pdf</t>
  </si>
  <si>
    <t>Melting_Curves/meltCurve_Q8IWZ3_6_ANKHD1.pdf</t>
  </si>
  <si>
    <t>Melting_Curves/meltCurve_Q8IWZ8_SUGP1.pdf</t>
  </si>
  <si>
    <t>Melting_Curves/meltCurve_Q8IX12_2_CCAR1.pdf</t>
  </si>
  <si>
    <t>Melting_Curves/meltCurve_Q8IX18_3_DHX40.pdf</t>
  </si>
  <si>
    <t>Melting_Curves/meltCurve_Q8IX90_SKA3.pdf</t>
  </si>
  <si>
    <t>Melting_Curves/meltCurve_Q8IXB1_2_DNAJC10.pdf</t>
  </si>
  <si>
    <t>Melting_Curves/meltCurve_Q8IXI1_RHOT2.pdf</t>
  </si>
  <si>
    <t>Melting_Curves/meltCurve_Q8IXI2_4_RHOT1.pdf</t>
  </si>
  <si>
    <t>Melting_Curves/meltCurve_Q8IXJ6_2_SIRT2.pdf</t>
  </si>
  <si>
    <t>Melting_Curves/meltCurve_Q8IXQ3_C9orf40.pdf</t>
  </si>
  <si>
    <t>Melting_Curves/meltCurve_Q8IXQ4_KIAA1704.pdf</t>
  </si>
  <si>
    <t>Melting_Curves/meltCurve_Q8IXQ9_METTL20.pdf</t>
  </si>
  <si>
    <t>Melting_Curves/meltCurve_Q8IXW5_2_RPAP2.pdf</t>
  </si>
  <si>
    <t>Melting_Curves/meltCurve_Q8IY26_PPAPDC2.pdf</t>
  </si>
  <si>
    <t>Melting_Curves/meltCurve_Q8IY37_DHX37.pdf</t>
  </si>
  <si>
    <t>Melting_Curves/meltCurve_Q8IY95_2_TMEM192.pdf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</si>
  <si>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</si>
  <si>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</si>
  <si>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</si>
  <si>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</si>
  <si>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Melting_Curves/meltCurve_Q8IYB9_ZNF595.pdf</t>
  </si>
  <si>
    <t>Melting_Curves/meltCurve_Q8IYD1_GSPT2.pdf</t>
  </si>
  <si>
    <t>Melting_Curves/meltCurve_Q8IYH5_4_ZZZ3.pdf</t>
  </si>
  <si>
    <t>Melting_Curves/meltCurve_Q8IYI6_EXOC8.pdf</t>
  </si>
  <si>
    <t>Melting_Curves/meltCurve_Q8IYL3_C1orf174.pdf</t>
  </si>
  <si>
    <t>Melting_Curves/meltCurve_Q8IYN2_TCEAL8.pdf</t>
  </si>
  <si>
    <t>Melting_Curves/meltCurve_Q8IYQ7_THNSL1.pdf</t>
  </si>
  <si>
    <t>Melting_Curves/meltCurve_Q8IYR2_SMYD4.pdf</t>
  </si>
  <si>
    <t>Melting_Curves/meltCurve_Q8IYS1_PM20D2.pdf</t>
  </si>
  <si>
    <t>Melting_Curves/meltCurve_Q8IYS2_KIAA2013.pdf</t>
  </si>
  <si>
    <t>Melting_Curves/meltCurve_Q8IYU2_4_HACE1.pdf</t>
  </si>
  <si>
    <t>Melting_Curves/meltCurve_Q8IZ07_ANKRD13A.pdf</t>
  </si>
  <si>
    <t>Melting_Curves/meltCurve_Q8IZ13_C5orf54.pdf</t>
  </si>
  <si>
    <t>Melting_Curves/meltCurve_Q8IZ21_3_PHACTR4.pdf</t>
  </si>
  <si>
    <t>Melting_Curves/meltCurve_Q8IZ41_RASEF.pdf</t>
  </si>
  <si>
    <t>Melting_Curves/meltCurve_Q8IZ68_MTX2.pdf</t>
  </si>
  <si>
    <t>Melting_Curves/meltCurve_Q8IZ73_RPUSD2.pdf</t>
  </si>
  <si>
    <t>Melting_Curves/meltCurve_Q8IZA0_KIAA0319L.pdf</t>
  </si>
  <si>
    <t>Melting_Curves/meltCurve_Q8IZD4_DCP1B.pdf</t>
  </si>
  <si>
    <t>Melting_Curves/meltCurve_Q8IZJ1_2_UNC5B.pdf</t>
  </si>
  <si>
    <t>Melting_Curves/meltCurve_Q8IZN3_2_ZDHHC14.pdf</t>
  </si>
  <si>
    <t>Melting_Curves/meltCurve_Q8IZR5_3_CMTM4.pdf</t>
  </si>
  <si>
    <t>Melting_Curves/meltCurve_Q8IZV5_RDH10.pdf</t>
  </si>
  <si>
    <t>Melting_Curves/meltCurve_Q8N0T1_C8orf59.pdf</t>
  </si>
  <si>
    <t>Melting_Curves/meltCurve_Q8N0U8_VKORC1L1.pdf</t>
  </si>
  <si>
    <t>Melting_Curves/meltCurve_Q8N0W3_FUK.pdf</t>
  </si>
  <si>
    <t>Melting_Curves/meltCurve_Q8N0X4_2_CLYBL.pdf</t>
  </si>
  <si>
    <t>Melting_Curves/meltCurve_Q8N0X7_SPG20.pdf</t>
  </si>
  <si>
    <t>Melting_Curves/meltCurve_Q8N0Z3_SPICE1.pdf</t>
  </si>
  <si>
    <t>Melting_Curves/meltCurve_Q8N0Z6_TTC5.pdf</t>
  </si>
  <si>
    <t>Melting_Curves/meltCurve_Q8N108_17_MIER1.pdf</t>
  </si>
  <si>
    <t>Melting_Curves/meltCurve_Q8N129_CNPY4.pdf</t>
  </si>
  <si>
    <t>Melting_Curves/meltCurve_Q8N183_NDUFAF2.pdf</t>
  </si>
  <si>
    <t>Melting_Curves/meltCurve_Q8N1B4_VPS52.pdf</t>
  </si>
  <si>
    <t>Melting_Curves/meltCurve_Q8N1F7_NUP93.pdf</t>
  </si>
  <si>
    <t>Melting_Curves/meltCurve_Q8N1G2_FTSJD2.pdf</t>
  </si>
  <si>
    <t>Melting_Curves/meltCurve_Q8N1G4_LRRC47.pdf</t>
  </si>
  <si>
    <t>Melting_Curves/meltCurve_Q8N1Q1_CA13.pdf</t>
  </si>
  <si>
    <t>Melting_Curves/meltCurve_Q8N2F6_3_ARMC10.pdf</t>
  </si>
  <si>
    <t>Melting_Curves/meltCurve_Q8N2G8_3_GHDC.pdf</t>
  </si>
  <si>
    <t>Melting_Curves/meltCurve_Q8N2K0_ABHD12.pdf</t>
  </si>
  <si>
    <t>Melting_Curves/meltCurve_Q8N2W9_PIAS4.pdf</t>
  </si>
  <si>
    <t>Melting_Curves/meltCurve_Q8N2Z9_APITD1.pdf</t>
  </si>
  <si>
    <t>Melting_Curves/meltCurve_Q8N300_CCDC23.pdf</t>
  </si>
  <si>
    <t>Melting_Curves/meltCurve_Q8N335_GPD1L.pdf</t>
  </si>
  <si>
    <t>Melting_Curves/meltCurve_Q8N344_MIER2.pdf</t>
  </si>
  <si>
    <t>Melting_Curves/meltCurve_Q8N371_KDM8.pdf</t>
  </si>
  <si>
    <t>Melting_Curves/meltCurve_Q8N392_2_ARHGAP18.pdf</t>
  </si>
  <si>
    <t>Melting_Curves/meltCurve_Q8N3D4_EHBP1L1.pdf</t>
  </si>
  <si>
    <t>Melting_Curves/meltCurve_Q8N3F8_MICALL1.pdf</t>
  </si>
  <si>
    <t>Melting_Curves/meltCurve_Q8N3R9_MPP5.pdf</t>
  </si>
  <si>
    <t>Melting_Curves/meltCurve_Q8N3X1_FNBP4.pdf</t>
  </si>
  <si>
    <t>Melting_Curves/meltCurve_Q8N465_D2HGDH.pdf</t>
  </si>
  <si>
    <t>Melting_Curves/meltCurve_Q8N488_RYBP.pdf</t>
  </si>
  <si>
    <t>Melting_Curves/meltCurve_Q8N490_2_PNKD.pdf</t>
  </si>
  <si>
    <t>Melting_Curves/meltCurve_Q8N490_4_PNKD.pdf</t>
  </si>
  <si>
    <t>Melting_Curves/meltCurve_Q8N4C8_2_MINK1.pdf</t>
  </si>
  <si>
    <t>Melting_Curves/meltCurve_Q8N4P3_HDDC3.pdf</t>
  </si>
  <si>
    <t>Melting_Curves/meltCurve_Q8N4Q0_ZADH2.pdf</t>
  </si>
  <si>
    <t>Melting_Curves/meltCurve_Q8N4Q1_CHCHD4.pdf</t>
  </si>
  <si>
    <t>Melting_Curves/meltCurve_Q8N4V1_MMGT1.pdf</t>
  </si>
  <si>
    <t>Melting_Curves/meltCurve_Q8N556_AFAP1.pdf</t>
  </si>
  <si>
    <t>Melting_Curves/meltCurve_Q8N573_2_OXR1.pdf</t>
  </si>
  <si>
    <t>Melting_Curves/meltCurve_Q8N573_8_OXR1.pdf</t>
  </si>
  <si>
    <t>Melting_Curves/meltCurve_Q8N584_TTC39C.pdf</t>
  </si>
  <si>
    <t>Melting_Curves/meltCurve_Q8N5A5_3_ZGPAT.pdf</t>
  </si>
  <si>
    <t>Melting_Curves/meltCurve_Q8N5C7_DTWD1.pdf</t>
  </si>
  <si>
    <t>Melting_Curves/meltCurve_Q8N5G0_2_SMIM20.pdf</t>
  </si>
  <si>
    <t>Melting_Curves/meltCurve_Q8N5I9_C12orf45.pdf</t>
  </si>
  <si>
    <t>Melting_Curves/meltCurve_Q8N5K1_CISD2.pdf</t>
  </si>
  <si>
    <t>Melting_Curves/meltCurve_Q8N5M9_JAGN1.pdf</t>
  </si>
  <si>
    <t>Melting_Curves/meltCurve_Q8N5N7_MRPL50.pdf</t>
  </si>
  <si>
    <t>Melting_Curves/meltCurve_Q8N5X7_EIF4E3.pdf</t>
  </si>
  <si>
    <t>Melting_Curves/meltCurve_Q8N612_FAM160A2.pdf</t>
  </si>
  <si>
    <t>Melting_Curves/meltCurve_Q8N655_C10orf12.pdf</t>
  </si>
  <si>
    <t>Melting_Curves/meltCurve_Q8N684_2_CPSF7.pdf</t>
  </si>
  <si>
    <t>Melting_Curves/meltCurve_Q8N697_SLC15A4.pdf</t>
  </si>
  <si>
    <t>Melting_Curves/meltCurve_Q8N6H7_ARFGAP2.pdf</t>
  </si>
  <si>
    <t>Melting_Curves/meltCurve_Q8N6M0_OTUD6B.pdf</t>
  </si>
  <si>
    <t>Melting_Curves/meltCurve_Q8N6N3_C1orf52.pdf</t>
  </si>
  <si>
    <t>Melting_Curves/meltCurve_Q8N6N7_ACBD7.pdf</t>
  </si>
  <si>
    <t>Melting_Curves/meltCurve_Q8N749_TOM1L1.pdf</t>
  </si>
  <si>
    <t>Melting_Curves/meltCurve_Q8N766_3_EMC1.pdf</t>
  </si>
  <si>
    <t>Melting_Curves/meltCurve_Q8N7H5_PAF1.pdf</t>
  </si>
  <si>
    <t>Melting_Curves/meltCurve_Q8N7R7_3_CCNYL1.pdf</t>
  </si>
  <si>
    <t>Melting_Curves/meltCurve_Q8N806_UBR7.pdf</t>
  </si>
  <si>
    <t>Melting_Curves/meltCurve_Q8N8J7_C4orf32.pdf</t>
  </si>
  <si>
    <t>Melting_Curves/meltCurve_Q8N8N7_PTGR2.pdf</t>
  </si>
  <si>
    <t>Melting_Curves/meltCurve_Q8N8R5_C2orf69.pdf</t>
  </si>
  <si>
    <t>Melting_Curves/meltCurve_Q8N8R7_ARL14EP.pdf</t>
  </si>
  <si>
    <t>Melting_Curves/meltCurve_Q8N8S7_ENAH.pdf</t>
  </si>
  <si>
    <t>Melting_Curves/meltCurve_Q8N8Z6_DCBLD1.pdf</t>
  </si>
  <si>
    <t>Melting_Curves/meltCurve_Q8N954_GPATCH11.pdf</t>
  </si>
  <si>
    <t>Melting_Curves/meltCurve_Q8N983_4_MRPL43.pdf</t>
  </si>
  <si>
    <t>Melting_Curves/meltCurve_Q8N999_C12orf29.pdf</t>
  </si>
  <si>
    <t>Melting_Curves/meltCurve_Q8N9B5_2_JMY.pdf</t>
  </si>
  <si>
    <t>Melting_Curves/meltCurve_Q8N9D7_PTK2.pdf</t>
  </si>
  <si>
    <t>Melting_Curves/meltCurve_Q8N9F7_GDPD1.pdf</t>
  </si>
  <si>
    <t>Melting_Curves/meltCurve_Q8N9N7_LRRC57.pdf</t>
  </si>
  <si>
    <t>Melting_Curves/meltCurve_Q8N9N8_EIF1AD.pdf</t>
  </si>
  <si>
    <t>Melting_Curves/meltCurve_Q8N9U0_2_TC2N.pdf</t>
  </si>
  <si>
    <t>Melting_Curves/meltCurve_Q8N9V3_2_WDSUB1.pdf</t>
  </si>
  <si>
    <t>Melting_Curves/meltCurve_Q8NAF0_ZNF579.pdf</t>
  </si>
  <si>
    <t>Melting_Curves/meltCurve_Q8NAV1_PRPF38A.pdf</t>
  </si>
  <si>
    <t>Melting_Curves/meltCurve_Q8NB15_2_ZNF511.pdf</t>
  </si>
  <si>
    <t>Melting_Curves/meltCurve_Q8NB37_PDDC1.pdf</t>
  </si>
  <si>
    <t>Melting_Curves/meltCurve_Q8NB49_ATP11C.pdf</t>
  </si>
  <si>
    <t>Melting_Curves/meltCurve_Q8NBA8_DTWD2.pdf</t>
  </si>
  <si>
    <t>Melting_Curves/meltCurve_Q8NBF2_NHLRC2.pdf</t>
  </si>
  <si>
    <t>Melting_Curves/meltCurve_Q8NBF6_AVL9.pdf</t>
  </si>
  <si>
    <t>Melting_Curves/meltCurve_Q8NBI6_XXYLT1.pdf</t>
  </si>
  <si>
    <t>Melting_Curves/meltCurve_Q8NBJ4_2_GOLM1.pdf</t>
  </si>
  <si>
    <t>Melting_Curves/meltCurve_Q8NBJ5_COLGALT1.pdf</t>
  </si>
  <si>
    <t>Melting_Curves/meltCurve_Q8NBK3_4_SUMF1.pdf</t>
  </si>
  <si>
    <t>Melting_Curves/meltCurve_Q8NBL1_POGLUT1.pdf</t>
  </si>
  <si>
    <t>Melting_Curves/meltCurve_Q8NBM4_2_UBAC2.pdf</t>
  </si>
  <si>
    <t>Melting_Curves/meltCurve_Q8NBN3_TMEM87A.pdf</t>
  </si>
  <si>
    <t>Melting_Curves/meltCurve_Q8NBN7_RDH13.pdf</t>
  </si>
  <si>
    <t>Melting_Curves/meltCurve_Q8NBU5_ATAD1.pdf</t>
  </si>
  <si>
    <t>Melting_Curves/meltCurve_Q8NBX0_SCCPDH.pdf</t>
  </si>
  <si>
    <t>Melting_Curves/meltCurve_Q8NC51_2_SERBP1.pdf</t>
  </si>
  <si>
    <t>Melting_Curves/meltCurve_Q8NC54_KCT2.pdf</t>
  </si>
  <si>
    <t>Melting_Curves/meltCurve_Q8NC56_LEMD2.pdf</t>
  </si>
  <si>
    <t>Melting_Curves/meltCurve_Q8NCC3_PLA2G15.pdf</t>
  </si>
  <si>
    <t>Melting_Curves/meltCurve_Q8NCE0_4_TSEN2.pdf</t>
  </si>
  <si>
    <t>Melting_Curves/meltCurve_Q8NCE2_2_MTMR14.pdf</t>
  </si>
  <si>
    <t>Melting_Curves/meltCurve_Q8NCF5_NFATC2IP.pdf</t>
  </si>
  <si>
    <t>Melting_Curves/meltCurve_Q8NCH0_CHST14.pdf</t>
  </si>
  <si>
    <t>Melting_Curves/meltCurve_Q8NCM8_DYNC2H1.pdf</t>
  </si>
  <si>
    <t>Melting_Curves/meltCurve_Q8NCN5_PDPR.pdf</t>
  </si>
  <si>
    <t>Melting_Curves/meltCurve_Q8NCW5_APOA1BP.pdf</t>
  </si>
  <si>
    <t>Melting_Curves/meltCurve_Q8ND04_3_SMG8.pdf</t>
  </si>
  <si>
    <t>Melting_Curves/meltCurve_Q8ND24_RNF214.pdf</t>
  </si>
  <si>
    <t>Melting_Curves/meltCurve_Q8ND56_2_LSM14A.pdf</t>
  </si>
  <si>
    <t>Melting_Curves/meltCurve_Q8ND76_3_CCNY.pdf</t>
  </si>
  <si>
    <t>Melting_Curves/meltCurve_Q8NDC0_MAPK1IP1L.pdf</t>
  </si>
  <si>
    <t>Melting_Curves/meltCurve_Q8NDH3_5_NPEPL1.pdf</t>
  </si>
  <si>
    <t>Melting_Curves/meltCurve_Q8NDI1_3_EHBP1.pdf</t>
  </si>
  <si>
    <t>Melting_Curves/meltCurve_Q8NDZ4_C3orf58.pdf</t>
  </si>
  <si>
    <t>Melting_Curves/meltCurve_Q8NE01_CNNM3.pdf</t>
  </si>
  <si>
    <t>Melting_Curves/meltCurve_Q8NE62_CHDH.pdf</t>
  </si>
  <si>
    <t>Melting_Curves/meltCurve_Q8NE71_2_ABCF1.pdf</t>
  </si>
  <si>
    <t>Melting_Curves/meltCurve_Q8NE86_3_MCU.pdf</t>
  </si>
  <si>
    <t>Melting_Curves/meltCurve_Q8NEC7_GSTCD.pdf</t>
  </si>
  <si>
    <t>Melting_Curves/meltCurve_Q8NEF9_SRFBP1.pdf</t>
  </si>
  <si>
    <t>Melting_Curves/meltCurve_Q8NEN9_PDZD8.pdf</t>
  </si>
  <si>
    <t>Melting_Curves/meltCurve_Q8NEU8_APPL2.pdf</t>
  </si>
  <si>
    <t>Melting_Curves/meltCurve_Q8NEY1_5_NAV1.pdf</t>
  </si>
  <si>
    <t>Melting_Curves/meltCurve_Q8NEZ5_FBXO22.pdf</t>
  </si>
  <si>
    <t>Melting_Curves/meltCurve_Q8NF37_LPCAT1.pdf</t>
  </si>
  <si>
    <t>Melting_Curves/meltCurve_Q8NF67_.pdf</t>
  </si>
  <si>
    <t>Melting_Curves/meltCurve_Q8NFC6_BOD1L1.pdf</t>
  </si>
  <si>
    <t>Melting_Curves/meltCurve_Q8NFF5_2_FLAD1.pdf</t>
  </si>
  <si>
    <t>Melting_Curves/meltCurve_Q8NFG4_FLCN.pdf</t>
  </si>
  <si>
    <t>Melting_Curves/meltCurve_Q8NFH3_NUP43.pdf</t>
  </si>
  <si>
    <t>Melting_Curves/meltCurve_Q8NFH4_NUP37.pdf</t>
  </si>
  <si>
    <t>Melting_Curves/meltCurve_Q8NFP7_NUDT10.pdf</t>
  </si>
  <si>
    <t>Melting_Curves/meltCurve_Q8NFQ8_TOR1AIP2.pdf</t>
  </si>
  <si>
    <t>Melting_Curves/meltCurve_Q8NFU5_IPMK.pdf</t>
  </si>
  <si>
    <t>Melting_Curves/meltCurve_Q8NFV4_ABHD11.pdf</t>
  </si>
  <si>
    <t>Melting_Curves/meltCurve_Q8NFX7_2_STXBP6.pdf</t>
  </si>
  <si>
    <t>Melting_Curves/meltCurve_Q8NFZ4_NLGN2.pdf</t>
  </si>
  <si>
    <t>Melting_Curves/meltCurve_Q8NFZ8_CADM4.pdf</t>
  </si>
  <si>
    <t>Melting_Curves/meltCurve_Q8NG08_HELB.pdf</t>
  </si>
  <si>
    <t>Melting_Curves/meltCurve_Q8NG68_TTL.pdf</t>
  </si>
  <si>
    <t>Melting_Curves/meltCurve_Q8NHG7_SVIP.pdf</t>
  </si>
  <si>
    <t>Melting_Curves/meltCurve_Q8NHG8_ZNRF2.pdf</t>
  </si>
  <si>
    <t>Melting_Curves/meltCurve_Q8NHP8_PLBD2.pdf</t>
  </si>
  <si>
    <t>Melting_Curves/meltCurve_Q8NHU6_TDRD7.pdf</t>
  </si>
  <si>
    <t>Melting_Curves/meltCurve_Q8NHV4_NEDD1.pdf</t>
  </si>
  <si>
    <t>Melting_Curves/meltCurve_Q8NHZ8_CDC26.pdf</t>
  </si>
  <si>
    <t>Melting_Curves/meltCurve_Q8NI08_2_NCOA7.pdf</t>
  </si>
  <si>
    <t>Melting_Curves/meltCurve_Q8NI22_2_MCFD2.pdf</t>
  </si>
  <si>
    <t>Melting_Curves/meltCurve_Q8NI27_THOC2.pdf</t>
  </si>
  <si>
    <t>Melting_Curves/meltCurve_Q8NI36_WDR36.pdf</t>
  </si>
  <si>
    <t>Melting_Curves/meltCurve_Q8NI37_PPTC7.pdf</t>
  </si>
  <si>
    <t>Melting_Curves/meltCurve_Q8NI60_ADCK3.pdf</t>
  </si>
  <si>
    <t>Melting_Curves/meltCurve_Q8TA86_RP9.pdf</t>
  </si>
  <si>
    <t>Melting_Curves/meltCurve_Q8TAA5_GRPEL2.pdf</t>
  </si>
  <si>
    <t>Melting_Curves/meltCurve_Q8TAA9_2_VANGL1.pdf</t>
  </si>
  <si>
    <t>Melting_Curves/meltCurve_Q8TAE6_PPP1R14C.pdf</t>
  </si>
  <si>
    <t>Melting_Curves/meltCurve_Q8TAE8_GADD45GIP1.pdf</t>
  </si>
  <si>
    <t>Melting_Curves/meltCurve_Q8TAF3_3_WDR48.pdf</t>
  </si>
  <si>
    <t>Melting_Curves/meltCurve_Q8TAP8_PPP1R35.pdf</t>
  </si>
  <si>
    <t>Melting_Curves/meltCurve_Q8TAT6_NPLOC4.pdf</t>
  </si>
  <si>
    <t>Melting_Curves/meltCurve_Q8TAY7_FAM110D.pdf</t>
  </si>
  <si>
    <t>Melting_Curves/meltCurve_Q8TB03_CXorf38.pdf</t>
  </si>
  <si>
    <t>Melting_Curves/meltCurve_Q8TB36_GDAP1.pdf</t>
  </si>
  <si>
    <t>Melting_Curves/meltCurve_Q8TB37_NUBPL.pdf</t>
  </si>
  <si>
    <t>Melting_Curves/meltCurve_Q8TB52_FBXO30.pdf</t>
  </si>
  <si>
    <t>Melting_Curves/meltCurve_Q8TB61_3_SLC35B2.pdf</t>
  </si>
  <si>
    <t>Melting_Curves/meltCurve_Q8TBA6_2_GOLGA5.pdf</t>
  </si>
  <si>
    <t>Melting_Curves/meltCurve_Q8TBB5_3_KLHDC4.pdf</t>
  </si>
  <si>
    <t>Melting_Curves/meltCurve_Q8TBC4_UBA3.pdf</t>
  </si>
  <si>
    <t>Melting_Curves/meltCurve_Q8TBE9_NANP.pdf</t>
  </si>
  <si>
    <t>Melting_Curves/meltCurve_Q8TBP6_SLC25A40.pdf</t>
  </si>
  <si>
    <t>Melting_Curves/meltCurve_Q8TBX8_PIP4K2C.pdf</t>
  </si>
  <si>
    <t>Melting_Curves/meltCurve_Q8TBZ6_TRMT10A.pdf</t>
  </si>
  <si>
    <t>Melting_Curves/meltCurve_Q8TC07_2_TBC1D15.pdf</t>
  </si>
  <si>
    <t>Melting_Curves/meltCurve_Q8TC12_RDH11.pdf</t>
  </si>
  <si>
    <t>Melting_Curves/meltCurve_Q8TC26_TMEM163.pdf</t>
  </si>
  <si>
    <t>Melting_Curves/meltCurve_Q8TC71_2_SPATA18.pdf</t>
  </si>
  <si>
    <t>Melting_Curves/meltCurve_Q8TCD1_C18orf32.pdf</t>
  </si>
  <si>
    <t>Melting_Curves/meltCurve_Q8TCD5_NT5C.pdf</t>
  </si>
  <si>
    <t>Melting_Curves/meltCurve_Q8TCG1_KIAA1524.pdf</t>
  </si>
  <si>
    <t>Melting_Curves/meltCurve_Q8TCS8_PNPT1.pdf</t>
  </si>
  <si>
    <t>Melting_Curves/meltCurve_Q8TCT9_5_HM13.pdf</t>
  </si>
  <si>
    <t>Melting_Curves/meltCurve_Q8TD16_BICD2.pdf</t>
  </si>
  <si>
    <t>Melting_Curves/meltCurve_Q8TD19_NEK9.pdf</t>
  </si>
  <si>
    <t>Melting_Curves/meltCurve_Q8TD30_GPT2.pdf</t>
  </si>
  <si>
    <t>Melting_Curves/meltCurve_Q8TDD1_DDX54.pdf</t>
  </si>
  <si>
    <t>Melting_Curves/meltCurve_Q8TDH9_BLOC1S5.pdf</t>
  </si>
  <si>
    <t>Melting_Curves/meltCurve_Q8TDQ7_GNPDA2.pdf</t>
  </si>
  <si>
    <t>Melting_Curves/meltCurve_Q8TDX7_NEK7.pdf</t>
  </si>
  <si>
    <t>Melting_Curves/meltCurve_Q8TDY2_2_RB1CC1.pdf</t>
  </si>
  <si>
    <t>Melting_Curves/meltCurve_Q8TDZ2_MICAL1.pdf</t>
  </si>
  <si>
    <t>Melting_Curves/meltCurve_Q8TE04_2_PANK1.pdf</t>
  </si>
  <si>
    <t>Melting_Curves/meltCurve_Q8TE77_SSH3.pdf</t>
  </si>
  <si>
    <t>Melting_Curves/meltCurve_Q8TEA1_NSUN6.pdf</t>
  </si>
  <si>
    <t>Melting_Curves/meltCurve_Q8TEA8_DTD1.pdf</t>
  </si>
  <si>
    <t>Melting_Curves/meltCurve_Q8TEB1_2_DCAF11.pdf</t>
  </si>
  <si>
    <t>Melting_Curves/meltCurve_Q8TEH3_DENND1A.pdf</t>
  </si>
  <si>
    <t>Melting_Curves/meltCurve_Q8TEM1_NUP210.pdf</t>
  </si>
  <si>
    <t>Melting_Curves/meltCurve_Q8TEQ6_GEMIN5.pdf</t>
  </si>
  <si>
    <t>Melting_Curves/meltCurve_Q8TEQ8_2_PIGO.pdf</t>
  </si>
  <si>
    <t>Melting_Curves/meltCurve_Q8TEV9_SMCR8.pdf</t>
  </si>
  <si>
    <t>Melting_Curves/meltCurve_Q8TEW0_4_PARD3.pdf</t>
  </si>
  <si>
    <t>Melting_Curves/meltCurve_Q8TEX9_IPO4.pdf</t>
  </si>
  <si>
    <t>Melting_Curves/meltCurve_Q8TEY7_2_USP33.pdf</t>
  </si>
  <si>
    <t>Melting_Curves/meltCurve_Q8TF01_PNISR.pdf</t>
  </si>
  <si>
    <t>Melting_Curves/meltCurve_Q8TF05_2_PPP4R1.pdf</t>
  </si>
  <si>
    <t>Melting_Curves/meltCurve_Q8TF74_WIPF2.pdf</t>
  </si>
  <si>
    <t>Melting_Curves/meltCurve_Q8WTS6_SETD7.pdf</t>
  </si>
  <si>
    <t>Melting_Curves/meltCurve_Q8WU58_FAM222B.pdf</t>
  </si>
  <si>
    <t>Melting_Curves/meltCurve_Q8WU79_2_SMAP2.pdf</t>
  </si>
  <si>
    <t>Melting_Curves/meltCurve_Q8WU90_ZC3H15.pdf</t>
  </si>
  <si>
    <t>Melting_Curves/meltCurve_Q8WUA2_PPIL4.pdf</t>
  </si>
  <si>
    <t>Melting_Curves/meltCurve_Q8WUB8_3_PHF10.pdf</t>
  </si>
  <si>
    <t>Melting_Curves/meltCurve_Q8WUD1_RAB2B.pdf</t>
  </si>
  <si>
    <t>Melting_Curves/meltCurve_Q8WUD6_CHPT1.pdf</t>
  </si>
  <si>
    <t>Melting_Curves/meltCurve_Q8WUF5_PPP1R13L.pdf</t>
  </si>
  <si>
    <t>Melting_Curves/meltCurve_Q8WUF8_2_FAM172A.pdf</t>
  </si>
  <si>
    <t>Melting_Curves/meltCurve_Q8WUH6_C12orf23.pdf</t>
  </si>
  <si>
    <t>Melting_Curves/meltCurve_Q8WUJ1_CYB5D2.pdf</t>
  </si>
  <si>
    <t>Melting_Curves/meltCurve_Q8WUK0_PTPMT1.pdf</t>
  </si>
  <si>
    <t>Melting_Curves/meltCurve_Q8WUM4_PDCD6IP.pdf</t>
  </si>
  <si>
    <t>Melting_Curves/meltCurve_Q8WUP2_FBLIM1.pdf</t>
  </si>
  <si>
    <t>Melting_Curves/meltCurve_Q8WUR7_C15orf40.pdf</t>
  </si>
  <si>
    <t>Melting_Curves/meltCurve_Q8WUX2_CHAC2.pdf</t>
  </si>
  <si>
    <t>Melting_Curves/meltCurve_Q8WUX9_CHMP7.pdf</t>
  </si>
  <si>
    <t>Melting_Curves/meltCurve_Q8WUY1_THEM6.pdf</t>
  </si>
  <si>
    <t>Melting_Curves/meltCurve_Q8WUY8_NAT14.pdf</t>
  </si>
  <si>
    <t>Melting_Curves/meltCurve_Q8WV22_NSMCE1.pdf</t>
  </si>
  <si>
    <t>Melting_Curves/meltCurve_Q8WV74_NUDT8.pdf</t>
  </si>
  <si>
    <t>Melting_Curves/meltCurve_Q8WV92_MITD1.pdf</t>
  </si>
  <si>
    <t>Melting_Curves/meltCurve_Q8WVC0_LEO1.pdf</t>
  </si>
  <si>
    <t>Melting_Curves/meltCurve_Q8WVD3_RNF138.pdf</t>
  </si>
  <si>
    <t>Melting_Curves/meltCurve_Q8WVE0_N6AMT2.pdf</t>
  </si>
  <si>
    <t>Melting_Curves/meltCurve_Q8WVJ2_NUDCD2.pdf</t>
  </si>
  <si>
    <t>Melting_Curves/meltCurve_Q8WVK2_SNRNP27.pdf</t>
  </si>
  <si>
    <t>Melting_Curves/meltCurve_Q8WVK7_SKA2.pdf</t>
  </si>
  <si>
    <t>Melting_Curves/meltCurve_Q8WVL7_ANKRD49.pdf</t>
  </si>
  <si>
    <t>Melting_Curves/meltCurve_Q8WVM0_TFB1M.pdf</t>
  </si>
  <si>
    <t>Melting_Curves/meltCurve_Q8WVM8_SCFD1.pdf</t>
  </si>
  <si>
    <t>Melting_Curves/meltCurve_Q8WVX9_FAR1.pdf</t>
  </si>
  <si>
    <t>Melting_Curves/meltCurve_Q8WVY7_UBLCP1.pdf</t>
  </si>
  <si>
    <t>Melting_Curves/meltCurve_Q8WW01_TSEN15.pdf</t>
  </si>
  <si>
    <t>Melting_Curves/meltCurve_Q8WW12_PCNP.pdf</t>
  </si>
  <si>
    <t>Melting_Curves/meltCurve_Q8WW59_SPRYD4.pdf</t>
  </si>
  <si>
    <t>Melting_Curves/meltCurve_Q8WWC4_C2orf47.pdf</t>
  </si>
  <si>
    <t>Melting_Curves/meltCurve_Q8WWH5_TRUB1.pdf</t>
  </si>
  <si>
    <t>Melting_Curves/meltCurve_Q8WWM7_ATXN2L.pdf</t>
  </si>
  <si>
    <t>Melting_Curves/meltCurve_Q8WWV3_RTN4IP1.pdf</t>
  </si>
  <si>
    <t>Melting_Curves/meltCurve_Q8WWX9_SELM.pdf</t>
  </si>
  <si>
    <t>Melting_Curves/meltCurve_Q8WX92_NELFB.pdf</t>
  </si>
  <si>
    <t>Melting_Curves/meltCurve_Q8WX93_3_PALLD.pdf</t>
  </si>
  <si>
    <t>Melting_Curves/meltCurve_Q8WXA3_RUFY2.pdf</t>
  </si>
  <si>
    <t>Melting_Curves/meltCurve_Q8WXA9_2_SREK1.pdf</t>
  </si>
  <si>
    <t>Melting_Curves/meltCurve_Q8WXD5_GEMIN6.pdf</t>
  </si>
  <si>
    <t>Melting_Curves/meltCurve_Q8WXE0_CASKIN2.pdf</t>
  </si>
  <si>
    <t>Melting_Curves/meltCurve_Q8WXF1_PSPC1.pdf</t>
  </si>
  <si>
    <t>Melting_Curves/meltCurve_Q8WXI9_GATAD2B.pdf</t>
  </si>
  <si>
    <t>Melting_Curves/meltCurve_Q8WXX5_DNAJC9.pdf</t>
  </si>
  <si>
    <t>Melting_Curves/meltCurve_Q8WXX7_2_AUTS2.pdf</t>
  </si>
  <si>
    <t>Melting_Curves/meltCurve_Q8WY22_BRI3BP.pdf</t>
  </si>
  <si>
    <t>Melting_Curves/meltCurve_Q8WY54_2_PPM1E.pdf</t>
  </si>
  <si>
    <t>Melting_Curves/meltCurve_Q8WY91_THAP4.pdf</t>
  </si>
  <si>
    <t>Melting_Curves/meltCurve_Q8WYA6_3_CTNNBL1.pdf</t>
  </si>
  <si>
    <t>Melting_Curves/meltCurve_Q8WZ82_OVCA2.pdf</t>
  </si>
  <si>
    <t>Melting_Curves/meltCurve_Q8WZA9_IRGQ.pdf</t>
  </si>
  <si>
    <t>Melting_Curves/meltCurve_Q92466_4_DDB2.pdf</t>
  </si>
  <si>
    <t>Melting_Curves/meltCurve_Q92499_DDX1.pdf</t>
  </si>
  <si>
    <t>Melting_Curves/meltCurve_Q92506_HSD17B8.pdf</t>
  </si>
  <si>
    <t>Melting_Curves/meltCurve_Q92520_FAM3C.pdf</t>
  </si>
  <si>
    <t>Melting_Curves/meltCurve_Q92522_H1FX.pdf</t>
  </si>
  <si>
    <t>Melting_Curves/meltCurve_Q92526_3_CCT6B.pdf</t>
  </si>
  <si>
    <t>Melting_Curves/meltCurve_Q92538_GBF1.pdf</t>
  </si>
  <si>
    <t>Melting_Curves/meltCurve_Q92541_RTF1.pdf</t>
  </si>
  <si>
    <t>Melting_Curves/meltCurve_Q92544_TM9SF4.pdf</t>
  </si>
  <si>
    <t>Melting_Curves/meltCurve_Q92547_TOPBP1.pdf</t>
  </si>
  <si>
    <t>Melting_Curves/meltCurve_Q92552_MRPS27.pdf</t>
  </si>
  <si>
    <t>Melting_Curves/meltCurve_Q92558_WASF1.pdf</t>
  </si>
  <si>
    <t>Melting_Curves/meltCurve_Q92575_UBXN4.pdf</t>
  </si>
  <si>
    <t>Melting_Curves/meltCurve_Q92576_2_PHF3.pdf</t>
  </si>
  <si>
    <t>Melting_Curves/meltCurve_Q92585_MAML1.pdf</t>
  </si>
  <si>
    <t>Melting_Curves/meltCurve_Q92597_NDRG1.pdf</t>
  </si>
  <si>
    <t>Melting_Curves/meltCurve_Q92598_2_HSPH1.pdf</t>
  </si>
  <si>
    <t>Melting_Curves/meltCurve_Q92604_LPGAT1.pdf</t>
  </si>
  <si>
    <t>Melting_Curves/meltCurve_Q92616_GCN1L1.pdf</t>
  </si>
  <si>
    <t>Melting_Curves/meltCurve_Q92620_DHX38.pdf</t>
  </si>
  <si>
    <t>Melting_Curves/meltCurve_Q92621_NUP205.pdf</t>
  </si>
  <si>
    <t>Melting_Curves/meltCurve_Q92623_TTC9.pdf</t>
  </si>
  <si>
    <t>Melting_Curves/meltCurve_Q92625_ANKS1A.pdf</t>
  </si>
  <si>
    <t>Melting_Curves/meltCurve_Q92665_MRPS31.pdf</t>
  </si>
  <si>
    <t>Melting_Curves/meltCurve_Q92667_AKAP1.pdf</t>
  </si>
  <si>
    <t>Melting_Curves/meltCurve_Q92686_NRGN.pdf</t>
  </si>
  <si>
    <t>Melting_Curves/meltCurve_Q92688_ANP32B.pdf</t>
  </si>
  <si>
    <t>Melting_Curves/meltCurve_Q92692_PVRL2.pdf</t>
  </si>
  <si>
    <t>Melting_Curves/meltCurve_Q92692_2_PVRL2.pdf</t>
  </si>
  <si>
    <t>Melting_Curves/meltCurve_Q92696_RABGGTA.pdf</t>
  </si>
  <si>
    <t>Melting_Curves/meltCurve_Q92734_2_TFG.pdf</t>
  </si>
  <si>
    <t>Melting_Curves/meltCurve_Q92747_ARPC1A.pdf</t>
  </si>
  <si>
    <t>Melting_Curves/meltCurve_Q92783_2_STAM.pdf</t>
  </si>
  <si>
    <t>Melting_Curves/meltCurve_Q92791_LEPREL4.pdf</t>
  </si>
  <si>
    <t>Melting_Curves/meltCurve_Q92793_2_CREBBP.pdf</t>
  </si>
  <si>
    <t>Melting_Curves/meltCurve_Q92797_SYMPK.pdf</t>
  </si>
  <si>
    <t>Melting_Curves/meltCurve_Q92804_2_TAF15.pdf</t>
  </si>
  <si>
    <t>Melting_Curves/meltCurve_Q92805_GOLGA1.pdf</t>
  </si>
  <si>
    <t>Melting_Curves/meltCurve_Q92820_GGH.pdf</t>
  </si>
  <si>
    <t>Melting_Curves/meltCurve_Q92834_4_RPGR.pdf</t>
  </si>
  <si>
    <t>Melting_Curves/meltCurve_Q92843_2_BCL2L2.pdf</t>
  </si>
  <si>
    <t>Melting_Curves/meltCurve_Q92845_4_KIFAP3.pdf</t>
  </si>
  <si>
    <t>Melting_Curves/meltCurve_Q92871_PMM1.pdf</t>
  </si>
  <si>
    <t>Melting_Curves/meltCurve_Q92878_RAD50.pdf</t>
  </si>
  <si>
    <t>Melting_Curves/meltCurve_Q92882_OSTF1.pdf</t>
  </si>
  <si>
    <t>Melting_Curves/meltCurve_Q92888_3_ARHGEF1.pdf</t>
  </si>
  <si>
    <t>Melting_Curves/meltCurve_Q92889_ERCC4.pdf</t>
  </si>
  <si>
    <t>Melting_Curves/meltCurve_Q92890_UFD1L.pdf</t>
  </si>
  <si>
    <t>Melting_Curves/meltCurve_Q92896_GLG1.pdf</t>
  </si>
  <si>
    <t>Melting_Curves/meltCurve_Q92900_2_UPF1.pdf</t>
  </si>
  <si>
    <t>Melting_Curves/meltCurve_Q92905_COPS5.pdf</t>
  </si>
  <si>
    <t>Melting_Curves/meltCurve_Q92917_GPKOW.pdf</t>
  </si>
  <si>
    <t>Melting_Curves/meltCurve_Q92922_SMARCC1.pdf</t>
  </si>
  <si>
    <t>Melting_Curves/meltCurve_Q92930_RAB8B.pdf</t>
  </si>
  <si>
    <t>Melting_Curves/meltCurve_Q92934_BAD.pdf</t>
  </si>
  <si>
    <t>Melting_Curves/meltCurve_Q92945_KHSRP.pdf</t>
  </si>
  <si>
    <t>Melting_Curves/meltCurve_Q92947_GCDH.pdf</t>
  </si>
  <si>
    <t>Melting_Curves/meltCurve_Q92968_PEX13.pdf</t>
  </si>
  <si>
    <t>Melting_Curves/meltCurve_Q92973_2_TNPO1.pdf</t>
  </si>
  <si>
    <t>Melting_Curves/meltCurve_Q92979_EMG1.pdf</t>
  </si>
  <si>
    <t>Melting_Curves/meltCurve_Q92990_GLMN.pdf</t>
  </si>
  <si>
    <t>Melting_Curves/meltCurve_Q92995_USP13.pdf</t>
  </si>
  <si>
    <t>Melting_Curves/meltCurve_Q93008_1_USP9X.pdf</t>
  </si>
  <si>
    <t>Melting_Curves/meltCurve_Q93034_CUL5.pdf</t>
  </si>
  <si>
    <t>Melting_Curves/meltCurve_Q93052_LPP.pdf</t>
  </si>
  <si>
    <t>Melting_Curves/meltCurve_Q93077_HIST1H2AC.pdf</t>
  </si>
  <si>
    <t>Melting_Curves/meltCurve_Q93079_HIST1H2BH.pdf</t>
  </si>
  <si>
    <t>Melting_Curves/meltCurve_Q969E2_2_SCAMP4.pdf</t>
  </si>
  <si>
    <t>Melting_Curves/meltCurve_Q969E8_TSR2.pdf</t>
  </si>
  <si>
    <t>Melting_Curves/meltCurve_Q969F2_2_NKD2.pdf</t>
  </si>
  <si>
    <t>Melting_Curves/meltCurve_Q969G6_RFK.pdf</t>
  </si>
  <si>
    <t>Melting_Curves/meltCurve_Q969H8_C19orf10.pdf</t>
  </si>
  <si>
    <t>Melting_Curves/meltCurve_Q969K3_RNF34.pdf</t>
  </si>
  <si>
    <t>Melting_Curves/meltCurve_Q969M3_YIPF5.pdf</t>
  </si>
  <si>
    <t>Melting_Curves/meltCurve_Q969N2_4_PIGT.pdf</t>
  </si>
  <si>
    <t>Melting_Curves/meltCurve_Q969P0_3_IGSF8.pdf</t>
  </si>
  <si>
    <t>Melting_Curves/meltCurve_Q969Q0_RPL36AL.pdf</t>
  </si>
  <si>
    <t>Melting_Curves/meltCurve_Q969Q5_RAB24.pdf</t>
  </si>
  <si>
    <t>Melting_Curves/meltCurve_Q969S2_3_NEIL2.pdf</t>
  </si>
  <si>
    <t>Melting_Curves/meltCurve_Q969S3_ZNF622.pdf</t>
  </si>
  <si>
    <t>Melting_Curves/meltCurve_Q969S9_2_GFM2.pdf</t>
  </si>
  <si>
    <t>Melting_Curves/meltCurve_Q969T7_2_NT5C3B.pdf</t>
  </si>
  <si>
    <t>Melting_Curves/meltCurve_Q969U7_PSMG2.pdf</t>
  </si>
  <si>
    <t>Melting_Curves/meltCurve_Q969V3_2_NCLN.pdf</t>
  </si>
  <si>
    <t>Melting_Curves/meltCurve_Q969X5_2_ERGIC1.pdf</t>
  </si>
  <si>
    <t>Melting_Curves/meltCurve_Q969Y2_3_GTPBP3.pdf</t>
  </si>
  <si>
    <t>Melting_Curves/meltCurve_Q969Z0_TBRG4.pdf</t>
  </si>
  <si>
    <t>Melting_Curves/meltCurve_Q969Z3_MARC2.pdf</t>
  </si>
  <si>
    <t>Melting_Curves/meltCurve_Q96A19_CCDC102A.pdf</t>
  </si>
  <si>
    <t>Melting_Curves/meltCurve_Q96A33_CCDC47.pdf</t>
  </si>
  <si>
    <t>Melting_Curves/meltCurve_Q96A46_SLC25A28.pdf</t>
  </si>
  <si>
    <t>Melting_Curves/meltCurve_Q96A49_SYAP1.pdf</t>
  </si>
  <si>
    <t>Melting_Curves/meltCurve_Q96A65_EXOC4.pdf</t>
  </si>
  <si>
    <t>Melting_Curves/meltCurve_Q96A73_KIAA1191.pdf</t>
  </si>
  <si>
    <t>Melting_Curves/meltCurve_Q96AB3_ISOC2.pdf</t>
  </si>
  <si>
    <t>Melting_Curves/meltCurve_Q96AB6_NTAN1.pdf</t>
  </si>
  <si>
    <t>Melting_Curves/meltCurve_Q96AC1_FERMT2.pdf</t>
  </si>
  <si>
    <t>Melting_Curves/meltCurve_Q96AD5_PNPLA2.pdf</t>
  </si>
  <si>
    <t>Melting_Curves/meltCurve_Q96AE4_FUBP1.pdf</t>
  </si>
  <si>
    <t>Melting_Curves/meltCurve_Q96AE4_2_FUBP1.pdf</t>
  </si>
  <si>
    <t>Melting_Curves/meltCurve_Q96AG4_LRRC59.pdf</t>
  </si>
  <si>
    <t>Melting_Curves/meltCurve_Q96AJ9_1_VTI1A.pdf</t>
  </si>
  <si>
    <t>Melting_Curves/meltCurve_Q96AQ8_MCUR1.pdf</t>
  </si>
  <si>
    <t>Melting_Curves/meltCurve_Q96AT1_KIAA1143.pdf</t>
  </si>
  <si>
    <t>Melting_Curves/meltCurve_Q96AT9_RPE.pdf</t>
  </si>
  <si>
    <t>Melting_Curves/meltCurve_Q96AY3_FKBP10.pdf</t>
  </si>
  <si>
    <t>Melting_Curves/meltCurve_Q96B01_2_RAD51AP1.pdf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</si>
  <si>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</si>
  <si>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</si>
  <si>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</si>
  <si>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</si>
  <si>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Melting_Curves/meltCurve_Q96B49_TOMM6.pdf</t>
  </si>
  <si>
    <t>Melting_Curves/meltCurve_Q96B70_LENG9.pdf</t>
  </si>
  <si>
    <t>Melting_Curves/meltCurve_Q96B97_SH3KBP1.pdf</t>
  </si>
  <si>
    <t>Melting_Curves/meltCurve_Q96BD5_2_PHF21A.pdf</t>
  </si>
  <si>
    <t>Melting_Curves/meltCurve_Q96BD8_2_SKA1.pdf</t>
  </si>
  <si>
    <t>Melting_Curves/meltCurve_Q96BH1_RNF25.pdf</t>
  </si>
  <si>
    <t>Melting_Curves/meltCurve_Q96BK5_PINX1.pdf</t>
  </si>
  <si>
    <t>Melting_Curves/meltCurve_Q96BM9_ARL8A.pdf</t>
  </si>
  <si>
    <t>Melting_Curves/meltCurve_Q96BN8_FAM105B.pdf</t>
  </si>
  <si>
    <t>Melting_Curves/meltCurve_Q96BP2_CHCHD1.pdf</t>
  </si>
  <si>
    <t>Melting_Curves/meltCurve_Q96BP3_PPWD1.pdf</t>
  </si>
  <si>
    <t>Melting_Curves/meltCurve_Q96BR5_SELRC1.pdf</t>
  </si>
  <si>
    <t>Melting_Curves/meltCurve_Q96BT7_ALKBH8.pdf</t>
  </si>
  <si>
    <t>Melting_Curves/meltCurve_Q96BW5_2_PTER.pdf</t>
  </si>
  <si>
    <t>Melting_Curves/meltCurve_Q96BY7_ATG2B.pdf</t>
  </si>
  <si>
    <t>Melting_Curves/meltCurve_Q96BZ8_LENG1.pdf</t>
  </si>
  <si>
    <t>Melting_Curves/meltCurve_Q96BZ9_TBC1D20.pdf</t>
  </si>
  <si>
    <t>Melting_Curves/meltCurve_Q96C19_EFHD2.pdf</t>
  </si>
  <si>
    <t>Melting_Curves/meltCurve_Q96C23_GALM.pdf</t>
  </si>
  <si>
    <t>Melting_Curves/meltCurve_Q96C34_2_RUNDC1.pdf</t>
  </si>
  <si>
    <t>Melting_Curves/meltCurve_Q96C36_PYCR2.pdf</t>
  </si>
  <si>
    <t>Melting_Curves/meltCurve_Q96C57_C12orf43.pdf</t>
  </si>
  <si>
    <t>Melting_Curves/meltCurve_Q96C86_DCPS.pdf</t>
  </si>
  <si>
    <t>Melting_Curves/meltCurve_Q96C90_PPP1R14B.pdf</t>
  </si>
  <si>
    <t>Melting_Curves/meltCurve_Q96C92_4_SDCCAG3.pdf</t>
  </si>
  <si>
    <t>Melting_Curves/meltCurve_Q96CB9_4_NSUN4.pdf</t>
  </si>
  <si>
    <t>Melting_Curves/meltCurve_Q96CF2_CHMP4C.pdf</t>
  </si>
  <si>
    <t>Melting_Curves/meltCurve_Q96CG3_TIFA.pdf</t>
  </si>
  <si>
    <t>Melting_Curves/meltCurve_Q96CN7_ISOC1.pdf</t>
  </si>
  <si>
    <t>Melting_Curves/meltCurve_Q96CN9_GCC1.pdf</t>
  </si>
  <si>
    <t>Melting_Curves/meltCurve_Q96CP2_FLYWCH2.pdf</t>
  </si>
  <si>
    <t>Melting_Curves/meltCurve_Q96CS2_HAUS1.pdf</t>
  </si>
  <si>
    <t>Melting_Curves/meltCurve_Q96CS3_FAF2.pdf</t>
  </si>
  <si>
    <t>Melting_Curves/meltCurve_Q96CT7_CCDC124.pdf</t>
  </si>
  <si>
    <t>Melting_Curves/meltCurve_Q96CU9_3_FOXRED1.pdf</t>
  </si>
  <si>
    <t>Melting_Curves/meltCurve_Q96CV9_3_OPTN.pdf</t>
  </si>
  <si>
    <t>Melting_Curves/meltCurve_Q96CW1_2_AP2M1.pdf</t>
  </si>
  <si>
    <t>Melting_Curves/meltCurve_Q96CW5_2_TUBGCP3.pdf</t>
  </si>
  <si>
    <t>Melting_Curves/meltCurve_Q96CW6_SLC7A6OS.pdf</t>
  </si>
  <si>
    <t>Melting_Curves/meltCurve_Q96CX2_KCTD12.pdf</t>
  </si>
  <si>
    <t>Melting_Curves/meltCurve_Q96CX6_LRRC58.pdf</t>
  </si>
  <si>
    <t>Melting_Curves/meltCurve_Q96D05_C10orf35.pdf</t>
  </si>
  <si>
    <t>Melting_Curves/meltCurve_Q96D53_ADCK4.pdf</t>
  </si>
  <si>
    <t>Melting_Curves/meltCurve_Q96D71_3_REPS1.pdf</t>
  </si>
  <si>
    <t>Melting_Curves/meltCurve_Q96DA6_2_DNAJC19.pdf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</si>
  <si>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</si>
  <si>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</si>
  <si>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</si>
  <si>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</si>
  <si>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Melting_Curves/meltCurve_Q96DR7_ARHGEF26.pdf</t>
  </si>
  <si>
    <t>Melting_Curves/meltCurve_Q96DT6_ATG4C.pdf</t>
  </si>
  <si>
    <t>Melting_Curves/meltCurve_Q96DT7_2_ZBTB10.pdf</t>
  </si>
  <si>
    <t>Melting_Curves/meltCurve_Q96DZ1_2_ERLEC1.pdf</t>
  </si>
  <si>
    <t>Melting_Curves/meltCurve_Q96E09_FAM122A.pdf</t>
  </si>
  <si>
    <t>Melting_Curves/meltCurve_Q96E11_3_MRRF.pdf</t>
  </si>
  <si>
    <t>Melting_Curves/meltCurve_Q96E14_RMI2.pdf</t>
  </si>
  <si>
    <t>Melting_Curves/meltCurve_Q96E22_NUS1.pdf</t>
  </si>
  <si>
    <t>Melting_Curves/meltCurve_Q96E52_OMA1.pdf</t>
  </si>
  <si>
    <t>Melting_Curves/meltCurve_Q96EA4_SPDL1.pdf</t>
  </si>
  <si>
    <t>Melting_Curves/meltCurve_Q96EB1_ELP4.pdf</t>
  </si>
  <si>
    <t>Melting_Curves/meltCurve_Q96EB6_SIRT1.pdf</t>
  </si>
  <si>
    <t>Melting_Curves/meltCurve_Q96EC8_YIPF6.pdf</t>
  </si>
  <si>
    <t>Melting_Curves/meltCurve_Q96EE3_SEH1L.pdf</t>
  </si>
  <si>
    <t>Melting_Curves/meltCurve_Q96EI5_TCEAL4.pdf</t>
  </si>
  <si>
    <t>Melting_Curves/meltCurve_Q96EK5_KIAA1279.pdf</t>
  </si>
  <si>
    <t>Melting_Curves/meltCurve_Q96EK6_GNPNAT1.pdf</t>
  </si>
  <si>
    <t>Melting_Curves/meltCurve_Q96EK9_KTI12.pdf</t>
  </si>
  <si>
    <t>Melting_Curves/meltCurve_Q96EL3_MRPL53.pdf</t>
  </si>
  <si>
    <t>Melting_Curves/meltCurve_Q96EM0_L3HYPDH.pdf</t>
  </si>
  <si>
    <t>Melting_Curves/meltCurve_Q96EP5_DAZAP1.pdf</t>
  </si>
  <si>
    <t>Melting_Curves/meltCurve_Q96EQ0_SGTB.pdf</t>
  </si>
  <si>
    <t>Melting_Curves/meltCurve_Q96ER3_SAAL1.pdf</t>
  </si>
  <si>
    <t>Melting_Curves/meltCurve_Q96ER9_CCDC51.pdf</t>
  </si>
  <si>
    <t>Melting_Curves/meltCurve_Q96EU6_RRP36.pdf</t>
  </si>
  <si>
    <t>Melting_Curves/meltCurve_Q96EV2_RBM33.pdf</t>
  </si>
  <si>
    <t>Melting_Curves/meltCurve_Q96EV8_DTNBP1.pdf</t>
  </si>
  <si>
    <t>Melting_Curves/meltCurve_Q96EX3_WDR34.pdf</t>
  </si>
  <si>
    <t>Melting_Curves/meltCurve_Q96EY1_DNAJA3.pdf</t>
  </si>
  <si>
    <t>Melting_Curves/meltCurve_Q96EY5_MVB12A.pdf</t>
  </si>
  <si>
    <t>Melting_Curves/meltCurve_Q96EY8_MMAB.pdf</t>
  </si>
  <si>
    <t>Melting_Curves/meltCurve_Q96EY9_ADAT3.pdf</t>
  </si>
  <si>
    <t>Melting_Curves/meltCurve_Q96F10_SAT2.pdf</t>
  </si>
  <si>
    <t>Melting_Curves/meltCurve_Q96F24_2_NRBF2.pdf</t>
  </si>
  <si>
    <t>Melting_Curves/meltCurve_Q96F44_3_TRIM11.pdf</t>
  </si>
  <si>
    <t>Melting_Curves/meltCurve_Q96F45_ZNF503.pdf</t>
  </si>
  <si>
    <t>Melting_Curves/meltCurve_Q96F46_IL17RA.pdf</t>
  </si>
  <si>
    <t>Melting_Curves/meltCurve_Q96F86_EDC3.pdf</t>
  </si>
  <si>
    <t>Melting_Curves/meltCurve_Q96FC9_4_DDX11.pdf</t>
  </si>
  <si>
    <t>Melting_Curves/meltCurve_Q96FH0_2_MEF2BNB.pdf</t>
  </si>
  <si>
    <t>Melting_Curves/meltCurve_Q96FK6_WDR89.pdf</t>
  </si>
  <si>
    <t>Melting_Curves/meltCurve_Q96FV9_THOC1.pdf</t>
  </si>
  <si>
    <t>Melting_Curves/meltCurve_Q96FX7_TRMT61A.pdf</t>
  </si>
  <si>
    <t>Melting_Curves/meltCurve_Q96FZ2_C3orf37.pdf</t>
  </si>
  <si>
    <t>Melting_Curves/meltCurve_Q96FZ7_CHMP6.pdf</t>
  </si>
  <si>
    <t>Melting_Curves/meltCurve_Q96G03_PGM2.pdf</t>
  </si>
  <si>
    <t>Melting_Curves/meltCurve_Q96G23_CERS2.pdf</t>
  </si>
  <si>
    <t>Melting_Curves/meltCurve_Q96G25_MED8.pdf</t>
  </si>
  <si>
    <t>Melting_Curves/meltCurve_Q96G28_CCDC104.pdf</t>
  </si>
  <si>
    <t>Melting_Curves/meltCurve_Q96G46_DUS3L.pdf</t>
  </si>
  <si>
    <t>Melting_Curves/meltCurve_Q96G61_NUDT11.pdf</t>
  </si>
  <si>
    <t>Melting_Curves/meltCurve_Q96G74_3_OTUD5.pdf</t>
  </si>
  <si>
    <t>Melting_Curves/meltCurve_Q96GA3_LTV1.pdf</t>
  </si>
  <si>
    <t>Melting_Curves/meltCurve_Q96GA7_SDSL.pdf</t>
  </si>
  <si>
    <t>Melting_Curves/meltCurve_Q96GD0_PDXP.pdf</t>
  </si>
  <si>
    <t>Melting_Curves/meltCurve_Q96GF1_RNF185.pdf</t>
  </si>
  <si>
    <t>Melting_Curves/meltCurve_Q96GG9_DCUN1D1.pdf</t>
  </si>
  <si>
    <t>Melting_Curves/meltCurve_Q96GJ1_3_TRMT2B.pdf</t>
  </si>
  <si>
    <t>Melting_Curves/meltCurve_Q96GK7_FAHD2A.pdf</t>
  </si>
  <si>
    <t>Melting_Curves/meltCurve_Q96GP6_2_SCARF2.pdf</t>
  </si>
  <si>
    <t>Melting_Curves/meltCurve_Q96GS4_C17orf59.pdf</t>
  </si>
  <si>
    <t>Melting_Curves/meltCurve_Q96GS6_ABHD17A.pdf</t>
  </si>
  <si>
    <t>Melting_Curves/meltCurve_Q96GV9_C5orf30.pdf</t>
  </si>
  <si>
    <t>Melting_Curves/meltCurve_Q96GW9_MARS2.pdf</t>
  </si>
  <si>
    <t>Melting_Curves/meltCurve_Q96GX2_ATXN7L3B.pdf</t>
  </si>
  <si>
    <t>Melting_Curves/meltCurve_Q96GX5_2_MASTL.pdf</t>
  </si>
  <si>
    <t>Melting_Curves/meltCurve_Q96GX9_APIP.pdf</t>
  </si>
  <si>
    <t>Melting_Curves/meltCurve_Q96GY0_ZC2HC1A.pdf</t>
  </si>
  <si>
    <t>Melting_Curves/meltCurve_Q96H20_SNF8.pdf</t>
  </si>
  <si>
    <t>Melting_Curves/meltCurve_Q96H79_ZC3HAV1L.pdf</t>
  </si>
  <si>
    <t>Melting_Curves/meltCurve_Q96HA1_2_POM121.pdf</t>
  </si>
  <si>
    <t>Melting_Curves/meltCurve_Q96HA4_4_C1orf159.pdf</t>
  </si>
  <si>
    <t>Melting_Curves/meltCurve_Q96HA7_2_TONSL.pdf</t>
  </si>
  <si>
    <t>Melting_Curves/meltCurve_Q96HB5_2_CCDC120.pdf</t>
  </si>
  <si>
    <t>Melting_Curves/meltCurve_Q96HC4_PDLIM5.pdf</t>
  </si>
  <si>
    <t>Melting_Curves/meltCurve_Q96HD1_CRELD1.pdf</t>
  </si>
  <si>
    <t>Melting_Curves/meltCurve_Q96HE7_ERO1L.pdf</t>
  </si>
  <si>
    <t>Melting_Curves/meltCurve_Q96HN2_2_AHCYL2.pdf</t>
  </si>
  <si>
    <t>Melting_Curves/meltCurve_Q96HR9_REEP6.pdf</t>
  </si>
  <si>
    <t>Melting_Curves/meltCurve_Q96HS1_PGAM5.pdf</t>
  </si>
  <si>
    <t>Melting_Curves/meltCurve_Q96HW7_2_INTS4.pdf</t>
  </si>
  <si>
    <t>Melting_Curves/meltCurve_Q96HY6_DDRGK1.pdf</t>
  </si>
  <si>
    <t>Melting_Curves/meltCurve_Q96I15_SCLY.pdf</t>
  </si>
  <si>
    <t>Melting_Curves/meltCurve_Q96I24_FUBP3.pdf</t>
  </si>
  <si>
    <t>Melting_Curves/meltCurve_Q96I25_RBM17.pdf</t>
  </si>
  <si>
    <t>Melting_Curves/meltCurve_Q96I36_COX14.pdf</t>
  </si>
  <si>
    <t>Melting_Curves/meltCurve_Q96I51_WBSCR16.pdf</t>
  </si>
  <si>
    <t>Melting_Curves/meltCurve_Q96I59_NARS2.pdf</t>
  </si>
  <si>
    <t>Melting_Curves/meltCurve_Q96I82_2_KAZALD1.pdf</t>
  </si>
  <si>
    <t>Melting_Curves/meltCurve_Q96I99_SUCLG2.pdf</t>
  </si>
  <si>
    <t>Melting_Curves/meltCurve_Q96IF1_AJUBA.pdf</t>
  </si>
  <si>
    <t>Melting_Curves/meltCurve_Q96IJ6_GMPPA.pdf</t>
  </si>
  <si>
    <t>Melting_Curves/meltCurve_Q96IK1_BOD1.pdf</t>
  </si>
  <si>
    <t>Melting_Curves/meltCurve_Q96IQ9_2_ZNF414.pdf</t>
  </si>
  <si>
    <t>Melting_Curves/meltCurve_Q96IU4_ABHD14B.pdf</t>
  </si>
  <si>
    <t>Melting_Curves/meltCurve_Q96IV0_3_NGLY1.pdf</t>
  </si>
  <si>
    <t>Melting_Curves/meltCurve_Q96IX5_USMG5.pdf</t>
  </si>
  <si>
    <t>Melting_Curves/meltCurve_Q96IZ0_PAWR.pdf</t>
  </si>
  <si>
    <t>Melting_Curves/meltCurve_Q96IZ7_2_RSRC1.pdf</t>
  </si>
  <si>
    <t>Melting_Curves/meltCurve_Q96J01_THOC3.pdf</t>
  </si>
  <si>
    <t>Melting_Curves/meltCurve_Q96J02_2_ITCH.pdf</t>
  </si>
  <si>
    <t>Melting_Curves/meltCurve_Q96J84_KIRREL.pdf</t>
  </si>
  <si>
    <t>Melting_Curves/meltCurve_Q96JA1_LRIG1.pdf</t>
  </si>
  <si>
    <t>Melting_Curves/meltCurve_Q96JB5_2_CDK5RAP3.pdf</t>
  </si>
  <si>
    <t>Melting_Curves/meltCurve_Q96JC1_2_VPS39.pdf</t>
  </si>
  <si>
    <t>Melting_Curves/meltCurve_Q96JG6_3_CCDC132.pdf</t>
  </si>
  <si>
    <t>Melting_Curves/meltCurve_Q96JH7_VCPIP1.pdf</t>
  </si>
  <si>
    <t>Melting_Curves/meltCurve_Q96JJ7_TMX3.pdf</t>
  </si>
  <si>
    <t>Melting_Curves/meltCurve_Q96JM3_CHAMP1.pdf</t>
  </si>
  <si>
    <t>Melting_Curves/meltCurve_Q96JP5_ZFP91.pdf</t>
  </si>
  <si>
    <t>Melting_Curves/meltCurve_Q96JQ2_CLMN.pdf</t>
  </si>
  <si>
    <t>Melting_Curves/meltCurve_Q96JY6_PDLIM2.pdf</t>
  </si>
  <si>
    <t>Melting_Curves/meltCurve_Q96K12_FAR2.pdf</t>
  </si>
  <si>
    <t>Melting_Curves/meltCurve_Q96K19_2_RNF170.pdf</t>
  </si>
  <si>
    <t>Melting_Curves/meltCurve_Q96KA5_2_CLPTM1L.pdf</t>
  </si>
  <si>
    <t>Melting_Curves/meltCurve_Q96KB5_PBK.pdf</t>
  </si>
  <si>
    <t>Melting_Curves/meltCurve_Q96KC2_ARL5B.pdf</t>
  </si>
  <si>
    <t>Melting_Curves/meltCurve_Q96KC8_DNAJC1.pdf</t>
  </si>
  <si>
    <t>Melting_Curves/meltCurve_Q96KN1_FAM84B.pdf</t>
  </si>
  <si>
    <t>Melting_Curves/meltCurve_Q96KP1_EXOC2.pdf</t>
  </si>
  <si>
    <t>Melting_Curves/meltCurve_Q96KP4_CNDP2.pdf</t>
  </si>
  <si>
    <t>Melting_Curves/meltCurve_Q96KQ4_PPP1R13B.pdf</t>
  </si>
  <si>
    <t>Melting_Curves/meltCurve_Q96KR1_ZFR.pdf</t>
  </si>
  <si>
    <t>Melting_Curves/meltCurve_Q96L35_EPHB4.pdf</t>
  </si>
  <si>
    <t>Melting_Curves/meltCurve_Q96L92_3_SNX27.pdf</t>
  </si>
  <si>
    <t>Melting_Curves/meltCurve_Q96LA8_2_PRMT6.pdf</t>
  </si>
  <si>
    <t>Melting_Curves/meltCurve_Q96LB3_IFT74.pdf</t>
  </si>
  <si>
    <t>Melting_Curves/meltCurve_Q96LR5_UBE2E2.pdf</t>
  </si>
  <si>
    <t>Melting_Curves/meltCurve_Q96M27_PRRC1.pdf</t>
  </si>
  <si>
    <t>Melting_Curves/meltCurve_Q96ME1_4_FBXL18.pdf</t>
  </si>
  <si>
    <t>Melting_Curves/meltCurve_Q96MH6_TMEM68.pdf</t>
  </si>
  <si>
    <t>Melting_Curves/meltCurve_Q96N21_2_ENTHD2.pdf</t>
  </si>
  <si>
    <t>Melting_Curves/meltCurve_Q96N66_2_MBOAT7.pdf</t>
  </si>
  <si>
    <t>Melting_Curves/meltCurve_Q96NB1_FOPNL.pdf</t>
  </si>
  <si>
    <t>Melting_Curves/meltCurve_Q96NB2_SFXN2.pdf</t>
  </si>
  <si>
    <t>Melting_Curves/meltCurve_Q96NB3_ZNF830.pdf</t>
  </si>
  <si>
    <t>Melting_Curves/meltCurve_Q96NC0_ZMAT2.pdf</t>
  </si>
  <si>
    <t>Melting_Curves/meltCurve_Q96NL1_TMEM74.pdf</t>
  </si>
  <si>
    <t>Melting_Curves/meltCurve_Q96P11_2_NSUN5.pdf</t>
  </si>
  <si>
    <t>Melting_Curves/meltCurve_Q96P16_3_RPRD1A.pdf</t>
  </si>
  <si>
    <t>Melting_Curves/meltCurve_Q96P47_AGAP3.pdf</t>
  </si>
  <si>
    <t>Melting_Curves/meltCurve_Q96P48_3_ARAP1.pdf</t>
  </si>
  <si>
    <t>Melting_Curves/meltCurve_Q96P50_ACAP3.pdf</t>
  </si>
  <si>
    <t>Melting_Curves/meltCurve_Q96P70_IPO9.pdf</t>
  </si>
  <si>
    <t>Melting_Curves/meltCurve_Q96PD2_DCBLD2.pdf</t>
  </si>
  <si>
    <t>Melting_Curves/meltCurve_Q96PE7_MCEE.pdf</t>
  </si>
  <si>
    <t>Melting_Curves/meltCurve_Q96PG8_BBC3.pdf</t>
  </si>
  <si>
    <t>Melting_Curves/meltCurve_Q96PK6_RBM14.pdf</t>
  </si>
  <si>
    <t>Melting_Curves/meltCurve_Q96PM5_RCHY1.pdf</t>
  </si>
  <si>
    <t>Melting_Curves/meltCurve_Q96PU5_2_NEDD4L.pdf</t>
  </si>
  <si>
    <t>Melting_Curves/meltCurve_Q96PU8_QKI.pdf</t>
  </si>
  <si>
    <t>Melting_Curves/meltCurve_Q96PZ0_PUS7.pdf</t>
  </si>
  <si>
    <t>Melting_Curves/meltCurve_Q96Q11_2_TRNT1.pdf</t>
  </si>
  <si>
    <t>Melting_Curves/meltCurve_Q96Q45_2_TMEM237.pdf</t>
  </si>
  <si>
    <t>Melting_Curves/meltCurve_Q96Q83_ALKBH3.pdf</t>
  </si>
  <si>
    <t>Melting_Curves/meltCurve_Q96QC0_PPP1R10.pdf</t>
  </si>
  <si>
    <t>Melting_Curves/meltCurve_Q96QD5_2_DEPDC7.pdf</t>
  </si>
  <si>
    <t>Melting_Curves/meltCurve_Q96QK1_VPS35.pdf</t>
  </si>
  <si>
    <t>Melting_Curves/meltCurve_Q96QR8_PURB.pdf</t>
  </si>
  <si>
    <t>Melting_Curves/meltCurve_Q96QU8_XPO6.pdf</t>
  </si>
  <si>
    <t>Melting_Curves/meltCurve_Q96R06_SPAG5.pdf</t>
  </si>
  <si>
    <t>Melting_Curves/meltCurve_Q96RE7_NACC1.pdf</t>
  </si>
  <si>
    <t>Melting_Curves/meltCurve_Q96RF0_3_SNX18.pdf</t>
  </si>
  <si>
    <t>Melting_Curves/meltCurve_Q96RG2_PASK.pdf</t>
  </si>
  <si>
    <t>Melting_Curves/meltCurve_Q96RL7_4_VPS13A.pdf</t>
  </si>
  <si>
    <t>Melting_Curves/meltCurve_Q96RP9_GFM1.pdf</t>
  </si>
  <si>
    <t>Melting_Curves/meltCurve_Q96RR1_PEO1.pdf</t>
  </si>
  <si>
    <t>Melting_Curves/meltCurve_Q96RR4_2_CAMKK2.pdf</t>
  </si>
  <si>
    <t>Melting_Curves/meltCurve_Q96RS6_NUDCD1.pdf</t>
  </si>
  <si>
    <t>Melting_Curves/meltCurve_Q96RT1_7_ERBB2IP.pdf</t>
  </si>
  <si>
    <t>Melting_Curves/meltCurve_Q96RU2_2_USP28.pdf</t>
  </si>
  <si>
    <t>Melting_Curves/meltCurve_Q96RU3_4_FNBP1.pdf</t>
  </si>
  <si>
    <t>Melting_Curves/meltCurve_Q96S19_C16orf13.pdf</t>
  </si>
  <si>
    <t>Melting_Curves/meltCurve_Q96S44_TP53RK.pdf</t>
  </si>
  <si>
    <t>Melting_Curves/meltCurve_Q96S52_PIGS.pdf</t>
  </si>
  <si>
    <t>Melting_Curves/meltCurve_Q96S55_2_WRNIP1.pdf</t>
  </si>
  <si>
    <t>Melting_Curves/meltCurve_Q96S59_RANBP9.pdf</t>
  </si>
  <si>
    <t>Melting_Curves/meltCurve_Q96S66_CLCC1.pdf</t>
  </si>
  <si>
    <t>Melting_Curves/meltCurve_Q96S90_2_LYSMD1.pdf</t>
  </si>
  <si>
    <t>Melting_Curves/meltCurve_Q96S94_3_CCNL2.pdf</t>
  </si>
  <si>
    <t>Melting_Curves/meltCurve_Q96S99_PLEKHF1.pdf</t>
  </si>
  <si>
    <t>Melting_Curves/meltCurve_Q96SB3_PPP1R9B.pdf</t>
  </si>
  <si>
    <t>Melting_Curves/meltCurve_Q96SB8_SMC6.pdf</t>
  </si>
  <si>
    <t>Melting_Curves/meltCurve_Q96SI1_KCTD15.pdf</t>
  </si>
  <si>
    <t>Melting_Curves/meltCurve_Q96SK2_2_TMEM209.pdf</t>
  </si>
  <si>
    <t>Melting_Curves/meltCurve_Q96ST2_IWS1.pdf</t>
  </si>
  <si>
    <t>Melting_Curves/meltCurve_Q96ST3_SIN3A.pdf</t>
  </si>
  <si>
    <t>Melting_Curves/meltCurve_Q96SZ5_ADO.pdf</t>
  </si>
  <si>
    <t>Melting_Curves/meltCurve_Q96SZ6_2_CDK5RAP1.pdf</t>
  </si>
  <si>
    <t>Melting_Curves/meltCurve_Q96T37_2_RBM15.pdf</t>
  </si>
  <si>
    <t>Melting_Curves/meltCurve_Q96T51_RUFY1.pdf</t>
  </si>
  <si>
    <t>Melting_Curves/meltCurve_Q96T52_2_IMMP2L.pdf</t>
  </si>
  <si>
    <t>Melting_Curves/meltCurve_Q96T58_SPEN.pdf</t>
  </si>
  <si>
    <t>Melting_Curves/meltCurve_Q96T76_9_MMS19.pdf</t>
  </si>
  <si>
    <t>Melting_Curves/meltCurve_Q96T88_UHRF1.pdf</t>
  </si>
  <si>
    <t>Melting_Curves/meltCurve_Q96TA1_2_FAM129B.pdf</t>
  </si>
  <si>
    <t>Melting_Curves/meltCurve_Q96TA2_3_YME1L1.pdf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</si>
  <si>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</si>
  <si>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</si>
  <si>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</si>
  <si>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</si>
  <si>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Melting_Curves/meltCurve_Q99442_SEC62.pdf</t>
  </si>
  <si>
    <t>Melting_Curves/meltCurve_Q99447_PCYT2.pdf</t>
  </si>
  <si>
    <t>Melting_Curves/meltCurve_Q99459_CDC5L.pdf</t>
  </si>
  <si>
    <t>Melting_Curves/meltCurve_Q99460_PSMD1.pdf</t>
  </si>
  <si>
    <t>Melting_Curves/meltCurve_Q99471_PFDN5.pdf</t>
  </si>
  <si>
    <t>Melting_Curves/meltCurve_Q99487_PAFAH2.pdf</t>
  </si>
  <si>
    <t>Melting_Curves/meltCurve_Q99496_RNF2.pdf</t>
  </si>
  <si>
    <t>Melting_Curves/meltCurve_Q99497_PARK7.pdf</t>
  </si>
  <si>
    <t>Melting_Curves/meltCurve_Q99504_2_EYA3.pdf</t>
  </si>
  <si>
    <t>Melting_Curves/meltCurve_Q99519_NEU1.pdf</t>
  </si>
  <si>
    <t>Melting_Curves/meltCurve_Q99523_SORT1.pdf</t>
  </si>
  <si>
    <t>Melting_Curves/meltCurve_Q99536_VAT1.pdf</t>
  </si>
  <si>
    <t>Melting_Curves/meltCurve_Q99543_DNAJC2.pdf</t>
  </si>
  <si>
    <t>Melting_Curves/meltCurve_Q99567_NUP88.pdf</t>
  </si>
  <si>
    <t>Melting_Curves/meltCurve_Q99569_2_PKP4.pdf</t>
  </si>
  <si>
    <t>Melting_Curves/meltCurve_Q99574_SERPINI1.pdf</t>
  </si>
  <si>
    <t>Melting_Curves/meltCurve_Q99575_POP1.pdf</t>
  </si>
  <si>
    <t>Melting_Curves/meltCurve_Q99584_S100A13.pdf</t>
  </si>
  <si>
    <t>Melting_Curves/meltCurve_Q99598_TSNAX.pdf</t>
  </si>
  <si>
    <t>Melting_Curves/meltCurve_Q99611_SEPHS2.pdf</t>
  </si>
  <si>
    <t>Melting_Curves/meltCurve_Q99614_TTC1.pdf</t>
  </si>
  <si>
    <t>Melting_Curves/meltCurve_Q99615_DNAJC7.pdf</t>
  </si>
  <si>
    <t>Melting_Curves/meltCurve_Q99618_CDCA3.pdf</t>
  </si>
  <si>
    <t>Melting_Curves/meltCurve_Q99622_C12orf57.pdf</t>
  </si>
  <si>
    <t>Melting_Curves/meltCurve_Q99623_PHB2.pdf</t>
  </si>
  <si>
    <t>Melting_Curves/meltCurve_Q99633_PRPF18.pdf</t>
  </si>
  <si>
    <t>Melting_Curves/meltCurve_Q99640_3_PKMYT1.pdf</t>
  </si>
  <si>
    <t>Melting_Curves/meltCurve_Q99653_CHP1.pdf</t>
  </si>
  <si>
    <t>Melting_Curves/meltCurve_Q99661_KIF2C.pdf</t>
  </si>
  <si>
    <t>Melting_Curves/meltCurve_Q99704_DOK1.pdf</t>
  </si>
  <si>
    <t>Melting_Curves/meltCurve_Q99707_MTR.pdf</t>
  </si>
  <si>
    <t>Melting_Curves/meltCurve_Q99714_HSD17B10.pdf</t>
  </si>
  <si>
    <t>Melting_Curves/meltCurve_Q99720_4_SIGMAR1.pdf</t>
  </si>
  <si>
    <t>Melting_Curves/meltCurve_Q99729_3_HNRNPAB.pdf</t>
  </si>
  <si>
    <t>Melting_Curves/meltCurve_Q99733_NAP1L4.pdf</t>
  </si>
  <si>
    <t>Melting_Curves/meltCurve_Q99735_2_MGST2.pdf</t>
  </si>
  <si>
    <t>Melting_Curves/meltCurve_Q99747_NAPG.pdf</t>
  </si>
  <si>
    <t>Melting_Curves/meltCurve_Q99757_TXN2.pdf</t>
  </si>
  <si>
    <t>Melting_Curves/meltCurve_Q99766_ATP5S.pdf</t>
  </si>
  <si>
    <t>Melting_Curves/meltCurve_Q99767_2_APBA2.pdf</t>
  </si>
  <si>
    <t>Melting_Curves/meltCurve_Q99797_MIPEP.pdf</t>
  </si>
  <si>
    <t>Melting_Curves/meltCurve_Q99805_TM9SF2.pdf</t>
  </si>
  <si>
    <t>Melting_Curves/meltCurve_Q99807_COQ7.pdf</t>
  </si>
  <si>
    <t>Melting_Curves/meltCurve_Q99816_TSG101.pdf</t>
  </si>
  <si>
    <t>Melting_Curves/meltCurve_Q99832_CCT7.pdf</t>
  </si>
  <si>
    <t>Melting_Curves/meltCurve_Q99856_ARID3A.pdf</t>
  </si>
  <si>
    <t>Melting_Curves/meltCurve_Q99878_HIST1H2AJ.pdf</t>
  </si>
  <si>
    <t>Melting_Curves/meltCurve_Q99952_2_PTPN18.pdf</t>
  </si>
  <si>
    <t>Melting_Curves/meltCurve_Q99956_DUSP9.pdf</t>
  </si>
  <si>
    <t>Melting_Curves/meltCurve_Q99961_SH3GL1.pdf</t>
  </si>
  <si>
    <t>Melting_Curves/meltCurve_Q99963_4_SH3GL3.pdf</t>
  </si>
  <si>
    <t>Melting_Curves/meltCurve_Q9BPU6_DPYSL5.pdf</t>
  </si>
  <si>
    <t>Melting_Curves/meltCurve_Q9BPW8_NIPSNAP1.pdf</t>
  </si>
  <si>
    <t>Melting_Curves/meltCurve_Q9BPX3_NCAPG.pdf</t>
  </si>
  <si>
    <t>Melting_Curves/meltCurve_Q9BPX5_ARPC5L.pdf</t>
  </si>
  <si>
    <t>Melting_Curves/meltCurve_Q9BPX7_C7orf25.pdf</t>
  </si>
  <si>
    <t>Melting_Curves/meltCurve_Q9BPZ3_PAIP2.pdf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</si>
  <si>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</si>
  <si>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</si>
  <si>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</si>
  <si>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</si>
  <si>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</si>
  <si>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Melting_Curves/meltCurve_Q9BQ95_ECSIT.pdf</t>
  </si>
  <si>
    <t>Melting_Curves/meltCurve_Q9BQC3_DPH2.pdf</t>
  </si>
  <si>
    <t>Melting_Curves/meltCurve_Q9BQG0_MYBBP1A.pdf</t>
  </si>
  <si>
    <t>Melting_Curves/meltCurve_Q9BQP7_MGME1.pdf</t>
  </si>
  <si>
    <t>Melting_Curves/meltCurve_Q9BQS8_FYCO1.pdf</t>
  </si>
  <si>
    <t>Melting_Curves/meltCurve_Q9BQT8_2_SLC25A21.pdf</t>
  </si>
  <si>
    <t>Melting_Curves/meltCurve_Q9BR61_ACBD6.pdf</t>
  </si>
  <si>
    <t>Melting_Curves/meltCurve_Q9BR76_CORO1B.pdf</t>
  </si>
  <si>
    <t>Melting_Curves/meltCurve_Q9BRA2_TXNDC17.pdf</t>
  </si>
  <si>
    <t>Melting_Curves/meltCurve_Q9BRD0_2_BUD13.pdf</t>
  </si>
  <si>
    <t>Melting_Curves/meltCurve_Q9BRF8_CPPED1.pdf</t>
  </si>
  <si>
    <t>Melting_Curves/meltCurve_Q9BRJ2_MRPL45.pdf</t>
  </si>
  <si>
    <t>Melting_Curves/meltCurve_Q9BRK4_LZTS2.pdf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</si>
  <si>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</si>
  <si>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</si>
  <si>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</si>
  <si>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</si>
  <si>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Melting_Curves/meltCurve_Q9BRR6_2_ADPGK.pdf</t>
  </si>
  <si>
    <t>Melting_Curves/meltCurve_Q9BRS2_RIOK1.pdf</t>
  </si>
  <si>
    <t>Melting_Curves/meltCurve_Q9BRT2_MNF1.pdf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</si>
  <si>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</si>
  <si>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</si>
  <si>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</si>
  <si>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</si>
  <si>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Melting_Curves/meltCurve_Q9BS26_ERP44.pdf</t>
  </si>
  <si>
    <t>Melting_Curves/meltCurve_Q9BS40_LXN.pdf</t>
  </si>
  <si>
    <t>Melting_Curves/meltCurve_Q9BSB4_ATG101.pdf</t>
  </si>
  <si>
    <t>Melting_Curves/meltCurve_Q9BSD7_NTPCR.pdf</t>
  </si>
  <si>
    <t>Melting_Curves/meltCurve_Q9BSF4_C19orf52.pdf</t>
  </si>
  <si>
    <t>Melting_Curves/meltCurve_Q9BSH4_TACO1.pdf</t>
  </si>
  <si>
    <t>Melting_Curves/meltCurve_Q9BSH5_HDHD3.pdf</t>
  </si>
  <si>
    <t>Melting_Curves/meltCurve_Q9BSJ2_TUBGCP2.pdf</t>
  </si>
  <si>
    <t>Melting_Curves/meltCurve_Q9BSJ5_3_C17orf80.pdf</t>
  </si>
  <si>
    <t>Melting_Curves/meltCurve_Q9BSJ8_ESYT1.pdf</t>
  </si>
  <si>
    <t>Melting_Curves/meltCurve_Q9BSK4_FEM1A.pdf</t>
  </si>
  <si>
    <t>Melting_Curves/meltCurve_Q9BSL1_UBAC1.pdf</t>
  </si>
  <si>
    <t>Melting_Curves/meltCurve_Q9BSR8_YIPF4.pdf</t>
  </si>
  <si>
    <t>Melting_Curves/meltCurve_Q9BST9_2_RTKN.pdf</t>
  </si>
  <si>
    <t>Melting_Curves/meltCurve_Q9BSU1_C16orf70.pdf</t>
  </si>
  <si>
    <t>Melting_Curves/meltCurve_Q9BSV6_TSEN34.pdf</t>
  </si>
  <si>
    <t>Melting_Curves/meltCurve_Q9BSY4_CHCHD5.pdf</t>
  </si>
  <si>
    <t>Melting_Curves/meltCurve_Q9BT09_CNPY3.pdf</t>
  </si>
  <si>
    <t>Melting_Curves/meltCurve_Q9BT17_MTG1.pdf</t>
  </si>
  <si>
    <t>Melting_Curves/meltCurve_Q9BT22_ALG1.pdf</t>
  </si>
  <si>
    <t>Melting_Curves/meltCurve_Q9BT23_LIMD2.pdf</t>
  </si>
  <si>
    <t>Melting_Curves/meltCurve_Q9BT25_2_HAUS8.pdf</t>
  </si>
  <si>
    <t>Melting_Curves/meltCurve_Q9BT30_ALKBH7.pdf</t>
  </si>
  <si>
    <t>Melting_Curves/meltCurve_Q9BT73_PSMG3.pdf</t>
  </si>
  <si>
    <t>Melting_Curves/meltCurve_Q9BT78_COPS4.pdf</t>
  </si>
  <si>
    <t>Melting_Curves/meltCurve_Q9BT92_TCHP.pdf</t>
  </si>
  <si>
    <t>Melting_Curves/meltCurve_Q9BTA9_5_WAC.pdf</t>
  </si>
  <si>
    <t>Melting_Curves/meltCurve_Q9BTC0_DIDO1.pdf</t>
  </si>
  <si>
    <t>Melting_Curves/meltCurve_Q9BTE3_2_MCMBP.pdf</t>
  </si>
  <si>
    <t>Melting_Curves/meltCurve_Q9BTE6_AARSD1.pdf</t>
  </si>
  <si>
    <t>Melting_Curves/meltCurve_Q9BTE7_DCUN1D5.pdf</t>
  </si>
  <si>
    <t>Melting_Curves/meltCurve_Q9BTF0_2_THUMPD2.pdf</t>
  </si>
  <si>
    <t>Melting_Curves/meltCurve_Q9BTL3_FAM103A1.pdf</t>
  </si>
  <si>
    <t>Melting_Curves/meltCurve_Q9BTT0_ANP32E.pdf</t>
  </si>
  <si>
    <t>Melting_Curves/meltCurve_Q9BTT6_LRRC1.pdf</t>
  </si>
  <si>
    <t>Melting_Curves/meltCurve_Q9BTU6_PI4K2A.pdf</t>
  </si>
  <si>
    <t>Melting_Curves/meltCurve_Q9BTV5_FSD1.pdf</t>
  </si>
  <si>
    <t>Melting_Curves/meltCurve_Q9BTV6_WDR85.pdf</t>
  </si>
  <si>
    <t>Melting_Curves/meltCurve_Q9BTY2_FUCA2.pdf</t>
  </si>
  <si>
    <t>Melting_Curves/meltCurve_Q9BTY7_FAM203A.pdf</t>
  </si>
  <si>
    <t>Melting_Curves/meltCurve_Q9BTZ2_8_DHRS4.pdf</t>
  </si>
  <si>
    <t>Melting_Curves/meltCurve_Q9BU02_THTPA.pdf</t>
  </si>
  <si>
    <t>Melting_Curves/meltCurve_Q9BU23_3_LMF2.pdf</t>
  </si>
  <si>
    <t>Melting_Curves/meltCurve_Q9BU61_NDUFAF3.pdf</t>
  </si>
  <si>
    <t>Melting_Curves/meltCurve_Q9BU89_DOHH.pdf</t>
  </si>
  <si>
    <t>Melting_Curves/meltCurve_Q9BUA3_C11orf84.pdf</t>
  </si>
  <si>
    <t>Melting_Curves/meltCurve_Q9BUB7_2_TMEM70.pdf</t>
  </si>
  <si>
    <t>Melting_Curves/meltCurve_Q9BUE0_MED18.pdf</t>
  </si>
  <si>
    <t>Melting_Curves/meltCurve_Q9BUE6_ISCA1.pdf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</si>
  <si>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</si>
  <si>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</si>
  <si>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</si>
  <si>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</si>
  <si>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Melting_Curves/meltCurve_Q9BUK6_3_MSTO1.pdf</t>
  </si>
  <si>
    <t>Melting_Curves/meltCurve_Q9BUN5_CCDC28B.pdf</t>
  </si>
  <si>
    <t>Melting_Curves/meltCurve_Q9BUP3_3_HTATIP2.pdf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</si>
  <si>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</si>
  <si>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</si>
  <si>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</si>
  <si>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</si>
  <si>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Melting_Curves/meltCurve_Q9BV10_ALG12.pdf</t>
  </si>
  <si>
    <t>Melting_Curves/meltCurve_Q9BV19_C1orf50.pdf</t>
  </si>
  <si>
    <t>Melting_Curves/meltCurve_Q9BV20_MRI1.pdf</t>
  </si>
  <si>
    <t>Melting_Curves/meltCurve_Q9BV23_ABHD6.pdf</t>
  </si>
  <si>
    <t>Melting_Curves/meltCurve_Q9BV38_WDR18.pdf</t>
  </si>
  <si>
    <t>Melting_Curves/meltCurve_Q9BV40_VAMP8.pdf</t>
  </si>
  <si>
    <t>Melting_Curves/meltCurve_Q9BV44_THUMPD3.pdf</t>
  </si>
  <si>
    <t>Melting_Curves/meltCurve_Q9BV57_ADI1.pdf</t>
  </si>
  <si>
    <t>Melting_Curves/meltCurve_Q9BV68_2_RNF126.pdf</t>
  </si>
  <si>
    <t>Melting_Curves/meltCurve_Q9BV73_2_CEP250.pdf</t>
  </si>
  <si>
    <t>Melting_Curves/meltCurve_Q9BV79_MECR.pdf</t>
  </si>
  <si>
    <t>Melting_Curves/meltCurve_Q9BV86_NTMT1.pdf</t>
  </si>
  <si>
    <t>Melting_Curves/meltCurve_Q9BVA0_KATNB1.pdf</t>
  </si>
  <si>
    <t>Melting_Curves/meltCurve_Q9BVA1_TUBB2B.pdf</t>
  </si>
  <si>
    <t>Melting_Curves/meltCurve_Q9BVC3_DSCC1.pdf</t>
  </si>
  <si>
    <t>Melting_Curves/meltCurve_Q9BVC4_MLST8.pdf</t>
  </si>
  <si>
    <t>Melting_Curves/meltCurve_Q9BVC6_TMEM109.pdf</t>
  </si>
  <si>
    <t>Melting_Curves/meltCurve_Q9BVG4_PBDC1.pdf</t>
  </si>
  <si>
    <t>Melting_Curves/meltCurve_Q9BVG9_PTDSS2.pdf</t>
  </si>
  <si>
    <t>Melting_Curves/meltCurve_Q9BVJ6_3_UTP14A.pdf</t>
  </si>
  <si>
    <t>Melting_Curves/meltCurve_Q9BVK6_TMED9.pdf</t>
  </si>
  <si>
    <t>Melting_Curves/meltCurve_Q9BVL4_SELO.pdf</t>
  </si>
  <si>
    <t>Melting_Curves/meltCurve_Q9BVM2_DPCD.pdf</t>
  </si>
  <si>
    <t>Melting_Curves/meltCurve_Q9BVM4_GGACT.pdf</t>
  </si>
  <si>
    <t>Melting_Curves/meltCurve_Q9BVR6_TUBGCP4.pdf</t>
  </si>
  <si>
    <t>Melting_Curves/meltCurve_Q9BVS5_TRMT61B.pdf</t>
  </si>
  <si>
    <t>Melting_Curves/meltCurve_Q9BVV7_TIMM21.pdf</t>
  </si>
  <si>
    <t>Melting_Curves/meltCurve_Q9BVW5_TIPIN.pdf</t>
  </si>
  <si>
    <t>Melting_Curves/meltCurve_Q9BW19_KIFC1.pdf</t>
  </si>
  <si>
    <t>Melting_Curves/meltCurve_Q9BW27_NUP85.pdf</t>
  </si>
  <si>
    <t>Melting_Curves/meltCurve_Q9BW30_TPPP3.pdf</t>
  </si>
  <si>
    <t>Melting_Curves/meltCurve_Q9BW60_ELOVL1.pdf</t>
  </si>
  <si>
    <t>Melting_Curves/meltCurve_Q9BW61_DDA1.pdf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</si>
  <si>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</si>
  <si>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</si>
  <si>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</si>
  <si>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</si>
  <si>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</si>
  <si>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</si>
  <si>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Melting_Curves/meltCurve_Q9BWD3_FAM127B.pdf</t>
  </si>
  <si>
    <t>Melting_Curves/meltCurve_Q9BWF3_RBM4.pdf</t>
  </si>
  <si>
    <t>Melting_Curves/meltCurve_Q9BWG6_2_SCNM1.pdf</t>
  </si>
  <si>
    <t>Melting_Curves/meltCurve_Q9BWH2_FUNDC2.pdf</t>
  </si>
  <si>
    <t>Melting_Curves/meltCurve_Q9BWH6_2_RPAP1.pdf</t>
  </si>
  <si>
    <t>Melting_Curves/meltCurve_Q9BWJ5_SF3B5.pdf</t>
  </si>
  <si>
    <t>Melting_Curves/meltCurve_Q9BWM7_SFXN3.pdf</t>
  </si>
  <si>
    <t>Melting_Curves/meltCurve_Q9BWT3_PAPOLG.pdf</t>
  </si>
  <si>
    <t>Melting_Curves/meltCurve_Q9BWT7_CARD10.pdf</t>
  </si>
  <si>
    <t>Melting_Curves/meltCurve_Q9BWU0_SLC4A1AP.pdf</t>
  </si>
  <si>
    <t>Melting_Curves/meltCurve_Q9BX40_LSM14B.pdf</t>
  </si>
  <si>
    <t>Melting_Curves/meltCurve_Q9BX63_BRIP1.pdf</t>
  </si>
  <si>
    <t>Melting_Curves/meltCurve_Q9BX66_9_SORBS1.pdf</t>
  </si>
  <si>
    <t>Melting_Curves/meltCurve_Q9BX67_JAM3.pdf</t>
  </si>
  <si>
    <t>Melting_Curves/meltCurve_Q9BX68_HINT2.pdf</t>
  </si>
  <si>
    <t>Melting_Curves/meltCurve_Q9BX95_SGPP1.pdf</t>
  </si>
  <si>
    <t>Melting_Curves/meltCurve_Q9BXB4_OSBPL11.pdf</t>
  </si>
  <si>
    <t>Melting_Curves/meltCurve_Q9BXF6_RAB11FIP5.pdf</t>
  </si>
  <si>
    <t>Melting_Curves/meltCurve_Q9BXH1_BBC3.pdf</t>
  </si>
  <si>
    <t>Melting_Curves/meltCurve_Q9BXJ9_NAA15.pdf</t>
  </si>
  <si>
    <t>Melting_Curves/meltCurve_Q9BXP2_SLC12A9.pdf</t>
  </si>
  <si>
    <t>Melting_Curves/meltCurve_Q9BXP5_4_SRRT.pdf</t>
  </si>
  <si>
    <t>Melting_Curves/meltCurve_Q9BXR0_QTRT1.pdf</t>
  </si>
  <si>
    <t>Melting_Curves/meltCurve_Q9BXV9_C14orf142.pdf</t>
  </si>
  <si>
    <t>Melting_Curves/meltCurve_Q9BXW6_OSBPL1A.pdf</t>
  </si>
  <si>
    <t>Melting_Curves/meltCurve_Q9BXW7_2_CECR5.pdf</t>
  </si>
  <si>
    <t>Melting_Curves/meltCurve_Q9BXW9_2_FANCD2.pdf</t>
  </si>
  <si>
    <t>Melting_Curves/meltCurve_Q9BY32_ITPA.pdf</t>
  </si>
  <si>
    <t>Melting_Curves/meltCurve_Q9BY43_CHMP4A.pdf</t>
  </si>
  <si>
    <t>Melting_Curves/meltCurve_Q9BY77_POLDIP3.pdf</t>
  </si>
  <si>
    <t>Melting_Curves/meltCurve_Q9BYB4_GNB1L.pdf</t>
  </si>
  <si>
    <t>Melting_Curves/meltCurve_Q9BYG5_PARD6B.pdf</t>
  </si>
  <si>
    <t>Melting_Curves/meltCurve_Q9BYN0_SRXN1.pdf</t>
  </si>
  <si>
    <t>Melting_Curves/meltCurve_Q9BYT3_STK33.pdf</t>
  </si>
  <si>
    <t>Melting_Curves/meltCurve_Q9BYT8_NLN.pdf</t>
  </si>
  <si>
    <t>Melting_Curves/meltCurve_Q9BYV8_CEP41.pdf</t>
  </si>
  <si>
    <t>Melting_Curves/meltCurve_Q9BYW2_SETD2.pdf</t>
  </si>
  <si>
    <t>Melting_Curves/meltCurve_Q9BZ23_3_PANK2.pdf</t>
  </si>
  <si>
    <t>Melting_Curves/meltCurve_Q9BZ67_2_FRMD8.pdf</t>
  </si>
  <si>
    <t>Melting_Curves/meltCurve_Q9BZD4_NUF2.pdf</t>
  </si>
  <si>
    <t>Melting_Curves/meltCurve_Q9BZE2_PUS3.pdf</t>
  </si>
  <si>
    <t>Melting_Curves/meltCurve_Q9BZE9_ASPSCR1.pdf</t>
  </si>
  <si>
    <t>Melting_Curves/meltCurve_Q9BZL1_UBL5.pdf</t>
  </si>
  <si>
    <t>Melting_Curves/meltCurve_Q9BZM1_PLA2G12A.pdf</t>
  </si>
  <si>
    <t>Melting_Curves/meltCurve_Q9BZM4_ULBP3.pdf</t>
  </si>
  <si>
    <t>Melting_Curves/meltCurve_Q9BZM5_ULBP2.pdf</t>
  </si>
  <si>
    <t>Melting_Curves/meltCurve_Q9BZX2_UCK2.pdf</t>
  </si>
  <si>
    <t>Melting_Curves/meltCurve_Q9BZZ5_2_API5.pdf</t>
  </si>
  <si>
    <t>Melting_Curves/meltCurve_Q9C005_DPY30.pdf</t>
  </si>
  <si>
    <t>Melting_Curves/meltCurve_Q9C026_5_TRIM9.pdf</t>
  </si>
  <si>
    <t>Melting_Curves/meltCurve_Q9C037_2_TRIM4.pdf</t>
  </si>
  <si>
    <t>Melting_Curves/meltCurve_Q9C040_TRIM2.pdf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</si>
  <si>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</si>
  <si>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</si>
  <si>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</si>
  <si>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</si>
  <si>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</si>
  <si>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Melting_Curves/meltCurve_Q9C0C4_SEMA4C.pdf</t>
  </si>
  <si>
    <t>Melting_Curves/meltCurve_Q9C0C7_4_AMBRA1.pdf</t>
  </si>
  <si>
    <t>Melting_Curves/meltCurve_Q9C0C9_UBE2O.pdf</t>
  </si>
  <si>
    <t>Melting_Curves/meltCurve_Q9C0D3_ZYG11B.pdf</t>
  </si>
  <si>
    <t>Melting_Curves/meltCurve_Q9C0D5_2_TANC1.pdf</t>
  </si>
  <si>
    <t>Melting_Curves/meltCurve_Q9C0F1_CEP44.pdf</t>
  </si>
  <si>
    <t>Melting_Curves/meltCurve_Q9C0H2_2_TTYH3.pdf</t>
  </si>
  <si>
    <t>Melting_Curves/meltCurve_Q9C0I1_3_MTMR12.pdf</t>
  </si>
  <si>
    <t>Melting_Curves/meltCurve_Q9GZL7_WDR12.pdf</t>
  </si>
  <si>
    <t>Melting_Curves/meltCurve_Q9GZN1_ACTR6.pdf</t>
  </si>
  <si>
    <t>Melting_Curves/meltCurve_Q9GZN8_2_C20orf27.pdf</t>
  </si>
  <si>
    <t>Melting_Curves/meltCurve_Q9GZP4_PITHD1.pdf</t>
  </si>
  <si>
    <t>Melting_Curves/meltCurve_Q9GZP9_DERL2.pdf</t>
  </si>
  <si>
    <t>Melting_Curves/meltCurve_Q9GZS3_WDR61.pdf</t>
  </si>
  <si>
    <t>Melting_Curves/meltCurve_Q9GZT3_SLIRP.pdf</t>
  </si>
  <si>
    <t>Melting_Curves/meltCurve_Q9GZT4_SRR.pdf</t>
  </si>
  <si>
    <t>Melting_Curves/meltCurve_Q9GZT6_2_CCDC90B.pdf</t>
  </si>
  <si>
    <t>Melting_Curves/meltCurve_Q9GZT8_2_NIF3L1.pdf</t>
  </si>
  <si>
    <t>Melting_Curves/meltCurve_Q9GZT9_EGLN1.pdf</t>
  </si>
  <si>
    <t>Melting_Curves/meltCurve_Q9GZU8_FAM192A.pdf</t>
  </si>
  <si>
    <t>Melting_Curves/meltCurve_Q9GZX9_TWSG1.pdf</t>
  </si>
  <si>
    <t>Melting_Curves/meltCurve_Q9GZY8_MFF.pdf</t>
  </si>
  <si>
    <t>Melting_Curves/meltCurve_Q9GZY8_2_MFF.pdf</t>
  </si>
  <si>
    <t>Melting_Curves/meltCurve_Q9GZZ9_UBA5.pdf</t>
  </si>
  <si>
    <t>Melting_Curves/meltCurve_Q9H019_3_MTFR1L.pdf</t>
  </si>
  <si>
    <t>Melting_Curves/meltCurve_Q9H061_TMEM126A.pdf</t>
  </si>
  <si>
    <t>Melting_Curves/meltCurve_Q9H074_PAIP1.pdf</t>
  </si>
  <si>
    <t>Melting_Curves/meltCurve_Q9H078_2_CLPB.pdf</t>
  </si>
  <si>
    <t>Melting_Curves/meltCurve_Q9H082_RAB33B.pdf</t>
  </si>
  <si>
    <t>Melting_Curves/meltCurve_Q9H098_FAM107B.pdf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</si>
  <si>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</si>
  <si>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</si>
  <si>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</si>
  <si>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</si>
  <si>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Melting_Curves/meltCurve_Q9H0E9_2_BRD8.pdf</t>
  </si>
  <si>
    <t>Melting_Curves/meltCurve_Q9H0F6_2_SHARPIN.pdf</t>
  </si>
  <si>
    <t>Melting_Curves/meltCurve_Q9H0G5_NSRP1.pdf</t>
  </si>
  <si>
    <t>Melting_Curves/meltCurve_Q9H0H5_RACGAP1.pdf</t>
  </si>
  <si>
    <t>Melting_Curves/meltCurve_Q9H0I2_ENKD1.pdf</t>
  </si>
  <si>
    <t>Melting_Curves/meltCurve_Q9H0L4_CSTF2T.pdf</t>
  </si>
  <si>
    <t>Melting_Curves/meltCurve_Q9H0P0_NT5C3A.pdf</t>
  </si>
  <si>
    <t>Melting_Curves/meltCurve_Q9H0R4_HDHD2.pdf</t>
  </si>
  <si>
    <t>Melting_Curves/meltCurve_Q9H0R6_QRSL1.pdf</t>
  </si>
  <si>
    <t>Melting_Curves/meltCurve_Q9H0U3_MAGT1.pdf</t>
  </si>
  <si>
    <t>Melting_Curves/meltCurve_Q9H0U4_RAB1B.pdf</t>
  </si>
  <si>
    <t>Melting_Curves/meltCurve_Q9H0V1_TMEM168.pdf</t>
  </si>
  <si>
    <t>Melting_Curves/meltCurve_Q9H0V9_LMAN2L.pdf</t>
  </si>
  <si>
    <t>Melting_Curves/meltCurve_Q9H0W9_C11orf54.pdf</t>
  </si>
  <si>
    <t>Melting_Curves/meltCurve_Q9H0X4_ITFG3.pdf</t>
  </si>
  <si>
    <t>Melting_Curves/meltCurve_Q9H173_SIL1.pdf</t>
  </si>
  <si>
    <t>Melting_Curves/meltCurve_Q9H1B7_IRF2BPL.pdf</t>
  </si>
  <si>
    <t>Melting_Curves/meltCurve_Q9H1C3_GLT8D2.pdf</t>
  </si>
  <si>
    <t>Melting_Curves/meltCurve_Q9H1E3_NUCKS1.pdf</t>
  </si>
  <si>
    <t>Melting_Curves/meltCurve_Q9H1K0_ZFYVE20.pdf</t>
  </si>
  <si>
    <t>Melting_Curves/meltCurve_Q9H1K1_ISCU.pdf</t>
  </si>
  <si>
    <t>Melting_Curves/meltCurve_Q9H1P3_2_OSBPL2.pdf</t>
  </si>
  <si>
    <t>Melting_Curves/meltCurve_Q9H1X3_DNAJC25.pdf</t>
  </si>
  <si>
    <t>Melting_Curves/meltCurve_Q9H1Y0_ATG5.pdf</t>
  </si>
  <si>
    <t>Melting_Curves/meltCurve_Q9H1Z4_WDR13.pdf</t>
  </si>
  <si>
    <t>Melting_Curves/meltCurve_Q9H223_EHD4.pdf</t>
  </si>
  <si>
    <t>Melting_Curves/meltCurve_Q9H246_C1orf21.pdf</t>
  </si>
  <si>
    <t>Melting_Curves/meltCurve_Q9H267_VPS33B.pdf</t>
  </si>
  <si>
    <t>Melting_Curves/meltCurve_Q9H270_VPS11.pdf</t>
  </si>
  <si>
    <t>Melting_Curves/meltCurve_Q9H2C0_GAN.pdf</t>
  </si>
  <si>
    <t>Melting_Curves/meltCurve_Q9H2D1_SLC25A32.pdf</t>
  </si>
  <si>
    <t>Melting_Curves/meltCurve_Q9H2D6_5_TRIOBP.pdf</t>
  </si>
  <si>
    <t>Melting_Curves/meltCurve_Q9H2G2_2_SLK.pdf</t>
  </si>
  <si>
    <t>Melting_Curves/meltCurve_Q9H2G9_BLZF1.pdf</t>
  </si>
  <si>
    <t>Melting_Curves/meltCurve_Q9H2H8_PPIL3.pdf</t>
  </si>
  <si>
    <t>Melting_Curves/meltCurve_Q9H2J7_SLC6A15.pdf</t>
  </si>
  <si>
    <t>Melting_Curves/meltCurve_Q9H2M9_RAB3GAP2.pdf</t>
  </si>
  <si>
    <t>Melting_Curves/meltCurve_Q9H2P0_ADNP.pdf</t>
  </si>
  <si>
    <t>Melting_Curves/meltCurve_Q9H2P9_3_DPH5.pdf</t>
  </si>
  <si>
    <t>Melting_Curves/meltCurve_Q9H2U2_PPA2.pdf</t>
  </si>
  <si>
    <t>Melting_Curves/meltCurve_Q9H2W6_MRPL46.pdf</t>
  </si>
  <si>
    <t>Melting_Curves/meltCurve_Q9H300_PARL.pdf</t>
  </si>
  <si>
    <t>Melting_Curves/meltCurve_Q9H307_PNN.pdf</t>
  </si>
  <si>
    <t>Melting_Curves/meltCurve_Q9H330_2_TMEM245.pdf</t>
  </si>
  <si>
    <t>Melting_Curves/meltCurve_Q9H3C7_GGNBP2.pdf</t>
  </si>
  <si>
    <t>Melting_Curves/meltCurve_Q9H3G5_CPVL.pdf</t>
  </si>
  <si>
    <t>Melting_Curves/meltCurve_Q9H3H1_4_TRIT1.pdf</t>
  </si>
  <si>
    <t>Melting_Curves/meltCurve_Q9H3H3_C11orf68.pdf</t>
  </si>
  <si>
    <t>Melting_Curves/meltCurve_Q9H3K6_BOLA2.pdf</t>
  </si>
  <si>
    <t>Melting_Curves/meltCurve_Q9H3N1_TMX1.pdf</t>
  </si>
  <si>
    <t>Melting_Curves/meltCurve_Q9H3P7_ACBD3.pdf</t>
  </si>
  <si>
    <t>Melting_Curves/meltCurve_Q9H3Q1_CDC42EP4.pdf</t>
  </si>
  <si>
    <t>Melting_Curves/meltCurve_Q9H3S7_PTPN23.pdf</t>
  </si>
  <si>
    <t>Melting_Curves/meltCurve_Q9H3U1_UNC45A.pdf</t>
  </si>
  <si>
    <t>Melting_Curves/meltCurve_Q9H3U5_4_MFSD1.pdf</t>
  </si>
  <si>
    <t>Melting_Curves/meltCurve_Q9H3Y8_PPDPF.pdf</t>
  </si>
  <si>
    <t>Melting_Curves/meltCurve_Q9H3Z4_2_DNAJC5.pdf</t>
  </si>
  <si>
    <t>Melting_Curves/meltCurve_Q9H410_DSN1.pdf</t>
  </si>
  <si>
    <t>Melting_Curves/meltCurve_Q9H425_C1orf198.pdf</t>
  </si>
  <si>
    <t>Melting_Curves/meltCurve_Q9H444_CHMP4B.pdf</t>
  </si>
  <si>
    <t>Melting_Curves/meltCurve_Q9H467_CUEDC2.pdf</t>
  </si>
  <si>
    <t>Melting_Curves/meltCurve_Q9H488_POFUT1.pdf</t>
  </si>
  <si>
    <t>Melting_Curves/meltCurve_Q9H496_IFRG15.pdf</t>
  </si>
  <si>
    <t>Melting_Curves/meltCurve_Q9H497_TOR3A.pdf</t>
  </si>
  <si>
    <t>Melting_Curves/meltCurve_Q9H4A5_GOLPH3L.pdf</t>
  </si>
  <si>
    <t>Melting_Curves/meltCurve_Q9H4A6_GOLPH3.pdf</t>
  </si>
  <si>
    <t>Melting_Curves/meltCurve_Q9H4B0_OSGEPL1.pdf</t>
  </si>
  <si>
    <t>Melting_Curves/meltCurve_Q9H4H8_FAM83D.pdf</t>
  </si>
  <si>
    <t>Melting_Curves/meltCurve_Q9H4K7_GTPBP5.pdf</t>
  </si>
  <si>
    <t>Melting_Curves/meltCurve_Q9H4L5_2_OSBPL3.pdf</t>
  </si>
  <si>
    <t>Melting_Curves/meltCurve_Q9H4L7_SMARCAD1.pdf</t>
  </si>
  <si>
    <t>Melting_Curves/meltCurve_Q9H4M9_EHD1.pdf</t>
  </si>
  <si>
    <t>Melting_Curves/meltCurve_Q9H4Z3_PCIF1.pdf</t>
  </si>
  <si>
    <t>Melting_Curves/meltCurve_Q9H553_ALG2.pdf</t>
  </si>
  <si>
    <t>Melting_Curves/meltCurve_Q9H582_2_ZNF644.pdf</t>
  </si>
  <si>
    <t>Melting_Curves/meltCurve_Q9H5K3_SGK196.pdf</t>
  </si>
  <si>
    <t>Melting_Curves/meltCurve_Q9H5N1_RABEP2.pdf</t>
  </si>
  <si>
    <t>Melting_Curves/meltCurve_Q9H5Q4_TFB2M.pdf</t>
  </si>
  <si>
    <t>Melting_Curves/meltCurve_Q9H5V9_2_CXorf56.pdf</t>
  </si>
  <si>
    <t>Melting_Curves/meltCurve_Q9H5X1_FAM96A.pdf</t>
  </si>
  <si>
    <t>Melting_Curves/meltCurve_Q9H609_ZNF576.pdf</t>
  </si>
  <si>
    <t>Melting_Curves/meltCurve_Q9H6E4_CCDC134.pdf</t>
  </si>
  <si>
    <t>Melting_Curves/meltCurve_Q9H6F5_CCDC86.pdf</t>
  </si>
  <si>
    <t>Melting_Curves/meltCurve_Q9H6H4_REEP4.pdf</t>
  </si>
  <si>
    <t>Melting_Curves/meltCurve_Q9H6K1_2_C6orf106.pdf</t>
  </si>
  <si>
    <t>Melting_Curves/meltCurve_Q9H6L5_FAM134B.pdf</t>
  </si>
  <si>
    <t>Melting_Curves/meltCurve_Q9H6Q4_NARFL.pdf</t>
  </si>
  <si>
    <t>Melting_Curves/meltCurve_Q9H6T3_2_RPAP3.pdf</t>
  </si>
  <si>
    <t>Melting_Curves/meltCurve_Q9H6U6_7_BCAS3.pdf</t>
  </si>
  <si>
    <t>Melting_Curves/meltCurve_Q9H6U8_ALG9.pdf</t>
  </si>
  <si>
    <t>Melting_Curves/meltCurve_Q9H6X2_ANTXR1.pdf</t>
  </si>
  <si>
    <t>Melting_Curves/meltCurve_Q9H6Y2_WDR55.pdf</t>
  </si>
  <si>
    <t>Melting_Curves/meltCurve_Q9H773_DCTPP1.pdf</t>
  </si>
  <si>
    <t>Melting_Curves/meltCurve_Q9H7B4_SMYD3.pdf</t>
  </si>
  <si>
    <t>Melting_Curves/meltCurve_Q9H7D7_2_WDR26.pdf</t>
  </si>
  <si>
    <t>Melting_Curves/meltCurve_Q9H7F0_ATP13A3.pdf</t>
  </si>
  <si>
    <t>Melting_Curves/meltCurve_Q9H7F4_TMEM185B.pdf</t>
  </si>
  <si>
    <t>Melting_Curves/meltCurve_Q9H7J1_PPP1R3E.pdf</t>
  </si>
  <si>
    <t>Melting_Curves/meltCurve_Q9H7N4_SCAF1.pdf</t>
  </si>
  <si>
    <t>Melting_Curves/meltCurve_Q9H7S9_ZNF703.pdf</t>
  </si>
  <si>
    <t>Melting_Curves/meltCurve_Q9H7X3_ZNF696.pdf</t>
  </si>
  <si>
    <t>Melting_Curves/meltCurve_Q9H7X7_2_RABL5.pdf</t>
  </si>
  <si>
    <t>Melting_Curves/meltCurve_Q9H7Z6_KAT8.pdf</t>
  </si>
  <si>
    <t>Melting_Curves/meltCurve_Q9H7Z7_PTGES2.pdf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</si>
  <si>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</si>
  <si>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</si>
  <si>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</si>
  <si>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</si>
  <si>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Melting_Curves/meltCurve_Q9H857_2_NT5DC2.pdf</t>
  </si>
  <si>
    <t>Melting_Curves/meltCurve_Q9H8G2_CAAP1.pdf</t>
  </si>
  <si>
    <t>Melting_Curves/meltCurve_Q9H8H0_NOL11.pdf</t>
  </si>
  <si>
    <t>Melting_Curves/meltCurve_Q9H8M7_FAM188A.pdf</t>
  </si>
  <si>
    <t>Melting_Curves/meltCurve_Q9H8S9_MOB1A.pdf</t>
  </si>
  <si>
    <t>Melting_Curves/meltCurve_Q9H8U3_ZFAND3.pdf</t>
  </si>
  <si>
    <t>Melting_Curves/meltCurve_Q9H8W4_PLEKHF2.pdf</t>
  </si>
  <si>
    <t>Melting_Curves/meltCurve_Q9H8Y5_ANKZF1.pdf</t>
  </si>
  <si>
    <t>Melting_Curves/meltCurve_Q9H8Y8_GORASP2.pdf</t>
  </si>
  <si>
    <t>Melting_Curves/meltCurve_Q9H900_ZWILCH.pdf</t>
  </si>
  <si>
    <t>Melting_Curves/meltCurve_Q9H910_2_HN1L.pdf</t>
  </si>
  <si>
    <t>Melting_Curves/meltCurve_Q9H936_SLC25A22.pdf</t>
  </si>
  <si>
    <t>Melting_Curves/meltCurve_Q9H939_PSTPIP2.pdf</t>
  </si>
  <si>
    <t>Melting_Curves/meltCurve_Q9H944_MED20.pdf</t>
  </si>
  <si>
    <t>Melting_Curves/meltCurve_Q9H974_4_QTRTD1.pdf</t>
  </si>
  <si>
    <t>Melting_Curves/meltCurve_Q9H977_WDR54.pdf</t>
  </si>
  <si>
    <t>Melting_Curves/meltCurve_Q9H981_ACTR8.pdf</t>
  </si>
  <si>
    <t>Melting_Curves/meltCurve_Q9H993_C6orf211.pdf</t>
  </si>
  <si>
    <t>Melting_Curves/meltCurve_Q9H9A6_LRRC40.pdf</t>
  </si>
  <si>
    <t>Melting_Curves/meltCurve_Q9H9B1_3_EHMT1.pdf</t>
  </si>
  <si>
    <t>Melting_Curves/meltCurve_Q9H9B4_SFXN1.pdf</t>
  </si>
  <si>
    <t>Melting_Curves/meltCurve_Q9H9F9_ACTR5.pdf</t>
  </si>
  <si>
    <t>Melting_Curves/meltCurve_Q9H9H4_VPS37B.pdf</t>
  </si>
  <si>
    <t>Melting_Curves/meltCurve_Q9H9P8_L2HGDH.pdf</t>
  </si>
  <si>
    <t>Melting_Curves/meltCurve_Q9H9S5_FKRP.pdf</t>
  </si>
  <si>
    <t>Melting_Curves/meltCurve_Q9H9V9_2_JMJD4.pdf</t>
  </si>
  <si>
    <t>Melting_Curves/meltCurve_Q9HA47_3_UCK1.pdf</t>
  </si>
  <si>
    <t>Melting_Curves/meltCurve_Q9HA64_FN3KRP.pdf</t>
  </si>
  <si>
    <t>Melting_Curves/meltCurve_Q9HA77_CARS2.pdf</t>
  </si>
  <si>
    <t>Melting_Curves/meltCurve_Q9HAB8_PPCS.pdf</t>
  </si>
  <si>
    <t>Melting_Curves/meltCurve_Q9HAD4_WDR41.pdf</t>
  </si>
  <si>
    <t>Melting_Curves/meltCurve_Q9HAF1_2_MEAF6.pdf</t>
  </si>
  <si>
    <t>Melting_Curves/meltCurve_Q9HAT8_PELI2.pdf</t>
  </si>
  <si>
    <t>Melting_Curves/meltCurve_Q9HAV0_GNB4.pdf</t>
  </si>
  <si>
    <t>Melting_Curves/meltCurve_Q9HAV4_XPO5.pdf</t>
  </si>
  <si>
    <t>Melting_Curves/meltCurve_Q9HAV5_EDA2R.pdf</t>
  </si>
  <si>
    <t>Melting_Curves/meltCurve_Q9HAV7_GRPEL1.pdf</t>
  </si>
  <si>
    <t>Melting_Curves/meltCurve_Q9HB07_C12orf10.pdf</t>
  </si>
  <si>
    <t>Melting_Curves/meltCurve_Q9HB09_BCL2L12.pdf</t>
  </si>
  <si>
    <t>Melting_Curves/meltCurve_Q9HB20_PLEKHA3.pdf</t>
  </si>
  <si>
    <t>Melting_Curves/meltCurve_Q9HB40_SCPEP1.pdf</t>
  </si>
  <si>
    <t>Melting_Curves/meltCurve_Q9HB71_CACYBP.pdf</t>
  </si>
  <si>
    <t>Melting_Curves/meltCurve_Q9HB90_RRAGC.pdf</t>
  </si>
  <si>
    <t>Melting_Curves/meltCurve_Q9HBD4_SMARCA4.pdf</t>
  </si>
  <si>
    <t>Melting_Curves/meltCurve_Q9HBH1_PDF.pdf</t>
  </si>
  <si>
    <t>Melting_Curves/meltCurve_Q9HBH5_RDH14.pdf</t>
  </si>
  <si>
    <t>Melting_Curves/meltCurve_Q9HBI1_3_PARVB.pdf</t>
  </si>
  <si>
    <t>Melting_Curves/meltCurve_Q9HBK9_AS3MT.pdf</t>
  </si>
  <si>
    <t>Melting_Curves/meltCurve_Q9HBL7_PLGRKT.pdf</t>
  </si>
  <si>
    <t>Melting_Curves/meltCurve_Q9HBL8_NMRAL1.pdf</t>
  </si>
  <si>
    <t>Melting_Curves/meltCurve_Q9HBM1_SPC25.pdf</t>
  </si>
  <si>
    <t>Melting_Curves/meltCurve_Q9HBM6_TAF9B.pdf</t>
  </si>
  <si>
    <t>Melting_Curves/meltCurve_Q9HBM8_AGPAT1.pdf</t>
  </si>
  <si>
    <t>Melting_Curves/meltCurve_Q9HBR0_SLC38A10.pdf</t>
  </si>
  <si>
    <t>Melting_Curves/meltCurve_Q9HC21_SLC25A19.pdf</t>
  </si>
  <si>
    <t>Melting_Curves/meltCurve_Q9HC38_2_GLOD4.pdf</t>
  </si>
  <si>
    <t>Melting_Curves/meltCurve_Q9HC44_GPBP1L1.pdf</t>
  </si>
  <si>
    <t>Melting_Curves/meltCurve_Q9HCC0_MCCC2.pdf</t>
  </si>
  <si>
    <t>Melting_Curves/meltCurve_Q9HCC9_5_ZFYVE28.pdf</t>
  </si>
  <si>
    <t>Melting_Curves/meltCurve_Q9HCD6_TANC2.pdf</t>
  </si>
  <si>
    <t>Melting_Curves/meltCurve_Q9HCE5_METTL14.pdf</t>
  </si>
  <si>
    <t>Melting_Curves/meltCurve_Q9HCJ3_2_RAVER2.pdf</t>
  </si>
  <si>
    <t>Melting_Curves/meltCurve_Q9HCK1_ZDBF2.pdf</t>
  </si>
  <si>
    <t>Melting_Curves/meltCurve_Q9HCM4_4_EPB41L5.pdf</t>
  </si>
  <si>
    <t>Melting_Curves/meltCurve_Q9HCN4_3_GPN1.pdf</t>
  </si>
  <si>
    <t>Melting_Curves/meltCurve_Q9HCN8_SDF2L1.pdf</t>
  </si>
  <si>
    <t>Melting_Curves/meltCurve_Q9HCU5_PREB.pdf</t>
  </si>
  <si>
    <t>Melting_Curves/meltCurve_Q9HD15_SRA1.pdf</t>
  </si>
  <si>
    <t>Melting_Curves/meltCurve_Q9HD20_2_ATP13A1.pdf</t>
  </si>
  <si>
    <t>Melting_Curves/meltCurve_Q9HD26_2_GOPC.pdf</t>
  </si>
  <si>
    <t>Melting_Curves/meltCurve_Q9HD42_CHMP1A.pdf</t>
  </si>
  <si>
    <t>Melting_Curves/meltCurve_Q9HD45_TM9SF3.pdf</t>
  </si>
  <si>
    <t>Melting_Curves/meltCurve_Q9HD47_2_RANGRF.pdf</t>
  </si>
  <si>
    <t>Melting_Curves/meltCurve_Q9HDC9_APMAP.pdf</t>
  </si>
  <si>
    <t>Melting_Curves/meltCurve_Q9NNW7_2_TXNRD2.pdf</t>
  </si>
  <si>
    <t>Melting_Curves/meltCurve_Q9NNX1_2_TUFT1.pdf</t>
  </si>
  <si>
    <t>Melting_Curves/meltCurve_Q9NP58_4_ABCB6.pdf</t>
  </si>
  <si>
    <t>Melting_Curves/meltCurve_Q9NP61_ARFGAP3.pdf</t>
  </si>
  <si>
    <t>Melting_Curves/meltCurve_Q9NP66_HMG20A.pdf</t>
  </si>
  <si>
    <t>Melting_Curves/meltCurve_Q9NP72_RAB18.pdf</t>
  </si>
  <si>
    <t>Melting_Curves/meltCurve_Q9NP77_SSU72.pdf</t>
  </si>
  <si>
    <t>Melting_Curves/meltCurve_Q9NP79_VTA1.pdf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</si>
  <si>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</si>
  <si>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</si>
  <si>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</si>
  <si>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</si>
  <si>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Melting_Curves/meltCurve_Q9NPD8_UBE2T.pdf</t>
  </si>
  <si>
    <t>Melting_Curves/meltCurve_Q9NPE3_NOP10.pdf</t>
  </si>
  <si>
    <t>Melting_Curves/meltCurve_Q9NPF0_CD320.pdf</t>
  </si>
  <si>
    <t>Melting_Curves/meltCurve_Q9NPF4_OSGEP.pdf</t>
  </si>
  <si>
    <t>Melting_Curves/meltCurve_Q9NPG8_ZDHHC4.pdf</t>
  </si>
  <si>
    <t>Melting_Curves/meltCurve_Q9NPH0_ACP6.pdf</t>
  </si>
  <si>
    <t>Melting_Curves/meltCurve_Q9NPI6_DCP1A.pdf</t>
  </si>
  <si>
    <t>Melting_Curves/meltCurve_Q9NPJ3_ACOT13.pdf</t>
  </si>
  <si>
    <t>Melting_Curves/meltCurve_Q9NPJ6_MED4.pdf</t>
  </si>
  <si>
    <t>Melting_Curves/meltCurve_Q9NPL8_TIMMDC1.pdf</t>
  </si>
  <si>
    <t>Melting_Curves/meltCurve_Q9NPQ8_4_RIC8A.pdf</t>
  </si>
  <si>
    <t>Melting_Curves/meltCurve_Q9NPR9_GPR108.pdf</t>
  </si>
  <si>
    <t>Melting_Curves/meltCurve_Q9NQ11_3_ATP13A2.pdf</t>
  </si>
  <si>
    <t>Melting_Curves/meltCurve_Q9NQ29_LUC7L.pdf</t>
  </si>
  <si>
    <t>Melting_Curves/meltCurve_Q9NQ88_TIGAR.pdf</t>
  </si>
  <si>
    <t>Melting_Curves/meltCurve_Q9NQC3_RTN4.pdf</t>
  </si>
  <si>
    <t>Melting_Curves/meltCurve_Q9NQE9_HINT3.pdf</t>
  </si>
  <si>
    <t>Melting_Curves/meltCurve_Q9NQG1_MANBAL.pdf</t>
  </si>
  <si>
    <t>Melting_Curves/meltCurve_Q9NQG5_RPRD1B.pdf</t>
  </si>
  <si>
    <t>Melting_Curves/meltCurve_Q9NQH7_2_XPNPEP3.pdf</t>
  </si>
  <si>
    <t>Melting_Curves/meltCurve_Q9NQL2_RRAGD.pdf</t>
  </si>
  <si>
    <t>Melting_Curves/meltCurve_Q9NQP4_PFDN4.pdf</t>
  </si>
  <si>
    <t>Melting_Curves/meltCurve_Q9NQR4_NIT2.pdf</t>
  </si>
  <si>
    <t>Melting_Curves/meltCurve_Q9NQS1_AVEN.pdf</t>
  </si>
  <si>
    <t>Melting_Curves/meltCurve_Q9NQT4_EXOSC5.pdf</t>
  </si>
  <si>
    <t>Melting_Curves/meltCurve_Q9NQT8_KIF13B.pdf</t>
  </si>
  <si>
    <t>Melting_Curves/meltCurve_Q9NQW6_ANLN.pdf</t>
  </si>
  <si>
    <t>Melting_Curves/meltCurve_Q9NQW7_3_XPNPEP1.pdf</t>
  </si>
  <si>
    <t>Melting_Curves/meltCurve_Q9NQZ5_STARD7.pdf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</si>
  <si>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</si>
  <si>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</si>
  <si>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</si>
  <si>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</si>
  <si>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</si>
  <si>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</si>
  <si>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</si>
  <si>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Melting_Curves/meltCurve_Q9NR50_EIF2B3.pdf</t>
  </si>
  <si>
    <t>Melting_Curves/meltCurve_Q9NRA8_EIF4ENIF1.pdf</t>
  </si>
  <si>
    <t>Melting_Curves/meltCurve_Q9NRB3_CHST12.pdf</t>
  </si>
  <si>
    <t>Melting_Curves/meltCurve_Q9NRC6_SPTBN5.pdf</t>
  </si>
  <si>
    <t>Melting_Curves/meltCurve_Q9NRD5_PICK1.pdf</t>
  </si>
  <si>
    <t>Melting_Curves/meltCurve_Q9NRF2_3_SH2B1.pdf</t>
  </si>
  <si>
    <t>Melting_Curves/meltCurve_Q9NRF8_CTPS2.pdf</t>
  </si>
  <si>
    <t>Melting_Curves/meltCurve_Q9NRF9_POLE3.pdf</t>
  </si>
  <si>
    <t>Melting_Curves/meltCurve_Q9NRG0_CHRAC1.pdf</t>
  </si>
  <si>
    <t>Melting_Curves/meltCurve_Q9NRG4_SMYD2.pdf</t>
  </si>
  <si>
    <t>Melting_Curves/meltCurve_Q9NRG7_2_SDR39U1.pdf</t>
  </si>
  <si>
    <t>Melting_Curves/meltCurve_Q9NRH1_YAE1D1.pdf</t>
  </si>
  <si>
    <t>Melting_Curves/meltCurve_Q9NRK6_ABCB10.pdf</t>
  </si>
  <si>
    <t>Melting_Curves/meltCurve_Q9NRN7_AASDHPPT.pdf</t>
  </si>
  <si>
    <t>Melting_Curves/meltCurve_Q9NRN9_METTL5.pdf</t>
  </si>
  <si>
    <t>Melting_Curves/meltCurve_Q9NRP0_OSTC.pdf</t>
  </si>
  <si>
    <t>Melting_Curves/meltCurve_Q9NRP2_CMC2.pdf</t>
  </si>
  <si>
    <t>Melting_Curves/meltCurve_Q9NRP4_ACN9.pdf</t>
  </si>
  <si>
    <t>Melting_Curves/meltCurve_Q9NRR5_UBQLN4.pdf</t>
  </si>
  <si>
    <t>Melting_Curves/meltCurve_Q9NRR6_2_INPP5E.pdf</t>
  </si>
  <si>
    <t>Melting_Curves/meltCurve_Q9NRR8_CDC42SE1.pdf</t>
  </si>
  <si>
    <t>Melting_Curves/meltCurve_Q9NRS6_2_SNX15.pdf</t>
  </si>
  <si>
    <t>Melting_Curves/meltCurve_Q9NRV9_HEBP1.pdf</t>
  </si>
  <si>
    <t>Melting_Curves/meltCurve_Q9NRW1_RAB6B.pdf</t>
  </si>
  <si>
    <t>Melting_Curves/meltCurve_Q9NRW4_DUSP22.pdf</t>
  </si>
  <si>
    <t>Melting_Curves/meltCurve_Q9NRW7_VPS45.pdf</t>
  </si>
  <si>
    <t>Melting_Curves/meltCurve_Q9NRX4_PHPT1.pdf</t>
  </si>
  <si>
    <t>Melting_Curves/meltCurve_Q9NRX5_SERINC1.pdf</t>
  </si>
  <si>
    <t>Melting_Curves/meltCurve_Q9NRY4_ARHGAP35.pdf</t>
  </si>
  <si>
    <t>Melting_Curves/meltCurve_Q9NRY5_FAM114A2.pdf</t>
  </si>
  <si>
    <t>Melting_Curves/meltCurve_Q9NRY6_PLSCR3.pdf</t>
  </si>
  <si>
    <t>Melting_Curves/meltCurve_Q9NRZ5_AGPAT4.pdf</t>
  </si>
  <si>
    <t>Melting_Curves/meltCurve_Q9NRZ7_2_AGPAT3.pdf</t>
  </si>
  <si>
    <t>Melting_Curves/meltCurve_Q9NRZ9_3_HELLS.pdf</t>
  </si>
  <si>
    <t>Melting_Curves/meltCurve_Q9NS69_TOMM22.pdf</t>
  </si>
  <si>
    <t>Melting_Curves/meltCurve_Q9NS86_LANCL2.pdf</t>
  </si>
  <si>
    <t>Melting_Curves/meltCurve_Q9NS87_4_KIF15.pdf</t>
  </si>
  <si>
    <t>Melting_Curves/meltCurve_Q9NS91_RAD18.pdf</t>
  </si>
  <si>
    <t>Melting_Curves/meltCurve_Q9NS93_TM7SF3.pdf</t>
  </si>
  <si>
    <t>Melting_Curves/meltCurve_Q9NSA3_CTNNBIP1.pdf</t>
  </si>
  <si>
    <t>Melting_Curves/meltCurve_Q9NSB8_2_HOMER2.pdf</t>
  </si>
  <si>
    <t>Melting_Curves/meltCurve_Q9NSD9_FARSB.pdf</t>
  </si>
  <si>
    <t>Melting_Curves/meltCurve_Q9NSE4_IARS2.pdf</t>
  </si>
  <si>
    <t>Melting_Curves/meltCurve_Q9NSG2_3_C1orf112.pdf</t>
  </si>
  <si>
    <t>Melting_Curves/meltCurve_Q9NSI2_2_FAM207A.pdf</t>
  </si>
  <si>
    <t>Melting_Curves/meltCurve_Q9NT62_ATG3.pdf</t>
  </si>
  <si>
    <t>Melting_Curves/meltCurve_Q9NTJ5_SACM1L.pdf</t>
  </si>
  <si>
    <t>Melting_Curves/meltCurve_Q9NTK5_2_OLA1.pdf</t>
  </si>
  <si>
    <t>Melting_Curves/meltCurve_Q9NTM9_CUTC.pdf</t>
  </si>
  <si>
    <t>Melting_Curves/meltCurve_Q9NTN9_SEMA4G.pdf</t>
  </si>
  <si>
    <t>Melting_Curves/meltCurve_Q9NTW7_2_ZFP64.pdf</t>
  </si>
  <si>
    <t>Melting_Curves/meltCurve_Q9NTX5_3_ECHDC1.pdf</t>
  </si>
  <si>
    <t>Melting_Curves/meltCurve_Q9NTX7_2_RNF146.pdf</t>
  </si>
  <si>
    <t>Melting_Curves/meltCurve_Q9NTZ6_RBM12.pdf</t>
  </si>
  <si>
    <t>Melting_Curves/meltCurve_Q9NU19_TBC1D22B.pdf</t>
  </si>
  <si>
    <t>Melting_Curves/meltCurve_Q9NU23_LYRM2.pdf</t>
  </si>
  <si>
    <t>Melting_Curves/meltCurve_Q9NUB1_2_ACSS1.pdf</t>
  </si>
  <si>
    <t>Melting_Curves/meltCurve_Q9NUE0_ZDHHC18.pdf</t>
  </si>
  <si>
    <t>Melting_Curves/meltCurve_Q9NUG6_PDRG1.pdf</t>
  </si>
  <si>
    <t>Melting_Curves/meltCurve_Q9NUJ1_ABHD10.pdf</t>
  </si>
  <si>
    <t>Melting_Curves/meltCurve_Q9NUM4_TMEM106B.pdf</t>
  </si>
  <si>
    <t>Melting_Curves/meltCurve_Q9NUN5_3_LMBRD1.pdf</t>
  </si>
  <si>
    <t>Melting_Curves/meltCurve_Q9NUP1_BLOC1S4.pdf</t>
  </si>
  <si>
    <t>Melting_Curves/meltCurve_Q9NUP7_TRMT13.pdf</t>
  </si>
  <si>
    <t>Melting_Curves/meltCurve_Q9NUP9_LIN7C.pdf</t>
  </si>
  <si>
    <t>Melting_Curves/meltCurve_Q9NUQ2_AGPAT5.pdf</t>
  </si>
  <si>
    <t>Melting_Curves/meltCurve_Q9NUQ3_TXLNG.pdf</t>
  </si>
  <si>
    <t>Melting_Curves/meltCurve_Q9NUQ7_UFSP2.pdf</t>
  </si>
  <si>
    <t>Melting_Curves/meltCurve_Q9NUQ8_ABCF3.pdf</t>
  </si>
  <si>
    <t>Melting_Curves/meltCurve_Q9NUQ9_FAM49B.pdf</t>
  </si>
  <si>
    <t>Melting_Curves/meltCurve_Q9NUS5_AP5S1.pdf</t>
  </si>
  <si>
    <t>Melting_Curves/meltCurve_Q9NUU7_DDX19A.pdf</t>
  </si>
  <si>
    <t>Melting_Curves/meltCurve_Q9NUW8_TDP1.pdf</t>
  </si>
  <si>
    <t>Melting_Curves/meltCurve_Q9NUY8_2_TBC1D23.pdf</t>
  </si>
  <si>
    <t>Melting_Curves/meltCurve_Q9NV06_DCAF13.pdf</t>
  </si>
  <si>
    <t>Melting_Curves/meltCurve_Q9NV29_TMEM100.pdf</t>
  </si>
  <si>
    <t>Melting_Curves/meltCurve_Q9NV56_MRGBP.pdf</t>
  </si>
  <si>
    <t>Melting_Curves/meltCurve_Q9NV70_2_EXOC1.pdf</t>
  </si>
  <si>
    <t>Melting_Curves/meltCurve_Q9NV96_3_TMEM30A.pdf</t>
  </si>
  <si>
    <t>Melting_Curves/meltCurve_Q9NVA4_TMEM184C.pdf</t>
  </si>
  <si>
    <t>Melting_Curves/meltCurve_Q9NVC6_MED17.pdf</t>
  </si>
  <si>
    <t>Melting_Curves/meltCurve_Q9NVE7_PANK4.pdf</t>
  </si>
  <si>
    <t>Melting_Curves/meltCurve_Q9NVG8_TBC1D13.pdf</t>
  </si>
  <si>
    <t>Melting_Curves/meltCurve_Q9NVH0_EXD2.pdf</t>
  </si>
  <si>
    <t>Melting_Curves/meltCurve_Q9NVH1_3_DNAJC11.pdf</t>
  </si>
  <si>
    <t>Melting_Curves/meltCurve_Q9NVH2_4_INTS7.pdf</t>
  </si>
  <si>
    <t>Melting_Curves/meltCurve_Q9NVI1_FANCI.pdf</t>
  </si>
  <si>
    <t>Melting_Curves/meltCurve_Q9NVI7_2_ATAD3A.pdf</t>
  </si>
  <si>
    <t>Melting_Curves/meltCurve_Q9NVJ2_ARL8B.pdf</t>
  </si>
  <si>
    <t>Melting_Curves/meltCurve_Q9NVM4_PRMT7.pdf</t>
  </si>
  <si>
    <t>Melting_Curves/meltCurve_Q9NVM6_DNAJC17.pdf</t>
  </si>
  <si>
    <t>Melting_Curves/meltCurve_Q9NVM9_ASUN.pdf</t>
  </si>
  <si>
    <t>Melting_Curves/meltCurve_Q9NVP2_ASF1B.pdf</t>
  </si>
  <si>
    <t>Melting_Curves/meltCurve_Q9NVQ4_FAIM.pdf</t>
  </si>
  <si>
    <t>Melting_Curves/meltCurve_Q9NVR0_KLHL11.pdf</t>
  </si>
  <si>
    <t>Melting_Curves/meltCurve_Q9NVR5_DNAAF2.pdf</t>
  </si>
  <si>
    <t>Melting_Curves/meltCurve_Q9NVT9_ARMC1.pdf</t>
  </si>
  <si>
    <t>Melting_Curves/meltCurve_Q9NVV0_TMEM38B.pdf</t>
  </si>
  <si>
    <t>Melting_Curves/meltCurve_Q9NVV4_2_MTPAP.pdf</t>
  </si>
  <si>
    <t>Melting_Curves/meltCurve_Q9NVX2_NLE1.pdf</t>
  </si>
  <si>
    <t>Melting_Curves/meltCurve_Q9NVZ3_NECAP2.pdf</t>
  </si>
  <si>
    <t>Melting_Curves/meltCurve_Q9NW64_RBM22.pdf</t>
  </si>
  <si>
    <t>Melting_Curves/meltCurve_Q9NW82_WDR70.pdf</t>
  </si>
  <si>
    <t>Melting_Curves/meltCurve_Q9NWB6_ARGLU1.pdf</t>
  </si>
  <si>
    <t>Melting_Curves/meltCurve_Q9NWH9_SLTM.pdf</t>
  </si>
  <si>
    <t>Melting_Curves/meltCurve_Q9NWM8_FKBP14.pdf</t>
  </si>
  <si>
    <t>Melting_Curves/meltCurve_Q9NWQ8_PAG1.pdf</t>
  </si>
  <si>
    <t>Melting_Curves/meltCurve_Q9NWR8_CCDC109B.pdf</t>
  </si>
  <si>
    <t>Melting_Curves/meltCurve_Q9NWS6_FAM118A.pdf</t>
  </si>
  <si>
    <t>Melting_Curves/meltCurve_Q9NWT6_HIF1AN.pdf</t>
  </si>
  <si>
    <t>Melting_Curves/meltCurve_Q9NWU1_OXSM.pdf</t>
  </si>
  <si>
    <t>Melting_Curves/meltCurve_Q9NWV4_C1orf123.pdf</t>
  </si>
  <si>
    <t>Melting_Curves/meltCurve_Q9NWX5_ASB6.pdf</t>
  </si>
  <si>
    <t>Melting_Curves/meltCurve_Q9NWX6_THG1L.pdf</t>
  </si>
  <si>
    <t>Melting_Curves/meltCurve_Q9NWY4_C4orf27.pdf</t>
  </si>
  <si>
    <t>Melting_Curves/meltCurve_Q9NWZ3_IRAK4.pdf</t>
  </si>
  <si>
    <t>Melting_Curves/meltCurve_Q9NX01_TXNL4B.pdf</t>
  </si>
  <si>
    <t>Melting_Curves/meltCurve_Q9NX07_2_TRNAU1AP.pdf</t>
  </si>
  <si>
    <t>Melting_Curves/meltCurve_Q9NX08_COMMD8.pdf</t>
  </si>
  <si>
    <t>Melting_Curves/meltCurve_Q9NX14_NDUFB11.pdf</t>
  </si>
  <si>
    <t>Melting_Curves/meltCurve_Q9NX24_NHP2.pdf</t>
  </si>
  <si>
    <t>Melting_Curves/meltCurve_Q9NX38_FAM206A.pdf</t>
  </si>
  <si>
    <t>Melting_Curves/meltCurve_Q9NX40_OCIAD1.pdf</t>
  </si>
  <si>
    <t>Melting_Curves/meltCurve_Q9NX46_ADPRHL2.pdf</t>
  </si>
  <si>
    <t>Melting_Curves/meltCurve_Q9NX47_MARCH5.pdf</t>
  </si>
  <si>
    <t>Melting_Curves/meltCurve_Q9NX55_HYPK.pdf</t>
  </si>
  <si>
    <t>Melting_Curves/meltCurve_Q9NX62_IMPAD1.pdf</t>
  </si>
  <si>
    <t>Melting_Curves/meltCurve_Q9NX70_MED29.pdf</t>
  </si>
  <si>
    <t>Melting_Curves/meltCurve_Q9NX74_DUS2L.pdf</t>
  </si>
  <si>
    <t>Melting_Curves/meltCurve_Q9NXA8_SIRT5.pdf</t>
  </si>
  <si>
    <t>Melting_Curves/meltCurve_Q9NXF7_DCAF16.pdf</t>
  </si>
  <si>
    <t>Melting_Curves/meltCurve_Q9NXH9_TRMT1.pdf</t>
  </si>
  <si>
    <t>Melting_Curves/meltCurve_Q9NXN4_2_GDAP2.pdf</t>
  </si>
  <si>
    <t>Melting_Curves/meltCurve_Q9NXR1_2_NDE1.pdf</t>
  </si>
  <si>
    <t>Melting_Curves/meltCurve_Q9NXR7_BRE.pdf</t>
  </si>
  <si>
    <t>Melting_Curves/meltCurve_Q9NXU5_ARL15.pdf</t>
  </si>
  <si>
    <t>Melting_Curves/meltCurve_Q9NXV2_KCTD5.pdf</t>
  </si>
  <si>
    <t>Melting_Curves/meltCurve_Q9NXV6_CDKN2AIP.pdf</t>
  </si>
  <si>
    <t>Melting_Curves/meltCurve_Q9NXW9_ALKBH4.pdf</t>
  </si>
  <si>
    <t>Melting_Curves/meltCurve_Q9NY27_PPP4R2.pdf</t>
  </si>
  <si>
    <t>Melting_Curves/meltCurve_Q9NY93_2_DDX56.pdf</t>
  </si>
  <si>
    <t>Melting_Curves/meltCurve_Q9NYB0_TERF2IP.pdf</t>
  </si>
  <si>
    <t>Melting_Curves/meltCurve_Q9NYH9_UTP6.pdf</t>
  </si>
  <si>
    <t>Melting_Curves/meltCurve_Q9NYJ1_COA4.pdf</t>
  </si>
  <si>
    <t>Melting_Curves/meltCurve_Q9NYJ8_TAB2.pdf</t>
  </si>
  <si>
    <t>Melting_Curves/meltCurve_Q9NYK5_MRPL39.pdf</t>
  </si>
  <si>
    <t>Melting_Curves/meltCurve_Q9NYK6_3_EURL.pdf</t>
  </si>
  <si>
    <t>Melting_Curves/meltCurve_Q9NYL2_2_MLTK.pdf</t>
  </si>
  <si>
    <t>Melting_Curves/meltCurve_Q9NYL9_TMOD3.pdf</t>
  </si>
  <si>
    <t>Melting_Curves/meltCurve_Q9NYP9_MIS18A.pdf</t>
  </si>
  <si>
    <t>Melting_Curves/meltCurve_Q9NYU2_2_UGGT1.pdf</t>
  </si>
  <si>
    <t>Melting_Curves/meltCurve_Q9NYY8_FASTKD2.pdf</t>
  </si>
  <si>
    <t>Melting_Curves/meltCurve_Q9NYZ3_GTSE1.pdf</t>
  </si>
  <si>
    <t>Melting_Curves/meltCurve_Q9NZ01_TECR.pdf</t>
  </si>
  <si>
    <t>Melting_Curves/meltCurve_Q9NZ08_ERAP1.pdf</t>
  </si>
  <si>
    <t>Melting_Curves/meltCurve_Q9NZ09_2_UBAP1.pdf</t>
  </si>
  <si>
    <t>Melting_Curves/meltCurve_Q9NZ32_ACTR10.pdf</t>
  </si>
  <si>
    <t>Melting_Curves/meltCurve_Q9NZ45_CISD1.pdf</t>
  </si>
  <si>
    <t>Melting_Curves/meltCurve_Q9NZ53_PODXL2.pdf</t>
  </si>
  <si>
    <t>Melting_Curves/meltCurve_Q9NZ63_C9orf78.pdf</t>
  </si>
  <si>
    <t>Melting_Curves/meltCurve_Q9NZA1_3_CLIC5.pdf</t>
  </si>
  <si>
    <t>Melting_Curves/meltCurve_Q9NZB8_2_MOCS1.pdf</t>
  </si>
  <si>
    <t>Melting_Curves/meltCurve_Q9NZC3_GDE1.pdf</t>
  </si>
  <si>
    <t>Melting_Curves/meltCurve_Q9NZC7_WWOX.pdf</t>
  </si>
  <si>
    <t>Melting_Curves/meltCurve_Q9NZC9_SMARCAL1.pdf</t>
  </si>
  <si>
    <t>Melting_Curves/meltCurve_Q9NZD8_2_SPG21.pdf</t>
  </si>
  <si>
    <t>Melting_Curves/meltCurve_Q9NZI8_IGF2BP1.pdf</t>
  </si>
  <si>
    <t>Melting_Curves/meltCurve_Q9NZJ4_2_SACS.pdf</t>
  </si>
  <si>
    <t>Melting_Curves/meltCurve_Q9NZJ6_COQ3.pdf</t>
  </si>
  <si>
    <t>Melting_Curves/meltCurve_Q9NZJ9_NUDT4.pdf</t>
  </si>
  <si>
    <t>Melting_Curves/meltCurve_Q9NZL4_HSPBP1.pdf</t>
  </si>
  <si>
    <t>Melting_Curves/meltCurve_Q9NZL9_MAT2B.pdf</t>
  </si>
  <si>
    <t>Melting_Curves/meltCurve_Q9NZL9_2_MAT2B.pdf</t>
  </si>
  <si>
    <t>Melting_Curves/meltCurve_Q9NZN3_EHD3.pdf</t>
  </si>
  <si>
    <t>Melting_Curves/meltCurve_Q9NZN5_ARHGEF12.pdf</t>
  </si>
  <si>
    <t>Melting_Curves/meltCurve_Q9NZQ3_3_NCKIPSD.pdf</t>
  </si>
  <si>
    <t>Melting_Curves/meltCurve_Q9NZT2_2_OGFR.pdf</t>
  </si>
  <si>
    <t>Melting_Curves/meltCurve_Q9NZU5_LMCD1.pdf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</si>
  <si>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</si>
  <si>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</si>
  <si>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</si>
  <si>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</si>
  <si>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</si>
  <si>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Melting_Curves/meltCurve_Q9P032_NDUFAF4.pdf</t>
  </si>
  <si>
    <t>Melting_Curves/meltCurve_Q9P035_PTPLAD1.pdf</t>
  </si>
  <si>
    <t>Melting_Curves/meltCurve_Q9P0J1_PDP1.pdf</t>
  </si>
  <si>
    <t>Melting_Curves/meltCurve_Q9P0L0_VAPA.pdf</t>
  </si>
  <si>
    <t>Melting_Curves/meltCurve_Q9P0L2_MARK1.pdf</t>
  </si>
  <si>
    <t>Melting_Curves/meltCurve_Q9P0N9_3_TBC1D7.pdf</t>
  </si>
  <si>
    <t>Melting_Curves/meltCurve_Q9P0P0_RNF181.pdf</t>
  </si>
  <si>
    <t>Melting_Curves/meltCurve_Q9P0R6_GSKIP.pdf</t>
  </si>
  <si>
    <t>Melting_Curves/meltCurve_Q9P0V3_SH3BP4.pdf</t>
  </si>
  <si>
    <t>Melting_Curves/meltCurve_Q9P0W5_SCHIP1.pdf</t>
  </si>
  <si>
    <t>Melting_Curves/meltCurve_Q9P1U0_ZNRD1.pdf</t>
  </si>
  <si>
    <t>Melting_Curves/meltCurve_Q9P1Y5_CAMSAP3.pdf</t>
  </si>
  <si>
    <t>Melting_Curves/meltCurve_Q9P1Z2_2_CALCOCO1.pdf</t>
  </si>
  <si>
    <t>Melting_Curves/meltCurve_Q9P206_KIAA1522.pdf</t>
  </si>
  <si>
    <t>Melting_Curves/meltCurve_Q9P258_RCC2.pdf</t>
  </si>
  <si>
    <t>Melting_Curves/meltCurve_Q9P260_2_KIAA1468.pdf</t>
  </si>
  <si>
    <t>Melting_Curves/meltCurve_Q9P265_DIP2B.pdf</t>
  </si>
  <si>
    <t>Melting_Curves/meltCurve_Q9P266_KIAA1462.pdf</t>
  </si>
  <si>
    <t>Melting_Curves/meltCurve_Q9P270_SLAIN2.pdf</t>
  </si>
  <si>
    <t>Melting_Curves/meltCurve_Q9P287_2_BCCIP.pdf</t>
  </si>
  <si>
    <t>Melting_Curves/meltCurve_Q9P2B2_PTGFRN.pdf</t>
  </si>
  <si>
    <t>Melting_Curves/meltCurve_Q9P2B4_CTTNBP2NL.pdf</t>
  </si>
  <si>
    <t>Melting_Curves/meltCurve_Q9P2C4_TMEM181.pdf</t>
  </si>
  <si>
    <t>Melting_Curves/meltCurve_Q9P2D1_4_CHD7.pdf</t>
  </si>
  <si>
    <t>Melting_Curves/meltCurve_Q9P2D3_3_HEATR5B.pdf</t>
  </si>
  <si>
    <t>Melting_Curves/meltCurve_Q9P2D7_5_DNAH1.pdf</t>
  </si>
  <si>
    <t>Melting_Curves/meltCurve_Q9P2E9_RRBP1.pdf</t>
  </si>
  <si>
    <t>Melting_Curves/meltCurve_Q9P2I0_CPSF2.pdf</t>
  </si>
  <si>
    <t>Melting_Curves/meltCurve_Q9P2M7_CGN.pdf</t>
  </si>
  <si>
    <t>Melting_Curves/meltCurve_Q9P2N5_RBM27.pdf</t>
  </si>
  <si>
    <t>Melting_Curves/meltCurve_Q9P2R3_ANKFY1.pdf</t>
  </si>
  <si>
    <t>Melting_Curves/meltCurve_Q9P2W1_2_PSMC3IP.pdf</t>
  </si>
  <si>
    <t>Melting_Curves/meltCurve_Q9P2X0_DPM3.pdf</t>
  </si>
  <si>
    <t>Melting_Curves/meltCurve_Q9P2X3_IMPACT.pdf</t>
  </si>
  <si>
    <t>Melting_Curves/meltCurve_Q9UBB4_ATXN10.pdf</t>
  </si>
  <si>
    <t>Melting_Curves/meltCurve_Q9UBB6_NCDN.pdf</t>
  </si>
  <si>
    <t>Melting_Curves/meltCurve_Q9UBB9_TFIP11.pdf</t>
  </si>
  <si>
    <t>Melting_Curves/meltCurve_Q9UBC2_2_EPS15L1.pdf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</si>
  <si>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</si>
  <si>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</si>
  <si>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</si>
  <si>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</si>
  <si>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Melting_Curves/meltCurve_Q9UBI6_GNG12.pdf</t>
  </si>
  <si>
    <t>Melting_Curves/meltCurve_Q9UBK8_2_MTRR.pdf</t>
  </si>
  <si>
    <t>Melting_Curves/meltCurve_Q9UBL6_2_CPNE7.pdf</t>
  </si>
  <si>
    <t>Melting_Curves/meltCurve_Q9UBM7_DHCR7.pdf</t>
  </si>
  <si>
    <t>Melting_Curves/meltCurve_Q9UBN6_TNFRSF10D.pdf</t>
  </si>
  <si>
    <t>Melting_Curves/meltCurve_Q9UBP0_3_SPAST.pdf</t>
  </si>
  <si>
    <t>Melting_Curves/meltCurve_Q9UBP6_METTL1.pdf</t>
  </si>
  <si>
    <t>Melting_Curves/meltCurve_Q9UBP9_4_GULP1.pdf</t>
  </si>
  <si>
    <t>Melting_Curves/meltCurve_Q9UBQ0_VPS29.pdf</t>
  </si>
  <si>
    <t>Melting_Curves/meltCurve_Q9UBQ7_GRHPR.pdf</t>
  </si>
  <si>
    <t>Melting_Curves/meltCurve_Q9UBS0_RPS6KB2.pdf</t>
  </si>
  <si>
    <t>Melting_Curves/meltCurve_Q9UBS4_DNAJB11.pdf</t>
  </si>
  <si>
    <t>Melting_Curves/meltCurve_Q9UBS8_2_RNF14.pdf</t>
  </si>
  <si>
    <t>Melting_Curves/meltCurve_Q9UBT2_UBA2.pdf</t>
  </si>
  <si>
    <t>Melting_Curves/meltCurve_Q9UBT7_2_CTNNAL1.pdf</t>
  </si>
  <si>
    <t>Melting_Curves/meltCurve_Q9UBU6_FAM8A1.pdf</t>
  </si>
  <si>
    <t>Melting_Curves/meltCurve_Q9UBU8_2_MORF4L1.pdf</t>
  </si>
  <si>
    <t>Melting_Curves/meltCurve_Q9UBV8_PEF1.pdf</t>
  </si>
  <si>
    <t>Melting_Curves/meltCurve_Q9UBW7_ZMYM2.pdf</t>
  </si>
  <si>
    <t>Melting_Curves/meltCurve_Q9UBW8_COPS7A.pdf</t>
  </si>
  <si>
    <t>Melting_Curves/meltCurve_Q9UDR5_AASS.pdf</t>
  </si>
  <si>
    <t>Melting_Curves/meltCurve_Q9UDX5_MTFP1.pdf</t>
  </si>
  <si>
    <t>Melting_Curves/meltCurve_Q9UDY2_3_TJP2.pdf</t>
  </si>
  <si>
    <t>Melting_Curves/meltCurve_Q9UDY4_DNAJB4.pdf</t>
  </si>
  <si>
    <t>Melting_Curves/meltCurve_Q9UDY8_2_MALT1.pdf</t>
  </si>
  <si>
    <t>Melting_Curves/meltCurve_Q9UEE9_CFDP1.pdf</t>
  </si>
  <si>
    <t>Melting_Curves/meltCurve_Q9UEG4_ZNF629.pdf</t>
  </si>
  <si>
    <t>Melting_Curves/meltCurve_Q9UEL6_MPZL1.pdf</t>
  </si>
  <si>
    <t>Melting_Curves/meltCurve_Q9UER7_3_DAXX.pdf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</si>
  <si>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</si>
  <si>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</si>
  <si>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</si>
  <si>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</si>
  <si>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Melting_Curves/meltCurve_Q9UFC0_LRWD1.pdf</t>
  </si>
  <si>
    <t>Melting_Curves/meltCurve_Q9UFG5_C19orf25.pdf</t>
  </si>
  <si>
    <t>Melting_Curves/meltCurve_Q9UFW8_CGGBP1.pdf</t>
  </si>
  <si>
    <t>Melting_Curves/meltCurve_Q9UG56_2_PISD.pdf</t>
  </si>
  <si>
    <t>Melting_Curves/meltCurve_Q9UG63_ABCF2.pdf</t>
  </si>
  <si>
    <t>Melting_Curves/meltCurve_Q9UGC7_MTRF1L.pdf</t>
  </si>
  <si>
    <t>Melting_Curves/meltCurve_Q9UGI8_TES.pdf</t>
  </si>
  <si>
    <t>Melting_Curves/meltCurve_Q9UGI8_2_TES.pdf</t>
  </si>
  <si>
    <t>Melting_Curves/meltCurve_Q9UGP4_LIMD1.pdf</t>
  </si>
  <si>
    <t>Melting_Curves/meltCurve_Q9UGP8_SEC63.pdf</t>
  </si>
  <si>
    <t>Melting_Curves/meltCurve_Q9UGU0_2_TCF20.pdf</t>
  </si>
  <si>
    <t>Melting_Curves/meltCurve_Q9UH62_ARMCX3.pdf</t>
  </si>
  <si>
    <t>Melting_Curves/meltCurve_Q9UHA4_LAMTOR3.pdf</t>
  </si>
  <si>
    <t>Melting_Curves/meltCurve_Q9UHB6_LIMA1.pdf</t>
  </si>
  <si>
    <t>Melting_Curves/meltCurve_Q9UHD1_CHORDC1.pdf</t>
  </si>
  <si>
    <t>Melting_Curves/meltCurve_Q9UHD2_TBK1.pdf</t>
  </si>
  <si>
    <t>Melting_Curves/meltCurve_Q9UHD8_7_SEPT9.pdf</t>
  </si>
  <si>
    <t>Melting_Curves/meltCurve_Q9UHD9_UBQLN2.pdf</t>
  </si>
  <si>
    <t>Melting_Curves/meltCurve_Q9UHE8_STEAP1.pdf</t>
  </si>
  <si>
    <t>Melting_Curves/meltCurve_Q9UHG2_PCSK1N.pdf</t>
  </si>
  <si>
    <t>Melting_Curves/meltCurve_Q9UHG3_PCYOX1.pdf</t>
  </si>
  <si>
    <t>Melting_Curves/meltCurve_Q9UHI6_DDX20.pdf</t>
  </si>
  <si>
    <t>Melting_Curves/meltCurve_Q9UHJ6_SHPK.pdf</t>
  </si>
  <si>
    <t>Melting_Curves/meltCurve_Q9UHP3_USP25.pdf</t>
  </si>
  <si>
    <t>Melting_Curves/meltCurve_Q9UHQ4_BCAP29.pdf</t>
  </si>
  <si>
    <t>Melting_Curves/meltCurve_Q9UHQ9_CYB5R1.pdf</t>
  </si>
  <si>
    <t>Melting_Curves/meltCurve_Q9UHR4_BAIAP2L1.pdf</t>
  </si>
  <si>
    <t>Melting_Curves/meltCurve_Q9UHV9_PFDN2.pdf</t>
  </si>
  <si>
    <t>Melting_Curves/meltCurve_Q9UHW5_GPN3.pdf</t>
  </si>
  <si>
    <t>Melting_Curves/meltCurve_Q9UHX1_4_PUF60.pdf</t>
  </si>
  <si>
    <t>Melting_Curves/meltCurve_Q9UHY1_NRBP1.pdf</t>
  </si>
  <si>
    <t>Melting_Curves/meltCurve_Q9UHY7_ENOPH1.pdf</t>
  </si>
  <si>
    <t>Melting_Curves/meltCurve_Q9UI08_EVL.pdf</t>
  </si>
  <si>
    <t>Melting_Curves/meltCurve_Q9UI12_2_ATP6V1H.pdf</t>
  </si>
  <si>
    <t>Melting_Curves/meltCurve_Q9UI26_IPO11.pdf</t>
  </si>
  <si>
    <t>Melting_Curves/meltCurve_Q9UI30_TRMT112.pdf</t>
  </si>
  <si>
    <t>Melting_Curves/meltCurve_Q9UI43_FTSJ2.pdf</t>
  </si>
  <si>
    <t>Melting_Curves/meltCurve_Q9UIC8_LCMT1.pdf</t>
  </si>
  <si>
    <t>Melting_Curves/meltCurve_Q9UID3_VPS51.pdf</t>
  </si>
  <si>
    <t>Melting_Curves/meltCurve_Q9UIG0_2_BAZ1B.pdf</t>
  </si>
  <si>
    <t>Melting_Curves/meltCurve_Q9UII2_ATPIF1.pdf</t>
  </si>
  <si>
    <t>Melting_Curves/meltCurve_Q9UIJ7_AK3.pdf</t>
  </si>
  <si>
    <t>Melting_Curves/meltCurve_Q9UIL1_3_SCOC.pdf</t>
  </si>
  <si>
    <t>Melting_Curves/meltCurve_Q9UIM3_FKBPL.pdf</t>
  </si>
  <si>
    <t>Melting_Curves/meltCurve_Q9UIQ6_3_LNPEP.pdf</t>
  </si>
  <si>
    <t>Melting_Curves/meltCurve_Q9UJ41_RABGEF1.pdf</t>
  </si>
  <si>
    <t>Melting_Curves/meltCurve_Q9UJ70_NAGK.pdf</t>
  </si>
  <si>
    <t>Melting_Curves/meltCurve_Q9UJA5_TRMT6.pdf</t>
  </si>
  <si>
    <t>Melting_Curves/meltCurve_Q9UJS0_SLC25A13.pdf</t>
  </si>
  <si>
    <t>Melting_Curves/meltCurve_Q9UJU6_DBNL.pdf</t>
  </si>
  <si>
    <t>Melting_Curves/meltCurve_Q9UJU6_2_DBNL.pdf</t>
  </si>
  <si>
    <t>Melting_Curves/meltCurve_Q9UJW0_2_DCTN4.pdf</t>
  </si>
  <si>
    <t>Melting_Curves/meltCurve_Q9UJX2_3_CDC23.pdf</t>
  </si>
  <si>
    <t>Melting_Curves/meltCurve_Q9UJX3_2_ANAPC7.pdf</t>
  </si>
  <si>
    <t>Melting_Curves/meltCurve_Q9UJX5_2_ANAPC4.pdf</t>
  </si>
  <si>
    <t>Melting_Curves/meltCurve_Q9UJX6_2_ANAPC2.pdf</t>
  </si>
  <si>
    <t>Melting_Curves/meltCurve_Q9UJY1_HSPB8.pdf</t>
  </si>
  <si>
    <t>Melting_Curves/meltCurve_Q9UJY4_GGA2.pdf</t>
  </si>
  <si>
    <t>Melting_Curves/meltCurve_Q9UJY5_4_GGA1.pdf</t>
  </si>
  <si>
    <t>Melting_Curves/meltCurve_Q9UJZ1_STOML2.pdf</t>
  </si>
  <si>
    <t>Melting_Curves/meltCurve_Q9UK23_NAGPA.pdf</t>
  </si>
  <si>
    <t>Melting_Curves/meltCurve_Q9UK45_LSM7.pdf</t>
  </si>
  <si>
    <t>Melting_Curves/meltCurve_Q9UK59_DBR1.pdf</t>
  </si>
  <si>
    <t>Melting_Curves/meltCurve_Q9UK76_HN1.pdf</t>
  </si>
  <si>
    <t>Melting_Curves/meltCurve_Q9UK99_FBXO3.pdf</t>
  </si>
  <si>
    <t>Melting_Curves/meltCurve_Q9UKB3_DNAJC12.pdf</t>
  </si>
  <si>
    <t>Melting_Curves/meltCurve_Q9UKF6_CPSF3.pdf</t>
  </si>
  <si>
    <t>Melting_Curves/meltCurve_Q9UKG1_APPL1.pdf</t>
  </si>
  <si>
    <t>Melting_Curves/meltCurve_Q9UKI8_TLK1.pdf</t>
  </si>
  <si>
    <t>Melting_Curves/meltCurve_Q9UKJ3_2_GPATCH8.pdf</t>
  </si>
  <si>
    <t>Melting_Curves/meltCurve_Q9UKK9_NUDT5.pdf</t>
  </si>
  <si>
    <t>Melting_Curves/meltCurve_Q9UKN8_GTF3C4.pdf</t>
  </si>
  <si>
    <t>Melting_Curves/meltCurve_Q9UKS6_PACSIN3.pdf</t>
  </si>
  <si>
    <t>Melting_Curves/meltCurve_Q9UKT4_2_FBXO5.pdf</t>
  </si>
  <si>
    <t>Melting_Curves/meltCurve_Q9UKU7_ACAD8.pdf</t>
  </si>
  <si>
    <t>Melting_Curves/meltCurve_Q9UKV5_AMFR.pdf</t>
  </si>
  <si>
    <t>Melting_Curves/meltCurve_Q9UKX7_NUP50.pdf</t>
  </si>
  <si>
    <t>Melting_Curves/meltCurve_Q9UKY7_CDV3.pdf</t>
  </si>
  <si>
    <t>Melting_Curves/meltCurve_Q9UKZ1_CNOT11.pdf</t>
  </si>
  <si>
    <t>Melting_Curves/meltCurve_Q9UL15_BAG5.pdf</t>
  </si>
  <si>
    <t>Melting_Curves/meltCurve_Q9UL25_RAB21.pdf</t>
  </si>
  <si>
    <t>Melting_Curves/meltCurve_Q9UL26_RAB22A.pdf</t>
  </si>
  <si>
    <t>Melting_Curves/meltCurve_Q9UL42_PNMA2.pdf</t>
  </si>
  <si>
    <t>Melting_Curves/meltCurve_Q9UL46_PSME2.pdf</t>
  </si>
  <si>
    <t>Melting_Curves/meltCurve_Q9UL54_2_TAOK2.pdf</t>
  </si>
  <si>
    <t>Melting_Curves/meltCurve_Q9ULC3_RAB23.pdf</t>
  </si>
  <si>
    <t>Melting_Curves/meltCurve_Q9ULC4_MCTS1.pdf</t>
  </si>
  <si>
    <t>Melting_Curves/meltCurve_Q9ULD5_ZNF777.pdf</t>
  </si>
  <si>
    <t>Melting_Curves/meltCurve_Q9ULE6_PALD1.pdf</t>
  </si>
  <si>
    <t>Melting_Curves/meltCurve_Q9ULF5_SLC39A10.pdf</t>
  </si>
  <si>
    <t>Melting_Curves/meltCurve_Q9ULH0_5_KIDINS220.pdf</t>
  </si>
  <si>
    <t>Melting_Curves/meltCurve_Q9ULH1_ASAP1.pdf</t>
  </si>
  <si>
    <t>Melting_Curves/meltCurve_Q9ULH7_4_MKL2.pdf</t>
  </si>
  <si>
    <t>Melting_Curves/meltCurve_Q9ULJ3_2_ZBTB21.pdf</t>
  </si>
  <si>
    <t>Melting_Curves/meltCurve_Q9ULJ6_ZMIZ1.pdf</t>
  </si>
  <si>
    <t>Melting_Curves/meltCurve_Q9ULJ7_2_ANKRD50.pdf</t>
  </si>
  <si>
    <t>Melting_Curves/meltCurve_Q9ULP9_2_TBC1D24.pdf</t>
  </si>
  <si>
    <t>Melting_Curves/meltCurve_Q9ULR0_ISY1.pdf</t>
  </si>
  <si>
    <t>Melting_Curves/meltCurve_Q9ULT8_HECTD1.pdf</t>
  </si>
  <si>
    <t>Melting_Curves/meltCurve_Q9ULV4_CORO1C.pdf</t>
  </si>
  <si>
    <t>Melting_Curves/meltCurve_Q9ULW0_TPX2.pdf</t>
  </si>
  <si>
    <t>Melting_Curves/meltCurve_Q9ULX3_NOB1.pdf</t>
  </si>
  <si>
    <t>Melting_Curves/meltCurve_Q9UM13_ANAPC10.pdf</t>
  </si>
  <si>
    <t>Melting_Curves/meltCurve_Q9UMN6_WBP7.pdf</t>
  </si>
  <si>
    <t>Melting_Curves/meltCurve_Q9UMR2_DDX19B.pdf</t>
  </si>
  <si>
    <t>Melting_Curves/meltCurve_Q9UMS0_3_NFU1.pdf</t>
  </si>
  <si>
    <t>Melting_Curves/meltCurve_Q9UMS4_PRPF19.pdf</t>
  </si>
  <si>
    <t>Melting_Curves/meltCurve_Q9UMX0_UBQLN1.pdf</t>
  </si>
  <si>
    <t>Melting_Curves/meltCurve_Q9UMX1_SUFU.pdf</t>
  </si>
  <si>
    <t>Melting_Curves/meltCurve_Q9UMX5_NENF.pdf</t>
  </si>
  <si>
    <t>Melting_Curves/meltCurve_Q9UMY4_2_SNX12.pdf</t>
  </si>
  <si>
    <t>Melting_Curves/meltCurve_Q9UMZ2_6_SYNRG.pdf</t>
  </si>
  <si>
    <t>Melting_Curves/meltCurve_Q9UN37_VPS4A.pdf</t>
  </si>
  <si>
    <t>Melting_Curves/meltCurve_Q9UN86_2_G3BP2.pdf</t>
  </si>
  <si>
    <t>Melting_Curves/meltCurve_Q9UNE7_STUB1.pdf</t>
  </si>
  <si>
    <t>Melting_Curves/meltCurve_Q9UNF0_2_PACSIN2.pdf</t>
  </si>
  <si>
    <t>Melting_Curves/meltCurve_Q9UNF1_MAGED2.pdf</t>
  </si>
  <si>
    <t>Melting_Curves/meltCurve_Q9UNH6_SNX7.pdf</t>
  </si>
  <si>
    <t>Melting_Curves/meltCurve_Q9UNH7_SNX6.pdf</t>
  </si>
  <si>
    <t>Melting_Curves/meltCurve_Q9UNK0_STX8.pdf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</si>
  <si>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</si>
  <si>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</si>
  <si>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</si>
  <si>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</si>
  <si>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Melting_Curves/meltCurve_Q9UNS1_2_TIMELESS.pdf</t>
  </si>
  <si>
    <t>Melting_Curves/meltCurve_Q9UNS2_COPS3.pdf</t>
  </si>
  <si>
    <t>Melting_Curves/meltCurve_Q9UNT1_2_RABL2B.pdf</t>
  </si>
  <si>
    <t>Melting_Curves/meltCurve_Q9UNW1_MINPP1.pdf</t>
  </si>
  <si>
    <t>Melting_Curves/meltCurve_Q9UNW9_NOVA2.pdf</t>
  </si>
  <si>
    <t>Melting_Curves/meltCurve_Q9UNY4_TTF2.pdf</t>
  </si>
  <si>
    <t>Melting_Curves/meltCurve_Q9UNZ2_5_NSFL1C.pdf</t>
  </si>
  <si>
    <t>Melting_Curves/meltCurve_Q9UNZ5_C19orf53.pdf</t>
  </si>
  <si>
    <t>Melting_Curves/meltCurve_Q9UP83_COG5.pdf</t>
  </si>
  <si>
    <t>Melting_Curves/meltCurve_Q9UP95_5_SLC12A4.pdf</t>
  </si>
  <si>
    <t>Melting_Curves/meltCurve_Q9UPN6_SCAF8.pdf</t>
  </si>
  <si>
    <t>Melting_Curves/meltCurve_Q9UPN7_PPP6R1.pdf</t>
  </si>
  <si>
    <t>Melting_Curves/meltCurve_Q9UPN9_2_TRIM33.pdf</t>
  </si>
  <si>
    <t>Melting_Curves/meltCurve_Q9UPQ9_1_TNRC6B.pdf</t>
  </si>
  <si>
    <t>Melting_Curves/meltCurve_Q9UPR0_PLCL2.pdf</t>
  </si>
  <si>
    <t>Melting_Curves/meltCurve_Q9UPR3_SMG5.pdf</t>
  </si>
  <si>
    <t>Melting_Curves/meltCurve_Q9UPT5_2_EXOC7.pdf</t>
  </si>
  <si>
    <t>Melting_Curves/meltCurve_Q9UPT8_ZC3H4.pdf</t>
  </si>
  <si>
    <t>Melting_Curves/meltCurve_Q9UPT9_USP22.pdf</t>
  </si>
  <si>
    <t>Melting_Curves/meltCurve_Q9UPU5_USP24.pdf</t>
  </si>
  <si>
    <t>Melting_Curves/meltCurve_Q9UPU7_2_TBC1D2B.pdf</t>
  </si>
  <si>
    <t>Melting_Curves/meltCurve_Q9UPW5_AGTPBP1.pdf</t>
  </si>
  <si>
    <t>Melting_Curves/meltCurve_Q9UPY8_MAPRE3.pdf</t>
  </si>
  <si>
    <t>Melting_Curves/meltCurve_Q9UQ13_2_SHOC2.pdf</t>
  </si>
  <si>
    <t>Melting_Curves/meltCurve_Q9UQ35_SRRM2.pdf</t>
  </si>
  <si>
    <t>Melting_Curves/meltCurve_Q9UQ53_2_MGAT4B.pdf</t>
  </si>
  <si>
    <t>Melting_Curves/meltCurve_Q9UQ80_PA2G4.pdf</t>
  </si>
  <si>
    <t>Melting_Curves/meltCurve_Q9UQ84_4_EXO1.pdf</t>
  </si>
  <si>
    <t>Melting_Curves/meltCurve_Q9UQ90_SPG7.pdf</t>
  </si>
  <si>
    <t>Melting_Curves/meltCurve_Q9UQE7_SMC3.pdf</t>
  </si>
  <si>
    <t>Melting_Curves/meltCurve_Q9UQN3_CHMP2B.pdf</t>
  </si>
  <si>
    <t>Melting_Curves/meltCurve_Q9UQR0_SCML2.pdf</t>
  </si>
  <si>
    <t>Melting_Curves/meltCurve_Q9Y217_MTMR6.pdf</t>
  </si>
  <si>
    <t>Melting_Curves/meltCurve_Q9Y219_JAG2.pdf</t>
  </si>
  <si>
    <t>Melting_Curves/meltCurve_Q9Y224_C14orf166.pdf</t>
  </si>
  <si>
    <t>Melting_Curves/meltCurve_Q9Y230_RUVBL2.pdf</t>
  </si>
  <si>
    <t>Melting_Curves/meltCurve_Q9Y233_PDE10A.pdf</t>
  </si>
  <si>
    <t>Melting_Curves/meltCurve_Q9Y237_PIN4.pdf</t>
  </si>
  <si>
    <t>Melting_Curves/meltCurve_Q9Y242_TCF19.pdf</t>
  </si>
  <si>
    <t>Melting_Curves/meltCurve_Q9Y243_2_AKT3.pdf</t>
  </si>
  <si>
    <t>Melting_Curves/meltCurve_Q9Y248_GINS2.pdf</t>
  </si>
  <si>
    <t>Melting_Curves/meltCurve_Q9Y255_PRELID1.pdf</t>
  </si>
  <si>
    <t>Melting_Curves/meltCurve_Q9Y259_CHKB.pdf</t>
  </si>
  <si>
    <t>Melting_Curves/meltCurve_Q9Y263_PLAA.pdf</t>
  </si>
  <si>
    <t>Melting_Curves/meltCurve_Q9Y265_RUVBL1.pdf</t>
  </si>
  <si>
    <t>Melting_Curves/meltCurve_Q9Y266_NUDC.pdf</t>
  </si>
  <si>
    <t>Melting_Curves/meltCurve_Q9Y276_BCS1L.pdf</t>
  </si>
  <si>
    <t>Melting_Curves/meltCurve_Q9Y277_VDAC3.pdf</t>
  </si>
  <si>
    <t>Melting_Curves/meltCurve_Q9Y281_CFL2.pdf</t>
  </si>
  <si>
    <t>Melting_Curves/meltCurve_Q9Y289_SLC5A6.pdf</t>
  </si>
  <si>
    <t>Melting_Curves/meltCurve_Q9Y295_DRG1.pdf</t>
  </si>
  <si>
    <t>Melting_Curves/meltCurve_Q9Y2B0_CNPY2.pdf</t>
  </si>
  <si>
    <t>Melting_Curves/meltCurve_Q9Y2C2_UST.pdf</t>
  </si>
  <si>
    <t>Melting_Curves/meltCurve_Q9Y2D5_6_AKAP2.pdf</t>
  </si>
  <si>
    <t>Melting_Curves/meltCurve_Q9Y2G2_4_CARD8.pdf</t>
  </si>
  <si>
    <t>Melting_Curves/meltCurve_Q9Y2G3_ATP11B.pdf</t>
  </si>
  <si>
    <t>Melting_Curves/meltCurve_Q9Y2G5_POFUT2.pdf</t>
  </si>
  <si>
    <t>Melting_Curves/meltCurve_Q9Y2H0_1_DLGAP4.pdf</t>
  </si>
  <si>
    <t>Melting_Curves/meltCurve_Q9Y2H1_STK38L.pdf</t>
  </si>
  <si>
    <t>Melting_Curves/meltCurve_Q9Y2H6_2_FNDC3A.pdf</t>
  </si>
  <si>
    <t>Melting_Curves/meltCurve_Q9Y2J2_EPB41L3.pdf</t>
  </si>
  <si>
    <t>Melting_Curves/meltCurve_Q9Y2J2_2_EPB41L3.pdf</t>
  </si>
  <si>
    <t>Melting_Curves/meltCurve_Q9Y2K7_4_KDM2A.pdf</t>
  </si>
  <si>
    <t>Melting_Curves/meltCurve_Q9Y2L1_DIS3.pdf</t>
  </si>
  <si>
    <t>Melting_Curves/meltCurve_Q9Y2Q0_3_ATP8A1.pdf</t>
  </si>
  <si>
    <t>Melting_Curves/meltCurve_Q9Y2Q5_LAMTOR2.pdf</t>
  </si>
  <si>
    <t>Melting_Curves/meltCurve_Q9Y2R0_COA3.pdf</t>
  </si>
  <si>
    <t>Melting_Curves/meltCurve_Q9Y2S0_POLR1D.pdf</t>
  </si>
  <si>
    <t>Melting_Curves/meltCurve_Q9Y2S6_TMA7.pdf</t>
  </si>
  <si>
    <t>Melting_Curves/meltCurve_Q9Y2S7_POLDIP2.pdf</t>
  </si>
  <si>
    <t>Melting_Curves/meltCurve_Q9Y2T2_AP3M1.pdf</t>
  </si>
  <si>
    <t>Melting_Curves/meltCurve_Q9Y2T4_3_PPP2R2C.pdf</t>
  </si>
  <si>
    <t>Melting_Curves/meltCurve_Q9Y2U5_MAP3K2.pdf</t>
  </si>
  <si>
    <t>Melting_Curves/meltCurve_Q9Y2U8_LEMD3.pdf</t>
  </si>
  <si>
    <t>Melting_Curves/meltCurve_Q9Y2V2_CARHSP1.pdf</t>
  </si>
  <si>
    <t>Melting_Curves/meltCurve_Q9Y2V7_2_COG6.pdf</t>
  </si>
  <si>
    <t>Melting_Curves/meltCurve_Q9Y2W1_THRAP3.pdf</t>
  </si>
  <si>
    <t>Melting_Curves/meltCurve_Q9Y2X3_NOP58.pdf</t>
  </si>
  <si>
    <t>Melting_Curves/meltCurve_Q9Y2X7_GIT1.pdf</t>
  </si>
  <si>
    <t>Melting_Curves/meltCurve_Q9Y2Y1_POLR3K.pdf</t>
  </si>
  <si>
    <t>Melting_Curves/meltCurve_Q9Y2Z0_2_SUGT1.pdf</t>
  </si>
  <si>
    <t>Melting_Curves/meltCurve_Q9Y2Z2_5_MTO1.pdf</t>
  </si>
  <si>
    <t>Melting_Curves/meltCurve_Q9Y2Z4_YARS2.pdf</t>
  </si>
  <si>
    <t>Melting_Curves/meltCurve_Q9Y2Z9_3_COQ6.pdf</t>
  </si>
  <si>
    <t>Melting_Curves/meltCurve_Q9Y303_2_AMDHD2.pdf</t>
  </si>
  <si>
    <t>Melting_Curves/meltCurve_Q9Y305_ACOT9.pdf</t>
  </si>
  <si>
    <t>Melting_Curves/meltCurve_Q9Y314_NOSIP.pdf</t>
  </si>
  <si>
    <t>Melting_Curves/meltCurve_Q9Y316_MEMO1.pdf</t>
  </si>
  <si>
    <t>Melting_Curves/meltCurve_Q9Y320_2_TMX2.pdf</t>
  </si>
  <si>
    <t>Melting_Curves/meltCurve_Q9Y333_LSM2.pdf</t>
  </si>
  <si>
    <t>Melting_Curves/meltCurve_Q9Y371_SH3GLB1.pdf</t>
  </si>
  <si>
    <t>Melting_Curves/meltCurve_Q9Y375_NDUFAF1.pdf</t>
  </si>
  <si>
    <t>Melting_Curves/meltCurve_Q9Y376_CAB39.pdf</t>
  </si>
  <si>
    <t>Melting_Curves/meltCurve_Q9Y383_LUC7L2.pdf</t>
  </si>
  <si>
    <t>Melting_Curves/meltCurve_Q9Y394_2_DHRS7.pdf</t>
  </si>
  <si>
    <t>Melting_Curves/meltCurve_Q9Y3A3_MOB4.pdf</t>
  </si>
  <si>
    <t>Melting_Curves/meltCurve_Q9Y3A5_SBDS.pdf</t>
  </si>
  <si>
    <t>Melting_Curves/meltCurve_Q9Y3A6_TMED5.pdf</t>
  </si>
  <si>
    <t>Melting_Curves/meltCurve_Q9Y3B3_2_TMED7.pdf</t>
  </si>
  <si>
    <t>Melting_Curves/meltCurve_Q9Y3B7_MRPL11.pdf</t>
  </si>
  <si>
    <t>Melting_Curves/meltCurve_Q9Y3B9_RRP15.pdf</t>
  </si>
  <si>
    <t>Melting_Curves/meltCurve_Q9Y3C1_NOP16.pdf</t>
  </si>
  <si>
    <t>Melting_Curves/meltCurve_Q9Y3C4_TPRKB.pdf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</si>
  <si>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</si>
  <si>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</si>
  <si>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</si>
  <si>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</si>
  <si>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</si>
  <si>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</si>
  <si>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Melting_Curves/meltCurve_Q9Y3E2_BOLA1.pdf</t>
  </si>
  <si>
    <t>Melting_Curves/meltCurve_Q9Y3E7_4_CHMP3.pdf</t>
  </si>
  <si>
    <t>Melting_Curves/meltCurve_Q9Y3F4_STRAP.pdf</t>
  </si>
  <si>
    <t>Melting_Curves/meltCurve_Q9Y3I0_C22orf28.pdf</t>
  </si>
  <si>
    <t>Melting_Curves/meltCurve_Q9Y3I1_FBXO7.pdf</t>
  </si>
  <si>
    <t>Melting_Curves/meltCurve_Q9Y3L3_SH3BP1.pdf</t>
  </si>
  <si>
    <t>Melting_Curves/meltCurve_Q9Y3L5_RAP2C.pdf</t>
  </si>
  <si>
    <t>Melting_Curves/meltCurve_Q9Y3P9_RABGAP1.pdf</t>
  </si>
  <si>
    <t>Melting_Curves/meltCurve_Q9Y3Q8_TSC22D4.pdf</t>
  </si>
  <si>
    <t>Melting_Curves/meltCurve_Q9Y3R5_2_DOPEY2.pdf</t>
  </si>
  <si>
    <t>Melting_Curves/meltCurve_Q9Y3S2_ZNF330.pdf</t>
  </si>
  <si>
    <t>Melting_Curves/meltCurve_Q9Y3T6_R3HCC1.pdf</t>
  </si>
  <si>
    <t>Melting_Curves/meltCurve_Q9Y3T9_NOC2L.pdf</t>
  </si>
  <si>
    <t>Melting_Curves/meltCurve_Q9Y3X0_CCDC9.pdf</t>
  </si>
  <si>
    <t>Melting_Curves/meltCurve_Q9Y3Z3_4_SAMHD1.pdf</t>
  </si>
  <si>
    <t>Melting_Curves/meltCurve_Q9Y448_KNSTRN.pdf</t>
  </si>
  <si>
    <t>Melting_Curves/meltCurve_Q9Y450_4_HBS1L.pdf</t>
  </si>
  <si>
    <t>Melting_Curves/meltCurve_Q9Y467_SALL2.pdf</t>
  </si>
  <si>
    <t>Melting_Curves/meltCurve_Q9Y490_TLN1.pdf</t>
  </si>
  <si>
    <t>Melting_Curves/meltCurve_Q9Y4C1_KDM3A.pdf</t>
  </si>
  <si>
    <t>Melting_Curves/meltCurve_Q9Y4C2_2_FAM115A.pdf</t>
  </si>
  <si>
    <t>Melting_Curves/meltCurve_Q9Y4E1_2_FAM21C.pdf</t>
  </si>
  <si>
    <t>Melting_Curves/meltCurve_Q9Y4E8_USP15.pdf</t>
  </si>
  <si>
    <t>Melting_Curves/meltCurve_Q9Y4F1_FARP1.pdf</t>
  </si>
  <si>
    <t>Melting_Curves/meltCurve_Q9Y4H2_IRS2.pdf</t>
  </si>
  <si>
    <t>Melting_Curves/meltCurve_Q9Y4K3_TRAF6.pdf</t>
  </si>
  <si>
    <t>Melting_Curves/meltCurve_Q9Y4K4_MAP4K5.pdf</t>
  </si>
  <si>
    <t>Melting_Curves/meltCurve_Q9Y4P1_6_ATG4B.pdf</t>
  </si>
  <si>
    <t>Melting_Curves/meltCurve_Q9Y4P8_3_WIPI2.pdf</t>
  </si>
  <si>
    <t>Melting_Curves/meltCurve_Q9Y4R8_TELO2.pdf</t>
  </si>
  <si>
    <t>Melting_Curves/meltCurve_Q9Y4U1_MMACHC.pdf</t>
  </si>
  <si>
    <t>Melting_Curves/meltCurve_Q9Y4W6_AFG3L2.pdf</t>
  </si>
  <si>
    <t>Melting_Curves/meltCurve_Q9Y4X5_ARIH1.pdf</t>
  </si>
  <si>
    <t>Melting_Curves/meltCurve_Q9Y4Z0_LSM4.pdf</t>
  </si>
  <si>
    <t>Melting_Curves/meltCurve_Q9Y508_RNF114.pdf</t>
  </si>
  <si>
    <t>Melting_Curves/meltCurve_Q9Y512_SAMM50.pdf</t>
  </si>
  <si>
    <t>Melting_Curves/meltCurve_Q9Y546_LRRC42.pdf</t>
  </si>
  <si>
    <t>Melting_Curves/meltCurve_Q9Y570_PPME1.pdf</t>
  </si>
  <si>
    <t>Melting_Curves/meltCurve_Q9Y584_TIMM22.pdf</t>
  </si>
  <si>
    <t>Melting_Curves/meltCurve_Q9Y597_3_KCTD3.pdf</t>
  </si>
  <si>
    <t>Melting_Curves/meltCurve_Q9Y5A9_YTHDF2.pdf</t>
  </si>
  <si>
    <t>Melting_Curves/meltCurve_Q9Y5B0_CTDP1.pdf</t>
  </si>
  <si>
    <t>Melting_Curves/meltCurve_Q9Y5B8_2_NME7.pdf</t>
  </si>
  <si>
    <t>Melting_Curves/meltCurve_Q9Y5J5_PHLDA3.pdf</t>
  </si>
  <si>
    <t>Melting_Curves/meltCurve_Q9Y5J6_TIMM10B.pdf</t>
  </si>
  <si>
    <t>Melting_Curves/meltCurve_Q9Y5J7_TIMM9.pdf</t>
  </si>
  <si>
    <t>Melting_Curves/meltCurve_Q9Y5K5_2_UCHL5.pdf</t>
  </si>
  <si>
    <t>Melting_Curves/meltCurve_Q9Y5K6_CD2AP.pdf</t>
  </si>
  <si>
    <t>Melting_Curves/meltCurve_Q9Y5K8_ATP6V1D.pdf</t>
  </si>
  <si>
    <t>Melting_Curves/meltCurve_Q9Y5L2_HILPDA.pdf</t>
  </si>
  <si>
    <t>Melting_Curves/meltCurve_Q9Y5L4_TIMM13.pdf</t>
  </si>
  <si>
    <t>Melting_Curves/meltCurve_Q9Y5M8_SRPRB.pdf</t>
  </si>
  <si>
    <t>Melting_Curves/meltCurve_Q9Y5N5_N6AMT1.pdf</t>
  </si>
  <si>
    <t>Melting_Curves/meltCurve_Q9Y5N6_ORC6.pdf</t>
  </si>
  <si>
    <t>Melting_Curves/meltCurve_Q9Y5P4_2_COL4A3BP.pdf</t>
  </si>
  <si>
    <t>Melting_Curves/meltCurve_Q9Y5P6_GMPPB.pdf</t>
  </si>
  <si>
    <t>Melting_Curves/meltCurve_Q9Y5Q8_GTF3C5.pdf</t>
  </si>
  <si>
    <t>Melting_Curves/meltCurve_Q9Y5Q9_GTF3C3.pdf</t>
  </si>
  <si>
    <t>Melting_Curves/meltCurve_Q9Y5S2_CDC42BPB.pdf</t>
  </si>
  <si>
    <t>Melting_Curves/meltCurve_Q9Y5S9_RBM8A.pdf</t>
  </si>
  <si>
    <t>Melting_Curves/meltCurve_Q9Y5T5_5_USP16.pdf</t>
  </si>
  <si>
    <t>Melting_Curves/meltCurve_Q9Y5U2_2_TSSC4.pdf</t>
  </si>
  <si>
    <t>Melting_Curves/meltCurve_Q9Y5V0_ZNF706.pdf</t>
  </si>
  <si>
    <t>Melting_Curves/meltCurve_Q9Y5X1_SNX9.pdf</t>
  </si>
  <si>
    <t>Melting_Curves/meltCurve_Q9Y5X2_SNX8.pdf</t>
  </si>
  <si>
    <t>Melting_Curves/meltCurve_Q9Y5X3_SNX5.pdf</t>
  </si>
  <si>
    <t>Melting_Curves/meltCurve_Q9Y5Y0_FLVCR1.pdf</t>
  </si>
  <si>
    <t>Melting_Curves/meltCurve_Q9Y5Y2_NUBP2.pdf</t>
  </si>
  <si>
    <t>Melting_Curves/meltCurve_Q9Y5Z4_HEBP2.pdf</t>
  </si>
  <si>
    <t>Melting_Curves/meltCurve_Q9Y5Z9_2_UBIAD1.pdf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</si>
  <si>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</si>
  <si>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</si>
  <si>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</si>
  <si>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</si>
  <si>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Melting_Curves/meltCurve_Q9Y619_SLC25A15.pdf</t>
  </si>
  <si>
    <t>Melting_Curves/meltCurve_Q9Y639_1_NPTN.pdf</t>
  </si>
  <si>
    <t>Melting_Curves/meltCurve_Q9Y657_SPIN1.pdf</t>
  </si>
  <si>
    <t>Melting_Curves/meltCurve_Q9Y673_ALG5.pdf</t>
  </si>
  <si>
    <t>Melting_Curves/meltCurve_Q9Y678_COPG1.pdf</t>
  </si>
  <si>
    <t>Melting_Curves/meltCurve_Q9Y679_2_AUP1.pdf</t>
  </si>
  <si>
    <t>Melting_Curves/meltCurve_Q9Y680_3_FKBP7.pdf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</si>
  <si>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</si>
  <si>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</si>
  <si>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</si>
  <si>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</si>
  <si>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</si>
  <si>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Melting_Curves/meltCurve_Q9Y6C9_MTCH2.pdf</t>
  </si>
  <si>
    <t>Melting_Curves/meltCurve_Q9Y6D5_ARFGEF2.pdf</t>
  </si>
  <si>
    <t>Melting_Curves/meltCurve_Q9Y6D9_MAD1L1.pdf</t>
  </si>
  <si>
    <t>Melting_Curves/meltCurve_Q9Y6G9_DYNC1LI1.pdf</t>
  </si>
  <si>
    <t>Melting_Curves/meltCurve_Q9Y6H1_CHCHD2.pdf</t>
  </si>
  <si>
    <t>Melting_Curves/meltCurve_Q9Y6I3_3_EPN1.pdf</t>
  </si>
  <si>
    <t>Melting_Curves/meltCurve_Q9Y6I9_TEX264.pdf</t>
  </si>
  <si>
    <t>Melting_Curves/meltCurve_Q9Y6K0_CEPT1.pdf</t>
  </si>
  <si>
    <t>Melting_Curves/meltCurve_Q9Y6K9_IKBKG.pdf</t>
  </si>
  <si>
    <t>Melting_Curves/meltCurve_Q9Y6M5_SLC30A1.pdf</t>
  </si>
  <si>
    <t>Melting_Curves/meltCurve_Q9Y6N7_6_ROBO1.pdf</t>
  </si>
  <si>
    <t>Melting_Curves/meltCurve_Q9Y6Q2_STON1.pdf</t>
  </si>
  <si>
    <t>Melting_Curves/meltCurve_Q9Y6Q9_2_NCOA3.pdf</t>
  </si>
  <si>
    <t>Melting_Curves/meltCurve_Q9Y6R0_NUMBL.pdf</t>
  </si>
  <si>
    <t>Melting_Curves/meltCurve_Q9Y6W3_CAPN7.pdf</t>
  </si>
  <si>
    <t>Melting_Curves/meltCurve_Q9Y6W5_WASF2.pdf</t>
  </si>
  <si>
    <t>Melting_Curves/meltCurve_Q9Y6X8_ZHX2.pdf</t>
  </si>
  <si>
    <t>Melting_Curves/meltCurve_R4GMN1_MOSPD2.pdf</t>
  </si>
  <si>
    <t>Melting_Curves/meltCurve_R4GMR5_PSMD8.pdf</t>
  </si>
  <si>
    <t>Melting_Curves/meltCurve_R4GMU8_LAMTOR5.pdf</t>
  </si>
  <si>
    <t>Melting_Curves/meltCurve_R4GMX3_BMI1.pdf</t>
  </si>
  <si>
    <t>Melting_Curves/meltCurve_R4GMZ8_FBXO44.pdf</t>
  </si>
  <si>
    <t>Melting_Curves/meltCurve_R4GN33_MAPKAPK5.pdf</t>
  </si>
  <si>
    <t>Melting_Curves/meltCurve_R4GN50_PTP4A2.pdf</t>
  </si>
  <si>
    <t>Melting_Curves/meltCurve_R4GN55_YTHDF3.pdf</t>
  </si>
  <si>
    <t>Melting_Curves/meltCurve_R4GNH3_PSMC3.pdf</t>
  </si>
  <si>
    <t>Yes</t>
  </si>
  <si>
    <t>No</t>
  </si>
  <si>
    <t>Transmembrane protein 129</t>
  </si>
  <si>
    <t>Ubiquitin-like modifier-activating enzyme 6</t>
  </si>
  <si>
    <t>Isoform 2 of Extended synaptotagmin-2</t>
  </si>
  <si>
    <t>Shootin-1</t>
  </si>
  <si>
    <t>Transmembrane protein 223</t>
  </si>
  <si>
    <t>Acetolactate synthase-like protein</t>
  </si>
  <si>
    <t>Uncharacterized protein C17orf89</t>
  </si>
  <si>
    <t>SH3 and PX domain-containing protein 2B</t>
  </si>
  <si>
    <t>Aconitate hydratase, mitochondrial</t>
  </si>
  <si>
    <t>Major prion protein (Fragment)</t>
  </si>
  <si>
    <t>HLA class I histocompatibility antigen, Cw-14 alpha chain</t>
  </si>
  <si>
    <t>Uncharacterized protein KIAA1467</t>
  </si>
  <si>
    <t>tRNA wybutosine-synthesizing protein 5</t>
  </si>
  <si>
    <t>Exosome complex component RRP4</t>
  </si>
  <si>
    <t>Isoform 3 of Protein strawberry notch homolog 1</t>
  </si>
  <si>
    <t>Isoform 2 of Isoprenoid synthase domain-containing protein</t>
  </si>
  <si>
    <t>GTP-binding protein 10</t>
  </si>
  <si>
    <t>Isoform 2 of Killer cell lectin-like receptor subfamily G member 2</t>
  </si>
  <si>
    <t>DKFZP586J0619 protein</t>
  </si>
  <si>
    <t>Metallo-beta-lactamase domain-containing protein 1</t>
  </si>
  <si>
    <t>Isoform 2 of Xin actin-binding repeat-containing protein 2</t>
  </si>
  <si>
    <t>RAB3GAP1 protein</t>
  </si>
  <si>
    <t>Ankyrin repeat domain-containing protein 33B</t>
  </si>
  <si>
    <t>Heparan sulfate 2-O-sulfotransferase 1</t>
  </si>
  <si>
    <t>Paralemmin-3</t>
  </si>
  <si>
    <t>Phosphoglycolate phosphatase</t>
  </si>
  <si>
    <t>Putative Rab-43-like protein ENSP00000330714</t>
  </si>
  <si>
    <t>UPF0600 protein C5orf51</t>
  </si>
  <si>
    <t>RCC1 domain-containing protein 1</t>
  </si>
  <si>
    <t>HCF N-terminal chain 5</t>
  </si>
  <si>
    <t>GPI-anchor transamidase</t>
  </si>
  <si>
    <t>Oral-facial-digital syndrome 1 protein</t>
  </si>
  <si>
    <t>3(2),5-bisphosphate nucleotidase 1</t>
  </si>
  <si>
    <t>Charged multivesicular body protein 1a</t>
  </si>
  <si>
    <t>Proline-rich protein PRCC</t>
  </si>
  <si>
    <t>TLC domain-containing protein 2</t>
  </si>
  <si>
    <t>Hematological and neurological-expressed 1-like protein</t>
  </si>
  <si>
    <t>Isoform 2 of Tubulin alpha chain-like 3</t>
  </si>
  <si>
    <t>39S ribosomal protein L37, mitochondrial</t>
  </si>
  <si>
    <t>Structural maintenance of chromosomes flexible hinge domain-containing protein 1</t>
  </si>
  <si>
    <t>Protein unc-119 homolog B</t>
  </si>
  <si>
    <t>Nuclear distribution protein nudE-like 1</t>
  </si>
  <si>
    <t>Probable methyltransferase-like protein 15</t>
  </si>
  <si>
    <t>Coiled-coil domain-containing protein 144A</t>
  </si>
  <si>
    <t>Aminopeptidase B</t>
  </si>
  <si>
    <t>Coiled-coil domain-containing protein 85C</t>
  </si>
  <si>
    <t>Zinc finger MYM-type protein 3</t>
  </si>
  <si>
    <t>Tripartite motif-containing protein 5</t>
  </si>
  <si>
    <t>Septin-8</t>
  </si>
  <si>
    <t>Diaphanous homolog 2 (Drosophila), isoform CRA_c</t>
  </si>
  <si>
    <t>Phosphorylase b kinase regulatory subunit alpha, skeletal muscle isoform</t>
  </si>
  <si>
    <t>DNA polymerase</t>
  </si>
  <si>
    <t>Alstrom syndrome protein 1</t>
  </si>
  <si>
    <t>Annexin</t>
  </si>
  <si>
    <t>CD9 antigen</t>
  </si>
  <si>
    <t>Allograft inflammatory factor 1-like</t>
  </si>
  <si>
    <t>Protein FAM127A</t>
  </si>
  <si>
    <t>Protein archease</t>
  </si>
  <si>
    <t>Selenoprotein K</t>
  </si>
  <si>
    <t>UPF0249 protein ydjC homolog</t>
  </si>
  <si>
    <t>Afadin</t>
  </si>
  <si>
    <t>Protein S100-B</t>
  </si>
  <si>
    <t>Protein RTF2 homolog</t>
  </si>
  <si>
    <t>Protein Hook homolog 1</t>
  </si>
  <si>
    <t>Aminoacyl tRNA synthase complex-interacting multifunctional protein 2</t>
  </si>
  <si>
    <t>SMT3 suppressor of mif two 3 homolog 3 (Yeast), isoform CRA_d</t>
  </si>
  <si>
    <t>Tubulin alpha-4A chain</t>
  </si>
  <si>
    <t>Protein TSSC1</t>
  </si>
  <si>
    <t>Geranylgeranyl diphosphate synthase 1, isoform CRA_b</t>
  </si>
  <si>
    <t>Protein FAM171A2</t>
  </si>
  <si>
    <t>BICD1 protein</t>
  </si>
  <si>
    <t>UPF0577 protein KIAA1324-like</t>
  </si>
  <si>
    <t>TFIIH basal transcription factor complex helicase XPD subunit (Fragment)</t>
  </si>
  <si>
    <t>Retinoic acid-induced protein 1 (Fragment)</t>
  </si>
  <si>
    <t>Matrin-3</t>
  </si>
  <si>
    <t>Pituitary tumor-transforming gene 1 protein-interacting protein</t>
  </si>
  <si>
    <t>Nucleoside diphosphate-linked moiety X motif 19, mitochondrial</t>
  </si>
  <si>
    <t>Ras-related protein Rab-34, isoform NARR</t>
  </si>
  <si>
    <t>Phosphatidylinositol 3-kinase catalytic subunit type 3</t>
  </si>
  <si>
    <t>MIF4G domain-containing protein</t>
  </si>
  <si>
    <t>Serine/arginine repetitive matrix protein 1</t>
  </si>
  <si>
    <t>Fer-1-like protein 4</t>
  </si>
  <si>
    <t>Uncharacterized protein KIAA0930</t>
  </si>
  <si>
    <t>6-phosphofructo-2-kinase/fructose-2, 6-bisphosphatase 2 transcript variant 3</t>
  </si>
  <si>
    <t>Protein RBM14-RBM4</t>
  </si>
  <si>
    <t>Eukaryotic translation initiation factor 3 subunit L</t>
  </si>
  <si>
    <t>Mitochondrial dynamic protein MID51</t>
  </si>
  <si>
    <t>TBC1 domain family member 22A</t>
  </si>
  <si>
    <t>RNA-binding protein EWS</t>
  </si>
  <si>
    <t>Copine-1</t>
  </si>
  <si>
    <t>COMM domain-containing protein 6</t>
  </si>
  <si>
    <t>HLA-B associated transcript 3, isoform CRA_a</t>
  </si>
  <si>
    <t>Abhydrolase domain-containing protein 16A</t>
  </si>
  <si>
    <t>Histone-lysine N-methyltransferase EHMT2</t>
  </si>
  <si>
    <t>Valine--tRNA ligase</t>
  </si>
  <si>
    <t>Apolipoprotein C-III</t>
  </si>
  <si>
    <t>Putative peripheral benzodiazepine receptor-related protein (Fragment)</t>
  </si>
  <si>
    <t>NHP2-like protein 1</t>
  </si>
  <si>
    <t>3-hydroxymethyl-3-methylglutaryl-Coenzyme A lyase (Hydroxymethylglutaricaciduria), isoform CRA_b</t>
  </si>
  <si>
    <t>Espin</t>
  </si>
  <si>
    <t>Ephrin type-B receptor 2</t>
  </si>
  <si>
    <t>Nardilysin</t>
  </si>
  <si>
    <t>Dynein light chain roadblock-type 1</t>
  </si>
  <si>
    <t>Astrocytic phosphoprotein PEA-15</t>
  </si>
  <si>
    <t>Phytanoyl-CoA dioxygenase, peroxisomal</t>
  </si>
  <si>
    <t>Transmembrane protein 9</t>
  </si>
  <si>
    <t>Exosome complex component CSL4 (Fragment)</t>
  </si>
  <si>
    <t>Trypsin-3 (Fragment)</t>
  </si>
  <si>
    <t>Guanylate kinase (Fragment)</t>
  </si>
  <si>
    <t>CD55 antigen, decay accelerating factor for complement (Cromer blood group), isoform CRA_d</t>
  </si>
  <si>
    <t>Epidermal growth factor receptor substrate 15</t>
  </si>
  <si>
    <t>Eukaryotic translation initiation factor 3 subunit H</t>
  </si>
  <si>
    <t>Eukaryotic translation initiation factor 3 subunit F</t>
  </si>
  <si>
    <t>Branched-chain-amino-acid aminotransferase</t>
  </si>
  <si>
    <t>Leucine zipper transcription factor-like 1, isoform CRA_b</t>
  </si>
  <si>
    <t>Superoxide dismutase</t>
  </si>
  <si>
    <t>PHD finger protein 23</t>
  </si>
  <si>
    <t>Centromere protein H</t>
  </si>
  <si>
    <t>Pyridine nucleotide-disulfide oxidoreductase domain-containing protein 1</t>
  </si>
  <si>
    <t>Calponin-2</t>
  </si>
  <si>
    <t>Histidyl-tRNA synthetase-like, isoform CRA_a</t>
  </si>
  <si>
    <t>UDP-galactose translocator</t>
  </si>
  <si>
    <t>Receptor expression-enhancing protein 2</t>
  </si>
  <si>
    <t>Tetraspanin-7</t>
  </si>
  <si>
    <t>Sorting nexin-2</t>
  </si>
  <si>
    <t>NADH dehydrogenase [ubiquinone] 1 alpha subcomplex subunit 13</t>
  </si>
  <si>
    <t>Sialin</t>
  </si>
  <si>
    <t>Catenin beta-1</t>
  </si>
  <si>
    <t>Phosphatidylinositol 5-phosphate 4-kinase type-2 alpha</t>
  </si>
  <si>
    <t>MAP1S light chain</t>
  </si>
  <si>
    <t>Phosphatidylinositol 4-phosphate 5-kinase type-1 beta</t>
  </si>
  <si>
    <t>Protein-glutamine gamma-glutamyltransferase 2</t>
  </si>
  <si>
    <t>Ras-related protein Rab-5A</t>
  </si>
  <si>
    <t>Brain mitochondrial carrier protein 1</t>
  </si>
  <si>
    <t>Small nuclear ribonucleoprotein Sm D3</t>
  </si>
  <si>
    <t>Citrate synthase</t>
  </si>
  <si>
    <t>Periodic tryptophan protein 1 homolog</t>
  </si>
  <si>
    <t>Beta-soluble NSF attachment protein</t>
  </si>
  <si>
    <t>DNA topoisomerase</t>
  </si>
  <si>
    <t>Endothelin-converting enzyme 1</t>
  </si>
  <si>
    <t>Zinc finger protein 286A</t>
  </si>
  <si>
    <t>Lipolysis-stimulated lipoprotein receptor</t>
  </si>
  <si>
    <t>Protein CHURC1-FNTB</t>
  </si>
  <si>
    <t>Beta/gamma crystallin domain-containing protein 3 (Fragment)</t>
  </si>
  <si>
    <t>Chromosome 2 open reading frame 18, isoform CRA_c</t>
  </si>
  <si>
    <t>Mitochondrial dicarboxylate carrier</t>
  </si>
  <si>
    <t>Ribosomal protein S6 kinase beta-1</t>
  </si>
  <si>
    <t>Probable ATP-dependent RNA helicase DDX5</t>
  </si>
  <si>
    <t>E3 ubiquitin-protein ligase RNF220</t>
  </si>
  <si>
    <t>BSD domain-containing protein 1</t>
  </si>
  <si>
    <t>Kinesin light chain 4</t>
  </si>
  <si>
    <t>Protein FAM45A</t>
  </si>
  <si>
    <t>3-ketodihydrosphingosine reductase</t>
  </si>
  <si>
    <t>Prostaglandin E synthase 3</t>
  </si>
  <si>
    <t>Methylosome protein 50</t>
  </si>
  <si>
    <t>Survival motor neuron protein</t>
  </si>
  <si>
    <t>Sorting nexin-11</t>
  </si>
  <si>
    <t>TOX high mobility group box family member 4</t>
  </si>
  <si>
    <t>6-phosphogluconate dehydrogenase, decarboxylating</t>
  </si>
  <si>
    <t>N-alpha-acetyltransferase 40</t>
  </si>
  <si>
    <t>Protein transport protein Sec61 subunit alpha isoform 1</t>
  </si>
  <si>
    <t>Serine/threonine-protein kinase 24 12 kDa subunit</t>
  </si>
  <si>
    <t>Synaptobrevin homolog YKT6</t>
  </si>
  <si>
    <t>SUMO-interacting motif-containing protein 1</t>
  </si>
  <si>
    <t>Metallophosphoesterase domain-containing protein 1</t>
  </si>
  <si>
    <t>UPF0586 protein C9orf41</t>
  </si>
  <si>
    <t>SLIT and NTRK-like protein 5</t>
  </si>
  <si>
    <t>Solute carrier family 25 member 46</t>
  </si>
  <si>
    <t>Solute carrier family 35 member F2</t>
  </si>
  <si>
    <t>Eukaryotic translation initiation factor 3 subunit D</t>
  </si>
  <si>
    <t>Brain-specific angiogenesis inhibitor 1-associated protein 2</t>
  </si>
  <si>
    <t>2-hydroxyacyl-CoA lyase 1</t>
  </si>
  <si>
    <t>Chromatin assembly factor 1 subunit B</t>
  </si>
  <si>
    <t>Fragile X mental retardation syndrome-related protein 1</t>
  </si>
  <si>
    <t>Nucleoporin NUP53</t>
  </si>
  <si>
    <t>ADP-ribosylation factor-like protein 1</t>
  </si>
  <si>
    <t>Histone deacetylase 6</t>
  </si>
  <si>
    <t>Cytoplasmic dynein 1 light intermediate chain 2</t>
  </si>
  <si>
    <t>Regulator of microtubule dynamics protein 1</t>
  </si>
  <si>
    <t>PHD finger protein 6</t>
  </si>
  <si>
    <t>RNA-binding protein 6</t>
  </si>
  <si>
    <t>Peroxisomal targeting signal 1 receptor</t>
  </si>
  <si>
    <t>Pyridoxine-5-phosphate oxidase</t>
  </si>
  <si>
    <t>Serine/threonine-protein kinase MST4</t>
  </si>
  <si>
    <t>Serine/threonine-protein kinase RIO3</t>
  </si>
  <si>
    <t>Serine/arginine-rich-splicing factor 3</t>
  </si>
  <si>
    <t>Erythrocyte band 7 integral membrane protein</t>
  </si>
  <si>
    <t>3-ketoacyl-CoA thiolase</t>
  </si>
  <si>
    <t>Methyltransferase-like protein 13</t>
  </si>
  <si>
    <t>Segment polarity protein dishevelled homolog DVL-3</t>
  </si>
  <si>
    <t>Multidrug resistance protein 1</t>
  </si>
  <si>
    <t>Uncharacterized protein C6orf1</t>
  </si>
  <si>
    <t>Echinoderm microtubule-associated protein-like 4</t>
  </si>
  <si>
    <t>Cas-Br-M (Murine) ecotropic retroviral transforming sequence b, isoform CRA_a</t>
  </si>
  <si>
    <t>Synaptogyrin-1</t>
  </si>
  <si>
    <t>Pescadillo homolog</t>
  </si>
  <si>
    <t>Nuclear receptor coactivator 1</t>
  </si>
  <si>
    <t>TBC1 domain family member 10A</t>
  </si>
  <si>
    <t>Protein RFT1 homolog</t>
  </si>
  <si>
    <t>UPF0554 protein C2orf43</t>
  </si>
  <si>
    <t>Protein disulfide-isomerase A6</t>
  </si>
  <si>
    <t>Myotubularin-related protein 9</t>
  </si>
  <si>
    <t>Major facilitator superfamily domain-containing protein 8</t>
  </si>
  <si>
    <t>Cytosolic purine 5-nucleotidase</t>
  </si>
  <si>
    <t>Tubulin-specific chaperone E</t>
  </si>
  <si>
    <t>ADP-ribosylation factor-binding protein GGA3</t>
  </si>
  <si>
    <t>Deoxyribonuclease-2-alpha</t>
  </si>
  <si>
    <t>Mitochondrial import receptor subunit TOM40B</t>
  </si>
  <si>
    <t>Cysteine conjugate-beta lyase cytoplasmic (Glutamine transaminase K, kyneurenine aminotransferase), isoform CRA_b</t>
  </si>
  <si>
    <t>Stathmin</t>
  </si>
  <si>
    <t>Mothers against decapentaplegic homolog 2</t>
  </si>
  <si>
    <t>Next to BRCA1 gene 1 protein</t>
  </si>
  <si>
    <t>Junctional adhesion molecule A</t>
  </si>
  <si>
    <t>Tryptophan--tRNA ligase, mitochondrial</t>
  </si>
  <si>
    <t>Active breakpoint cluster region-related protein</t>
  </si>
  <si>
    <t>BTB/POZ domain-containing adapter for CUL3-mediated RhoA degradation protein 2</t>
  </si>
  <si>
    <t>Ran-binding protein 3</t>
  </si>
  <si>
    <t>Atlastin-2</t>
  </si>
  <si>
    <t>Ubiquitin carboxyl-terminal hydrolase</t>
  </si>
  <si>
    <t>Delta(24)-sterol reductase</t>
  </si>
  <si>
    <t>G-protein-coupled receptor family C group 5 member B</t>
  </si>
  <si>
    <t>Coiled-coil domain-containing protein 117</t>
  </si>
  <si>
    <t>cDNA FLJ52038, highly similar to DNA (cytosine-5)-methyltransferase-like protein 2</t>
  </si>
  <si>
    <t>Medium-chain-specific acyl-CoA dehydrogenase, mitochondrial</t>
  </si>
  <si>
    <t>Renin receptor</t>
  </si>
  <si>
    <t>Calbindin</t>
  </si>
  <si>
    <t>Sodium/potassium-transporting ATPase subunit beta-1</t>
  </si>
  <si>
    <t>Endophilin-B2</t>
  </si>
  <si>
    <t>PPP2R5E protein</t>
  </si>
  <si>
    <t>SART3 protein</t>
  </si>
  <si>
    <t>SCARB1 protein</t>
  </si>
  <si>
    <t>COX18 protein</t>
  </si>
  <si>
    <t>ER degradation-enhancing alpha-mannosidase-like protein 3</t>
  </si>
  <si>
    <t>CARMIL2b</t>
  </si>
  <si>
    <t>CB1 cannabinoid receptor-interacting protein 1</t>
  </si>
  <si>
    <t>Tax1-binding protein 1</t>
  </si>
  <si>
    <t>Hyccin</t>
  </si>
  <si>
    <t>Small ubiquitin-related modifier 1</t>
  </si>
  <si>
    <t>Thymosin alpha-1</t>
  </si>
  <si>
    <t>Transcription elongation factor B (SIII), polypeptide 2 (18kDa, elongin B), isoform CRA_b</t>
  </si>
  <si>
    <t>Arf-GAP domain and FG repeat-containing protein 1</t>
  </si>
  <si>
    <t>U4/U6.U5 tri-snRNP-associated protein 2</t>
  </si>
  <si>
    <t>Rhomboid-related protein 4</t>
  </si>
  <si>
    <t>Mitochondrial inner membrane protein</t>
  </si>
  <si>
    <t>ZNF507 protein</t>
  </si>
  <si>
    <t>BAK1 protein</t>
  </si>
  <si>
    <t>ATG12 autophagy related 12 homolog (S. cerevisiae), isoform CRA_b</t>
  </si>
  <si>
    <t>Putative WAS protein family homolog 3</t>
  </si>
  <si>
    <t>Mediator of RNA polymerase II transcription subunit 30</t>
  </si>
  <si>
    <t>Asparagine synthetase domain-containing protein 1 (Fragment)</t>
  </si>
  <si>
    <t>Integrin beta-1-binding protein 1 (Fragment)</t>
  </si>
  <si>
    <t>Nuclear-interacting partner of ALK</t>
  </si>
  <si>
    <t>Profilin-2</t>
  </si>
  <si>
    <t>Sorcin</t>
  </si>
  <si>
    <t>Inositol polyphosphate 1-phosphatase (Fragment)</t>
  </si>
  <si>
    <t>NEDD8-conjugating enzyme UBE2F</t>
  </si>
  <si>
    <t>Ubiquitin-conjugating enzyme E2 E1 (Fragment)</t>
  </si>
  <si>
    <t>Chromosome 3 open reading frame 31, isoform CRA_f</t>
  </si>
  <si>
    <t>NF-kappa-B essential modulator (Fragment)</t>
  </si>
  <si>
    <t>Polyhomeotic-like protein 2</t>
  </si>
  <si>
    <t>Peroxisomal carnitine O-octanoyltransferase</t>
  </si>
  <si>
    <t>Replication initiator 1</t>
  </si>
  <si>
    <t>Translocon-associated protein subunit alpha</t>
  </si>
  <si>
    <t>DNA-directed RNA polymerase</t>
  </si>
  <si>
    <t>60S ribosomal protein L37a</t>
  </si>
  <si>
    <t>Programmed cell death protein 10 (Fragment)</t>
  </si>
  <si>
    <t>Insulin-like growth factor 1 receptor</t>
  </si>
  <si>
    <t>Transport and Golgi organization 2 homolog (Fragment)</t>
  </si>
  <si>
    <t>Kinesin-like protein KIF20B</t>
  </si>
  <si>
    <t>Nischarin</t>
  </si>
  <si>
    <t>Transportin-3</t>
  </si>
  <si>
    <t>Muskelin</t>
  </si>
  <si>
    <t>Nuclear receptor corepressor 2</t>
  </si>
  <si>
    <t>Zinc finger matrin-type protein 3 (Fragment)</t>
  </si>
  <si>
    <t>Succinate-semialdehyde dehydrogenase, mitochondrial</t>
  </si>
  <si>
    <t>40S ribosomal protein SA (Fragment)</t>
  </si>
  <si>
    <t>60S ribosomal export protein NMD3</t>
  </si>
  <si>
    <t>Translocon-associated protein subunit gamma</t>
  </si>
  <si>
    <t>Serine/arginine-rich-splicing factor 7</t>
  </si>
  <si>
    <t>HIG1 domain family member 1A, mitochondrial</t>
  </si>
  <si>
    <t>Dr1-associated corepressor</t>
  </si>
  <si>
    <t>Tubulin alpha-4A chain (Fragment)</t>
  </si>
  <si>
    <t>Transmembrane and ubiquitin-like domain-containing protein 1 (Fragment)</t>
  </si>
  <si>
    <t>Uncharacterized aarF domain-containing protein kinase 2</t>
  </si>
  <si>
    <t>Eukaryotic translation initiation factor 4E type 2 (Fragment)</t>
  </si>
  <si>
    <t>Cytochrome c (Fragment)</t>
  </si>
  <si>
    <t>Angio-associated migratory cell protein</t>
  </si>
  <si>
    <t>Acylamino-acid-releasing enzyme</t>
  </si>
  <si>
    <t>MAWD binding protein, isoform CRA_a</t>
  </si>
  <si>
    <t>Krev interaction trapped protein 1 (Fragment)</t>
  </si>
  <si>
    <t>Pulmonary surfactant-associated protein A2</t>
  </si>
  <si>
    <t>Myeloid-associated differentiation marker (Fragment)</t>
  </si>
  <si>
    <t>Integrin alpha-6 heavy chain (Fragment)</t>
  </si>
  <si>
    <t>SH2B adapter protein 2 (Fragment)</t>
  </si>
  <si>
    <t>DNA-directed RNA polymerases I, II, and III subunit RPABC3 (Fragment)</t>
  </si>
  <si>
    <t>Apoptotic protease-activating factor 1</t>
  </si>
  <si>
    <t>Peptidyl-prolyl cis-trans isomerase (Fragment)</t>
  </si>
  <si>
    <t>Inositol hexakisphosphate kinase 1</t>
  </si>
  <si>
    <t>O-acetyl-ADP-ribose deacetylase 1 (Fragment)</t>
  </si>
  <si>
    <t>Muscleblind-like protein 1</t>
  </si>
  <si>
    <t>Cartilage-associated protein</t>
  </si>
  <si>
    <t>Nuclear factor erythroid 2-related factor 1 (Fragment)</t>
  </si>
  <si>
    <t>ADP-ribosylation factor 4 (Fragment)</t>
  </si>
  <si>
    <t>Nucleoside diphosphate kinase</t>
  </si>
  <si>
    <t>Serine/threonine-protein kinase 11-interacting protein</t>
  </si>
  <si>
    <t>Vesicle-trafficking protein SEC22a (Fragment)</t>
  </si>
  <si>
    <t>Coiled-coil-helix-coiled-coil-helix domain-containing protein 3, mitochondrial</t>
  </si>
  <si>
    <t>Dipeptidyl peptidase 8</t>
  </si>
  <si>
    <t>Stress-associated endoplasmic reticulum protein 1</t>
  </si>
  <si>
    <t>60S ribosomal protein L24</t>
  </si>
  <si>
    <t>Forkhead box protein J3 (Fragment)</t>
  </si>
  <si>
    <t>Ribonuclease P protein subunit p20 (Fragment)</t>
  </si>
  <si>
    <t>60S ribosomal protein L22-like 1</t>
  </si>
  <si>
    <t>Neuronal cell adhesion molecule</t>
  </si>
  <si>
    <t>ADP-sugar pyrophosphatase (Fragment)</t>
  </si>
  <si>
    <t>Inositol polyphosphate 5-phosphatase K (Fragment)</t>
  </si>
  <si>
    <t>Ras association (RalGDS/AF-6) and pleckstrin homology domains 1, isoform CRA_b</t>
  </si>
  <si>
    <t>HCG28765, isoform CRA_c</t>
  </si>
  <si>
    <t>60S ribosomal protein L32 (Fragment)</t>
  </si>
  <si>
    <t>Interleukin-1 receptor-associated kinase 1</t>
  </si>
  <si>
    <t>Calcium/calmodulin-dependent protein kinase (CaM kinase) II delta, isoform CRA_e</t>
  </si>
  <si>
    <t>Cyclin-dependent kinase 7</t>
  </si>
  <si>
    <t>DNA-directed RNA polymerase III subunit RPC7 (Fragment)</t>
  </si>
  <si>
    <t>DNA excision repair protein ERCC-6 (Fragment)</t>
  </si>
  <si>
    <t>Cytochrome c oxidase subunit 7C, mitochondrial</t>
  </si>
  <si>
    <t>40S ribosomal protein S3a</t>
  </si>
  <si>
    <t>Soluble lamin-associated protein of 75 kDa</t>
  </si>
  <si>
    <t>ELMO domain-containing protein 2 (Fragment)</t>
  </si>
  <si>
    <t>Eukaryotic translation initiation factor 4E</t>
  </si>
  <si>
    <t>Estradiol 17-beta-dehydrogenase 11</t>
  </si>
  <si>
    <t>Transmembrane protein 175</t>
  </si>
  <si>
    <t>Solute carrier family 41 member 3</t>
  </si>
  <si>
    <t>Embigin</t>
  </si>
  <si>
    <t>UDP-N-acetylglucosamine transferase subunit ALG13 homolog (Fragment)</t>
  </si>
  <si>
    <t>Glutamyl-tRNA(Gln) amidotransferase subunit B, mitochondrial</t>
  </si>
  <si>
    <t>Protein transport protein Sec31A</t>
  </si>
  <si>
    <t>Zinc finger protein 652</t>
  </si>
  <si>
    <t>Small-inducible cytokine B6, N-processed variant 1</t>
  </si>
  <si>
    <t>Deoxycytidine kinase</t>
  </si>
  <si>
    <t>Cytochrome b5 type B</t>
  </si>
  <si>
    <t>Septin 11, isoform CRA_b</t>
  </si>
  <si>
    <t>Mitochondrial sodium/hydrogen exchanger 9B2 (Fragment)</t>
  </si>
  <si>
    <t>Protein sprouty homolog 1 (Fragment)</t>
  </si>
  <si>
    <t>Centromere protein K</t>
  </si>
  <si>
    <t>Ribonuclease T2 (Fragment)</t>
  </si>
  <si>
    <t>Cytochrome c oxidase subunit 7A2, mitochondrial</t>
  </si>
  <si>
    <t>Heterogeneous nuclear ribonucleoprotein L-like</t>
  </si>
  <si>
    <t>Pyrroline-5-carboxylate reductase 1, isoform CRA_c</t>
  </si>
  <si>
    <t>Protein C15orf38-AP3S2</t>
  </si>
  <si>
    <t>Geminin (Fragment)</t>
  </si>
  <si>
    <t>Dynamin-like 120 kDa protein, mitochondrial</t>
  </si>
  <si>
    <t>E3 SUMO-protein ligase NSE2</t>
  </si>
  <si>
    <t>Transcription factor COE1</t>
  </si>
  <si>
    <t>Inositol monophosphatase 1 (Fragment)</t>
  </si>
  <si>
    <t>Putative deoxyribonuclease TATDN1 (Fragment)</t>
  </si>
  <si>
    <t>RWD domain-containing protein 1 (Fragment)</t>
  </si>
  <si>
    <t>Derlin-1</t>
  </si>
  <si>
    <t>Transcription elongation factor B polypeptide 1 (Fragment)</t>
  </si>
  <si>
    <t>Presenilin-2 CTF subunit (Fragment)</t>
  </si>
  <si>
    <t>TELO2-interacting protein 2</t>
  </si>
  <si>
    <t>DNA polymerase beta</t>
  </si>
  <si>
    <t>AP-3 complex subunit beta-1</t>
  </si>
  <si>
    <t>Zinc finger transcription factor Trps1</t>
  </si>
  <si>
    <t>AN1-type zinc finger protein 1</t>
  </si>
  <si>
    <t>Syndecan-2 (Fragment)</t>
  </si>
  <si>
    <t>8-oxo-dGDP phosphatase NUDT18</t>
  </si>
  <si>
    <t>S-phase kinase-associated protein 1</t>
  </si>
  <si>
    <t>Uncharacterized protein</t>
  </si>
  <si>
    <t>Serine/threonine-protein kinase Sgk3 (Fragment)</t>
  </si>
  <si>
    <t>COP9 signalosome complex subunit 6</t>
  </si>
  <si>
    <t>E3 ubiquitin-protein ligase RNF5</t>
  </si>
  <si>
    <t>Switch-associated protein 70</t>
  </si>
  <si>
    <t>A-kinase anchor protein 10, mitochondrial (Fragment)</t>
  </si>
  <si>
    <t>Acid ceramidase</t>
  </si>
  <si>
    <t>Ankycorbin</t>
  </si>
  <si>
    <t>Histone-lysine N-methyltransferase</t>
  </si>
  <si>
    <t>Zinc finger protein 143</t>
  </si>
  <si>
    <t>Nicastrin</t>
  </si>
  <si>
    <t>Nesprin-1</t>
  </si>
  <si>
    <t>Hexokinase-1</t>
  </si>
  <si>
    <t>Nuclear prelamin A recognition factor</t>
  </si>
  <si>
    <t>60S ribosomal protein L14</t>
  </si>
  <si>
    <t>CD44 antigen</t>
  </si>
  <si>
    <t>Target of Myb protein 1</t>
  </si>
  <si>
    <t>Pyridoxal-dependent decarboxylase domain-containing protein 1</t>
  </si>
  <si>
    <t>Protein PRRC2C</t>
  </si>
  <si>
    <t>NADH dehydrogenase [ubiquinone] flavoprotein 2, mitochondrial</t>
  </si>
  <si>
    <t>Alpha-synuclein</t>
  </si>
  <si>
    <t>TNFAIP3-interacting protein 1</t>
  </si>
  <si>
    <t>Beta-galactosidase</t>
  </si>
  <si>
    <t>N-alpha-acetyltransferase 50</t>
  </si>
  <si>
    <t>Transmembrane emp24 domain-containing protein 2 (Fragment)</t>
  </si>
  <si>
    <t>TRAF family member-associated NF-kappa-B activator</t>
  </si>
  <si>
    <t>WASH complex subunit strumpellin</t>
  </si>
  <si>
    <t>Sentrin-specific protease 6</t>
  </si>
  <si>
    <t>Protein YIPF3</t>
  </si>
  <si>
    <t>Dystrophin</t>
  </si>
  <si>
    <t>Apoptotic chromatin condensation inducer in the nucleus</t>
  </si>
  <si>
    <t>Cellular tumor antigen p53</t>
  </si>
  <si>
    <t>Protein FAM136A</t>
  </si>
  <si>
    <t>Synaptojanin-2</t>
  </si>
  <si>
    <t>Protein FAM91A1</t>
  </si>
  <si>
    <t>Endoplasmic reticulum metallopeptidase 1</t>
  </si>
  <si>
    <t>Sulfate adenylyltransferase</t>
  </si>
  <si>
    <t>GEM-interacting protein</t>
  </si>
  <si>
    <t>Calcium-transporting ATPase type 2C member 1</t>
  </si>
  <si>
    <t>CLIP-associating protein 2</t>
  </si>
  <si>
    <t>Translation initiation factor eIF-2B subunit delta</t>
  </si>
  <si>
    <t>Zinc finger CCCH domain-containing protein 18</t>
  </si>
  <si>
    <t>Tetratricopeptide repeat protein 38</t>
  </si>
  <si>
    <t>Heat shock 70 kDa protein 4L</t>
  </si>
  <si>
    <t>Presenilin-1</t>
  </si>
  <si>
    <t>Claspin</t>
  </si>
  <si>
    <t>Neurofilament medium polypeptide</t>
  </si>
  <si>
    <t>NADH dehydrogenase [ubiquinone] 1 alpha subcomplex subunit 10, mitochondrial</t>
  </si>
  <si>
    <t>U2 snRNP-associated SURP motif-containing protein</t>
  </si>
  <si>
    <t>Sn1-specific diacylglycerol lipase beta</t>
  </si>
  <si>
    <t>Aspartyl aminopeptidase</t>
  </si>
  <si>
    <t>Methyltransferase-like protein 8</t>
  </si>
  <si>
    <t>RNA-binding motif, single-stranded-interacting protein 1</t>
  </si>
  <si>
    <t>Procollagen-lysine,2-oxoglutarate 5-dioxygenase 2</t>
  </si>
  <si>
    <t>Serine/threonine-protein kinase MARK2</t>
  </si>
  <si>
    <t>Glutathione peroxidase</t>
  </si>
  <si>
    <t>Calmodulin</t>
  </si>
  <si>
    <t>Basic leucine zipper and W2 domain-containing protein 2 (Fragment)</t>
  </si>
  <si>
    <t>Fibroblast growth factor receptor</t>
  </si>
  <si>
    <t>Rab GDP dissociation inhibitor beta</t>
  </si>
  <si>
    <t>Casein kinase II subunit alpha</t>
  </si>
  <si>
    <t>UTP--glucose-1-phosphate uridylyltransferase</t>
  </si>
  <si>
    <t>Nucleoporin p54</t>
  </si>
  <si>
    <t>Eukaryotic translation initiation factor 4 gamma 1</t>
  </si>
  <si>
    <t>Propionyl-CoA carboxylase beta chain, mitochondrial</t>
  </si>
  <si>
    <t>Methyl-CpG-binding domain protein 1</t>
  </si>
  <si>
    <t>DEP domain-containing mTOR-interacting protein</t>
  </si>
  <si>
    <t>Microtubule-associated protein</t>
  </si>
  <si>
    <t>Autophagy-related protein 16-1</t>
  </si>
  <si>
    <t>Latrophilin-3</t>
  </si>
  <si>
    <t>Kinesin light chain 1</t>
  </si>
  <si>
    <t>Pseudouridine-5-monophosphatase (Fragment)</t>
  </si>
  <si>
    <t>Cytoplasmic FMR1-interacting protein 2</t>
  </si>
  <si>
    <t>Hematopoietic lineage cell-specific protein</t>
  </si>
  <si>
    <t>U4/U6 small nuclear ribonucleoprotein Prp31</t>
  </si>
  <si>
    <t>Protein SDA1 homolog</t>
  </si>
  <si>
    <t>Unconventional myosin-VI</t>
  </si>
  <si>
    <t>Sal-like protein 2</t>
  </si>
  <si>
    <t>Septin-10</t>
  </si>
  <si>
    <t>Abl interactor 2</t>
  </si>
  <si>
    <t>Exocyst complex component 6</t>
  </si>
  <si>
    <t>NADH dehydrogenase [ubiquinone] 1 beta subcomplex subunit 5, mitochondrial</t>
  </si>
  <si>
    <t>MAGUK p55 subfamily member 2</t>
  </si>
  <si>
    <t>Ribosomal protein L15 (Fragment)</t>
  </si>
  <si>
    <t>Dynactin subunit 1</t>
  </si>
  <si>
    <t>Ribonucleoprotein PTB-binding 1</t>
  </si>
  <si>
    <t>G patch domain-containing protein 4</t>
  </si>
  <si>
    <t>Nucleolar and spindle-associated protein 1</t>
  </si>
  <si>
    <t>THO complex subunit 4</t>
  </si>
  <si>
    <t>Hexokinase-2</t>
  </si>
  <si>
    <t>Acylglycerol kinase, mitochondrial</t>
  </si>
  <si>
    <t>Mitotic checkpoint serine/threonine-protein kinase BUB1</t>
  </si>
  <si>
    <t>LIM domain kinase 1</t>
  </si>
  <si>
    <t>Translation initiation factor eIF-2B subunit epsilon</t>
  </si>
  <si>
    <t>Tenascin</t>
  </si>
  <si>
    <t>Folliculin-interacting protein 1</t>
  </si>
  <si>
    <t>Guanylate cyclase soluble subunit beta-1</t>
  </si>
  <si>
    <t>Golgi SNAP receptor complex member 1</t>
  </si>
  <si>
    <t>ETS-related transcription factor Elf-2</t>
  </si>
  <si>
    <t>Heterogeneous nuclear ribonucleoprotein H</t>
  </si>
  <si>
    <t>Protein SMG7</t>
  </si>
  <si>
    <t>Structural maintenance of chromosomes protein</t>
  </si>
  <si>
    <t>Cytoskeleton-associated protein 2</t>
  </si>
  <si>
    <t>Leucine-rich repeat and calponin homology domain-containing protein 3</t>
  </si>
  <si>
    <t>Unconventional myosin-Ib</t>
  </si>
  <si>
    <t>Voltage-dependent L-type calcium channel subunit alpha-1C</t>
  </si>
  <si>
    <t>Succinyl-CoA:3-ketoacid coenzyme A transferase 1, mitochondrial</t>
  </si>
  <si>
    <t>Proton myo-inositol cotransporter</t>
  </si>
  <si>
    <t>Short-chain-specific acyl-CoA dehydrogenase, mitochondrial</t>
  </si>
  <si>
    <t>Integrin beta</t>
  </si>
  <si>
    <t>Epsilon-sarcoglycan</t>
  </si>
  <si>
    <t>Cyclic AMP-dependent transcription factor ATF-2</t>
  </si>
  <si>
    <t>Exportin-7</t>
  </si>
  <si>
    <t>Protein kinase C-binding protein NELL1</t>
  </si>
  <si>
    <t>3-phosphoinositide-dependent protein kinase 1</t>
  </si>
  <si>
    <t>Protein diaphanous homolog 1</t>
  </si>
  <si>
    <t>Uncharacterized protein KIAA1107</t>
  </si>
  <si>
    <t>Nuclear pore complex protein Nup155</t>
  </si>
  <si>
    <t>Acyl-CoA synthetase family member 2, mitochondrial</t>
  </si>
  <si>
    <t>Hydroxyacyl-coenzyme A dehydrogenase, mitochondrial</t>
  </si>
  <si>
    <t>Transducin beta-like protein 2</t>
  </si>
  <si>
    <t>Coiled-coil domain-containing protein 18</t>
  </si>
  <si>
    <t>Epidermal growth factor receptor</t>
  </si>
  <si>
    <t>Glutathione S-transferase kappa 1</t>
  </si>
  <si>
    <t>Serine/threonine-protein phosphatase 2A 56 kDa regulatory subunit delta isoform</t>
  </si>
  <si>
    <t>Sequestosome-1 (Fragment)</t>
  </si>
  <si>
    <t>FCH and double SH3 domains protein 2</t>
  </si>
  <si>
    <t>Centrosomal protein of 97 kDa</t>
  </si>
  <si>
    <t>Gamma-secretase C-terminal fragment 59</t>
  </si>
  <si>
    <t>Ephrin type-A receptor 4</t>
  </si>
  <si>
    <t>Ras GTPase-activating protein 1</t>
  </si>
  <si>
    <t>Integrator complex subunit 12 (Fragment)</t>
  </si>
  <si>
    <t>Solute carrier family 25 member 44</t>
  </si>
  <si>
    <t>Translin</t>
  </si>
  <si>
    <t>Ribosomal protein S6 kinase</t>
  </si>
  <si>
    <t>COP9 signalosome complex subunit 8</t>
  </si>
  <si>
    <t>Mediator of RNA polymerase II transcription subunit 22 (Fragment)</t>
  </si>
  <si>
    <t>Thioredoxin-dependent peroxide reductase, mitochondrial</t>
  </si>
  <si>
    <t>Condensin complex subunit 2</t>
  </si>
  <si>
    <t>Type II inositol 3,4-bisphosphate 4-phosphatase (Fragment)</t>
  </si>
  <si>
    <t>Cytochrome P450 20A1</t>
  </si>
  <si>
    <t>Treacle protein</t>
  </si>
  <si>
    <t>Glutathione S-transferase Mu 2</t>
  </si>
  <si>
    <t>DNA-directed RNA polymerase II subunit RPB4</t>
  </si>
  <si>
    <t>Mitochondrial carrier homolog 2 (Fragment)</t>
  </si>
  <si>
    <t>Nuclear RNA export factor 1 (Fragment)</t>
  </si>
  <si>
    <t>Breast cancer type 2 susceptibility protein (Fragment)</t>
  </si>
  <si>
    <t>Thioredoxin reductase 1, cytoplasmic</t>
  </si>
  <si>
    <t>UBX domain-containing protein 1 (Fragment)</t>
  </si>
  <si>
    <t>Selenoprotein S</t>
  </si>
  <si>
    <t>Cysteine and histidine-rich protein 1</t>
  </si>
  <si>
    <t>MAP kinase-interacting serine/threonine-protein kinase 1 (Fragment)</t>
  </si>
  <si>
    <t>CD81 antigen</t>
  </si>
  <si>
    <t>Oxysterol-binding protein</t>
  </si>
  <si>
    <t>Elongation factor 1-delta (Fragment)</t>
  </si>
  <si>
    <t>Bcl-2-associated transcription factor 1</t>
  </si>
  <si>
    <t>Protein arginine N-methyltransferase 1</t>
  </si>
  <si>
    <t>Trafficking protein particle complex subunit 4</t>
  </si>
  <si>
    <t>Porimin</t>
  </si>
  <si>
    <t>Tetratricopeptide repeat protein 9C (Fragment)</t>
  </si>
  <si>
    <t>60S ribosomal protein L8 (Fragment)</t>
  </si>
  <si>
    <t>Signal peptidase complex subunit 2</t>
  </si>
  <si>
    <t>Transcription factor BTF3 homolog 4</t>
  </si>
  <si>
    <t>Collectin-12</t>
  </si>
  <si>
    <t>Hypoxia up-regulated protein 1</t>
  </si>
  <si>
    <t>Tetraspanin-18 (Fragment)</t>
  </si>
  <si>
    <t>Protein NEDD8-MDP1 (Fragment)</t>
  </si>
  <si>
    <t>Acidic mammalian chitinase (Fragment)</t>
  </si>
  <si>
    <t>Puromycin-sensitive aminopeptidase</t>
  </si>
  <si>
    <t>60S ribosomal protein L27a</t>
  </si>
  <si>
    <t>Microtubule-actin cross-linking factor 1, isoforms 1/2/3/5 (Fragment)</t>
  </si>
  <si>
    <t>Methylosome subunit pICln</t>
  </si>
  <si>
    <t>Protein FAM118B (Fragment)</t>
  </si>
  <si>
    <t>Peroxisomal membrane protein PEX16 (Fragment)</t>
  </si>
  <si>
    <t>Heat shock factor protein 1</t>
  </si>
  <si>
    <t>Receptor-binding cancer antigen-expressed on SiSo cells</t>
  </si>
  <si>
    <t>Tumor protein D53</t>
  </si>
  <si>
    <t>6-pyruvoyl tetrahydrobiopterin synthase</t>
  </si>
  <si>
    <t>Translocon-associated protein subunit beta</t>
  </si>
  <si>
    <t>Mth938 domain-containing protein</t>
  </si>
  <si>
    <t>Rho GTPase-activating protein 27</t>
  </si>
  <si>
    <t>CD59 glycoprotein</t>
  </si>
  <si>
    <t>Zinc finger CCCH domain-containing protein 11A</t>
  </si>
  <si>
    <t>Serine/threonine-protein phosphatase 2A 56 kDa regulatory subunit beta isoform (Fragment)</t>
  </si>
  <si>
    <t>Vacuolar protein sorting-associated protein 28 homolog (Fragment)</t>
  </si>
  <si>
    <t>Lysosomal acid phosphatase</t>
  </si>
  <si>
    <t>CMP-N-acetylneuraminate-beta-galactosamide-alpha-2,3-sialyltransferase 4 (Fragment)</t>
  </si>
  <si>
    <t>40S ribosomal protein S30</t>
  </si>
  <si>
    <t>Repressor of RNA polymerase III transcription MAF1 homolog (Fragment)</t>
  </si>
  <si>
    <t>CD151 antigen (Fragment)</t>
  </si>
  <si>
    <t>N-terminal kinase-like protein</t>
  </si>
  <si>
    <t>Protein NEDD8-MDP1</t>
  </si>
  <si>
    <t>Alpha-parvin (Fragment)</t>
  </si>
  <si>
    <t>Transmembrane 9 superfamily member 1</t>
  </si>
  <si>
    <t>Ras GTPase-activating-like protein IQGAP3</t>
  </si>
  <si>
    <t>Myosin-14</t>
  </si>
  <si>
    <t>Non-histone chromosomal protein HMG-14</t>
  </si>
  <si>
    <t>tRNA (uracil-5-)-methyltransferase homolog A</t>
  </si>
  <si>
    <t>Exportin-4</t>
  </si>
  <si>
    <t>Phosphatidylinositol transfer protein alpha isoform</t>
  </si>
  <si>
    <t>WASH complex subunit CCDC53</t>
  </si>
  <si>
    <t>Mothers against decapentaplegic homolog 5</t>
  </si>
  <si>
    <t>Chromodomain-helicase-DNA-binding protein 4</t>
  </si>
  <si>
    <t>Podocalyxin</t>
  </si>
  <si>
    <t>Protein FAM76B</t>
  </si>
  <si>
    <t>Polyhomeotic-like protein 1</t>
  </si>
  <si>
    <t>Succinyl-CoA ligase [ADP-forming] subunit beta, mitochondrial</t>
  </si>
  <si>
    <t>Latent-transforming growth factor beta-binding protein 4</t>
  </si>
  <si>
    <t>Arginyl-tRNA--protein transferase 1</t>
  </si>
  <si>
    <t>Receptor-type tyrosine-protein phosphatase kappa</t>
  </si>
  <si>
    <t>Dolichyl-diphosphooligosaccharide--protein glycosyltransferase subunit DAD1</t>
  </si>
  <si>
    <t>Vasculin</t>
  </si>
  <si>
    <t>Polypeptide N-acetylgalactosaminyltransferase 1 soluble form</t>
  </si>
  <si>
    <t>ATP-binding cassette sub-family D member 3</t>
  </si>
  <si>
    <t>Centrosomal protein of 112 kDa</t>
  </si>
  <si>
    <t>Striatin-4</t>
  </si>
  <si>
    <t>Ubiquitin thioesterase OTUB1</t>
  </si>
  <si>
    <t>V-type proton ATPase subunit d 1</t>
  </si>
  <si>
    <t>Paxillin</t>
  </si>
  <si>
    <t>FERM, RhoGEF and pleckstrin domain-containing protein 2</t>
  </si>
  <si>
    <t>Lactadherin short form</t>
  </si>
  <si>
    <t>Tripartite motif-containing protein 59</t>
  </si>
  <si>
    <t>Probable ATP-dependent RNA helicase DHX36</t>
  </si>
  <si>
    <t>4F2 cell-surface antigen heavy chain</t>
  </si>
  <si>
    <t>Mediator of RNA polymerase II transcription subunit 15</t>
  </si>
  <si>
    <t>Constitutive coactivator of peroxisome proliferator-activated receptor gamma</t>
  </si>
  <si>
    <t>Alpha-ketoglutarate-dependent dioxygenase alkB homolog 2 (Fragment)</t>
  </si>
  <si>
    <t>SEC23-interacting protein</t>
  </si>
  <si>
    <t>Glycolipid transfer protein</t>
  </si>
  <si>
    <t>Abl interactor 1</t>
  </si>
  <si>
    <t>Neural cell adhesion molecule L1</t>
  </si>
  <si>
    <t>Thioredoxin reductase 2, mitochondrial</t>
  </si>
  <si>
    <t>Uncharacterized protein KIAA1211</t>
  </si>
  <si>
    <t>Multiple PDZ domain protein</t>
  </si>
  <si>
    <t>Lipopolysaccharide-responsive and beige-like anchor protein</t>
  </si>
  <si>
    <t>Ankyrin repeat and LEM domain-containing protein 2</t>
  </si>
  <si>
    <t>Vacuole membrane protein 1</t>
  </si>
  <si>
    <t>Serine/threonine-protein kinase WNK1</t>
  </si>
  <si>
    <t>Protein lunapark</t>
  </si>
  <si>
    <t>Dynactin subunit 2</t>
  </si>
  <si>
    <t>Adaptin ear-binding coat-associated protein 1 (Fragment)</t>
  </si>
  <si>
    <t>High mobility group protein HMGI-C</t>
  </si>
  <si>
    <t>Fatty acid desaturase 3</t>
  </si>
  <si>
    <t>Neuropilin-2</t>
  </si>
  <si>
    <t>RNA-binding protein with multiple-splicing</t>
  </si>
  <si>
    <t>Protein transport protein Sec23A</t>
  </si>
  <si>
    <t>Carbohydrate sulfotransferase 10</t>
  </si>
  <si>
    <t>Frizzled-10</t>
  </si>
  <si>
    <t>Importin subunit alpha</t>
  </si>
  <si>
    <t>Integral membrane protein 2C (Fragment)</t>
  </si>
  <si>
    <t>Peroxisomal membrane protein PEX14</t>
  </si>
  <si>
    <t>Protein wntless homolog</t>
  </si>
  <si>
    <t>Galectin-12 (Fragment)</t>
  </si>
  <si>
    <t>Vacuolar protein sorting-associated protein 37C (Fragment)</t>
  </si>
  <si>
    <t>Ecotropic viral integration site 5 protein homolog</t>
  </si>
  <si>
    <t>Programmed cell death protein 2</t>
  </si>
  <si>
    <t>Proteasome inhibitor PI31 subunit</t>
  </si>
  <si>
    <t>Protein phosphatase Slingshot homolog 2</t>
  </si>
  <si>
    <t>Eukaryotic translation initiation factor 4 gamma 3</t>
  </si>
  <si>
    <t>V-type proton ATPase 116 kDa subunit a isoform 1</t>
  </si>
  <si>
    <t>Protein BRICK1</t>
  </si>
  <si>
    <t>Tubulin alpha-1C chain</t>
  </si>
  <si>
    <t>Nucleolar complex protein 4 homolog</t>
  </si>
  <si>
    <t>TRAF2 and NCK-interacting protein kinase</t>
  </si>
  <si>
    <t>NADH dehydrogenase [ubiquinone] iron-sulfur protein 7, mitochondrial</t>
  </si>
  <si>
    <t>2-oxoisovalerate dehydrogenase subunit alpha, mitochondrial</t>
  </si>
  <si>
    <t>Probable sodium-coupled neutral amino acid transporter 6</t>
  </si>
  <si>
    <t>Oxidoreductase NAD-binding domain-containing protein 1</t>
  </si>
  <si>
    <t>Antigen peptide transporter 1</t>
  </si>
  <si>
    <t>Mediator of RNA polymerase II transcription subunit 23</t>
  </si>
  <si>
    <t>Leucine--tRNA ligase, cytoplasmic</t>
  </si>
  <si>
    <t>Atlastin-3</t>
  </si>
  <si>
    <t>Axin interactor, dorsalization-associated protein</t>
  </si>
  <si>
    <t>WW domain-binding protein 11</t>
  </si>
  <si>
    <t>Regulatory-associated protein of mTOR</t>
  </si>
  <si>
    <t>Dihydrolipoyllysine-residue acetyltransferase component of pyruvate dehydrogenase complex, mitochondrial</t>
  </si>
  <si>
    <t>MHC class I polypeptide-related sequence B</t>
  </si>
  <si>
    <t>Monocarboxylate transporter 2</t>
  </si>
  <si>
    <t>Type I inositol 3,4-bisphosphate 4-phosphatase</t>
  </si>
  <si>
    <t>Heat shock protein 75 kDa, mitochondrial</t>
  </si>
  <si>
    <t>DNA repair protein XRCC1</t>
  </si>
  <si>
    <t>Set1/Ash2 histone methyltransferase complex subunit ASH2</t>
  </si>
  <si>
    <t>PCTP-like protein (Fragment)</t>
  </si>
  <si>
    <t>Cleft lip and palate transmembrane protein 1</t>
  </si>
  <si>
    <t>Rab GTPase-activating protein 1-like</t>
  </si>
  <si>
    <t>Epsin-2 (Fragment)</t>
  </si>
  <si>
    <t>Signal-induced proliferation-associated protein 1</t>
  </si>
  <si>
    <t>Lysine-specific histone demethylase 1A</t>
  </si>
  <si>
    <t>2,5-phosphodiesterase 12</t>
  </si>
  <si>
    <t>Calcineurin subunit B type 1</t>
  </si>
  <si>
    <t>DNA fragmentation factor subunit beta</t>
  </si>
  <si>
    <t>Spliceosome RNA helicase DDX39B</t>
  </si>
  <si>
    <t>Overexpressed in colon carcinoma 1 protein (Fragment)</t>
  </si>
  <si>
    <t>Methyltransferase-like protein 7A (Fragment)</t>
  </si>
  <si>
    <t>BRCA1-A complex subunit RAP80</t>
  </si>
  <si>
    <t>Methionine aminopeptidase</t>
  </si>
  <si>
    <t>Nuclear transcription factor Y subunit beta (Fragment)</t>
  </si>
  <si>
    <t>Plexin-A1</t>
  </si>
  <si>
    <t>Uncharacterized protein C14orf79</t>
  </si>
  <si>
    <t>Sodium-coupled neutral amino acid transporter 2</t>
  </si>
  <si>
    <t>Nucleosome assembly protein 1-like 1</t>
  </si>
  <si>
    <t>Coatomer subunit zeta-1</t>
  </si>
  <si>
    <t>Protein kinase C-binding protein NELL2</t>
  </si>
  <si>
    <t>Cysteine and glycine-rich protein 2</t>
  </si>
  <si>
    <t>Caspase-9 subunit p35</t>
  </si>
  <si>
    <t>Putative Dol-P-Glc:Glc(2)Man(9)GlcNAc(2)-PP-Dol alpha-1,2-glucosyltransferase</t>
  </si>
  <si>
    <t>Tetraspanin-31</t>
  </si>
  <si>
    <t>ADP-ribosylation factor GTPase-activating protein 1</t>
  </si>
  <si>
    <t>Alpha-globin transcription factor CP2 (Fragment)</t>
  </si>
  <si>
    <t>Sodium-coupled neutral amino acid transporter 1</t>
  </si>
  <si>
    <t>SWI/SNF complex subunit SMARCC2</t>
  </si>
  <si>
    <t>Protein SCAF11</t>
  </si>
  <si>
    <t>ARF GTPase-activating protein GIT2</t>
  </si>
  <si>
    <t>Aladin</t>
  </si>
  <si>
    <t>Nascent polypeptide-associated complex subunit alpha</t>
  </si>
  <si>
    <t>Chromatin complexes subunit BAP18</t>
  </si>
  <si>
    <t>Tastin (Fragment)</t>
  </si>
  <si>
    <t>YEATS domain-containing protein 4</t>
  </si>
  <si>
    <t>Endoplasmic reticulum-Golgi intermediate compartment protein 2 (Fragment)</t>
  </si>
  <si>
    <t>Serine/threonine-protein phosphatase</t>
  </si>
  <si>
    <t>CCR4-NOT transcription complex subunit 2 (Fragment)</t>
  </si>
  <si>
    <t>60S ribosomal protein L6 (Fragment)</t>
  </si>
  <si>
    <t>TGF-beta receptor type-1</t>
  </si>
  <si>
    <t>UDP-N-acetylglucosamine--dolichyl-phosphate N-acetylglucosaminephosphotransferase</t>
  </si>
  <si>
    <t>Bcl-2/adenovirus E1B 19 kDa-interacting protein 2-like protein (Fragment)</t>
  </si>
  <si>
    <t>DNA-binding protein RFX5 (Fragment)</t>
  </si>
  <si>
    <t>Heterogeneous nuclear ribonucleoprotein A1</t>
  </si>
  <si>
    <t>Transducin-like enhancer protein 4</t>
  </si>
  <si>
    <t>Echinoderm microtubule-associated protein-like 1</t>
  </si>
  <si>
    <t>Adiponectin receptor protein 1</t>
  </si>
  <si>
    <t>Molybdopterin molybdenumtransferase</t>
  </si>
  <si>
    <t>Protein FAM162A</t>
  </si>
  <si>
    <t>Vezatin (Fragment)</t>
  </si>
  <si>
    <t>Histone RNA hairpin-binding protein</t>
  </si>
  <si>
    <t>Nucleolysin TIA-1 isoform p40</t>
  </si>
  <si>
    <t>Actin-binding LIM protein 1</t>
  </si>
  <si>
    <t>Syntaxin-5</t>
  </si>
  <si>
    <t>DNA polymerase delta subunit 2</t>
  </si>
  <si>
    <t>Mitochondrial import receptor subunit TOM5 homolog</t>
  </si>
  <si>
    <t>Insulin-like growth factor 2 mRNA-binding protein 2</t>
  </si>
  <si>
    <t>Argininosuccinate lyase (Fragment)</t>
  </si>
  <si>
    <t>Inositol hexakisphosphate and diphosphoinositol-pentakisphosphate kinase 1</t>
  </si>
  <si>
    <t>Serine/threonine-protein kinase WNK2</t>
  </si>
  <si>
    <t>Solute carrier family 26 member 6</t>
  </si>
  <si>
    <t>Mediator of RNA polymerase II transcription subunit 24</t>
  </si>
  <si>
    <t>Syntaxin-16 (Fragment)</t>
  </si>
  <si>
    <t>CLIP-associating protein 1</t>
  </si>
  <si>
    <t>Calponin-3</t>
  </si>
  <si>
    <t>Disintegrin and metalloproteinase domain-containing protein 22 (Fragment)</t>
  </si>
  <si>
    <t>Eukaryotic translation initiation factor 2 subunit 1</t>
  </si>
  <si>
    <t>Aldehyde dehydrogenase family 16 member A1</t>
  </si>
  <si>
    <t>RNA-binding protein PNO1</t>
  </si>
  <si>
    <t>39S ribosomal protein L40, mitochondrial</t>
  </si>
  <si>
    <t>60S ribosomal protein L35a</t>
  </si>
  <si>
    <t>GTP-binding protein 8</t>
  </si>
  <si>
    <t>Decapping and exoribonuclease protein</t>
  </si>
  <si>
    <t>Zinc finger protein 687</t>
  </si>
  <si>
    <t>Peroxisomal membrane protein PMP34</t>
  </si>
  <si>
    <t>DNA (cytosine-5)-methyltransferase 3A</t>
  </si>
  <si>
    <t>AN1-type zinc finger protein 2B</t>
  </si>
  <si>
    <t>COBW domain-containing protein 2</t>
  </si>
  <si>
    <t>Dol-P-Man:Man(5)GlcNAc(2)-PP-Dol alpha-1,3-mannosyltransferase</t>
  </si>
  <si>
    <t>NADH dehydrogenase (Ubiquinone) flavoprotein 1, 51kDa, isoform CRA_c</t>
  </si>
  <si>
    <t>OTU domain containing 4, isoform CRA_f</t>
  </si>
  <si>
    <t>MTERF domain containing 1, isoform CRA_c</t>
  </si>
  <si>
    <t>Dipeptidyl peptidase 3</t>
  </si>
  <si>
    <t>Paraoxonase 2, isoform CRA_a</t>
  </si>
  <si>
    <t>HCG1745306, isoform CRA_a</t>
  </si>
  <si>
    <t>Loss of heterozygosity 12 chromosomal region 1 protein</t>
  </si>
  <si>
    <t>Transcription factor 8 (Represses interleukin 2 expression), isoform CRA_b</t>
  </si>
  <si>
    <t>Inositol-3-phosphate synthase 1</t>
  </si>
  <si>
    <t>Polypeptide N-acetylgalactosaminyltransferase 2 soluble form</t>
  </si>
  <si>
    <t>Activating transcription factor 7 interacting protein, isoform CRA_f</t>
  </si>
  <si>
    <t>Golgi transport 1 homolog B (S. cerevisiae), isoform CRA_c</t>
  </si>
  <si>
    <t>Family with sequence similarity 112, member B, isoform CRA_b</t>
  </si>
  <si>
    <t>60S ribosomal protein L18</t>
  </si>
  <si>
    <t>Methyltransferase-like protein 10</t>
  </si>
  <si>
    <t>HCG2044781</t>
  </si>
  <si>
    <t>Cyclin-dependent kinase inhibitor 3</t>
  </si>
  <si>
    <t>Pentatricopeptide repeat-containing protein 1, mitochondrial</t>
  </si>
  <si>
    <t>DNA-(apurinic or apyrimidinic site) lyase (Fragment)</t>
  </si>
  <si>
    <t>Ataxin-3 (Fragment)</t>
  </si>
  <si>
    <t>Apoptosis regulatory protein Siva (Fragment)</t>
  </si>
  <si>
    <t>HAUS augmin-like complex subunit 4 (Fragment)</t>
  </si>
  <si>
    <t>Protein NDRG2</t>
  </si>
  <si>
    <t>Protein FAM177A1 (Fragment)</t>
  </si>
  <si>
    <t>cTAGE family member 5</t>
  </si>
  <si>
    <t>Maleylacetoacetate isomerase</t>
  </si>
  <si>
    <t>Cyclin-dependent kinase 2</t>
  </si>
  <si>
    <t>Nesprin-2</t>
  </si>
  <si>
    <t>Proteasome subunit alpha type</t>
  </si>
  <si>
    <t>Nucleoporin NDC1</t>
  </si>
  <si>
    <t>AT rich interactive domain 1B (SWI1-like), isoform CRA_a</t>
  </si>
  <si>
    <t>Mitogen-activated protein kinase kinase kinase kinase 4</t>
  </si>
  <si>
    <t>Laminin subunit beta-1</t>
  </si>
  <si>
    <t>Mitochondrial import inner membrane translocase subunit Tim8 B</t>
  </si>
  <si>
    <t>ATP-binding cassette sub-family B member 8, mitochondrial</t>
  </si>
  <si>
    <t>ATG4 autophagy related 4 homolog A (S. cerevisiae), isoform CRA_e</t>
  </si>
  <si>
    <t>G protein-coupled receptor 107, isoform CRA_c</t>
  </si>
  <si>
    <t>Dystrophia myotonica WD repeat-containing protein</t>
  </si>
  <si>
    <t>Son of sevenless homolog 1</t>
  </si>
  <si>
    <t>Tight junction protein 1 (Zona occludens 1), isoform CRA_e</t>
  </si>
  <si>
    <t>Golgi SNAP receptor complex member 1 (Fragment)</t>
  </si>
  <si>
    <t>Hermansky-Pudlak syndrome 3 protein</t>
  </si>
  <si>
    <t>Phosphatidylinositol 4-kinase type 2 beta</t>
  </si>
  <si>
    <t>CUG triplet repeat, RNA binding protein 1, isoform CRA_c</t>
  </si>
  <si>
    <t>Tropomodulin 2 (Neuronal), isoform CRA_a</t>
  </si>
  <si>
    <t>Protein disulfide isomerase family A, member 3, isoform CRA_b</t>
  </si>
  <si>
    <t>Cordon-bleu protein-like 1</t>
  </si>
  <si>
    <t>G/T mismatch-specific thymine DNA glycosylase</t>
  </si>
  <si>
    <t>Myosin light polypeptide 6</t>
  </si>
  <si>
    <t>tRNA pseudouridine synthase (Fragment)</t>
  </si>
  <si>
    <t>Melanoma inhibitory activity protein 3</t>
  </si>
  <si>
    <t>ELKS/Rab6-interacting/CAST family member 1</t>
  </si>
  <si>
    <t>WD repeat domain phosphoinositide-interacting protein 4</t>
  </si>
  <si>
    <t>Prolyl 3-hydroxylase 3</t>
  </si>
  <si>
    <t>Transforming acidic coiled-coil-containing protein 1</t>
  </si>
  <si>
    <t>Lysosomal thioesterase PPT2 (Fragment)</t>
  </si>
  <si>
    <t>Negative elongation factor C/D</t>
  </si>
  <si>
    <t>ADP-ribosylation factor-related protein 1 (Fragment)</t>
  </si>
  <si>
    <t>Phosphatidylinositol-glycan biosynthesis class X protein</t>
  </si>
  <si>
    <t>Centrosomal protein of 170 kDa (Fragment)</t>
  </si>
  <si>
    <t>AMP deaminase 2 (Fragment)</t>
  </si>
  <si>
    <t>Outer dense fiber protein 2 (Fragment)</t>
  </si>
  <si>
    <t>60S ribosomal protein L35 (Fragment)</t>
  </si>
  <si>
    <t>Disabled homolog 2-interacting protein (Fragment)</t>
  </si>
  <si>
    <t>Eukaryotic translation initiation factor 4 gamma 2</t>
  </si>
  <si>
    <t>Negative elongation factor A (Fragment)</t>
  </si>
  <si>
    <t>Serine/threonine-protein kinase SIK3</t>
  </si>
  <si>
    <t>Zinc finger protein 185 (Fragment)</t>
  </si>
  <si>
    <t>Inosine-5-monophosphate dehydrogenase 2 (Fragment)</t>
  </si>
  <si>
    <t>Transformation/transcription domain-associated protein (Fragment)</t>
  </si>
  <si>
    <t>Latrophilin-2 (Fragment)</t>
  </si>
  <si>
    <t>Serine/threonine-protein kinase D3 (Fragment)</t>
  </si>
  <si>
    <t>E3 ubiquitin-protein ligase TRIM33 (Fragment)</t>
  </si>
  <si>
    <t>Ubiquitin-fold modifier 1 (Fragment)</t>
  </si>
  <si>
    <t>ADP-ribosylation factor GTPase-activating protein 3 (Fragment)</t>
  </si>
  <si>
    <t>Pyrroline-5-carboxylate reductase 3 (Fragment)</t>
  </si>
  <si>
    <t>Golgin subfamily A member 4 (Fragment)</t>
  </si>
  <si>
    <t>Nucleoside diphosphate kinase, mitochondrial (Fragment)</t>
  </si>
  <si>
    <t>Bromodomain-containing protein 2 (Fragment)</t>
  </si>
  <si>
    <t>Transcription factor Sp3</t>
  </si>
  <si>
    <t>ATP-binding cassette sub-family D member 1 (Fragment)</t>
  </si>
  <si>
    <t>Stromal interaction molecule 2</t>
  </si>
  <si>
    <t>Mitochondrial carrier homolog 1 (Fragment)</t>
  </si>
  <si>
    <t>2-deoxynucleoside 5-phosphate N-hydrolase 1 (Fragment)</t>
  </si>
  <si>
    <t>Calnexin (Fragment)</t>
  </si>
  <si>
    <t>Protein PRR5-ARHGAP8 (Fragment)</t>
  </si>
  <si>
    <t>Ubiquitin-conjugating enzyme E2 B (Fragment)</t>
  </si>
  <si>
    <t>Translation machinery-associated protein 16 (Fragment)</t>
  </si>
  <si>
    <t>Diacylglycerol kinase theta (Fragment)</t>
  </si>
  <si>
    <t>Mediator of RNA polymerase II transcription subunit 28 (Fragment)</t>
  </si>
  <si>
    <t>Amyloid beta A4 precursor protein-binding family B member 2 (Fragment)</t>
  </si>
  <si>
    <t>Ectonucleoside triphosphate diphosphohydrolase 4 (Fragment)</t>
  </si>
  <si>
    <t>SH2 domain-containing protein 4A (Fragment)</t>
  </si>
  <si>
    <t>28S ribosomal protein S35, mitochondrial (Fragment)</t>
  </si>
  <si>
    <t>UPF0317 protein C14orf159, mitochondrial (Fragment)</t>
  </si>
  <si>
    <t>Integrator complex subunit 8 (Fragment)</t>
  </si>
  <si>
    <t>Activating signal cointegrator 1 complex subunit 1 (Fragment)</t>
  </si>
  <si>
    <t>Double-stranded RNA-specific adenosine deaminase (Fragment)</t>
  </si>
  <si>
    <t>Lymphocyte function-associated antigen 3 (Fragment)</t>
  </si>
  <si>
    <t>Probable dolichyl pyrophosphate Glc1Man9GlcNAc2 alpha-1,3-glucosyltransferase (Fragment)</t>
  </si>
  <si>
    <t>Serine/threonine-protein phosphatase (Fragment)</t>
  </si>
  <si>
    <t>Sjoegren syndrome/scleroderma autoantigen 1 (Fragment)</t>
  </si>
  <si>
    <t>Ribonuclease H2 subunit C (Fragment)</t>
  </si>
  <si>
    <t>40S ribosomal protein S2 (Fragment)</t>
  </si>
  <si>
    <t>UPF0598 protein C8orf82 (Fragment)</t>
  </si>
  <si>
    <t>Cell adhesion molecule 1 (Fragment)</t>
  </si>
  <si>
    <t>Oligoribonuclease, mitochondrial (Fragment)</t>
  </si>
  <si>
    <t>Josephin-1 (Fragment)</t>
  </si>
  <si>
    <t>Ethanolamine kinase 1 (Fragment)</t>
  </si>
  <si>
    <t>Ataxin-2 (Fragment)</t>
  </si>
  <si>
    <t>WD repeat domain-containing protein 83 (Fragment)</t>
  </si>
  <si>
    <t>F-box only protein 21 (Fragment)</t>
  </si>
  <si>
    <t>LETM1 domain-containing protein 1 (Fragment)</t>
  </si>
  <si>
    <t>Uncharacterized protein (Fragment)</t>
  </si>
  <si>
    <t>Tropomyosin alpha-1 chain</t>
  </si>
  <si>
    <t>ER membrane protein complex subunit 4</t>
  </si>
  <si>
    <t>Transducin-like enhancer protein 3</t>
  </si>
  <si>
    <t>Isocitrate dehydrogenase [NAD] subunit alpha, mitochondrial</t>
  </si>
  <si>
    <t>POU domain, class 2, transcription factor 1</t>
  </si>
  <si>
    <t>GMP reductase 2</t>
  </si>
  <si>
    <t>60S ribosomal protein L28</t>
  </si>
  <si>
    <t>A-kinase anchor protein 13 (Fragment)</t>
  </si>
  <si>
    <t>Signal peptide peptidase-like 2A (Fragment)</t>
  </si>
  <si>
    <t>Signal peptidase complex catalytic subunit SEC11A</t>
  </si>
  <si>
    <t>Aflatoxin B1 aldehyde reductase member 2 (Fragment)</t>
  </si>
  <si>
    <t>Transmembrane protein 63B (Fragment)</t>
  </si>
  <si>
    <t>DNA repair protein SWI5 homolog (Fragment)</t>
  </si>
  <si>
    <t>Dysbindin domain-containing protein 1</t>
  </si>
  <si>
    <t>Probable ATP-dependent RNA helicase DDX17</t>
  </si>
  <si>
    <t>NEDD8 ultimate buster 1</t>
  </si>
  <si>
    <t>cAMP-regulated phosphoprotein 19</t>
  </si>
  <si>
    <t>Protein spinster homolog 1</t>
  </si>
  <si>
    <t>Uncharacterized protein C15orf39 (Fragment)</t>
  </si>
  <si>
    <t>RNA-binding protein with serine-rich domain 1</t>
  </si>
  <si>
    <t>Protein GTLF3B</t>
  </si>
  <si>
    <t>Putative sodium-coupled neutral amino acid transporter 7 (Fragment)</t>
  </si>
  <si>
    <t>Uncharacterized protein KIAA0513 (Fragment)</t>
  </si>
  <si>
    <t>INO80 complex subunit E</t>
  </si>
  <si>
    <t>Beta-hexosaminidase</t>
  </si>
  <si>
    <t>SUMO-conjugating enzyme UBC9 (Fragment)</t>
  </si>
  <si>
    <t>Microtubule-actin cross-linking factor 1, isoforms 1/2/3/5</t>
  </si>
  <si>
    <t>Protein fantom (Fragment)</t>
  </si>
  <si>
    <t>Hydroxyacylglutathione hydrolase, mitochondrial (Fragment)</t>
  </si>
  <si>
    <t>Battenin (Fragment)</t>
  </si>
  <si>
    <t>Protein NDRG4 (Fragment)</t>
  </si>
  <si>
    <t>Sorting nexin-33 (Fragment)</t>
  </si>
  <si>
    <t>Obscurin</t>
  </si>
  <si>
    <t>HCG2044799</t>
  </si>
  <si>
    <t>Telomeric repeat-binding factor 2 (Fragment)</t>
  </si>
  <si>
    <t>Dynactin subunit 5</t>
  </si>
  <si>
    <t>Kinesin-like protein KIF22</t>
  </si>
  <si>
    <t>E3 ubiquitin-protein ligase ZNRF1</t>
  </si>
  <si>
    <t>FAD-linked sulfhydryl oxidase ALR (Fragment)</t>
  </si>
  <si>
    <t>Zinc finger FYVE domain-containing protein 19</t>
  </si>
  <si>
    <t>Ubiquitin domain-containing protein UBFD1</t>
  </si>
  <si>
    <t>Nuclear factor of-activated T-cells, cytoplasmic 3 (Fragment)</t>
  </si>
  <si>
    <t>Protein FAM219B (Fragment)</t>
  </si>
  <si>
    <t>Eukaryotic translation initiation factor 3 subunit C</t>
  </si>
  <si>
    <t>Zinc finger protein 768</t>
  </si>
  <si>
    <t>Transmembrane protein 178B</t>
  </si>
  <si>
    <t>Cirhin (Fragment)</t>
  </si>
  <si>
    <t>Gamma-aminobutyric acid receptor-associated protein-like 2</t>
  </si>
  <si>
    <t>Cytoplasmic tRNA 2-thiolation protein 2</t>
  </si>
  <si>
    <t>Protein fem-1 homolog B (Fragment)</t>
  </si>
  <si>
    <t>Microtubule-associated protein 1 light chain 3 beta, isoform CRA_f</t>
  </si>
  <si>
    <t>RING finger protein 166</t>
  </si>
  <si>
    <t>Cerebellar degeneration-related protein 2 (Fragment)</t>
  </si>
  <si>
    <t>ADP-ribosylation factor-like protein 2-binding protein</t>
  </si>
  <si>
    <t>Phosphopantothenoylcysteine decarboxylase</t>
  </si>
  <si>
    <t>Ataxin-2-like protein</t>
  </si>
  <si>
    <t>2-oxoglutarate and iron-dependent oxygenase domain-containing protein 1</t>
  </si>
  <si>
    <t>Ubiquitin-like protein 7 (Fragment)</t>
  </si>
  <si>
    <t>Grancalcin</t>
  </si>
  <si>
    <t>Sphingomyelin phosphodiesterase 4</t>
  </si>
  <si>
    <t>Protein EFR3 homolog B (Fragment)</t>
  </si>
  <si>
    <t>Serine/threonine-protein phosphatase 6 regulatory subunit 3</t>
  </si>
  <si>
    <t>Protein-lysine methyltransferase METTL21A</t>
  </si>
  <si>
    <t>Endoplasmic reticulum-Golgi intermediate compartment protein 3</t>
  </si>
  <si>
    <t>BET1-like protein</t>
  </si>
  <si>
    <t>Mitochondrial pyruvate carrier 1</t>
  </si>
  <si>
    <t>Tetraspanin-14</t>
  </si>
  <si>
    <t>Protein-L-isoaspartate O-methyltransferase</t>
  </si>
  <si>
    <t>Integrator complex subunit 9</t>
  </si>
  <si>
    <t>Casein kinase I isoform delta</t>
  </si>
  <si>
    <t>Tropomyosin 1 (Alpha), isoform CRA_m</t>
  </si>
  <si>
    <t>L-seryl-tRNA(Sec) kinase (Fragment)</t>
  </si>
  <si>
    <t>Thioredoxin (Fragment)</t>
  </si>
  <si>
    <t>R3H domain-containing protein 2 (Fragment)</t>
  </si>
  <si>
    <t>Non-homologous end-joining factor 1 (Fragment)</t>
  </si>
  <si>
    <t>Reticulon-4 receptor (Fragment)</t>
  </si>
  <si>
    <t>IQ motif and SEC7 domain-containing protein 1 (Fragment)</t>
  </si>
  <si>
    <t>F-box/LRR-repeat protein 19 (Fragment)</t>
  </si>
  <si>
    <t>Mitotic-spindle organizing protein 2B (Fragment)</t>
  </si>
  <si>
    <t>Ubiquitin carboxyl-terminal hydrolase (Fragment)</t>
  </si>
  <si>
    <t>AP-1 complex subunit sigma-1A (Fragment)</t>
  </si>
  <si>
    <t>Chromosome 6 open reading frame 107, isoform CRA_b</t>
  </si>
  <si>
    <t>Coiled-coil and C2 domain-containing protein 1B (Fragment)</t>
  </si>
  <si>
    <t>Apolipoprotein O (Fragment)</t>
  </si>
  <si>
    <t>Putative deoxyribonuclease TATDN2 (Fragment)</t>
  </si>
  <si>
    <t>Carboxy-terminal domain RNA polymerase II polypeptide A small phosphatase 1 (Fragment)</t>
  </si>
  <si>
    <t>Protein sidekick-2 (Fragment)</t>
  </si>
  <si>
    <t>Synaptosomal-associated protein 47 (Fragment)</t>
  </si>
  <si>
    <t>Protein FAM134A (Fragment)</t>
  </si>
  <si>
    <t>COX assembly mitochondrial protein homolog (Fragment)</t>
  </si>
  <si>
    <t>Probable C-mannosyltransferase DPY19L1 (Fragment)</t>
  </si>
  <si>
    <t>Glucosamine (N-acetyl)-6-sulfatase (Sanfilippo disease IIID), isoform CRA_b</t>
  </si>
  <si>
    <t>Protein ARV1 (Fragment)</t>
  </si>
  <si>
    <t>Protein HEG homolog 1 (Fragment)</t>
  </si>
  <si>
    <t>Transmembrane protein 222 (Fragment)</t>
  </si>
  <si>
    <t>Coiled-coil domain-containing protein 58 (Fragment)</t>
  </si>
  <si>
    <t>Isoamyl acetate-hydrolyzing esterase 1 homolog (Fragment)</t>
  </si>
  <si>
    <t>TPA-induced transmembrane protein (Fragment)</t>
  </si>
  <si>
    <t>Protein regulator of cytokinesis 1</t>
  </si>
  <si>
    <t>PWWP domain-containing protein 2B</t>
  </si>
  <si>
    <t>Calcium uptake protein 1, mitochondrial</t>
  </si>
  <si>
    <t>GA binding protein transcription factor beta subunit 1 transcript variant gamma-2</t>
  </si>
  <si>
    <t>WAS protein family homolog 6</t>
  </si>
  <si>
    <t>Serine/threonine-protein kinase SMG1</t>
  </si>
  <si>
    <t>Golgi SNAP receptor complex member 2 (Fragment)</t>
  </si>
  <si>
    <t>E3 ubiquitin-protein ligase RNF167</t>
  </si>
  <si>
    <t>Vesicle-fusing ATPase</t>
  </si>
  <si>
    <t>Diphthamide biosynthesis protein 1 (Fragment)</t>
  </si>
  <si>
    <t>Mitochondrial 2-oxoglutarate/malate carrier protein (Fragment)</t>
  </si>
  <si>
    <t>Clustered mitochondria protein homolog</t>
  </si>
  <si>
    <t>Gem-associated protein 4</t>
  </si>
  <si>
    <t>Protein FAM195B</t>
  </si>
  <si>
    <t>Segment polarity protein dishevelled homolog DVL-2</t>
  </si>
  <si>
    <t>Proline-, glutamic acid- and leucine-rich protein 1</t>
  </si>
  <si>
    <t>ATP synthase mitochondrial F1 complex assembly factor 1</t>
  </si>
  <si>
    <t>Myosin light chain 4 (Fragment)</t>
  </si>
  <si>
    <t>Engulfment and cell motility protein 3</t>
  </si>
  <si>
    <t>NF-kappa-B inhibitor beta (Fragment)</t>
  </si>
  <si>
    <t>Ankyrin-2</t>
  </si>
  <si>
    <t>Fatty acid-binding protein, epidermal</t>
  </si>
  <si>
    <t>Cactin</t>
  </si>
  <si>
    <t>Epididymal secretory protein E1</t>
  </si>
  <si>
    <t>Integrator complex subunit 2</t>
  </si>
  <si>
    <t>Zinc finger protein ubi-d4</t>
  </si>
  <si>
    <t>Low-density lipoprotein receptor (Fragment)</t>
  </si>
  <si>
    <t>Phosphatidylinositol 4-kinase alpha</t>
  </si>
  <si>
    <t>Proteasome-associated protein ECM29 homolog</t>
  </si>
  <si>
    <t>Fibrosin-1-like protein</t>
  </si>
  <si>
    <t>26S proteasome non-ATPase regulatory subunit 9</t>
  </si>
  <si>
    <t>Obscurin-like protein 1</t>
  </si>
  <si>
    <t>BCL2/adenovirus E1B 19 kDa protein-interacting protein 2</t>
  </si>
  <si>
    <t>Torsin-1A-interacting protein 1</t>
  </si>
  <si>
    <t>Arylacetamide deacetylase-like 1</t>
  </si>
  <si>
    <t>Mitochondrial inner membrane protein OXA1L</t>
  </si>
  <si>
    <t>Transcription initiation factor IIA beta chain</t>
  </si>
  <si>
    <t>Copper chaperone for superoxide dismutase</t>
  </si>
  <si>
    <t>Conserved oligomeric Golgi complex subunit 4</t>
  </si>
  <si>
    <t>Chitinase domain-containing protein 1</t>
  </si>
  <si>
    <t>Protein transport protein Sec16A</t>
  </si>
  <si>
    <t>Zinc finger FYVE domain-containing protein 1</t>
  </si>
  <si>
    <t>Phosphorylase b kinase gamma catalytic chain, liver/testis isoform</t>
  </si>
  <si>
    <t>Probable ATP-dependent RNA helicase DDX41 (Fragment)</t>
  </si>
  <si>
    <t>BRCA1-associated protein</t>
  </si>
  <si>
    <t>Zinc finger protein 1 homolog</t>
  </si>
  <si>
    <t>MAP/microtubule affinity-regulating kinase 3</t>
  </si>
  <si>
    <t>Methylmalonate-semialdehyde dehydrogenase [acylating], mitochondrial</t>
  </si>
  <si>
    <t>Four and a half LIM domains protein 2</t>
  </si>
  <si>
    <t>Serine/arginine-rich-splicing factor 2 (Fragment)</t>
  </si>
  <si>
    <t>Receptor-type tyrosine-protein phosphatase alpha</t>
  </si>
  <si>
    <t>Nuclear pore complex protein Nup98-Nup96</t>
  </si>
  <si>
    <t>Deoxynucleotidyltransferase terminal-interacting protein 2</t>
  </si>
  <si>
    <t>Ethanolamine kinase 2</t>
  </si>
  <si>
    <t>Phosphatase and actin regulator 2</t>
  </si>
  <si>
    <t>Heparan-sulfate 6-O-sulfotransferase 2</t>
  </si>
  <si>
    <t>Kinesin-like protein KIF3A</t>
  </si>
  <si>
    <t>Histone deacetylase 9</t>
  </si>
  <si>
    <t>Calcium/calmodulin-dependent protein kinase kinase 1</t>
  </si>
  <si>
    <t>Synaptojanin-1</t>
  </si>
  <si>
    <t>Calcineurin B homologous protein 3</t>
  </si>
  <si>
    <t>Cisplatin resistance-associated overexpressed protein, isoform CRA_b</t>
  </si>
  <si>
    <t>Beta-arrestin-1</t>
  </si>
  <si>
    <t>DnaJ (Hsp40) homolog, subfamily B, member 12, isoform CRA_c</t>
  </si>
  <si>
    <t>TraB domain-containing protein</t>
  </si>
  <si>
    <t>Sulfurtransferase</t>
  </si>
  <si>
    <t>Histone deacetylase 2</t>
  </si>
  <si>
    <t>Anthrax toxin receptor 2</t>
  </si>
  <si>
    <t>DNA-binding protein RFXANK</t>
  </si>
  <si>
    <t>Obg-like ATPase 1</t>
  </si>
  <si>
    <t>Peptidyl-tRNA hydrolase 2, mitochondrial</t>
  </si>
  <si>
    <t>Uncharacterized protein C6orf203</t>
  </si>
  <si>
    <t>THUMP domain-containing protein 1</t>
  </si>
  <si>
    <t>General transcription factor IIH subunit 2</t>
  </si>
  <si>
    <t>SUN domain-containing protein 2</t>
  </si>
  <si>
    <t>GTP-binding nuclear protein Ran (Fragment)</t>
  </si>
  <si>
    <t>Glucosylceramidase</t>
  </si>
  <si>
    <t>Sulfatase-modifying factor 2</t>
  </si>
  <si>
    <t>Apolipoprotein L2</t>
  </si>
  <si>
    <t>AP-1 complex subunit gamma-1</t>
  </si>
  <si>
    <t>Coiled-coil domain containing 12, isoform CRA_a</t>
  </si>
  <si>
    <t>Tubulin-specific chaperone D</t>
  </si>
  <si>
    <t>Uncharacterized protein C16orf55 (Fragment)</t>
  </si>
  <si>
    <t>Gasdermin-A (Fragment)</t>
  </si>
  <si>
    <t>Mitogen-activated protein kinase kinase kinase 3</t>
  </si>
  <si>
    <t>N-acetylglucosaminyl-phosphatidylinositol de-N-acetylase (Fragment)</t>
  </si>
  <si>
    <t>Chromobox protein homolog 1 (Fragment)</t>
  </si>
  <si>
    <t>Transmembrane protein 199</t>
  </si>
  <si>
    <t>Bleomycin hydrolase (Fragment)</t>
  </si>
  <si>
    <t>Archaemetzincin-2 (Fragment)</t>
  </si>
  <si>
    <t>F-box and leucine-rich repeat protein 20, isoform CRA_a</t>
  </si>
  <si>
    <t>Aurora kinase B (Fragment)</t>
  </si>
  <si>
    <t>Serine/arginine-rich-splicing factor 1</t>
  </si>
  <si>
    <t>Calcium homeostasis endoplasmic reticulum protein</t>
  </si>
  <si>
    <t>Fructose-bisphosphate aldolase C (Fragment)</t>
  </si>
  <si>
    <t>Proteasome subunit beta type-3 (Fragment)</t>
  </si>
  <si>
    <t>SWI/SNF-related matrix-associated actin-dependent regulator of chromatin subfamily E member 1 (Fragment)</t>
  </si>
  <si>
    <t>Protein SCO1 homolog, mitochondrial</t>
  </si>
  <si>
    <t>Secernin-2</t>
  </si>
  <si>
    <t>Zinc transporter ZIP11 (Fragment)</t>
  </si>
  <si>
    <t>Flotillin-2</t>
  </si>
  <si>
    <t>28S ribosomal protein S23, mitochondrial</t>
  </si>
  <si>
    <t>28S ribosomal protein S7, mitochondrial</t>
  </si>
  <si>
    <t>Zinc finger homeobox protein 4</t>
  </si>
  <si>
    <t>SAP30-binding protein (Fragment)</t>
  </si>
  <si>
    <t>60S ribosomal protein L17 (Fragment)</t>
  </si>
  <si>
    <t>NADPH:adrenodoxin oxidoreductase, mitochondrial</t>
  </si>
  <si>
    <t>Male-specific lethal 1 homolog</t>
  </si>
  <si>
    <t>YTH domain-containing protein 1</t>
  </si>
  <si>
    <t>Ribosomal protein L19</t>
  </si>
  <si>
    <t>Fatty aldehyde dehydrogenase</t>
  </si>
  <si>
    <t>ORM1-like protein 3 (Fragment)</t>
  </si>
  <si>
    <t>Myosin regulatory light chain 12A</t>
  </si>
  <si>
    <t>Zinc finger protein 207</t>
  </si>
  <si>
    <t>Vesicle-associated membrane protein 2</t>
  </si>
  <si>
    <t>Probable helicase with zinc finger domain</t>
  </si>
  <si>
    <t>Cyclin-dependent kinase 12 (Fragment)</t>
  </si>
  <si>
    <t>UPF0606 protein KIAA1549</t>
  </si>
  <si>
    <t>COP9 signalosome complex subunit 7b (Fragment)</t>
  </si>
  <si>
    <t>Coiled-coil-helix-coiled-coil-helix domain-containing protein 6, mitochondrial</t>
  </si>
  <si>
    <t>Dystonin</t>
  </si>
  <si>
    <t>Lamin B2, isoform CRA_a</t>
  </si>
  <si>
    <t>Cytoplasmic phosphatidylinositol transfer protein 1</t>
  </si>
  <si>
    <t>Transmembrane and coiled-coil domain-containing protein 1</t>
  </si>
  <si>
    <t>Arylsulfatase G</t>
  </si>
  <si>
    <t>RWD domain containing 4A</t>
  </si>
  <si>
    <t>Cullin 4B, isoform CRA_e</t>
  </si>
  <si>
    <t>Methyl-CpG binding domain protein 3, isoform CRA_b</t>
  </si>
  <si>
    <t>Echinoderm microtubule-associated protein-like 2</t>
  </si>
  <si>
    <t>Protein YIPF2 (Fragment)</t>
  </si>
  <si>
    <t>Tubulin gamma chain (Fragment)</t>
  </si>
  <si>
    <t>Mothers against decapentaplegic homolog 4</t>
  </si>
  <si>
    <t>SEC14-like protein 1 (Fragment)</t>
  </si>
  <si>
    <t>40S ribosomal protein S15 (Fragment)</t>
  </si>
  <si>
    <t>Kinetochore protein Spc24 (Fragment)</t>
  </si>
  <si>
    <t>AP-1 complex subunit mu-1</t>
  </si>
  <si>
    <t>Signal peptidase complex catalytic subunit SEC11C</t>
  </si>
  <si>
    <t>Histone H3 (Fragment)</t>
  </si>
  <si>
    <t>Lon protease homolog, mitochondrial</t>
  </si>
  <si>
    <t>39S ribosomal protein L4, mitochondrial</t>
  </si>
  <si>
    <t>Transmembrane and ubiquitin-like domain-containing protein 2 (Fragment)</t>
  </si>
  <si>
    <t>Protein LINC00493</t>
  </si>
  <si>
    <t>Hsp90 co-chaperone Cdc37 (Fragment)</t>
  </si>
  <si>
    <t>Protein phosphatase 1 regulatory subunit 12C (Fragment)</t>
  </si>
  <si>
    <t>Glucosidase 2 subunit beta</t>
  </si>
  <si>
    <t>Syntaxin-10 (Fragment)</t>
  </si>
  <si>
    <t>Katanin p60 ATPase-containing subunit A-like 2 (Fragment)</t>
  </si>
  <si>
    <t>Transmembrane protein 205 (Fragment)</t>
  </si>
  <si>
    <t>Actin, cytoplasmic 2, N-terminally processed (Fragment)</t>
  </si>
  <si>
    <t>Transcription elongation factor 1 homolog</t>
  </si>
  <si>
    <t>R3H domain-containing protein 4</t>
  </si>
  <si>
    <t>HCG2039718, isoform CRA_g</t>
  </si>
  <si>
    <t>Asparagine--tRNA ligase, cytoplasmic</t>
  </si>
  <si>
    <t>Uncharacterized protein C18orf8</t>
  </si>
  <si>
    <t>ATP synthase subunit s-like protein</t>
  </si>
  <si>
    <t>UBX domain-containing protein 6 (Fragment)</t>
  </si>
  <si>
    <t>Transmembrane protein 161A (Fragment)</t>
  </si>
  <si>
    <t>NADH dehydrogenase [ubiquinone] 1 alpha subcomplex subunit 11</t>
  </si>
  <si>
    <t>Glutaminyl-peptide cyclotransferase-like protein (Fragment)</t>
  </si>
  <si>
    <t>Amino-terminal enhancer of split</t>
  </si>
  <si>
    <t>Tropomyosin alpha-4 chain (Fragment)</t>
  </si>
  <si>
    <t>Phenylalanine--tRNA ligase alpha subunit</t>
  </si>
  <si>
    <t>Eukaryotic translation initiation factor 3 subunit K</t>
  </si>
  <si>
    <t>Dystrobrevin alpha (Fragment)</t>
  </si>
  <si>
    <t>Protein YIF1B (Fragment)</t>
  </si>
  <si>
    <t>Thymidine kinase</t>
  </si>
  <si>
    <t>Ubiquitin-conjugating enzyme E2 O (Fragment)</t>
  </si>
  <si>
    <t>Cyclic AMP-dependent transcription factor ATF-7 (Fragment)</t>
  </si>
  <si>
    <t>UV excision repair protein RAD23 homolog A</t>
  </si>
  <si>
    <t>Glucose-6-phosphatase 3 (Fragment)</t>
  </si>
  <si>
    <t>Dynamin-2</t>
  </si>
  <si>
    <t>Thioredoxin-like protein 4A</t>
  </si>
  <si>
    <t>Dephospho-CoA kinase domain-containing protein (Fragment)</t>
  </si>
  <si>
    <t>Serine--tRNA ligase, mitochondrial</t>
  </si>
  <si>
    <t>BRISC and BRCA1-A complex member 1</t>
  </si>
  <si>
    <t>Protein Wiz</t>
  </si>
  <si>
    <t>Coatomer protein complex, subunit epsilon, isoform CRA_g</t>
  </si>
  <si>
    <t>Protein ETHE1, mitochondrial</t>
  </si>
  <si>
    <t>Mucolipin-1 (Fragment)</t>
  </si>
  <si>
    <t>Nuclear pore glycoprotein p62</t>
  </si>
  <si>
    <t>Upstream stimulatory factor 2</t>
  </si>
  <si>
    <t>Zinc finger protein 428 (Fragment)</t>
  </si>
  <si>
    <t>KxDL motif-containing protein 1</t>
  </si>
  <si>
    <t>PIH1 domain-containing protein 1 (Fragment)</t>
  </si>
  <si>
    <t>Bifunctional polynucleotide phosphatase/kinase</t>
  </si>
  <si>
    <t>Tubulin beta-4A chain (Fragment)</t>
  </si>
  <si>
    <t>60S ribosomal protein L13a (Fragment)</t>
  </si>
  <si>
    <t>Vesicle transport protein USE1 (Fragment)</t>
  </si>
  <si>
    <t>GRAM domain-containing protein 1A</t>
  </si>
  <si>
    <t>Uncharacterized protein C19orf44</t>
  </si>
  <si>
    <t>Josephin-2 (Fragment)</t>
  </si>
  <si>
    <t>Heterogeneous nuclear ribonucleoprotein M (Fragment)</t>
  </si>
  <si>
    <t>Zinc finger protein 737</t>
  </si>
  <si>
    <t>Serine/threonine-protein kinase D</t>
  </si>
  <si>
    <t>Sphingosine kinase 2</t>
  </si>
  <si>
    <t>40S ribosomal protein S5 (Fragment)</t>
  </si>
  <si>
    <t>Pleckstrin homology domain-containing family A member 4 (Fragment)</t>
  </si>
  <si>
    <t>60S ribosomal protein L18a</t>
  </si>
  <si>
    <t>Ribosomal protein L34</t>
  </si>
  <si>
    <t>rRNA 2-O-methyltransferase fibrillarin (Fragment)</t>
  </si>
  <si>
    <t>Leucine-rich repeat-containing protein 4B (Fragment)</t>
  </si>
  <si>
    <t>Prenylated Rab acceptor protein 1</t>
  </si>
  <si>
    <t>Alkyldihydroxyacetonephosphate synthase, peroxisomal</t>
  </si>
  <si>
    <t>Isoform 3 of UBX domain-containing protein 8</t>
  </si>
  <si>
    <t>Isoform 2 of Kinesin-like protein KIF2A</t>
  </si>
  <si>
    <t>ATP-dependent RNA helicase DDX39A</t>
  </si>
  <si>
    <t>PDZ and LIM domain protein 1</t>
  </si>
  <si>
    <t>Isoform 4 of Cytosolic acyl coenzyme A thioester hydrolase</t>
  </si>
  <si>
    <t>Unconventional myosin-Ic</t>
  </si>
  <si>
    <t>Synaptosomal-associated protein 23</t>
  </si>
  <si>
    <t>Isoform 5 of HCLS1-associated protein X-1</t>
  </si>
  <si>
    <t>AH receptor-interacting protein</t>
  </si>
  <si>
    <t>GTP-binding protein 1</t>
  </si>
  <si>
    <t>Syntaxin-binding protein 3</t>
  </si>
  <si>
    <t>Small acidic protein</t>
  </si>
  <si>
    <t>Isoform 2 of Amyloid beta A4 precursor protein-binding family B member 1</t>
  </si>
  <si>
    <t>NADH dehydrogenase [ubiquinone] iron-sulfur protein 8, mitochondrial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</si>
  <si>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</si>
  <si>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</si>
  <si>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</si>
  <si>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</si>
  <si>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</si>
  <si>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</si>
  <si>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</si>
  <si>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</si>
  <si>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Regulatory factor X-associated protein</t>
  </si>
  <si>
    <t>Huntingtin-interacting protein 1</t>
  </si>
  <si>
    <t>Chloride intracellular channel protein 1</t>
  </si>
  <si>
    <t>Pyruvate dehydrogenase protein X component, mitochondrial</t>
  </si>
  <si>
    <t>Dynactin subunit 6</t>
  </si>
  <si>
    <t>Acetyl-coenzyme A transporter 1</t>
  </si>
  <si>
    <t>Neural Wiskott-Aldrich syndrome protein</t>
  </si>
  <si>
    <t>Importin-5</t>
  </si>
  <si>
    <t>Eukaryotic elongation factor 2 kinase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</si>
  <si>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</si>
  <si>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</si>
  <si>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</si>
  <si>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</si>
  <si>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GDNF family receptor alpha-2</t>
  </si>
  <si>
    <t>Phosphatidylinositol 3-kinase regulatory subunit beta</t>
  </si>
  <si>
    <t>Golgi integral membrane protein 4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</si>
  <si>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</si>
  <si>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</si>
  <si>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</si>
  <si>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Importin subunit alpha-3</t>
  </si>
  <si>
    <t>Serine/threonine-protein kinase 25</t>
  </si>
  <si>
    <t>B-cell CLL/lymphoma 9 protein</t>
  </si>
  <si>
    <t>Isoform 3 of Syntenin-1</t>
  </si>
  <si>
    <t>U3 small nucleolar ribonucleoprotein protein MPP10</t>
  </si>
  <si>
    <t>Nucleolar protein 56</t>
  </si>
  <si>
    <t>ATP-dependent RNA helicase DDX3X</t>
  </si>
  <si>
    <t>Pirin</t>
  </si>
  <si>
    <t>Importin subunit alpha-4</t>
  </si>
  <si>
    <t>Tripartite motif-containing protein 38</t>
  </si>
  <si>
    <t>Transcription factor E2F3</t>
  </si>
  <si>
    <t>Serine/threonine-protein phosphatase 6 catalytic subunit</t>
  </si>
  <si>
    <t>Isoform 2 of Lysosomal alpha-mannosidase</t>
  </si>
  <si>
    <t>Ubiquitin-conjugating enzyme E2 C</t>
  </si>
  <si>
    <t>Pyridoxal kinase</t>
  </si>
  <si>
    <t>Acyl-CoA desaturase</t>
  </si>
  <si>
    <t>Isoform 2 of AT-rich interactive domain-containing protein 1A</t>
  </si>
  <si>
    <t>Isoform 2 of Cyclin-dependent kinase 2-associated protein 1</t>
  </si>
  <si>
    <t>C2 domain-containing protein 2-like</t>
  </si>
  <si>
    <t>Isoform 2 of Transmembrane protein 194A</t>
  </si>
  <si>
    <t>Dihydropyrimidinase-related protein 4</t>
  </si>
  <si>
    <t>TRAF-type zinc finger domain-containing protein 1</t>
  </si>
  <si>
    <t>Cytochrome c oxidase subunit 7A-related protein, mitochondrial</t>
  </si>
  <si>
    <t>Citron Rho-interacting kinase</t>
  </si>
  <si>
    <t>Cdc42 effector protein 2</t>
  </si>
  <si>
    <t>Isoform 4 of AP-3 complex subunit delta-1</t>
  </si>
  <si>
    <t>Torsin-1A</t>
  </si>
  <si>
    <t>Torsin-1B</t>
  </si>
  <si>
    <t>Disintegrin and metalloproteinase domain-containing protein 10</t>
  </si>
  <si>
    <t>Histone-lysine N-methyltransferase MLL2</t>
  </si>
  <si>
    <t>Isoform 2 of Inositol monophosphatase 2</t>
  </si>
  <si>
    <t>Dual specificity mitogen-activated protein kinase kinase 7</t>
  </si>
  <si>
    <t>Acyl-coenzyme A thioesterase 8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</si>
  <si>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</si>
  <si>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</si>
  <si>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</si>
  <si>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</si>
  <si>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</si>
  <si>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Fucose-1-phosphate guanylyltransferase</t>
  </si>
  <si>
    <t>Isoform 2 of Tripeptidyl-peptidase 1</t>
  </si>
  <si>
    <t>Isoform 2 of Transcription elongation regulator 1</t>
  </si>
  <si>
    <t>Kinetochore protein NDC80 homolog</t>
  </si>
  <si>
    <t>Isoform 2 of Transportin-2</t>
  </si>
  <si>
    <t>Complexin-1</t>
  </si>
  <si>
    <t>Proteasome subunit alpha type-7</t>
  </si>
  <si>
    <t>Secretory carrier-associated membrane protein 3</t>
  </si>
  <si>
    <t>Transcription regulator protein BACH1</t>
  </si>
  <si>
    <t>Isoform 2 of Gem-associated protein 2</t>
  </si>
  <si>
    <t>PDZ domain-containing protein GIPC1</t>
  </si>
  <si>
    <t>Inhibitor of nuclear factor kappa-B kinase subunit beta</t>
  </si>
  <si>
    <t>Mitochondrial import inner membrane translocase subunit Tim23</t>
  </si>
  <si>
    <t>Histone acetyltransferase type B catalytic subunit</t>
  </si>
  <si>
    <t>Isoform 3 of Peripheral plasma membrane protein CASK</t>
  </si>
  <si>
    <t>Hepatocyte growth factor-regulated tyrosine kinase substrate</t>
  </si>
  <si>
    <t>Aurora kinase A</t>
  </si>
  <si>
    <t>Calmegin</t>
  </si>
  <si>
    <t>Isoform 2 of Protein phosphatase 1 regulatory subunit 12A</t>
  </si>
  <si>
    <t>Cyclin-G-associated kinase</t>
  </si>
  <si>
    <t>Isoform 3 of Heterogeneous nuclear ribonucleoprotein D-like</t>
  </si>
  <si>
    <t>Exportin-1</t>
  </si>
  <si>
    <t>TATA-binding protein-associated factor 172</t>
  </si>
  <si>
    <t>Isoform 4 of Rho guanine nucleotide exchange factor 10</t>
  </si>
  <si>
    <t>Zinc finger protein 609</t>
  </si>
  <si>
    <t>Isoform 2 of Spectrin beta chain, non-erythrocytic 2</t>
  </si>
  <si>
    <t>Plexin-B2</t>
  </si>
  <si>
    <t>Protein KHNYN</t>
  </si>
  <si>
    <t>Histone-lysine N-methyltransferase SETD1A</t>
  </si>
  <si>
    <t>Uncharacterized protein KIAA0355</t>
  </si>
  <si>
    <t>Kinesin-like protein KIF3B</t>
  </si>
  <si>
    <t>Phosphoribosylformylglycinamidine synthase</t>
  </si>
  <si>
    <t>Isoform 4 of Mitochondrial ribonuclease P protein 3</t>
  </si>
  <si>
    <t>Inhibitor of nuclear factor kappa-B kinase subunit alpha</t>
  </si>
  <si>
    <t>U6 snRNA-associated Sm-like protein LSm1</t>
  </si>
  <si>
    <t>Niemann-Pick C1 protein</t>
  </si>
  <si>
    <t>1-acyl-sn-glycerol-3-phosphate acyltransferase beta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</si>
  <si>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</si>
  <si>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</si>
  <si>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</si>
  <si>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</si>
  <si>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</si>
  <si>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</si>
  <si>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BET1 homolog</t>
  </si>
  <si>
    <t>DNA-directed RNA polymerases I and III subunit RPAC1</t>
  </si>
  <si>
    <t>Isoform Short of Transcription intermediary factor 1-alpha</t>
  </si>
  <si>
    <t>Isoform 2 of Axin-1</t>
  </si>
  <si>
    <t>Membrane-associated progesterone receptor component 2</t>
  </si>
  <si>
    <t>Prefoldin subunit 6</t>
  </si>
  <si>
    <t>Dihydroxyacetone phosphate acyltransferase</t>
  </si>
  <si>
    <t>Protein CASC3</t>
  </si>
  <si>
    <t>Protein RER1</t>
  </si>
  <si>
    <t>Serine palmitoyltransferase 1</t>
  </si>
  <si>
    <t>Serine palmitoyltransferase 2</t>
  </si>
  <si>
    <t>Isoform 1 of UDP-N-acetylglucosamine--peptide N-acetylglucosaminyltransferase 110 kDa subunit</t>
  </si>
  <si>
    <t>Phosphomannomutase 2</t>
  </si>
  <si>
    <t>Midline-1</t>
  </si>
  <si>
    <t>High mobility group protein B3</t>
  </si>
  <si>
    <t>Protein phosphatase 1G</t>
  </si>
  <si>
    <t>Phosphatidylinositol 3,4,5-trisphosphate 5-phosphatase 2</t>
  </si>
  <si>
    <t>Importin-8</t>
  </si>
  <si>
    <t>Isoform 2 of Syntaxin-7</t>
  </si>
  <si>
    <t>High affinity copper uptake protein 1</t>
  </si>
  <si>
    <t>Isoform 2 of Multidrug resistance-associated protein 4</t>
  </si>
  <si>
    <t>DNA-directed RNA polymerase I subunit RPA34</t>
  </si>
  <si>
    <t>Isoform IIa of Prolyl 4-hydroxylase subunit alpha-2</t>
  </si>
  <si>
    <t>Actin-related protein 2/3 complex subunit 5</t>
  </si>
  <si>
    <t>RING finger protein 113A</t>
  </si>
  <si>
    <t>Putative pre-mRNA-splicing factor ATP-dependent RNA helicase DHX15</t>
  </si>
  <si>
    <t>mRNA cap guanine-N7 methyltransferase</t>
  </si>
  <si>
    <t>Isoform 2 of Arf-GAP with SH3 domain, ANK repeat and PH domain-containing protein 2</t>
  </si>
  <si>
    <t>Leucine-rich repeat transmembrane protein FLRT2</t>
  </si>
  <si>
    <t>Isoform 2 of E3 ubiquitin-protein ligase Praja-2</t>
  </si>
  <si>
    <t>Isoform 2 of U4/U6 small nuclear ribonucleoprotein Prp4</t>
  </si>
  <si>
    <t>D-3-phosphoglycerate dehydrogenase</t>
  </si>
  <si>
    <t>26S proteasome non-ATPase regulatory subunit 3</t>
  </si>
  <si>
    <t>Isoform 6 of RNA binding protein fox-1 homolog 2</t>
  </si>
  <si>
    <t>Bifunctional 3-phosphoadenosine 5-phosphosulfate synthase 1</t>
  </si>
  <si>
    <t>Zinc finger HIT domain-containing protein 1</t>
  </si>
  <si>
    <t>Centromere/kinetochore protein zw10 homolog</t>
  </si>
  <si>
    <t>U4/U6.U5 tri-snRNP-associated protein 1</t>
  </si>
  <si>
    <t>Isoform 2 of AP-5 complex subunit zeta-1</t>
  </si>
  <si>
    <t>Heat shock 70 kDa protein 12A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</si>
  <si>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</si>
  <si>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</si>
  <si>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</si>
  <si>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Receptor-interacting serine/threonine-protein kinase 2</t>
  </si>
  <si>
    <t>WD repeat-containing protein 62</t>
  </si>
  <si>
    <t>Heterogeneous nuclear ribonucleoprotein R</t>
  </si>
  <si>
    <t>U4/U6 small nuclear ribonucleoprotein Prp3</t>
  </si>
  <si>
    <t>Thioredoxin-like protein 1</t>
  </si>
  <si>
    <t>Tumor protein D54</t>
  </si>
  <si>
    <t>Isoform 2 of Tumor protein D54</t>
  </si>
  <si>
    <t>ER membrane protein complex subunit 8</t>
  </si>
  <si>
    <t>Peptidyl-prolyl cis-trans isomerase H</t>
  </si>
  <si>
    <t>Isoform 3 of Serine protease HTRA2, mitochondrial</t>
  </si>
  <si>
    <t>Isoform 2 of Krueppel-like factor 4</t>
  </si>
  <si>
    <t>Protein Mis18-beta</t>
  </si>
  <si>
    <t>Band 4.1-like protein 2</t>
  </si>
  <si>
    <t>Isoform TGN46 of Trans-Golgi network integral membrane protein 2</t>
  </si>
  <si>
    <t>DNA repair protein RAD51 homolog 3</t>
  </si>
  <si>
    <t>N-acetyllactosaminide beta-1,3-N-acetylglucosaminyltransferase</t>
  </si>
  <si>
    <t>Mediator of RNA polymerase II transcription subunit 7</t>
  </si>
  <si>
    <t>WAS/WASL-interacting protein family member 1</t>
  </si>
  <si>
    <t>Isoform Bim-alpha3 of Bcl-2-like protein 11</t>
  </si>
  <si>
    <t>Forkhead box protein O3</t>
  </si>
  <si>
    <t>E3 ubiquitin-protein ligase RNF13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</si>
  <si>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</si>
  <si>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</si>
  <si>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</si>
  <si>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</si>
  <si>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</si>
  <si>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</si>
  <si>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</si>
  <si>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Tetraspanin-6</t>
  </si>
  <si>
    <t>Isoform 2 of Regulator of G-protein signaling 10</t>
  </si>
  <si>
    <t>NADH dehydrogenase [ubiquinone] 1 beta subcomplex subunit 3</t>
  </si>
  <si>
    <t>NADH dehydrogenase [ubiquinone] 1 subunit C1, mitochondrial</t>
  </si>
  <si>
    <t>NADH dehydrogenase [ubiquinone] 1 alpha subcomplex subunit 2</t>
  </si>
  <si>
    <t>ATPase ASNA1</t>
  </si>
  <si>
    <t>Mitotic checkpoint protein BUB3</t>
  </si>
  <si>
    <t>Isoform 2 of Mitotic checkpoint protein BUB3</t>
  </si>
  <si>
    <t>Alpha-actinin-4</t>
  </si>
  <si>
    <t>Uncharacterized methyltransferase WBSCR22</t>
  </si>
  <si>
    <t>TP53-regulated inhibitor of apoptosis 1</t>
  </si>
  <si>
    <t>HIV Tat-specific factor 1</t>
  </si>
  <si>
    <t>Syntaxin-6</t>
  </si>
  <si>
    <t>Small glutamine-rich tetratricopeptide repeat-containing protein alpha</t>
  </si>
  <si>
    <t>Lipoyl synthase, mitochondrial</t>
  </si>
  <si>
    <t>Alpha-endosulfine</t>
  </si>
  <si>
    <t>Mitochondrial carnitine/acylcarnitine carrier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</si>
  <si>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</si>
  <si>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</si>
  <si>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</si>
  <si>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</si>
  <si>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</si>
  <si>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</si>
  <si>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Isoform 4 of Hyaluronidase-3</t>
  </si>
  <si>
    <t>A-kinase anchor protein 8</t>
  </si>
  <si>
    <t>Glucose-6-phosphate translocase</t>
  </si>
  <si>
    <t>Zinc finger and BTB domain-containing protein 14</t>
  </si>
  <si>
    <t>Isocitrate dehydrogenase [NAD] subunit beta, mitochondrial</t>
  </si>
  <si>
    <t>Calumenin</t>
  </si>
  <si>
    <t>Putative adenosylhomocysteinase 2</t>
  </si>
  <si>
    <t>Kinesin-like protein KIF1C</t>
  </si>
  <si>
    <t>Isoform 2 of Origin recognition complex subunit 5</t>
  </si>
  <si>
    <t>NADH dehydrogenase [ubiquinone] iron-sulfur protein 5</t>
  </si>
  <si>
    <t>Origin recognition complex subunit 4</t>
  </si>
  <si>
    <t>Peroxisome biogenesis factor 1</t>
  </si>
  <si>
    <t>Double-strand-break repair protein rad21 homolog</t>
  </si>
  <si>
    <t>Mitochondrial import inner membrane translocase subunit Tim8 A</t>
  </si>
  <si>
    <t>Putative pre-mRNA-splicing factor ATP-dependent RNA helicase DHX16</t>
  </si>
  <si>
    <t>Isoform 2 of SH3 domain-binding protein 5</t>
  </si>
  <si>
    <t>Phosphoribosyl pyrophosphate synthase-associated protein 2</t>
  </si>
  <si>
    <t>Guanine nucleotide-binding protein G(I)/G(S)/G(O) subunit gamma-7</t>
  </si>
  <si>
    <t>SWI/SNF-related matrix-associated actin-dependent regulator of chromatin subfamily A member 5</t>
  </si>
  <si>
    <t>Isoform 4 of C-Jun-amino-terminal kinase-interacting protein 4</t>
  </si>
  <si>
    <t>Sushi domain-containing protein 5</t>
  </si>
  <si>
    <t>Kinesin heavy chain isoform 5C</t>
  </si>
  <si>
    <t>Isoform 2 of Kinesin-like protein KIF1B</t>
  </si>
  <si>
    <t>Isoform 2 of TBC1 domain family member 4</t>
  </si>
  <si>
    <t>Isoform D of Endothelin-converting enzyme 2</t>
  </si>
  <si>
    <t>TBC1 domain family member 12</t>
  </si>
  <si>
    <t>Fatty acid desaturase 1</t>
  </si>
  <si>
    <t>Non-syndromic hearing impairment protein 5</t>
  </si>
  <si>
    <t>Isoform 3 of Lymphocyte antigen 75</t>
  </si>
  <si>
    <t>Mannosyl-oligosaccharide 1,2-alpha-mannosidase IB</t>
  </si>
  <si>
    <t>Isoform Short of Long-chain-fatty-acid--CoA ligase 4</t>
  </si>
  <si>
    <t>Sorting nexin-3</t>
  </si>
  <si>
    <t>Bifunctional protein NCOAT</t>
  </si>
  <si>
    <t>Isoform Beta of Vinexin</t>
  </si>
  <si>
    <t>Isoform 4 of Heterogeneous nuclear ribonucleoprotein Q</t>
  </si>
  <si>
    <t>Isoform 4 of Nuclear export mediator factor NEMF</t>
  </si>
  <si>
    <t>GDP-mannose 4,6 dehydratase</t>
  </si>
  <si>
    <t>Cyclin-T1</t>
  </si>
  <si>
    <t>Mitotic checkpoint serine/threonine-protein kinase BUB1 beta</t>
  </si>
  <si>
    <t>Procollagen-lysine,2-oxoglutarate 5-dioxygenase 3</t>
  </si>
  <si>
    <t>15 kDa selenoprotein</t>
  </si>
  <si>
    <t>Isoform 3 of Exocyst complex component 3</t>
  </si>
  <si>
    <t>Perilipin-3</t>
  </si>
  <si>
    <t>Isoform 3 of Perilipin-3</t>
  </si>
  <si>
    <t>Cell cycle checkpoint protein RAD1</t>
  </si>
  <si>
    <t>Protein arginine N-methyltransferase 3</t>
  </si>
  <si>
    <t>UDP-glucose 6-dehydrogenase</t>
  </si>
  <si>
    <t>Protein-tyrosine sulfotransferase 2</t>
  </si>
  <si>
    <t>Isoform 1A of Catenin delta-1</t>
  </si>
  <si>
    <t>Protein-S-isoprenylcysteine O-methyltransferase</t>
  </si>
  <si>
    <t>General vesicular transport factor p115</t>
  </si>
  <si>
    <t>Coiled-coil domain-containing protein 22</t>
  </si>
  <si>
    <t>Polyglutamine-binding protein 1</t>
  </si>
  <si>
    <t>Mitochondrial import inner membrane translocase subunit Tim17-B</t>
  </si>
  <si>
    <t>PRA1 family protein 2</t>
  </si>
  <si>
    <t>H/ACA ribonucleoprotein complex subunit 4</t>
  </si>
  <si>
    <t>Eukaryotic translation initiation factor 5B</t>
  </si>
  <si>
    <t>Endothelial differentiation-related factor 1</t>
  </si>
  <si>
    <t>DNA/RNA-binding protein KIN17</t>
  </si>
  <si>
    <t>DnaJ homolog subfamily A member 2</t>
  </si>
  <si>
    <t>Bromodomain-containing protein 4</t>
  </si>
  <si>
    <t>Isoform C of Protein CutA</t>
  </si>
  <si>
    <t>Sphingomyelin phosphodiesterase 2</t>
  </si>
  <si>
    <t>Prefoldin subunit 1</t>
  </si>
  <si>
    <t>Protein phosphatase 1 regulatory subunit 11</t>
  </si>
  <si>
    <t>Nibrin</t>
  </si>
  <si>
    <t>mRNA-capping enzyme</t>
  </si>
  <si>
    <t>ATP-binding cassette sub-family B member 7, mitochondrial</t>
  </si>
  <si>
    <t>SLIT-ROBO Rho GTPase-activating protein 2</t>
  </si>
  <si>
    <t>Plexin-A2</t>
  </si>
  <si>
    <t>Immunoglobulin superfamily member 3</t>
  </si>
  <si>
    <t>Isoform 4 of Putative tyrosine-protein phosphatase auxilin</t>
  </si>
  <si>
    <t>Glycosaminoglycan xylosylkinase</t>
  </si>
  <si>
    <t>WD repeat-containing protein 1</t>
  </si>
  <si>
    <t>Frizzled-7</t>
  </si>
  <si>
    <t>Probable phospholipid-transporting ATPase IIA</t>
  </si>
  <si>
    <t>NEDD4-binding protein 1</t>
  </si>
  <si>
    <t>Rho-associated protein kinase 2</t>
  </si>
  <si>
    <t>Copine-3</t>
  </si>
  <si>
    <t>Isoform 2 of Autophagy-related protein 13</t>
  </si>
  <si>
    <t>Huntingtin-interacting protein 1-related protein</t>
  </si>
  <si>
    <t>E3 ubiquitin-protein ligase BRE1B</t>
  </si>
  <si>
    <t>Cullin-associated NEDD8-dissociated protein 2</t>
  </si>
  <si>
    <t>Isoform 2 of TSC22 domain family protein 2</t>
  </si>
  <si>
    <t>Lysine-specific demethylase 4A</t>
  </si>
  <si>
    <t>Isoform 6 of Serine/threonine-protein phosphatase 6 regulatory subunit 2</t>
  </si>
  <si>
    <t>CCR4-NOT transcription complex subunit 3</t>
  </si>
  <si>
    <t>Isoform 2 of Ankyrin repeat domain-containing protein 17</t>
  </si>
  <si>
    <t>Xylulose kinase</t>
  </si>
  <si>
    <t>Ubiquinone biosynthesis protein COQ9, mitochondrial</t>
  </si>
  <si>
    <t>Gamma-glutamylcyclotransferase</t>
  </si>
  <si>
    <t>Isoform 2 of NADH dehydrogenase [ubiquinone] iron-sulfur protein 2, mitochondrial</t>
  </si>
  <si>
    <t>Zinc finger protein ZPR1</t>
  </si>
  <si>
    <t>Protein NipSnap homolog 2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</si>
  <si>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</si>
  <si>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</si>
  <si>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</si>
  <si>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</si>
  <si>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</si>
  <si>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SH3 domain-binding glutamic acid-rich-like protein</t>
  </si>
  <si>
    <t>Isoform 8 of Filamin-B</t>
  </si>
  <si>
    <t>Nuclear receptor corepressor 1</t>
  </si>
  <si>
    <t>Vesicle-associated membrane protein 4</t>
  </si>
  <si>
    <t>NADH dehydrogenase [ubiquinone] iron-sulfur protein 6, mitochondrial</t>
  </si>
  <si>
    <t>Large neutral amino acids transporter small subunit 3</t>
  </si>
  <si>
    <t>Sperm-associated antigen 7</t>
  </si>
  <si>
    <t>Vesicle-trafficking protein SEC22b</t>
  </si>
  <si>
    <t>Isoform 2 of Pre-mRNA-processing factor 40 homolog A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</si>
  <si>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</si>
  <si>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</si>
  <si>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</si>
  <si>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</si>
  <si>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</si>
  <si>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</si>
  <si>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Katanin p60 ATPase-containing subunit A1</t>
  </si>
  <si>
    <t>PC4 and SFRS1-interacting protein</t>
  </si>
  <si>
    <t>NADH dehydrogenase [ubiquinone] iron-sulfur protein 3, mitochondrial</t>
  </si>
  <si>
    <t>Heat shock factor-binding protein 1</t>
  </si>
  <si>
    <t>Isoform 2 of Enoyl-CoA delta isomerase 2, mitochondrial</t>
  </si>
  <si>
    <t>RNA-binding motif protein, X-linked-like-2</t>
  </si>
  <si>
    <t>Barrier-to-autointegration factor</t>
  </si>
  <si>
    <t>Splicing factor 3B subunit 1</t>
  </si>
  <si>
    <t>Isoform Short of Cold shock domain-containing protein E1</t>
  </si>
  <si>
    <t>WW domain-binding protein 4</t>
  </si>
  <si>
    <t>Peptide chain release factor 1, mitochondrial</t>
  </si>
  <si>
    <t>Ribosomal protein S6 kinase alpha-5</t>
  </si>
  <si>
    <t>2-amino-3-ketobutyrate coenzyme A ligase, mitochondrial</t>
  </si>
  <si>
    <t>Nucleoplasmin-3</t>
  </si>
  <si>
    <t>Isoform 2 of Acyl-protein thioesterase 1</t>
  </si>
  <si>
    <t>GTPase Era, mitochondrial</t>
  </si>
  <si>
    <t>Protein CREG1</t>
  </si>
  <si>
    <t>Mitochondrial tRNA-specific 2-thiouridylase 1</t>
  </si>
  <si>
    <t>TIP41-like protein</t>
  </si>
  <si>
    <t>Protein phosphatase 1B</t>
  </si>
  <si>
    <t>Arf-GAP with dual PH domain-containing protein 1</t>
  </si>
  <si>
    <t>Protein XRP2</t>
  </si>
  <si>
    <t>WD repeat and HMG-box DNA-binding protein 1</t>
  </si>
  <si>
    <t>Calcium-binding mitochondrial carrier protein Aralar1</t>
  </si>
  <si>
    <t>Paralemmin-1</t>
  </si>
  <si>
    <t>Ribonuclease H2 subunit A</t>
  </si>
  <si>
    <t>Cell division cycle protein 123 homolog</t>
  </si>
  <si>
    <t>Calpain-15</t>
  </si>
  <si>
    <t>Eukaryotic translation initiation factor 3 subunit G</t>
  </si>
  <si>
    <t>Eukaryotic translation initiation factor 3 subunit J</t>
  </si>
  <si>
    <t>Carbonyl reductase [NADPH] 3</t>
  </si>
  <si>
    <t>26S proteasome non-ATPase regulatory subunit 10</t>
  </si>
  <si>
    <t>CAAX prenyl protease 1 homolog</t>
  </si>
  <si>
    <t>Isocitrate dehydrogenase [NADP] cytoplasmic</t>
  </si>
  <si>
    <t>Isoform 3 of Attractin</t>
  </si>
  <si>
    <t>Putative hydrolase RBBP9</t>
  </si>
  <si>
    <t>Signal transducing adapter molecule 2</t>
  </si>
  <si>
    <t>PRA1 family protein 3</t>
  </si>
  <si>
    <t>Isoform 3 of E3 SUMO-protein ligase PIAS2</t>
  </si>
  <si>
    <t>Pre-mRNA-splicing factor SPF27</t>
  </si>
  <si>
    <t>DnaJ homolog subfamily C member 8</t>
  </si>
  <si>
    <t>Survival of motor neuron-related-splicing factor 30</t>
  </si>
  <si>
    <t>ATP synthase subunit d, mitochondrial</t>
  </si>
  <si>
    <t>ATP synthase subunit g, mitochondrial</t>
  </si>
  <si>
    <t>Carboxypeptidase D</t>
  </si>
  <si>
    <t>Glutaredoxin-3</t>
  </si>
  <si>
    <t>Wolframin</t>
  </si>
  <si>
    <t>ATP-dependent Clp protease ATP-binding subunit clpX-like, mitochondrial</t>
  </si>
  <si>
    <t>Isoform 2 of Nebulette</t>
  </si>
  <si>
    <t>Gamma-synuclein</t>
  </si>
  <si>
    <t>Probable cytosolic iron-sulfur protein assembly protein CIAO1</t>
  </si>
  <si>
    <t>Isoform Beta of DNA fragmentation factor subunit beta</t>
  </si>
  <si>
    <t>AN1-type zinc finger protein 5</t>
  </si>
  <si>
    <t>Isoform 2 of Protein JTB</t>
  </si>
  <si>
    <t>N(G),N(G)-dimethylarginine dimethylaminohydrolase 1</t>
  </si>
  <si>
    <t>ATP-dependent DNA helicase Q4</t>
  </si>
  <si>
    <t>Unconventional prefoldin RPB5 interactor 1</t>
  </si>
  <si>
    <t>Galactosylgalactosylxylosylprotein 3-beta-glucuronosyltransferase 3</t>
  </si>
  <si>
    <t>Metastasis-associated protein MTA2</t>
  </si>
  <si>
    <t>Ubiquitin carboxyl-terminal hydrolase 1</t>
  </si>
  <si>
    <t>Isoform 2 of Retinal dehydrogenase 2</t>
  </si>
  <si>
    <t>Serine/threonine-protein kinase 10</t>
  </si>
  <si>
    <t>Tubulin polymerization-promoting protein</t>
  </si>
  <si>
    <t>Kelch repeat and BTB domain-containing protein 11</t>
  </si>
  <si>
    <t>E3 ubiquitin-protein ligase listerin</t>
  </si>
  <si>
    <t>Mitochondrial import receptor subunit TOM70</t>
  </si>
  <si>
    <t>Importin-13</t>
  </si>
  <si>
    <t>Phospholipase DDHD2</t>
  </si>
  <si>
    <t>Unconventional myosin-Id</t>
  </si>
  <si>
    <t>Isoform 5 of Protein-methionine sulfoxide oxidase MICAL2</t>
  </si>
  <si>
    <t>Protein transport protein Sec24D</t>
  </si>
  <si>
    <t>Isoform 2 of STAGA complex 65 subunit gamma</t>
  </si>
  <si>
    <t>E3 UFM1-protein ligase 1</t>
  </si>
  <si>
    <t>PHD finger protein 14</t>
  </si>
  <si>
    <t>SAM and SH3 domain-containing protein 1</t>
  </si>
  <si>
    <t>UBX domain-containing protein 7</t>
  </si>
  <si>
    <t>Proline synthase co-transcribed bacterial homolog protein</t>
  </si>
  <si>
    <t>Pre-mRNA cleavage complex 2 protein Pcf11</t>
  </si>
  <si>
    <t>Endonuclease domain-containing 1 protein</t>
  </si>
  <si>
    <t>Isoform 3 of Glutaminase kidney isoform, mitochondrial</t>
  </si>
  <si>
    <t>HAUS augmin-like complex subunit 5</t>
  </si>
  <si>
    <t>Isoform 2 of WD repeat-containing protein 47</t>
  </si>
  <si>
    <t>AP-2 complex subunit alpha-2</t>
  </si>
  <si>
    <t>Protein HEXIM1</t>
  </si>
  <si>
    <t>GTP-binding protein Di-Ras1</t>
  </si>
  <si>
    <t>G2/mitotic-specific cyclin-B2</t>
  </si>
  <si>
    <t>Arf-GAP domain and FG repeat-containing protein 2</t>
  </si>
  <si>
    <t>Isoform 3 of Splicing factor, arginine/serine-rich 15</t>
  </si>
  <si>
    <t>Sphingosine 1-phosphate receptor 2</t>
  </si>
  <si>
    <t>NADH dehydrogenase [ubiquinone] 1 beta subcomplex subunit 6</t>
  </si>
  <si>
    <t>Mitofusin-2</t>
  </si>
  <si>
    <t>Isoform 2 of Ubiquitin conjugation factor E4 B</t>
  </si>
  <si>
    <t>Zinc finger protein-like 1</t>
  </si>
  <si>
    <t>Elongator complex protein 1</t>
  </si>
  <si>
    <t>NADH dehydrogenase [ubiquinone] 1 alpha subcomplex subunit 3</t>
  </si>
  <si>
    <t>NADH dehydrogenase [ubiquinone] 1 beta subcomplex subunit 4</t>
  </si>
  <si>
    <t>Isoform 7 of Reticulon-3</t>
  </si>
  <si>
    <t>LETM1 and EF-hand domain-containing protein 1, mitochondrial</t>
  </si>
  <si>
    <t>Isoform 2 of Zinc finger Ran-binding domain-containing protein 2</t>
  </si>
  <si>
    <t>Sorting nexin-4</t>
  </si>
  <si>
    <t>ZW10 interactor</t>
  </si>
  <si>
    <t>Chromosome-associated kinesin KIF4A</t>
  </si>
  <si>
    <t>Isoform 4 of Histone acetyltransferase KAT7</t>
  </si>
  <si>
    <t>Cyclin-D1-binding protein 1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</si>
  <si>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</si>
  <si>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</si>
  <si>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</si>
  <si>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</si>
  <si>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Peptidyl-prolyl cis-trans isomerase FKBP9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</si>
  <si>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</si>
  <si>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</si>
  <si>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</si>
  <si>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</si>
  <si>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Acyl-protein thioesterase 2</t>
  </si>
  <si>
    <t>Importin-7</t>
  </si>
  <si>
    <t>E3 ubiquitin-protein ligase ARIH2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</si>
  <si>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</si>
  <si>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</si>
  <si>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</si>
  <si>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</si>
  <si>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Zinc finger FYVE domain-containing protein 9</t>
  </si>
  <si>
    <t>Isoform 2 of BAG family molecular chaperone regulator 4</t>
  </si>
  <si>
    <t>Activator of 90 kDa heat shock protein ATPase homolog 1</t>
  </si>
  <si>
    <t>Isoform 2 of Poly(A)-specific ribonuclease PARN</t>
  </si>
  <si>
    <t>Proteasome assembly chaperone 1</t>
  </si>
  <si>
    <t>Sphingosine-1-phosphate lyase 1</t>
  </si>
  <si>
    <t>Protein transport protein Sec24A</t>
  </si>
  <si>
    <t>Isoform 2 of Protein transport protein Sec24B</t>
  </si>
  <si>
    <t>Tyrosyl-DNA phosphodiesterase 2</t>
  </si>
  <si>
    <t>Long-chain-fatty-acid--CoA ligase 3</t>
  </si>
  <si>
    <t>Isoform 2 of Pericentrin</t>
  </si>
  <si>
    <t>tRNA-dihydrouridine(20a/20b) synthase [NAD(P)+]-like</t>
  </si>
  <si>
    <t>Isoform 5 of CCR4-NOT transcription complex subunit 4</t>
  </si>
  <si>
    <t>STAM-binding protein</t>
  </si>
  <si>
    <t>Isoform 2 of N-acetylserotonin O-methyltransferase-like protein</t>
  </si>
  <si>
    <t>FGFR1 oncogene partner</t>
  </si>
  <si>
    <t>Protein phosphatase 1 regulatory subunit 3D</t>
  </si>
  <si>
    <t>Ras-related protein Rab-3D</t>
  </si>
  <si>
    <t>Synaptosomal-associated protein 29</t>
  </si>
  <si>
    <t>Serine/threonine-protein kinase OSR1</t>
  </si>
  <si>
    <t>Protein LDOC1</t>
  </si>
  <si>
    <t>Isoform 2 of Ras-related protein Rab-36</t>
  </si>
  <si>
    <t>Isoform 1 of Polypyrimidine tract-binding protein 3</t>
  </si>
  <si>
    <t>N-alpha-acetyltransferase 38, NatC auxiliary subunit</t>
  </si>
  <si>
    <t>Isoform B of AP-2 complex subunit alpha-1</t>
  </si>
  <si>
    <t>BAG family molecular chaperone regulator 2</t>
  </si>
  <si>
    <t>BAG family molecular chaperone regulator 3</t>
  </si>
  <si>
    <t>Malonyl-CoA decarboxylase, mitochondrial</t>
  </si>
  <si>
    <t>Quinone oxidoreductase-like protein 1</t>
  </si>
  <si>
    <t>Isoform 3 of Apoptosis-inducing factor 1, mitochondrial</t>
  </si>
  <si>
    <t>Serine/threonine-protein kinase LATS1</t>
  </si>
  <si>
    <t>Tetraspanin-13</t>
  </si>
  <si>
    <t>N(G),N(G)-dimethylarginine dimethylaminohydrolase 2</t>
  </si>
  <si>
    <t>Uncharacterized protein C6orf47</t>
  </si>
  <si>
    <t>Thioredoxin domain-containing protein 12</t>
  </si>
  <si>
    <t>Protein SGT1</t>
  </si>
  <si>
    <t>Pre-mRNA-splicing factor SYF2</t>
  </si>
  <si>
    <t>Diphosphoinositol polyphosphate phosphohydrolase 1</t>
  </si>
  <si>
    <t>Securin</t>
  </si>
  <si>
    <t>B-cell lymphoma/leukemia 10</t>
  </si>
  <si>
    <t>NADH dehydrogenase [ubiquinone] 1 beta subcomplex subunit 10</t>
  </si>
  <si>
    <t>Zinc finger BED domain-containing protein 1</t>
  </si>
  <si>
    <t>Molybdopterin synthase catalytic subunit</t>
  </si>
  <si>
    <t>Mitochondrial import receptor subunit TOM40 homolog</t>
  </si>
  <si>
    <t>Peroxisomal membrane protein 11B</t>
  </si>
  <si>
    <t>Serine/threonine-protein kinase PAK 4</t>
  </si>
  <si>
    <t>Serine/threonine-protein kinase Chk2</t>
  </si>
  <si>
    <t>Amyloid beta A4 precursor protein-binding family A member 3</t>
  </si>
  <si>
    <t>Actin-like protein 6A</t>
  </si>
  <si>
    <t>Molybdopterin synthase sulfur carrier subunit</t>
  </si>
  <si>
    <t>Isoform 2 of Cytochrome b5</t>
  </si>
  <si>
    <t>L-lactate dehydrogenase A chain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</si>
  <si>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</si>
  <si>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</si>
  <si>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</si>
  <si>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</si>
  <si>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</si>
  <si>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</si>
  <si>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</si>
  <si>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</si>
  <si>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</si>
  <si>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Isoform IB of Tyrosine-protein kinase ABL1</t>
  </si>
  <si>
    <t>Phosphoglycerate kinase 1</t>
  </si>
  <si>
    <t>Adenosine deaminase</t>
  </si>
  <si>
    <t>Carbonic anhydrase 2</t>
  </si>
  <si>
    <t>Cystatin-C</t>
  </si>
  <si>
    <t>GTPase NRas</t>
  </si>
  <si>
    <t>GTPase HRas</t>
  </si>
  <si>
    <t>Isoform 2B of GTPase KRas</t>
  </si>
  <si>
    <t>Ig heavy chain V-II region OU</t>
  </si>
  <si>
    <t>HLA class I histocompatibility antigen, B-7 alpha chain</t>
  </si>
  <si>
    <t>Hemoglobin subunit zeta</t>
  </si>
  <si>
    <t>Hemoglobin subunit epsilon</t>
  </si>
  <si>
    <t>Prelamin-A/C</t>
  </si>
  <si>
    <t>Transferrin receptor protein 1</t>
  </si>
  <si>
    <t>Ferritin heavy chain</t>
  </si>
  <si>
    <t>Metallothionein-2</t>
  </si>
  <si>
    <t>ATP synthase protein 8</t>
  </si>
  <si>
    <t>Catalase</t>
  </si>
  <si>
    <t>Tissue alpha-L-fucosidase</t>
  </si>
  <si>
    <t>Fructose-bisphosphate aldolase A</t>
  </si>
  <si>
    <t>Cystatin-B</t>
  </si>
  <si>
    <t>Annexin A1</t>
  </si>
  <si>
    <t>Isoform Beta-B of Glucocorticoid receptor</t>
  </si>
  <si>
    <t>Ornithine aminotransferase, mitochondrial</t>
  </si>
  <si>
    <t>Thymidine kinase, cytosolic</t>
  </si>
  <si>
    <t>Tubulin beta-4A chain</t>
  </si>
  <si>
    <t>Glyceraldehyde-3-phosphate dehydrogenase</t>
  </si>
  <si>
    <t>Isoform 4 of Receptor tyrosine-protein kinase erbB-2</t>
  </si>
  <si>
    <t>Calpain small subunit 1</t>
  </si>
  <si>
    <t>Heat shock protein beta-1</t>
  </si>
  <si>
    <t>Thymidylate synthase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</si>
  <si>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</si>
  <si>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</si>
  <si>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</si>
  <si>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Isoform B1 of Anion exchange protein 2</t>
  </si>
  <si>
    <t>Isoform 4 of Sodium/potassium-transporting ATPase subunit alpha-1</t>
  </si>
  <si>
    <t>Aldehyde dehydrogenase, mitochondrial</t>
  </si>
  <si>
    <t>ADP/ATP translocase 2</t>
  </si>
  <si>
    <t>Non-histone chromosomal protein HMG-17</t>
  </si>
  <si>
    <t>60S acidic ribosomal protein P1</t>
  </si>
  <si>
    <t>60S acidic ribosomal protein P2</t>
  </si>
  <si>
    <t>60S acidic ribosomal protein P0</t>
  </si>
  <si>
    <t>Transcription factor AP-1</t>
  </si>
  <si>
    <t>Lupus La protein</t>
  </si>
  <si>
    <t>Integrin beta-1</t>
  </si>
  <si>
    <t>Isoform Beta-II of Protein kinase C beta type</t>
  </si>
  <si>
    <t>Keratin, type I cytoskeletal 18</t>
  </si>
  <si>
    <t>Uroporphyrinogen decarboxylase</t>
  </si>
  <si>
    <t>Tyrosine-protein kinase Fyn</t>
  </si>
  <si>
    <t>Alpha-galactosidase A</t>
  </si>
  <si>
    <t>Cyclin-dependent kinase 1</t>
  </si>
  <si>
    <t>ATP synthase subunit beta, mitochondrial</t>
  </si>
  <si>
    <t>Alpha-enolase</t>
  </si>
  <si>
    <t>Isoform 2 of Glycogen phosphorylase, liver form</t>
  </si>
  <si>
    <t>Glucose-6-phosphate isomerase</t>
  </si>
  <si>
    <t>Nucleophosmin</t>
  </si>
  <si>
    <t>Isoform 3 of Nucleophosmin</t>
  </si>
  <si>
    <t>Isoform 2 of Tropomyosin alpha-3 chain</t>
  </si>
  <si>
    <t>Isoform 3 of Integrin alpha-V</t>
  </si>
  <si>
    <t>Epoxide hydrolase 1</t>
  </si>
  <si>
    <t>Acyl-CoA-binding protein</t>
  </si>
  <si>
    <t>L-lactate dehydrogenase B chain</t>
  </si>
  <si>
    <t>Neurofilament light polypeptide</t>
  </si>
  <si>
    <t>Glutathione peroxidase 1</t>
  </si>
  <si>
    <t>Phosphoglycerate kinase 2</t>
  </si>
  <si>
    <t>Protein disulfide-isomerase</t>
  </si>
  <si>
    <t>Cathepsin D</t>
  </si>
  <si>
    <t>Annexin A2</t>
  </si>
  <si>
    <t>Calpain-1 catalytic subunit</t>
  </si>
  <si>
    <t>Beta-hexosaminidase subunit beta</t>
  </si>
  <si>
    <t>Cathepsin L1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</si>
  <si>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</si>
  <si>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</si>
  <si>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</si>
  <si>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</si>
  <si>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</si>
  <si>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</si>
  <si>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</si>
  <si>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Cytochrome b-c1 complex subunit 6, mitochondrial</t>
  </si>
  <si>
    <t>Tyrosine-protein kinase Lyn</t>
  </si>
  <si>
    <t>Isoform Cytoplasmic of Fumarate hydratase, mitochondrial</t>
  </si>
  <si>
    <t>DNA excision repair protein ERCC-1</t>
  </si>
  <si>
    <t>Transcription factor Sp1</t>
  </si>
  <si>
    <t>Heat shock 70 kDa protein 1A/1B</t>
  </si>
  <si>
    <t>Annexin A6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</si>
  <si>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</si>
  <si>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</si>
  <si>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</si>
  <si>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</si>
  <si>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Isoform 2 of Porphobilinogen deaminase</t>
  </si>
  <si>
    <t>Isoform 3 of Pyruvate dehydrogenase E1 component subunit alpha, somatic form, mitochondrial</t>
  </si>
  <si>
    <t>Cytochrome c1, heme protein, mitochondrial</t>
  </si>
  <si>
    <t>Hepatocyte growth factor receptor</t>
  </si>
  <si>
    <t>Melanotransferrin</t>
  </si>
  <si>
    <t>Isoform 2 of U1 small nuclear ribonucleoprotein 70 kDa</t>
  </si>
  <si>
    <t>Integrin alpha-5</t>
  </si>
  <si>
    <t>Vimentin</t>
  </si>
  <si>
    <t>Guanine nucleotide-binding protein G(k) subunit alpha</t>
  </si>
  <si>
    <t>Annexin A5</t>
  </si>
  <si>
    <t>Gamma-enolase</t>
  </si>
  <si>
    <t>3-ketoacyl-CoA thiolase, peroxisomal</t>
  </si>
  <si>
    <t>Signal recognition particle 19 kDa protein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</si>
  <si>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</si>
  <si>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</si>
  <si>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</si>
  <si>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</si>
  <si>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</si>
  <si>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SPARC</t>
  </si>
  <si>
    <t>Isoform 4 of Tropomyosin alpha-1 chain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</si>
  <si>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</si>
  <si>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</si>
  <si>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</si>
  <si>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</si>
  <si>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Heme oxygenase 1</t>
  </si>
  <si>
    <t>Dihydrolipoyl dehydrogenase, mitochondrial</t>
  </si>
  <si>
    <t>U2 small nuclear ribonucleoprotein A</t>
  </si>
  <si>
    <t>Cytochrome c oxidase subunit 6C</t>
  </si>
  <si>
    <t>Poly [ADP-ribose] polymerase 1</t>
  </si>
  <si>
    <t>Ubiquitin carboxyl-terminal hydrolase isozyme L1</t>
  </si>
  <si>
    <t>Leukotriene A-4 hydrolase</t>
  </si>
  <si>
    <t>Fructose-bisphosphate aldolase C</t>
  </si>
  <si>
    <t>CDGSH iron-sulfur domain-containing protein 3, mitochondrial</t>
  </si>
  <si>
    <t>Ataxin-1-like</t>
  </si>
  <si>
    <t>Isoform 2 of DNA-directed RNA polymerase II subunit GRINL1A</t>
  </si>
  <si>
    <t>Chromosome transmission fidelity protein 8 homolog isoform 2</t>
  </si>
  <si>
    <t>Thymosin beta-15B</t>
  </si>
  <si>
    <t>40S ribosomal protein S17-like</t>
  </si>
  <si>
    <t>Small integral membrane protein 13</t>
  </si>
  <si>
    <t>Adrenodoxin, mitochondrial</t>
  </si>
  <si>
    <t>Isoform 3 of 60 kDa SS-A/Ro ribonucleoprotein</t>
  </si>
  <si>
    <t>Cytochrome c oxidase subunit 8A, mitochondrial</t>
  </si>
  <si>
    <t>Lysosomal alpha-glucosidase</t>
  </si>
  <si>
    <t>Ras-related protein R-Ras</t>
  </si>
  <si>
    <t>Serine/threonine-protein kinase A-Raf</t>
  </si>
  <si>
    <t>Isoform 2 of Receptor-type tyrosine-protein phosphatase F</t>
  </si>
  <si>
    <t>Nuclear receptor subfamily 2 group F member 6</t>
  </si>
  <si>
    <t>Thioredoxin</t>
  </si>
  <si>
    <t>Cytochrome c oxidase subunit 5B, mitochondrial</t>
  </si>
  <si>
    <t>Lysosomal protective protein</t>
  </si>
  <si>
    <t>Microtubule-associated protein tau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</si>
  <si>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</si>
  <si>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</si>
  <si>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</si>
  <si>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</si>
  <si>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Isoform 4 of Clusterin</t>
  </si>
  <si>
    <t>78 kDa glucose-regulated protein</t>
  </si>
  <si>
    <t>Laminin subunit gamma-1</t>
  </si>
  <si>
    <t>Isoform 3 of Microtubule-associated protein 2</t>
  </si>
  <si>
    <t>Heat shock cognate 71 kDa protein</t>
  </si>
  <si>
    <t>Solute carrier family 2, facilitated glucose transporter member 1</t>
  </si>
  <si>
    <t>Protein 4.1</t>
  </si>
  <si>
    <t>Isoform 2 of Protein 4.1</t>
  </si>
  <si>
    <t>Uridine 5-monophosphate synthase</t>
  </si>
  <si>
    <t>Isoform 2 of Pyruvate dehydrogenase E1 component subunit beta, mitochondrial</t>
  </si>
  <si>
    <t>Glycogen phosphorylase, brain form</t>
  </si>
  <si>
    <t>Ras-related protein Ral-A</t>
  </si>
  <si>
    <t>Ras-related protein Ral-B</t>
  </si>
  <si>
    <t>Isoform 2 of Breakpoint cluster region protein</t>
  </si>
  <si>
    <t>Lysosome-associated membrane glycoprotein 1</t>
  </si>
  <si>
    <t>DNA topoisomerase 1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</si>
  <si>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</si>
  <si>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</si>
  <si>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</si>
  <si>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</si>
  <si>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</si>
  <si>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</si>
  <si>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</si>
  <si>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Ribose-phosphate pyrophosphokinase 2</t>
  </si>
  <si>
    <t>Polyadenylate-binding protein 1</t>
  </si>
  <si>
    <t>Proliferating cell nuclear antigen</t>
  </si>
  <si>
    <t>Histidine--tRNA ligase, cytoplasmic</t>
  </si>
  <si>
    <t>Collagen alpha-1(VI) chain</t>
  </si>
  <si>
    <t>ADP/ATP translocase 1</t>
  </si>
  <si>
    <t>ADP/ATP translocase 3</t>
  </si>
  <si>
    <t>Nucleoprotein TPR</t>
  </si>
  <si>
    <t>Creatine kinase B-type</t>
  </si>
  <si>
    <t>Annexin A3</t>
  </si>
  <si>
    <t>Creatine kinase U-type, mitochondrial</t>
  </si>
  <si>
    <t>Isoform 2 of Alpha-actinin-1</t>
  </si>
  <si>
    <t>Myosin-1</t>
  </si>
  <si>
    <t>Proto-oncogene tyrosine-protein kinase Src</t>
  </si>
  <si>
    <t>Isoform 3 of Xaa-Pro dipeptidase</t>
  </si>
  <si>
    <t>X-ray repair cross-complementing protein 6</t>
  </si>
  <si>
    <t>X-ray repair cross-complementing protein 5</t>
  </si>
  <si>
    <t>Uracil-DNA glycosylase</t>
  </si>
  <si>
    <t>Nuclear receptor subfamily 2 group C member 1</t>
  </si>
  <si>
    <t>Cytochrome c oxidase subunit 4 isoform 1, mitochondrial</t>
  </si>
  <si>
    <t>5-aminolevulinate synthase, nonspecific, mitochondrial</t>
  </si>
  <si>
    <t>Ribonuclease inhibitor</t>
  </si>
  <si>
    <t>Cytochrome b-245 light chain</t>
  </si>
  <si>
    <t>Isoform 2 of Neural cell adhesion molecule 1</t>
  </si>
  <si>
    <t>Integrin alpha-4</t>
  </si>
  <si>
    <t>Elongation factor 2</t>
  </si>
  <si>
    <t>Protein disulfide-isomerase A4</t>
  </si>
  <si>
    <t>Isoform 2 of Prolyl 4-hydroxylase subunit alpha-1</t>
  </si>
  <si>
    <t>Translationally-controlled tumor protein</t>
  </si>
  <si>
    <t>Plastin-3</t>
  </si>
  <si>
    <t>Electron transfer flavoprotein subunit alpha, mitochondrial</t>
  </si>
  <si>
    <t>cAMP-dependent protein kinase type II-alpha regulatory subunit</t>
  </si>
  <si>
    <t>General transcription factor IIF subunit 2</t>
  </si>
  <si>
    <t>Bifunctional methylenetetrahydrofolate dehydrogenase/cyclohydrolase, mitochondrial</t>
  </si>
  <si>
    <t>Macrophage migration inhibitory factor</t>
  </si>
  <si>
    <t>Isoform 3 of CD99 antigen</t>
  </si>
  <si>
    <t>Isoform 2 of Farnesyl pyrophosphate synthase</t>
  </si>
  <si>
    <t>Alcohol dehydrogenase [NADP(+)]</t>
  </si>
  <si>
    <t>Pyruvate kinase isozymes M1/M2</t>
  </si>
  <si>
    <t>Isoform M1 of Pyruvate kinase isozymes M1/M2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</si>
  <si>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</si>
  <si>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</si>
  <si>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</si>
  <si>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</si>
  <si>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</si>
  <si>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</si>
  <si>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</si>
  <si>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</si>
  <si>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Junction plakoglobin</t>
  </si>
  <si>
    <t>Cytochrome b-c1 complex subunit 7</t>
  </si>
  <si>
    <t>Glutamine synthetase</t>
  </si>
  <si>
    <t>Aldose reductase</t>
  </si>
  <si>
    <t>Isoform Gamma of Poliovirus receptor</t>
  </si>
  <si>
    <t>Isoform 2 of Eukaryotic peptide chain release factor GTP-binding subunit ERF3A</t>
  </si>
  <si>
    <t>Arylsulfatase A</t>
  </si>
  <si>
    <t>Ezrin</t>
  </si>
  <si>
    <t>Ubiquitin carboxyl-terminal hydrolase isozyme L3</t>
  </si>
  <si>
    <t>Isoform 3 of Membrane cofactor protein</t>
  </si>
  <si>
    <t>Nucleoside diphosphate kinase A</t>
  </si>
  <si>
    <t>Arylsulfatase B</t>
  </si>
  <si>
    <t>N-chimaerin</t>
  </si>
  <si>
    <t>Transcription factor E2-alpha</t>
  </si>
  <si>
    <t>Isoform E47 of Transcription factor E2-alpha</t>
  </si>
  <si>
    <t>Desmoplakin</t>
  </si>
  <si>
    <t>Replication protein A 32 kDa subunit</t>
  </si>
  <si>
    <t>Metalloproteinase inhibitor 2</t>
  </si>
  <si>
    <t>Carbonyl reductase [NADPH] 1</t>
  </si>
  <si>
    <t>Serine/threonine-protein phosphatase 2B catalytic subunit beta isoform</t>
  </si>
  <si>
    <t>Cytoplasmic protein NCK1</t>
  </si>
  <si>
    <t>GC-rich sequence DNA-binding factor 2</t>
  </si>
  <si>
    <t>Histone H1.2</t>
  </si>
  <si>
    <t>NADPH--cytochrome P450 reductase</t>
  </si>
  <si>
    <t>Isoform 3 of Tyrosine-protein kinase Fer</t>
  </si>
  <si>
    <t>Sarcoplasmic/endoplasmic reticulum calcium ATPase 2</t>
  </si>
  <si>
    <t>1-phosphatidylinositol 4,5-bisphosphate phosphodiesterase gamma-2</t>
  </si>
  <si>
    <t>Fumarylacetoacetase</t>
  </si>
  <si>
    <t>Y-box-binding protein 3</t>
  </si>
  <si>
    <t>Isoform 2 of Y-box-binding protein 3</t>
  </si>
  <si>
    <t>Zinc finger protein 24</t>
  </si>
  <si>
    <t>Alpha-N-acetylgalactosaminidase</t>
  </si>
  <si>
    <t>Heat shock 70 kDa protein 6</t>
  </si>
  <si>
    <t>Isoform HMG-Y of High mobility group protein HMG-I/HMG-Y</t>
  </si>
  <si>
    <t>Transmembrane protein 11, mitochondrial</t>
  </si>
  <si>
    <t>Aspartate aminotransferase, cytoplasmic</t>
  </si>
  <si>
    <t>Protein kinase C alpha type</t>
  </si>
  <si>
    <t>Homeobox protein Hox-B9</t>
  </si>
  <si>
    <t>Homeobox protein Hox-B6</t>
  </si>
  <si>
    <t>NADH dehydrogenase [ubiquinone] 1 beta subcomplex subunit 7</t>
  </si>
  <si>
    <t>cAMP-dependent protein kinase catalytic subunit alpha</t>
  </si>
  <si>
    <t>Calpain-2 catalytic subunit</t>
  </si>
  <si>
    <t>Neuromodulin</t>
  </si>
  <si>
    <t>Isoform PTPA of Tyrosine-protein phosphatase non-receptor type 2</t>
  </si>
  <si>
    <t>CTP synthase 1</t>
  </si>
  <si>
    <t>6-phosphofructokinase, liver type</t>
  </si>
  <si>
    <t>T-complex protein 1 subunit alpha</t>
  </si>
  <si>
    <t>Tyrosine-protein phosphatase non-receptor type 1</t>
  </si>
  <si>
    <t>Integrin beta-5</t>
  </si>
  <si>
    <t>60S ribosomal protein L7</t>
  </si>
  <si>
    <t>Isoform 1 of Vinculin</t>
  </si>
  <si>
    <t>Isoform E of Protein SON</t>
  </si>
  <si>
    <t>Negative elongation factor E</t>
  </si>
  <si>
    <t>Phosphoglycerate mutase 1</t>
  </si>
  <si>
    <t>Regulator of chromosome condensation</t>
  </si>
  <si>
    <t>Cyclic AMP-dependent transcription factor ATF-1</t>
  </si>
  <si>
    <t>DNA ligase 1</t>
  </si>
  <si>
    <t>ATP synthase-coupling factor 6, mitochondrial</t>
  </si>
  <si>
    <t>Cadherin-2</t>
  </si>
  <si>
    <t>Isoform 2 of 1-phosphatidylinositol 4,5-bisphosphate phosphodiesterase gamma-1</t>
  </si>
  <si>
    <t>Nucleolin</t>
  </si>
  <si>
    <t>DNA-directed RNA polymerase II subunit RPB3</t>
  </si>
  <si>
    <t>DNA-directed RNA polymerases I, II, and III subunit RPABC1</t>
  </si>
  <si>
    <t>Isoform 2 of Interferon-induced, double-stranded RNA-activated protein kinase</t>
  </si>
  <si>
    <t>Spermidine synthase</t>
  </si>
  <si>
    <t>Nuclear factor NF-kappa-B p105 subunit</t>
  </si>
  <si>
    <t>Isoform K of Plasma membrane calcium-transporting ATPase 1</t>
  </si>
  <si>
    <t>Eukaryotic translation initiation factor 2 subunit 2</t>
  </si>
  <si>
    <t>Cyclin-A2</t>
  </si>
  <si>
    <t>Transcription factor BTF3</t>
  </si>
  <si>
    <t>Isoform 2 of Transcription factor BTF3</t>
  </si>
  <si>
    <t>Ras-related protein Rab-3A</t>
  </si>
  <si>
    <t>Ras-related protein Rab-4A</t>
  </si>
  <si>
    <t>Ras-related protein Rab-6A</t>
  </si>
  <si>
    <t>DNA mismatch repair protein Msh3</t>
  </si>
  <si>
    <t>Proteasome subunit beta type-1</t>
  </si>
  <si>
    <t>Cation-dependent mannose-6-phosphate receptor</t>
  </si>
  <si>
    <t>Cytochrome c oxidase subunit 5A, mitochondrial</t>
  </si>
  <si>
    <t>Lamin-B1</t>
  </si>
  <si>
    <t>Isoform 5 of Calpastatin</t>
  </si>
  <si>
    <t>Parathymosin</t>
  </si>
  <si>
    <t>Glutathione S-transferase Mu 3</t>
  </si>
  <si>
    <t>V-type proton ATPase subunit B, brain isoform</t>
  </si>
  <si>
    <t>V-type proton ATPase subunit C 1</t>
  </si>
  <si>
    <t>Cytoplasmic aconitate hydratase</t>
  </si>
  <si>
    <t>Tumor necrosis factor alpha-induced protein 3</t>
  </si>
  <si>
    <t>Voltage-dependent anion-selective channel protein 1</t>
  </si>
  <si>
    <t>Succinate dehydrogenase [ubiquinone] iron-sulfur subunit, mitochondrial</t>
  </si>
  <si>
    <t>Isoform Soluble of Catechol O-methyltransferase</t>
  </si>
  <si>
    <t>Methylmalonyl-CoA mutase, mitochondrial</t>
  </si>
  <si>
    <t>Oxysterol-binding protein 1</t>
  </si>
  <si>
    <t>Trifunctional purine biosynthetic protein adenosine-3</t>
  </si>
  <si>
    <t>Multifunctional protein ADE2</t>
  </si>
  <si>
    <t>Isoform 7 of Non-specific lipid-transfer protein</t>
  </si>
  <si>
    <t>Ubiquitin-like modifier-activating enzyme 1</t>
  </si>
  <si>
    <t>Ectonucleotide pyrophosphatase/phosphodiesterase family member 1</t>
  </si>
  <si>
    <t>Galanin peptides</t>
  </si>
  <si>
    <t>Heterogeneous nuclear ribonucleoproteins A2/B1</t>
  </si>
  <si>
    <t>MHC class II regulatory factor RFX1</t>
  </si>
  <si>
    <t>E3 ubiquitin-protein ligase CBL</t>
  </si>
  <si>
    <t>Cytochrome b-c1 complex subunit 2, mitochondrial</t>
  </si>
  <si>
    <t>Ferrochelatase, mitochondrial</t>
  </si>
  <si>
    <t>DNA repair protein complementing XP-A cells</t>
  </si>
  <si>
    <t>Transcription elongation factor A protein 1</t>
  </si>
  <si>
    <t>Splicing factor, proline- and glutamine-rich</t>
  </si>
  <si>
    <t>Peptidyl-prolyl cis-trans isomerase B</t>
  </si>
  <si>
    <t>NAD-dependent malic enzyme, mitochondrial</t>
  </si>
  <si>
    <t>Glycine dehydrogenase [decarboxylating], mitochondrial</t>
  </si>
  <si>
    <t>Tryptophan--tRNA ligase, cytoplasmic</t>
  </si>
  <si>
    <t>40S ribosomal protein S3</t>
  </si>
  <si>
    <t>Glycine cleavage system H protein, mitochondrial</t>
  </si>
  <si>
    <t>Isoform 2 of Receptor-type tyrosine-protein phosphatase gamma</t>
  </si>
  <si>
    <t>Nuclear autoantigen Sp-100</t>
  </si>
  <si>
    <t>Colorectal mutant cancer protein</t>
  </si>
  <si>
    <t>Isoform Short of Nuclear transcription factor Y subunit alpha</t>
  </si>
  <si>
    <t>Adenosylhomocysteinase</t>
  </si>
  <si>
    <t>Histone H2B type 1-O</t>
  </si>
  <si>
    <t>Cofilin-1</t>
  </si>
  <si>
    <t>Eukaryotic translation initiation factor 4B</t>
  </si>
  <si>
    <t>Isoform XB of Plasma membrane calcium-transporting ATPase 4</t>
  </si>
  <si>
    <t>Carnitine O-palmitoyltransferase 2, mitochondrial</t>
  </si>
  <si>
    <t>Thymidylate kinase</t>
  </si>
  <si>
    <t>Ribonucleoside-diphosphate reductase large subunit</t>
  </si>
  <si>
    <t>Elongation factor 1-beta</t>
  </si>
  <si>
    <t>Low molecular weight phosphotyrosine protein phosphatase</t>
  </si>
  <si>
    <t>Acetyl-CoA acetyltransferase, mitochondrial</t>
  </si>
  <si>
    <t>DNA-directed RNA polymerase II subunit RPB1</t>
  </si>
  <si>
    <t>Isoform Short of Adenomatous polyposis coli protein</t>
  </si>
  <si>
    <t>Beta-adrenergic receptor kinase 1</t>
  </si>
  <si>
    <t>DNA replication licensing factor MCM3</t>
  </si>
  <si>
    <t>40S ribosomal protein S12</t>
  </si>
  <si>
    <t>Isoform 6 of Tumor necrosis factor receptor superfamily member 6</t>
  </si>
  <si>
    <t>Transcriptional repressor protein YY1</t>
  </si>
  <si>
    <t>DnaJ homolog subfamily B member 1</t>
  </si>
  <si>
    <t>ATP synthase subunit alpha, mitochondrial</t>
  </si>
  <si>
    <t>Proteasome subunit alpha type-1</t>
  </si>
  <si>
    <t>Proteasome subunit alpha type-2</t>
  </si>
  <si>
    <t>Isoform 2 of Proteasome subunit alpha type-3</t>
  </si>
  <si>
    <t>Proteasome subunit alpha type-4</t>
  </si>
  <si>
    <t>Protein S100-P</t>
  </si>
  <si>
    <t>Integrin alpha-3</t>
  </si>
  <si>
    <t>Moesin</t>
  </si>
  <si>
    <t>Probable ATP-dependent RNA helicase DDX6</t>
  </si>
  <si>
    <t>DNA (cytosine-5)-methyltransferase 1</t>
  </si>
  <si>
    <t>Isoform 2 of Splicing factor U2AF 65 kDa subunit</t>
  </si>
  <si>
    <t>60S ribosomal protein L13</t>
  </si>
  <si>
    <t>Rab proteins geranylgeranyltransferase component A 2</t>
  </si>
  <si>
    <t>Isovaleryl-CoA dehydrogenase, mitochondrial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</si>
  <si>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</si>
  <si>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</si>
  <si>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</si>
  <si>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</si>
  <si>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</si>
  <si>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</si>
  <si>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</si>
  <si>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14-3-3 protein theta</t>
  </si>
  <si>
    <t>Mitogen-activated protein kinase 3</t>
  </si>
  <si>
    <t>Isoform 3 of Aryl hydrocarbon receptor nuclear translocator</t>
  </si>
  <si>
    <t>60S ribosomal protein L10</t>
  </si>
  <si>
    <t>Replication protein A 70 kDa DNA-binding subunit</t>
  </si>
  <si>
    <t>Calreticulin</t>
  </si>
  <si>
    <t>Calnexin</t>
  </si>
  <si>
    <t>Proteasome subunit alpha type-5</t>
  </si>
  <si>
    <t>Proteasome subunit beta type-4</t>
  </si>
  <si>
    <t>Proteasome subunit beta type-6</t>
  </si>
  <si>
    <t>Proteasome subunit beta type-5</t>
  </si>
  <si>
    <t>Tropomodulin-1</t>
  </si>
  <si>
    <t>Isoform 4 of NADH-ubiquinone oxidoreductase 75 kDa subunit, mitochondrial</t>
  </si>
  <si>
    <t>Mitogen-activated protein kinase 1</t>
  </si>
  <si>
    <t>DNA repair protein complementing XP-G cells</t>
  </si>
  <si>
    <t>Granulins</t>
  </si>
  <si>
    <t>Isoform 2 of Cytosol aminopeptidase</t>
  </si>
  <si>
    <t>Transcription initiation factor IIE subunit beta</t>
  </si>
  <si>
    <t>Inositol monophosphatase 1</t>
  </si>
  <si>
    <t>Ephrin type-A receptor 2</t>
  </si>
  <si>
    <t>Isoform 7 of SHC-transforming protein 1</t>
  </si>
  <si>
    <t>Isoform 4 of DNA-3-methyladenine glycosylase</t>
  </si>
  <si>
    <t>Cellular retinoic acid-binding protein 2</t>
  </si>
  <si>
    <t>Transketolase</t>
  </si>
  <si>
    <t>Protein PML</t>
  </si>
  <si>
    <t>Myristoylated alanine-rich C-kinase substrate</t>
  </si>
  <si>
    <t>Guanine nucleotide-binding protein subunit alpha-11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</si>
  <si>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</si>
  <si>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</si>
  <si>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</si>
  <si>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</si>
  <si>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</si>
  <si>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</si>
  <si>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</si>
  <si>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</si>
  <si>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</si>
  <si>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</si>
  <si>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</si>
  <si>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</si>
  <si>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</si>
  <si>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</si>
  <si>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Wee1-like protein kinase</t>
  </si>
  <si>
    <t>Isoform 2 of M-phase inducer phosphatase 3</t>
  </si>
  <si>
    <t>Peptidyl-prolyl cis-trans isomerase F, mitochondrial</t>
  </si>
  <si>
    <t>Glycylpeptide N-tetradecanoyltransferase 1</t>
  </si>
  <si>
    <t>Heme oxygenase 2</t>
  </si>
  <si>
    <t>Adenylosuccinate synthetase isozyme 2</t>
  </si>
  <si>
    <t>Alpha-2-macroglobulin receptor-associated protein</t>
  </si>
  <si>
    <t>Adenylosuccinate lyase</t>
  </si>
  <si>
    <t>Isoform L-type of Pyruvate kinase isozymes R/L</t>
  </si>
  <si>
    <t>Isoform 2 of CAP-Gly domain-containing linker protein 1</t>
  </si>
  <si>
    <t>Leukocyte elastase inhibitor</t>
  </si>
  <si>
    <t>High affinity cationic amino acid transporter 1</t>
  </si>
  <si>
    <t>Aldehyde dehydrogenase X, mitochondrial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</si>
  <si>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</si>
  <si>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</si>
  <si>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</si>
  <si>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</si>
  <si>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II-beta regulatory subunit</t>
  </si>
  <si>
    <t>Carbamoyl-phosphate synthase [ammonia], mitochondrial</t>
  </si>
  <si>
    <t>Ribonucleoside-diphosphate reductase subunit M2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</si>
  <si>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</si>
  <si>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</si>
  <si>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</si>
  <si>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</si>
  <si>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</si>
  <si>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</si>
  <si>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</si>
  <si>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14-3-3 protein beta/alpha</t>
  </si>
  <si>
    <t>Isoform 2 of 14-3-3 protein sigma</t>
  </si>
  <si>
    <t>Stress-induced-phosphoprotein 1</t>
  </si>
  <si>
    <t>Protein S100-A11</t>
  </si>
  <si>
    <t>Isoform 3 of Type II inositol 1,4,5-trisphosphate 5-phosphatase</t>
  </si>
  <si>
    <t>Peroxiredoxin-2</t>
  </si>
  <si>
    <t>Isoform 5 of Beta-arrestin-2</t>
  </si>
  <si>
    <t>Isoform 2 of Deoxycytidylate deaminase</t>
  </si>
  <si>
    <t>Isoform 2 of ETS-related transcription factor Elf-1</t>
  </si>
  <si>
    <t>Cystathionine gamma-lyase</t>
  </si>
  <si>
    <t>Isoform 2 of Long-chain-fatty-acid--CoA ligase 1</t>
  </si>
  <si>
    <t>Kinesin-1 heavy chain</t>
  </si>
  <si>
    <t>Isoform 2 of Cleavage stimulation factor subunit 2</t>
  </si>
  <si>
    <t>Deoxyuridine 5-triphosphate nucleotidohydrolase, mitochondrial</t>
  </si>
  <si>
    <t>Isoform 2 of Deoxyuridine 5-triphosphate nucleotidohydrolase, mitochondrial</t>
  </si>
  <si>
    <t>Isoform 7 of Multidrug resistance-associated protein 1</t>
  </si>
  <si>
    <t>Cyclin-dependent kinases regulatory subunit 2</t>
  </si>
  <si>
    <t>Mannosyl-oligosaccharide 1,2-alpha-mannosidase IA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</si>
  <si>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</si>
  <si>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</si>
  <si>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</si>
  <si>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</si>
  <si>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Isoform 2 of Serine hydroxymethyltransferase, cytosolic</t>
  </si>
  <si>
    <t>Isoform 3 of Serine hydroxymethyltransferase, mitochondrial</t>
  </si>
  <si>
    <t>Heat shock 70 kDa protein 1-like</t>
  </si>
  <si>
    <t>Heat shock 70 kDa protein 4</t>
  </si>
  <si>
    <t>Mannose-6-phosphate isomerase</t>
  </si>
  <si>
    <t>Carbonic anhydrase-related protein</t>
  </si>
  <si>
    <t>Catenin alpha-1</t>
  </si>
  <si>
    <t>Prohibitin</t>
  </si>
  <si>
    <t>Serpin B6</t>
  </si>
  <si>
    <t>Isoform 5 of Merlin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</si>
  <si>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</si>
  <si>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</si>
  <si>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</si>
  <si>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</si>
  <si>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</si>
  <si>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</si>
  <si>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</si>
  <si>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</si>
  <si>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Cystathionine beta-synthase</t>
  </si>
  <si>
    <t>Glycogen debranching enzyme</t>
  </si>
  <si>
    <t>Myosin-9</t>
  </si>
  <si>
    <t>Myosin-10</t>
  </si>
  <si>
    <t>Coatomer subunit beta</t>
  </si>
  <si>
    <t>Isoform 2 of Alpha-adducin</t>
  </si>
  <si>
    <t>Beta-adducin</t>
  </si>
  <si>
    <t>Isoform 2 of Basigin</t>
  </si>
  <si>
    <t>Isoform Short of RNA-binding protein FUS</t>
  </si>
  <si>
    <t>Isoform 2 of Nuclear pore complex protein Nup214</t>
  </si>
  <si>
    <t>Protein DEK</t>
  </si>
  <si>
    <t>Glutaredoxin-1</t>
  </si>
  <si>
    <t>Isoform 2 of Choline kinase alpha</t>
  </si>
  <si>
    <t>Protein phosphatase 1A</t>
  </si>
  <si>
    <t>26S protease regulatory subunit 7</t>
  </si>
  <si>
    <t>ADP-ribosylation factor-like protein 2</t>
  </si>
  <si>
    <t>ADP-ribosylation factor-like protein 3</t>
  </si>
  <si>
    <t>Isoform Gamma of E3 ubiquitin-protein ligase TRIM23</t>
  </si>
  <si>
    <t>Dual specificity mitogen-activated protein kinase kinase 2</t>
  </si>
  <si>
    <t>ATP synthase subunit gamma, mitochondrial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</si>
  <si>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</si>
  <si>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</si>
  <si>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</si>
  <si>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</si>
  <si>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Phosphoglucomutase-1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</si>
  <si>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</si>
  <si>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</si>
  <si>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</si>
  <si>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Isoform Cytoplasmic of Phospholipid hydroperoxide glutathione peroxidase, mitochondrial</t>
  </si>
  <si>
    <t>Signal recognition particle 14 kDa protein</t>
  </si>
  <si>
    <t>Squalene synthase</t>
  </si>
  <si>
    <t>Isoform 3 of Phosphatidylinositol N-acetylglucosaminyltransferase subunit A</t>
  </si>
  <si>
    <t>Transgelin-2</t>
  </si>
  <si>
    <t>Transaldolase</t>
  </si>
  <si>
    <t>Electron transfer flavoprotein subunit beta</t>
  </si>
  <si>
    <t>Coilin</t>
  </si>
  <si>
    <t>Vitamin K-dependent gamma-carboxylase</t>
  </si>
  <si>
    <t>V-type proton ATPase catalytic subunit A</t>
  </si>
  <si>
    <t>Stress-70 protein, mitochondrial</t>
  </si>
  <si>
    <t>Eukaryotic initiation factor 4A-III</t>
  </si>
  <si>
    <t>40S ribosomal protein S19</t>
  </si>
  <si>
    <t>Dolichyl-diphosphooligosaccharide--protein glycosyltransferase 48 kDa subunit</t>
  </si>
  <si>
    <t>Acidic leucine-rich nuclear phosphoprotein 32 family member A</t>
  </si>
  <si>
    <t>Flap endonuclease 1</t>
  </si>
  <si>
    <t>Isoform 3 of Homeobox protein cut-like 1</t>
  </si>
  <si>
    <t>Isoform 2 of Macrophage-capping protein</t>
  </si>
  <si>
    <t>Isoform 3 of Interleukin-6 receptor subunit beta</t>
  </si>
  <si>
    <t>Alpha-taxilin</t>
  </si>
  <si>
    <t>T-complex protein 1 subunit zeta</t>
  </si>
  <si>
    <t>Isoform 3 of Von Hippel-Lindau disease tumor suppressor</t>
  </si>
  <si>
    <t>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</si>
  <si>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</si>
  <si>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</si>
  <si>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</si>
  <si>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</si>
  <si>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Isoform 2 of Replication factor C subunit 3</t>
  </si>
  <si>
    <t>Trifunctional enzyme subunit alpha, mitochondrial</t>
  </si>
  <si>
    <t>Eukaryotic translation initiation factor 2 subunit 3</t>
  </si>
  <si>
    <t>Centrin-2</t>
  </si>
  <si>
    <t>Peripherin</t>
  </si>
  <si>
    <t>Protein BUD31 homolog</t>
  </si>
  <si>
    <t>Isoform 2 of N-alpha-acetyltransferase 10</t>
  </si>
  <si>
    <t>Isoform 2 of Lysine-specific demethylase 5C</t>
  </si>
  <si>
    <t>Protein phosphatase inhibitor 2</t>
  </si>
  <si>
    <t>Tyrosine-protein kinase CSK</t>
  </si>
  <si>
    <t>Glycine--tRNA ligase</t>
  </si>
  <si>
    <t>Folate transporter 1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</si>
  <si>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</si>
  <si>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</si>
  <si>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</si>
  <si>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</si>
  <si>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</si>
  <si>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</si>
  <si>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Isoform Gamma of 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</si>
  <si>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</si>
  <si>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</si>
  <si>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</si>
  <si>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</si>
  <si>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Serine/threonine-protein kinase mTOR</t>
  </si>
  <si>
    <t>Caspase-3</t>
  </si>
  <si>
    <t>Caspase-2</t>
  </si>
  <si>
    <t>40S ribosomal protein S27</t>
  </si>
  <si>
    <t>Isoform 6 of Abelson tyrosine-protein kinase 2</t>
  </si>
  <si>
    <t>Leukemia inhibitory factor receptor</t>
  </si>
  <si>
    <t>Leucine-rich PPR motif-containing protein, mitochondrial</t>
  </si>
  <si>
    <t>3-ketoacyl-CoA thiolase, mitochondrial</t>
  </si>
  <si>
    <t>Cyclin-dependent kinase inhibitor 2A, isoforms 1/2/3</t>
  </si>
  <si>
    <t>Cyclin-dependent kinase 4 inhibitor C</t>
  </si>
  <si>
    <t>Lysosomal Pro-X carboxypeptidase</t>
  </si>
  <si>
    <t>Isoform 2 of Excitatory amino acid transporter 1</t>
  </si>
  <si>
    <t>Neutral amino acid transporter A</t>
  </si>
  <si>
    <t>Platelet-activating factor acetylhydrolase IB subunit alpha</t>
  </si>
  <si>
    <t>Cell surface glycoprotein MUC18</t>
  </si>
  <si>
    <t>Isoform 2 of Carnitine O-acetyltransferase</t>
  </si>
  <si>
    <t>DNA mismatch repair protein Msh2</t>
  </si>
  <si>
    <t>Isoform GRK6B of G protein-coupled receptor kinase 6</t>
  </si>
  <si>
    <t>Glycerol-3-phosphate dehydrogenase, mitochondrial</t>
  </si>
  <si>
    <t>Tyrosine-protein phosphatase non-receptor type 9</t>
  </si>
  <si>
    <t>Isoform Short of Tyrosine-protein kinase SYK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</si>
  <si>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</si>
  <si>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</si>
  <si>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</si>
  <si>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</si>
  <si>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</si>
  <si>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Isoform 2 of 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</si>
  <si>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</si>
  <si>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</si>
  <si>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</si>
  <si>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</si>
  <si>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Beta-1 of Mitogen-activated protein kinase 9</t>
  </si>
  <si>
    <t>Dual specificity mitogen-activated protein kinase kinase 4</t>
  </si>
  <si>
    <t>Antigen KI-67</t>
  </si>
  <si>
    <t>Isoform Short of Antigen KI-67</t>
  </si>
  <si>
    <t>Phosphorylase b kinase regulatory subunit alpha, liver isoform</t>
  </si>
  <si>
    <t>Ran GTPase-activating protein 1</t>
  </si>
  <si>
    <t>ATP-dependent DNA helicase Q1</t>
  </si>
  <si>
    <t>Isoform 2 of Putative ribosomal RNA methyltransferase NOP2</t>
  </si>
  <si>
    <t>Adapter molecule crk</t>
  </si>
  <si>
    <t>Crk-like protein</t>
  </si>
  <si>
    <t>Translation initiation factor IF-2, mitochondrial</t>
  </si>
  <si>
    <t>Neurogenic locus notch homolog protein 1</t>
  </si>
  <si>
    <t>Dual specificity mitogen-activated protein kinase kinase 3</t>
  </si>
  <si>
    <t>Isoform 1 of Lys-63-specific deubiquitinase BRCC36</t>
  </si>
  <si>
    <t>60S ribosomal protein L5</t>
  </si>
  <si>
    <t>60S ribosomal protein L21</t>
  </si>
  <si>
    <t>40S ribosomal protein S9</t>
  </si>
  <si>
    <t>40S ribosomal protein S10</t>
  </si>
  <si>
    <t>Microtubule-associated protein 1B</t>
  </si>
  <si>
    <t>Glucosamine-6-phosphate isomerase 1</t>
  </si>
  <si>
    <t>Yorkie homolog</t>
  </si>
  <si>
    <t>Isoform 2 of Yorkie homolog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</si>
  <si>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</si>
  <si>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</si>
  <si>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</si>
  <si>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</si>
  <si>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</si>
  <si>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Cytosolic phospholipase A2</t>
  </si>
  <si>
    <t>F-actin-capping protein subunit alpha-2</t>
  </si>
  <si>
    <t>Isoform 2 of F-actin-capping protein subunit beta</t>
  </si>
  <si>
    <t>Eukaryotic translation initiation factor 1A, X-chromosomal</t>
  </si>
  <si>
    <t>60S ribosomal protein L29</t>
  </si>
  <si>
    <t>DNA-binding protein inhibitor ID-4</t>
  </si>
  <si>
    <t>Zinc finger protein 36, C3H1 type-like 2</t>
  </si>
  <si>
    <t>Cytochrome b-c1 complex subunit Rieske, mitochondrial</t>
  </si>
  <si>
    <t>Isoform 3 of Sodium- and chloride-dependent creatine transporter 1</t>
  </si>
  <si>
    <t>ATP synthase subunit O, mitochondrial</t>
  </si>
  <si>
    <t>Inward rectifier potassium channel 4</t>
  </si>
  <si>
    <t>LIM and senescent cell antigen-like-containing domain protein 1</t>
  </si>
  <si>
    <t>Prolyl endopeptidase</t>
  </si>
  <si>
    <t>NADP-dependent malic enzyme</t>
  </si>
  <si>
    <t>Iron-responsive element-binding protein 2</t>
  </si>
  <si>
    <t>Coatomer subunit delta</t>
  </si>
  <si>
    <t>Isoform 3 of Lanosterol synthase</t>
  </si>
  <si>
    <t>Isoform 2 of Serine/threonine-protein phosphatase 2B catalytic subunit gamma isoform</t>
  </si>
  <si>
    <t>Glutamate--cysteine ligase catalytic subunit</t>
  </si>
  <si>
    <t>Glutamate--cysteine ligase regulatory subunit</t>
  </si>
  <si>
    <t>Protein PRRC2A</t>
  </si>
  <si>
    <t>Glutathione synthetase</t>
  </si>
  <si>
    <t>T-complex protein 1 subunit epsilon</t>
  </si>
  <si>
    <t>Nestin</t>
  </si>
  <si>
    <t>Heat shock 70 kDa protein 13</t>
  </si>
  <si>
    <t>Casein kinase I isoform alpha</t>
  </si>
  <si>
    <t>Isocitrate dehydrogenase [NADP], mitochondrial</t>
  </si>
  <si>
    <t>Phosphatidylinositol transfer protein beta isoform</t>
  </si>
  <si>
    <t>Protein NOV homolog</t>
  </si>
  <si>
    <t>Isoform 2 of CD97 antigen</t>
  </si>
  <si>
    <t>MARCKS-related protein</t>
  </si>
  <si>
    <t>Calcium signal-modulating cyclophilin ligand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</si>
  <si>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</si>
  <si>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</si>
  <si>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</si>
  <si>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</si>
  <si>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</si>
  <si>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Nuclear autoantigenic sperm protein</t>
  </si>
  <si>
    <t>Fatty acid synthase</t>
  </si>
  <si>
    <t>Protein farnesyltransferase/geranylgeranyltransferase type-1 subunit alpha</t>
  </si>
  <si>
    <t>Protein farnesyltransferase subunit beta</t>
  </si>
  <si>
    <t>Deoxyhypusine synthase</t>
  </si>
  <si>
    <t>T-complex protein 1 subunit gamma</t>
  </si>
  <si>
    <t>Elongation factor Tu, mitochondrial</t>
  </si>
  <si>
    <t>Isoform 2 of Alpha-aminoadipic semialdehyde dehydrogenase</t>
  </si>
  <si>
    <t>Ubiquitin-conjugating enzyme E2 R1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</si>
  <si>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</si>
  <si>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</si>
  <si>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</si>
  <si>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</si>
  <si>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</si>
  <si>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</si>
  <si>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Protein phosphatase 1F</t>
  </si>
  <si>
    <t>DNA primase small subunit</t>
  </si>
  <si>
    <t>DNA primase large subunit</t>
  </si>
  <si>
    <t>Casein kinase I isoform epsilon</t>
  </si>
  <si>
    <t>Proteasome subunit beta type-2</t>
  </si>
  <si>
    <t>DNA replication licensing factor MCM2</t>
  </si>
  <si>
    <t>Isoform 2 of Very long-chain specific acyl-CoA dehydrogenase, mitochondrial</t>
  </si>
  <si>
    <t>Isoform 3 of YLP motif-containing protein 1</t>
  </si>
  <si>
    <t>Transmembrane emp24 domain-containing protein 10</t>
  </si>
  <si>
    <t>RNA-binding protein 25</t>
  </si>
  <si>
    <t>Isoform 4 of Protein numb homolog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</si>
  <si>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</si>
  <si>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</si>
  <si>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</si>
  <si>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</si>
  <si>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Glycogen synthase kinase-3 alpha</t>
  </si>
  <si>
    <t>Glycogen synthase kinase-3 beta</t>
  </si>
  <si>
    <t>Selenide, water dikinase 1</t>
  </si>
  <si>
    <t>5-formyltetrahydrofolate cyclo-ligase</t>
  </si>
  <si>
    <t>GMP synthase [glutamine-hydrolyzing]</t>
  </si>
  <si>
    <t>DNA ligase 3</t>
  </si>
  <si>
    <t>Double-strand break repair protein MRE11A</t>
  </si>
  <si>
    <t>Ketohexokinase</t>
  </si>
  <si>
    <t>Guanine nucleotide-binding protein G(q) subunit alpha</t>
  </si>
  <si>
    <t>Guanine nucleotide-binding protein G(I)/G(S)/G(O) subunit gamma-10</t>
  </si>
  <si>
    <t>Motor neuron and pancreas homeobox protein 1</t>
  </si>
  <si>
    <t>Sulfotransferase 1A3/1A4</t>
  </si>
  <si>
    <t>Sulfotransferase 1A1</t>
  </si>
  <si>
    <t>Protoporphyrinogen oxidase</t>
  </si>
  <si>
    <t>Emerin</t>
  </si>
  <si>
    <t>Isoform 2 of Carnitine O-palmitoyltransferase 1, liver isoform</t>
  </si>
  <si>
    <t>Serpin B8</t>
  </si>
  <si>
    <t>Serpin H1</t>
  </si>
  <si>
    <t>Hsc70-interacting protein</t>
  </si>
  <si>
    <t>Vasodilator-stimulated phosphoprotein</t>
  </si>
  <si>
    <t>Methionine aminopeptidase 2</t>
  </si>
  <si>
    <t>Bis(5-nucleosyl)-tetraphosphatase [asymmetrical]</t>
  </si>
  <si>
    <t>Biotin--protein ligase</t>
  </si>
  <si>
    <t>Kinetochore-associated protein 1</t>
  </si>
  <si>
    <t>Ras association domain-containing protein 2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</si>
  <si>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</si>
  <si>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</si>
  <si>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</si>
  <si>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</si>
  <si>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</si>
  <si>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</si>
  <si>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</si>
  <si>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</si>
  <si>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Rab-13</t>
  </si>
  <si>
    <t>Ras-related protein Rab-28</t>
  </si>
  <si>
    <t>Isoform Short of Ras-related protein Rab-27A</t>
  </si>
  <si>
    <t>Death-associated protein 1</t>
  </si>
  <si>
    <t>Isoform 2 of 28S ribosomal protein S29, mitochondrial</t>
  </si>
  <si>
    <t>Dual specificity protein phosphatase 3</t>
  </si>
  <si>
    <t>Matrix metalloproteinase-15</t>
  </si>
  <si>
    <t>Isoform 4 of RNA-binding protein Nova-1</t>
  </si>
  <si>
    <t>Isoform Short of 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</si>
  <si>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</si>
  <si>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</si>
  <si>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</si>
  <si>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</si>
  <si>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</si>
  <si>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</si>
  <si>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</si>
  <si>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</si>
  <si>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</si>
  <si>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Signal transducer and activator of transcription 5B</t>
  </si>
  <si>
    <t>Isoform 3 of H(+)/Cl(-) exchange transporter 3</t>
  </si>
  <si>
    <t>H(+)/Cl(-) exchange transporter 5</t>
  </si>
  <si>
    <t>Isoform 2 of H(+)/Cl(-) exchange transporter 7</t>
  </si>
  <si>
    <t>Vesicle-associated membrane protein 7</t>
  </si>
  <si>
    <t>Ribosomal protein S6 kinase alpha-3</t>
  </si>
  <si>
    <t>Hepatoma-derived growth factor</t>
  </si>
  <si>
    <t>Cyclin-H</t>
  </si>
  <si>
    <t>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</si>
  <si>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</si>
  <si>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</si>
  <si>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</si>
  <si>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</si>
  <si>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</si>
  <si>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</si>
  <si>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</si>
  <si>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DNA-directed RNA polymerase II subunit RPB11-a</t>
  </si>
  <si>
    <t>Rho GDP-dissociation inhibitor 1</t>
  </si>
  <si>
    <t>Low affinity cationic amino acid transporter 2</t>
  </si>
  <si>
    <t>Heterogeneous nuclear ribonucleoprotein F</t>
  </si>
  <si>
    <t>Isoform 2 of Signal transducer and activator of transcription 2</t>
  </si>
  <si>
    <t>Transcription initiation factor IIA subunit 2</t>
  </si>
  <si>
    <t>DNA mismatch repair protein Msh6</t>
  </si>
  <si>
    <t>Kinesin-like protein KIF11</t>
  </si>
  <si>
    <t>Isoform 3 of Guanine nucleotide exchange factor VAV2</t>
  </si>
  <si>
    <t>Ribonuclease UK114</t>
  </si>
  <si>
    <t>Spermine synthase</t>
  </si>
  <si>
    <t>Ephrin-B2</t>
  </si>
  <si>
    <t>39S ribosomal protein L12, mitochondrial</t>
  </si>
  <si>
    <t>Thimet oligopeptidase</t>
  </si>
  <si>
    <t>F-actin-capping protein subunit alpha-1</t>
  </si>
  <si>
    <t>Cysteine-rich protein 2</t>
  </si>
  <si>
    <t>Biliverdin reductase A</t>
  </si>
  <si>
    <t>Tricarboxylate transport protein, mitochondrial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</si>
  <si>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</si>
  <si>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</si>
  <si>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</si>
  <si>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</si>
  <si>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</si>
  <si>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</si>
  <si>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</si>
  <si>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</si>
  <si>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</si>
  <si>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</si>
  <si>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Coatomer subunit alpha</t>
  </si>
  <si>
    <t>Dipeptidyl peptidase 1</t>
  </si>
  <si>
    <t>Cytochrome c-type heme lyase</t>
  </si>
  <si>
    <t>Mitogen-activated protein kinase 12</t>
  </si>
  <si>
    <t>Sodium/myo-inositol cotransporter</t>
  </si>
  <si>
    <t>DNA-directed RNA polymerases I, II, and III subunit RPABC4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</si>
  <si>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</si>
  <si>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</si>
  <si>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</si>
  <si>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</si>
  <si>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</si>
  <si>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Arginine--tRNA ligase, cytoplasmic</t>
  </si>
  <si>
    <t>Atrophin-1</t>
  </si>
  <si>
    <t>Isoform 4 of Voltage-dependent calcium channel subunit alpha-2/delta-1</t>
  </si>
  <si>
    <t>Myomesin-2</t>
  </si>
  <si>
    <t>Tyrosine--tRNA ligase, cytoplasmic</t>
  </si>
  <si>
    <t>Isoform 2 of Ubiquitin carboxyl-terminal hydrolase 14</t>
  </si>
  <si>
    <t>Isoform 2 of 5-AMP-activated protein kinase subunit gamma-1</t>
  </si>
  <si>
    <t>5-AMP-activated protein kinase catalytic subunit alpha-2</t>
  </si>
  <si>
    <t>Heat shock-related 70 kDa protein 2</t>
  </si>
  <si>
    <t>Branched-chain-amino-acid aminotransferase, cytosolic</t>
  </si>
  <si>
    <t>Potassium-transporting ATPase alpha chain 2</t>
  </si>
  <si>
    <t>Sodium/potassium-transporting ATPase subunit beta-3</t>
  </si>
  <si>
    <t>UV excision repair protein RAD23 homolog B</t>
  </si>
  <si>
    <t>Alpha-N-acetylglucosaminidase</t>
  </si>
  <si>
    <t>Adenylate kinase 2, mitochondrial</t>
  </si>
  <si>
    <t>Growth arrest-specific protein 1</t>
  </si>
  <si>
    <t>Isoform Short of Delta-1-pyrroline-5-carboxylate synthase</t>
  </si>
  <si>
    <t>Alpha-soluble NSF attachment protein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</si>
  <si>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</si>
  <si>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</si>
  <si>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</si>
  <si>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</si>
  <si>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</si>
  <si>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</si>
  <si>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</si>
  <si>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Isoform 2 of Microfibril-associated glycoprotein 3</t>
  </si>
  <si>
    <t>Mesencephalic astrocyte-derived neurotrophic factor</t>
  </si>
  <si>
    <t>RNA polymerase II elongation factor ELL</t>
  </si>
  <si>
    <t>Isoform 4 of Caspase-7</t>
  </si>
  <si>
    <t>Caspase-6</t>
  </si>
  <si>
    <t>Isoform 2 of Adenosine kinase</t>
  </si>
  <si>
    <t>Laminin subunit beta-2</t>
  </si>
  <si>
    <t>Isoform 2 of Tumor protein D52</t>
  </si>
  <si>
    <t>Protein SEC13 homolog</t>
  </si>
  <si>
    <t>Heterogeneous nuclear ribonucleoprotein H2</t>
  </si>
  <si>
    <t>Eukaryotic translation initiation factor 3 subunit B</t>
  </si>
  <si>
    <t>BH3-interacting domain death agonist</t>
  </si>
  <si>
    <t>NADH dehydrogenase [ubiquinone] flavoprotein 3, mitochondrial</t>
  </si>
  <si>
    <t>Isoform 2 of NADH dehydrogenase [ubiquinone] flavoprotein 3, mitochondrial</t>
  </si>
  <si>
    <t>Ribosomal RNA processing protein 1 homolog A</t>
  </si>
  <si>
    <t>Methionine--tRNA ligase, cytoplasmic</t>
  </si>
  <si>
    <t>Isoform 2 of Myc-associated zinc finger protein</t>
  </si>
  <si>
    <t>Cx9C motif-containing protein 4</t>
  </si>
  <si>
    <t>6.8 kDa mitochondrial proteolipid</t>
  </si>
  <si>
    <t>ATP synthase subunit e, mitochondrial</t>
  </si>
  <si>
    <t>Histone deacetylase 4</t>
  </si>
  <si>
    <t>Eukaryotic translation initiation factor 6</t>
  </si>
  <si>
    <t>Peroxisomal biogenesis factor 3</t>
  </si>
  <si>
    <t>Claudin-12</t>
  </si>
  <si>
    <t>Isoform 3 of 3-keto-steroid reductase</t>
  </si>
  <si>
    <t>Isoform 4 of Breast cancer anti-estrogen resistance protein 1</t>
  </si>
  <si>
    <t>Syntaxin-17</t>
  </si>
  <si>
    <t>Isoform C of Phosphatidylinositol N-acetylglucosaminyltransferase subunit P</t>
  </si>
  <si>
    <t>RWD domain-containing protein 2B</t>
  </si>
  <si>
    <t>Uncharacterized protein C21orf59</t>
  </si>
  <si>
    <t>Isoform 2 of tRNA (guanine-N(7)-)-methyltransferase subunit WDR4</t>
  </si>
  <si>
    <t>Transmembrane protein 33</t>
  </si>
  <si>
    <t>Synaptojanin-2-binding protein</t>
  </si>
  <si>
    <t>Isoform 3 of Coronin-7</t>
  </si>
  <si>
    <t>Nuclear pore complex protein Nup107</t>
  </si>
  <si>
    <t>Isoform 2 of Sorting nexin-16</t>
  </si>
  <si>
    <t>Selenocysteine-specific elongation factor</t>
  </si>
  <si>
    <t>Sestrin-2</t>
  </si>
  <si>
    <t>Sestrin-3</t>
  </si>
  <si>
    <t>Epiplakin</t>
  </si>
  <si>
    <t>Myotrophin</t>
  </si>
  <si>
    <t>Putative ribonuclease</t>
  </si>
  <si>
    <t>Actin-related protein 2/3 complex subunit 4</t>
  </si>
  <si>
    <t>Protein transport protein Sec61 subunit gamma</t>
  </si>
  <si>
    <t>Isoform 2 of 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</si>
  <si>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</si>
  <si>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</si>
  <si>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</si>
  <si>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Reactive oxygen species modulator 1</t>
  </si>
  <si>
    <t>Isoform 2 of Ubiquitin-conjugating enzyme E2 G2</t>
  </si>
  <si>
    <t>Actin, cytoplasmic 1</t>
  </si>
  <si>
    <t>Ras-related C3 botulinum toxin substrate 3</t>
  </si>
  <si>
    <t>Eukaryotic initiation factor 4A-I</t>
  </si>
  <si>
    <t>40S ribosomal protein S20</t>
  </si>
  <si>
    <t>Ribose-phosphate pyrophosphokinase 1</t>
  </si>
  <si>
    <t>26S proteasome complex subunit DSS1</t>
  </si>
  <si>
    <t>Protein S100-A10</t>
  </si>
  <si>
    <t>Cell division control protein 42 homolog</t>
  </si>
  <si>
    <t>Isoform 1 of 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</si>
  <si>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</si>
  <si>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</si>
  <si>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</si>
  <si>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</si>
  <si>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</si>
  <si>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</si>
  <si>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</si>
  <si>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</si>
  <si>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</si>
  <si>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</si>
  <si>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</si>
  <si>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</si>
  <si>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</si>
  <si>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</si>
  <si>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</si>
  <si>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</si>
  <si>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</si>
  <si>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</si>
  <si>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</si>
  <si>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</si>
  <si>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</si>
  <si>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</si>
  <si>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</si>
  <si>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60S ribosomal protein L26</t>
  </si>
  <si>
    <t>Proteasome activator complex subunit 3</t>
  </si>
  <si>
    <t>Protein mago nashi homolog</t>
  </si>
  <si>
    <t>Pterin-4-alpha-carbinolamine dehydratase</t>
  </si>
  <si>
    <t>Transforming protein RhoA</t>
  </si>
  <si>
    <t>Rho-related GTP-binding protein RhoE</t>
  </si>
  <si>
    <t>N-alpha-acetyltransferase 20</t>
  </si>
  <si>
    <t>10 kDa heat shock protein, mitochondrial</t>
  </si>
  <si>
    <t>Prefoldin subunit 3</t>
  </si>
  <si>
    <t>Syntaxin-binding protein 1</t>
  </si>
  <si>
    <t>cAMP-dependent protein kinase inhibitor alpha</t>
  </si>
  <si>
    <t>60S ribosomal protein L37</t>
  </si>
  <si>
    <t>Small ubiquitin-related modifier 2</t>
  </si>
  <si>
    <t>Isoform 2 of Ubiquitin-fold modifier 1</t>
  </si>
  <si>
    <t>DDB1- and CUL4-associated factor 7</t>
  </si>
  <si>
    <t>WD repeat-containing protein 5</t>
  </si>
  <si>
    <t>Nuclear transport factor 2</t>
  </si>
  <si>
    <t>Isoform 2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</si>
  <si>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</si>
  <si>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</si>
  <si>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</si>
  <si>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</si>
  <si>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</si>
  <si>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</si>
  <si>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26S protease regulatory subunit 4</t>
  </si>
  <si>
    <t>Isoform 2 of 26S protease regulatory subunit 8</t>
  </si>
  <si>
    <t>40S ribosomal protein S16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</si>
  <si>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</si>
  <si>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</si>
  <si>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</si>
  <si>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</si>
  <si>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</si>
  <si>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</si>
  <si>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</si>
  <si>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</si>
  <si>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</si>
  <si>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</si>
  <si>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</si>
  <si>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</si>
  <si>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</si>
  <si>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</si>
  <si>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</si>
  <si>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</si>
  <si>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</si>
  <si>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</si>
  <si>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</si>
  <si>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</si>
  <si>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</si>
  <si>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4 of Cellular nucleic acid-binding protein</t>
  </si>
  <si>
    <t>40S ribosomal protein S4, X isoform</t>
  </si>
  <si>
    <t>Serine/threonine-protein phosphatase 2A catalytic subunit beta isoform</t>
  </si>
  <si>
    <t>Rho-related GTP-binding protein RhoB</t>
  </si>
  <si>
    <t>60S ribosomal protein L23a</t>
  </si>
  <si>
    <t>40S ribosomal protein S6</t>
  </si>
  <si>
    <t>Histone H4</t>
  </si>
  <si>
    <t>Histone H2B type 1-C/E/F/G/I</t>
  </si>
  <si>
    <t>Ras-related protein Rab-1A</t>
  </si>
  <si>
    <t>60S ribosomal protein L23</t>
  </si>
  <si>
    <t>Ras-related protein Rap-1A</t>
  </si>
  <si>
    <t>Ubiquitin-conjugating enzyme E2 D2</t>
  </si>
  <si>
    <t>40S ribosomal protein S25</t>
  </si>
  <si>
    <t>40S ribosomal protein S26</t>
  </si>
  <si>
    <t>40S ribosomal protein S28</t>
  </si>
  <si>
    <t>Guanine nucleotide-binding protein G(I)/G(S)/G(T) subunit beta-1</t>
  </si>
  <si>
    <t>Guanine nucleotide-binding protein G(I)/G(S)/G(T) subunit beta-2</t>
  </si>
  <si>
    <t>60S ribosomal protein L30</t>
  </si>
  <si>
    <t>60S ribosomal protein L31</t>
  </si>
  <si>
    <t>60S ribosomal protein L10a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</si>
  <si>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</si>
  <si>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</si>
  <si>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</si>
  <si>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</si>
  <si>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Ubiquitin-60S ribosomal protein L40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</si>
  <si>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</si>
  <si>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</si>
  <si>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</si>
  <si>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</si>
  <si>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Guanine nucleotide-binding protein G(s) subunit alpha isoforms short</t>
  </si>
  <si>
    <t>Guanine nucleotide-binding protein G(i) subunit alpha-1</t>
  </si>
  <si>
    <t>14-3-3 protein zeta/delta</t>
  </si>
  <si>
    <t>Serine/threonine-protein phosphatase 2A 55 kDa regulatory subunit B alpha isoform</t>
  </si>
  <si>
    <t>Dynein light chain 1, cytoplasmic</t>
  </si>
  <si>
    <t>60S ribosomal protein L38</t>
  </si>
  <si>
    <t>Guanine nucleotide-binding protein G(I)/G(S)/G(O) subunit gamma-5</t>
  </si>
  <si>
    <t>40S ribosomal protein S21</t>
  </si>
  <si>
    <t>Eukaryotic translation initiation factor 5A-1</t>
  </si>
  <si>
    <t>Guanine nucleotide-binding protein subunit beta-2-like 1</t>
  </si>
  <si>
    <t>Transcription elongation factor SPT4</t>
  </si>
  <si>
    <t>Serine/threonine-protein phosphatase 2A catalytic subunit alpha isoform</t>
  </si>
  <si>
    <t>Nuclease-sensitive element-binding protein 1</t>
  </si>
  <si>
    <t>Tropomyosin alpha-4 chain</t>
  </si>
  <si>
    <t>Actin, alpha cardiac muscle 1</t>
  </si>
  <si>
    <t>Ubiquitin-conjugating enzyme E2 L3</t>
  </si>
  <si>
    <t>Elongation factor 1-alpha 1</t>
  </si>
  <si>
    <t>Peptidyl-prolyl cis-trans isomerase FKBP1B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</si>
  <si>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</si>
  <si>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</si>
  <si>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</si>
  <si>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</si>
  <si>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beta</t>
  </si>
  <si>
    <t>Hemoglobin subunit gamma-2</t>
  </si>
  <si>
    <t>Coxsackievirus and adenovirus receptor</t>
  </si>
  <si>
    <t>Immunoglobulin-binding protein 1</t>
  </si>
  <si>
    <t>Phosphoserine phosphatase</t>
  </si>
  <si>
    <t>Ribonuclease P protein subunit p30</t>
  </si>
  <si>
    <t>Isoform 2 of General transcription factor II-I</t>
  </si>
  <si>
    <t>T-complex protein 1 subunit beta</t>
  </si>
  <si>
    <t>mRNA export factor</t>
  </si>
  <si>
    <t>Glutathione S-transferase omega-1</t>
  </si>
  <si>
    <t>DNA-dependent protein kinase catalytic subunit</t>
  </si>
  <si>
    <t>Disintegrin and metalloproteinase domain-containing protein 17</t>
  </si>
  <si>
    <t>Biogenesis of lysosome-related organelles complex 1 subunit 1</t>
  </si>
  <si>
    <t>Arginase-2, mitochondrial</t>
  </si>
  <si>
    <t>Interferon-induced 35 kDa protein</t>
  </si>
  <si>
    <t>Metallothionein-1X</t>
  </si>
  <si>
    <t>Nucleobindin-2</t>
  </si>
  <si>
    <t>Brain acid soluble protein 1</t>
  </si>
  <si>
    <t>G-protein-signaling modulator 2</t>
  </si>
  <si>
    <t>TATA element modulatory factor</t>
  </si>
  <si>
    <t>28S ribosomal protein S10, mitochondrial</t>
  </si>
  <si>
    <t>28S ribosomal protein S36, mitochondrial</t>
  </si>
  <si>
    <t>28S ribosomal protein S34, mitochondrial</t>
  </si>
  <si>
    <t>28S ribosomal protein S6, mitochondrial</t>
  </si>
  <si>
    <t>SAP domain-containing ribonucleoprotein</t>
  </si>
  <si>
    <t>Conserved oligomeric Golgi complex subunit 7</t>
  </si>
  <si>
    <t>Neuron-specific calcium-binding protein hippocalcin</t>
  </si>
  <si>
    <t>ADP-ribosylation factor 1</t>
  </si>
  <si>
    <t>ADP-ribosylation factor 5</t>
  </si>
  <si>
    <t>Enhancer of rudimentary homolog</t>
  </si>
  <si>
    <t>Rho-related GTP-binding protein RhoG</t>
  </si>
  <si>
    <t>Small EDRK-rich factor 2</t>
  </si>
  <si>
    <t>Matrix-remodeling-associated protein 7</t>
  </si>
  <si>
    <t>Isoform 2 of Matrix-remodeling-associated protein 7</t>
  </si>
  <si>
    <t>Isoform 3 of Matrix-remodeling-associated protein 7</t>
  </si>
  <si>
    <t>Forkhead box protein K1</t>
  </si>
  <si>
    <t>Hydroxyacyl-thioester dehydratase type 2, mitochondrial</t>
  </si>
  <si>
    <t>Vacuolar fusion protein CCZ1 homolog</t>
  </si>
  <si>
    <t>Isoform 3 of Disabled homolog 2</t>
  </si>
  <si>
    <t>E3 ubiquitin-protein ligase XIAP</t>
  </si>
  <si>
    <t>Ephrin-B1</t>
  </si>
  <si>
    <t>Isoform 3 of Protein FAM3A</t>
  </si>
  <si>
    <t>Isoform 2 of RNA-binding protein 10</t>
  </si>
  <si>
    <t>Putative RNA-binding protein 3</t>
  </si>
  <si>
    <t>Isoform 2 of 55 kDa erythrocyte membrane protein</t>
  </si>
  <si>
    <t>Transcription factor A, mitochondrial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</si>
  <si>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</si>
  <si>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</si>
  <si>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</si>
  <si>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</si>
  <si>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</si>
  <si>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</si>
  <si>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</si>
  <si>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</si>
  <si>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</si>
  <si>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</si>
  <si>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</si>
  <si>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Sorbitol dehydrogenase</t>
  </si>
  <si>
    <t>Isoform Short of Heterogeneous nuclear ribonucleoprotein U</t>
  </si>
  <si>
    <t>Splicing factor U2AF 35 kDa subunit</t>
  </si>
  <si>
    <t>Spectrin beta chain, non-erythrocytic 1</t>
  </si>
  <si>
    <t>Isoform 2 of Nucleolysin TIAR</t>
  </si>
  <si>
    <t>Protein SET</t>
  </si>
  <si>
    <t>Forkhead box protein K2</t>
  </si>
  <si>
    <t>N-acetylgalactosamine kinase</t>
  </si>
  <si>
    <t>Isoform 2 of Adenylyl cyclase-associated protein 1</t>
  </si>
  <si>
    <t>Isoform 2 of Friend leukemia integration 1 transcription factor</t>
  </si>
  <si>
    <t>Hydroxymethylglutaryl-CoA synthase, cytoplasmic</t>
  </si>
  <si>
    <t>Large neutral amino acids transporter small subunit 1</t>
  </si>
  <si>
    <t>Protein Dr1</t>
  </si>
  <si>
    <t>6-phosphofructokinase type C</t>
  </si>
  <si>
    <t>Inositol polyphosphate 5-phosphatase OCRL-1</t>
  </si>
  <si>
    <t>1-phosphatidylinositol 4,5-bisphosphate phosphodiesterase beta-3</t>
  </si>
  <si>
    <t>Isoform RSRFC4 of Myocyte-specific enhancer factor 2A</t>
  </si>
  <si>
    <t>Isoform 2 of N-acylethanolamine-hydrolyzing acid amidase</t>
  </si>
  <si>
    <t>Isoform 2 of Transcription factor Sp2</t>
  </si>
  <si>
    <t>Dihydroorotate dehydrogenase (quinone), mitochondrial</t>
  </si>
  <si>
    <t>Protein kinase C epsilon type</t>
  </si>
  <si>
    <t>Kinesin-like protein KIF23</t>
  </si>
  <si>
    <t>Transcription factor Sp4</t>
  </si>
  <si>
    <t>Dual specificity mitogen-activated protein kinase kinase 1</t>
  </si>
  <si>
    <t>Isoform 2 of Angiopoietin-1 receptor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</si>
  <si>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</si>
  <si>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</si>
  <si>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</si>
  <si>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</si>
  <si>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Isoform 3 of A-kinase anchor protein 12</t>
  </si>
  <si>
    <t>Aminoacylase-1</t>
  </si>
  <si>
    <t>1,4-alpha-glucan-branching enzyme</t>
  </si>
  <si>
    <t>Isoform B of Eukaryotic translation initiation factor 4 gamma 1</t>
  </si>
  <si>
    <t>Neurogenic locus notch homolog protein 2</t>
  </si>
  <si>
    <t>Transducin-like enhancer protein 1</t>
  </si>
  <si>
    <t>Isoform 3 of Transducin-like enhancer protein 3</t>
  </si>
  <si>
    <t>Isoform 2 of Protein kinase C theta type</t>
  </si>
  <si>
    <t>Lactoylglutathione lyase</t>
  </si>
  <si>
    <t>Aldo-keto reductase family 1 member C1</t>
  </si>
  <si>
    <t>Single-stranded DNA-binding protein, mitochondrial</t>
  </si>
  <si>
    <t>14-3-3 protein eta</t>
  </si>
  <si>
    <t>Proteolipid protein 2</t>
  </si>
  <si>
    <t>Cleavage stimulation factor subunit 1</t>
  </si>
  <si>
    <t>Isoform III of Ubiquitin-protein ligase E3A</t>
  </si>
  <si>
    <t>Tyrosine-protein phosphatase non-receptor type 12</t>
  </si>
  <si>
    <t>Isoform 2 of Hormone-sensitive lipase</t>
  </si>
  <si>
    <t>Isoform 2 of Serine/arginine-rich splicing factor 11</t>
  </si>
  <si>
    <t>Elongation factor 1-alpha 2</t>
  </si>
  <si>
    <t>Protein kinase C delta type</t>
  </si>
  <si>
    <t>Isoform 4 of Caldesmon</t>
  </si>
  <si>
    <t>Isoform 5 of Caldesmon</t>
  </si>
  <si>
    <t>Tyrosine-protein phosphatase non-receptor type 11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</si>
  <si>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</si>
  <si>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</si>
  <si>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</si>
  <si>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</si>
  <si>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5 of Recombining binding protein suppressor of hairless</t>
  </si>
  <si>
    <t>Amyloid-like protein 2</t>
  </si>
  <si>
    <t>GA-binding protein alpha chain</t>
  </si>
  <si>
    <t>Isoform 2 of GA-binding protein subunit beta-1</t>
  </si>
  <si>
    <t>E3 ubiquitin-protein ligase RING1</t>
  </si>
  <si>
    <t>Isoform 3 of DNA repair protein RAD51 homolog 1</t>
  </si>
  <si>
    <t>Peroxiredoxin-1</t>
  </si>
  <si>
    <t>Complement component 1 Q subcomponent-binding protein, mitochondrial</t>
  </si>
  <si>
    <t>Cytoskeleton-associated protein 4</t>
  </si>
  <si>
    <t>Glutamyl aminopeptidase</t>
  </si>
  <si>
    <t>KH domain-containing, RNA-binding, signal transduction-associated protein 1</t>
  </si>
  <si>
    <t>Isoform Epsilon of Apoptosis regulator BAX</t>
  </si>
  <si>
    <t>Isoform 2 of Induced myeloid leukemia cell differentiation protein Mcl-1</t>
  </si>
  <si>
    <t>Isoform N of Kinesin light chain 1</t>
  </si>
  <si>
    <t>Prolow-density lipoprotein receptor-related protein 1</t>
  </si>
  <si>
    <t>Rho GTPase-activating protein 1</t>
  </si>
  <si>
    <t>Serine/arginine-rich splicing factor 4</t>
  </si>
  <si>
    <t>Isoform 2 of Serine/threonine-protein phosphatase 2B catalytic subunit alpha isoform</t>
  </si>
  <si>
    <t>ATP-dependent RNA helicase A</t>
  </si>
  <si>
    <t>Quinone oxidoreductase</t>
  </si>
  <si>
    <t>Isoform 2f of Voltage-dependent L-type calcium channel subunit beta-2</t>
  </si>
  <si>
    <t>Sodium-dependent phosphate transporter 2</t>
  </si>
  <si>
    <t>Isoform 2 of Golgin subfamily A member 3</t>
  </si>
  <si>
    <t>Golgin subfamily A member 2</t>
  </si>
  <si>
    <t>Peroxisomal bifunctional enzyme</t>
  </si>
  <si>
    <t>Isoform OA3-293 of Leukocyte surface antigen CD47</t>
  </si>
  <si>
    <t>Peptidyl-prolyl cis-trans isomerase D</t>
  </si>
  <si>
    <t>FACT complex subunit SSRP1</t>
  </si>
  <si>
    <t>Isoform 2 of Calmodulin-regulated spectrin-associated protein 2</t>
  </si>
  <si>
    <t>Mitotic-spindle organizing protein 1</t>
  </si>
  <si>
    <t>Protein VAC14 homolog</t>
  </si>
  <si>
    <t>KIAA0100 protein</t>
  </si>
  <si>
    <t>tRNA (cytosine(34)-C(5))-methyltransferase</t>
  </si>
  <si>
    <t>Isoform 3 of Histone-binding protein RBBP4</t>
  </si>
  <si>
    <t>Nuclear cap-binding protein subunit 1</t>
  </si>
  <si>
    <t>Histone acetyltransferase p300</t>
  </si>
  <si>
    <t>Neuroblast differentiation-associated protein AHNAK</t>
  </si>
  <si>
    <t>Heat shock 70 kDa protein 14</t>
  </si>
  <si>
    <t>Secernin-3</t>
  </si>
  <si>
    <t>Alpha-1,6-mannosyl-glycoprotein 2-beta-N-acetylglucosaminyltransferase</t>
  </si>
  <si>
    <t>Isoform B of AP-1 complex subunit beta-1</t>
  </si>
  <si>
    <t>Mitochondrial-processing peptidase subunit alpha</t>
  </si>
  <si>
    <t>Secernin-1</t>
  </si>
  <si>
    <t>Nuclear pore complex protein Nup160</t>
  </si>
  <si>
    <t>Transducin beta-like protein 3</t>
  </si>
  <si>
    <t>Twinfilin-1</t>
  </si>
  <si>
    <t>Isoform 10 of Aspartyl/asparaginyl beta-hydroxylase</t>
  </si>
  <si>
    <t>Cell division cycle protein 20 homolog</t>
  </si>
  <si>
    <t>Follistatin-related protein 1</t>
  </si>
  <si>
    <t>Syntaxin-4</t>
  </si>
  <si>
    <t>G-rich sequence factor 1</t>
  </si>
  <si>
    <t>Splicing factor, suppressor of white-apricot homolog</t>
  </si>
  <si>
    <t>Splicing factor 3A subunit 3</t>
  </si>
  <si>
    <t>Tumor suppressor p53-binding protein 1</t>
  </si>
  <si>
    <t>Transmembrane protein 115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</si>
  <si>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</si>
  <si>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</si>
  <si>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</si>
  <si>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</si>
  <si>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Epidermal growth factor receptor kinase substrate 8</t>
  </si>
  <si>
    <t>Isoform 3 of TNF receptor-associated factor 2</t>
  </si>
  <si>
    <t>Forkhead box protein C1</t>
  </si>
  <si>
    <t>Isoform 4 of Ankyrin-3</t>
  </si>
  <si>
    <t>Isoform 5 of Disks large homolog 1</t>
  </si>
  <si>
    <t>Transcription initiation factor TFIID subunit 10</t>
  </si>
  <si>
    <t>Unconventional myosin-Ie</t>
  </si>
  <si>
    <t>Nuclear inhibitor of protein phosphatase 1</t>
  </si>
  <si>
    <t>Isoform Beta of Nuclear inhibitor of protein phosphatase 1</t>
  </si>
  <si>
    <t>Vesicle transport protein SEC20</t>
  </si>
  <si>
    <t>Cleavage stimulation factor subunit 3</t>
  </si>
  <si>
    <t>Delta(3,5)-Delta(2,4)-dienoyl-CoA isomerase, mitochondrial</t>
  </si>
  <si>
    <t>Protein AF1q</t>
  </si>
  <si>
    <t>Isoform 2 of Rho GTPase-activating protein 5</t>
  </si>
  <si>
    <t>Isoform Alpha of Striatin-3</t>
  </si>
  <si>
    <t>Serine/threonine-protein kinase 4</t>
  </si>
  <si>
    <t>Isoform 2 of Protein flightless-1 homolog</t>
  </si>
  <si>
    <t>E3 ubiquitin-protein ligase TRIM32</t>
  </si>
  <si>
    <t>Bifunctional coenzyme A synthase</t>
  </si>
  <si>
    <t>COP9 signalosome complex subunit 1</t>
  </si>
  <si>
    <t>Isoform 2 of Chromatin assembly factor 1 subunit A</t>
  </si>
  <si>
    <t>Isoform 2 of Dual specificity protein phosphatase 4</t>
  </si>
  <si>
    <t>Protein Red</t>
  </si>
  <si>
    <t>S-methyl-5-thioadenosine phosphorylase</t>
  </si>
  <si>
    <t>5-AMP-activated protein kinase catalytic subunit alpha-1</t>
  </si>
  <si>
    <t>Isoform 2 of Liprin-alpha-1</t>
  </si>
  <si>
    <t>Isoform 4 of Calcium-binding and coiled-coil domain-containing protein 2</t>
  </si>
  <si>
    <t>TAR DNA-binding protein 43</t>
  </si>
  <si>
    <t>Heterogeneous nuclear ribonucleoprotein A0</t>
  </si>
  <si>
    <t>Serine/threonine-protein kinase PAK 1</t>
  </si>
  <si>
    <t>Protein FADD</t>
  </si>
  <si>
    <t>Peroxiredoxin-4</t>
  </si>
  <si>
    <t>Isoform 2 of Mitogen-activated protein kinase 7</t>
  </si>
  <si>
    <t>Serine/threonine-protein kinase PAK 2</t>
  </si>
  <si>
    <t>Chromobox protein homolog 3</t>
  </si>
  <si>
    <t>Serine/threonine-protein kinase 3</t>
  </si>
  <si>
    <t>26S proteasome non-ATPase regulatory subunit 2</t>
  </si>
  <si>
    <t>Probable ATP-dependent RNA helicase DDX10</t>
  </si>
  <si>
    <t>DnaJ homolog subfamily C member 3</t>
  </si>
  <si>
    <t>Isoform 2 of Selenium-binding protein 1</t>
  </si>
  <si>
    <t>Nucleoside diphosphate kinase 3</t>
  </si>
  <si>
    <t>Isoform SRP40-4 of 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</si>
  <si>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</si>
  <si>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</si>
  <si>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</si>
  <si>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</si>
  <si>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</si>
  <si>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Inactive tyrosine-protein kinase 7</t>
  </si>
  <si>
    <t>S-phase kinase-associated protein 2</t>
  </si>
  <si>
    <t>Isoform 3 of Polyadenylate-binding protein 4</t>
  </si>
  <si>
    <t>Isoform 1 of Growth factor receptor-bound protein 10</t>
  </si>
  <si>
    <t>Interferon-induced protein with tetratricopeptide repeats 5</t>
  </si>
  <si>
    <t>Eukaryotic translation initiation factor 3 subunit I</t>
  </si>
  <si>
    <t>Peptidyl-prolyl cis-trans isomerase-like 2</t>
  </si>
  <si>
    <t>Isoform 4 of Serine/threonine-protein phosphatase 2A 56 kDa regulatory subunit gamma isoform</t>
  </si>
  <si>
    <t>C-terminal-binding protein 1</t>
  </si>
  <si>
    <t>Phosducin-like protein</t>
  </si>
  <si>
    <t>Probable methyltransferase TARBP1</t>
  </si>
  <si>
    <t>39S ribosomal protein L49, mitochondrial</t>
  </si>
  <si>
    <t>Isoform 2F of Cytoplasmic dynein 1 intermediate chain 2</t>
  </si>
  <si>
    <t>Origin recognition complex subunit 2</t>
  </si>
  <si>
    <t>Integrin-linked protein kinase</t>
  </si>
  <si>
    <t>NAD(P) transhydrogenase, mitochondrial</t>
  </si>
  <si>
    <t>Alpha-1-syntrophin</t>
  </si>
  <si>
    <t>Beta-2-syntrophin</t>
  </si>
  <si>
    <t>DNA repair protein XRCC4</t>
  </si>
  <si>
    <t>Isoform B of Protein unc-119 homolog A</t>
  </si>
  <si>
    <t>Splicing factor 3B subunit 2</t>
  </si>
  <si>
    <t>Isoform 5 of Protein OS-9</t>
  </si>
  <si>
    <t>28 kDa heat- and acid-stable phosphoprotein</t>
  </si>
  <si>
    <t>Disintegrin and metalloproteinase domain-containing protein 9</t>
  </si>
  <si>
    <t>Isoform 8 of Disintegrin and metalloproteinase domain-containing protein 15</t>
  </si>
  <si>
    <t>Transmembrane emp24 domain-containing protein 1</t>
  </si>
  <si>
    <t>Peptidyl-prolyl cis-trans isomerase FKBP5</t>
  </si>
  <si>
    <t>Rho-associated protein kinase 1</t>
  </si>
  <si>
    <t>Isoform 2 of GRB2-associated-binding protein 1</t>
  </si>
  <si>
    <t>Isoform 3 of Phosphatidylinositol-binding clathrin assembly protein</t>
  </si>
  <si>
    <t>Mediator of RNA polymerase II transcription subunit 21</t>
  </si>
  <si>
    <t>Isoform 3 of Metaxin-1</t>
  </si>
  <si>
    <t>Tubulin beta-3 chain</t>
  </si>
  <si>
    <t>Peptidyl-prolyl cis-trans isomerase NIMA-interacting 1</t>
  </si>
  <si>
    <t>Eukaryotic translation initiation factor 4E-binding protein 1</t>
  </si>
  <si>
    <t>Eukaryotic translation initiation factor 4E-binding protein 2</t>
  </si>
  <si>
    <t>Isoform 2 of Receptor-interacting serine/threonine-protein kinase 1</t>
  </si>
  <si>
    <t>Isoform 2 of NEDD8-activating enzyme E1 regulatory subunit</t>
  </si>
  <si>
    <t>Inositol-tetrakisphosphate 1-kinase</t>
  </si>
  <si>
    <t>SNW domain-containing protein 1</t>
  </si>
  <si>
    <t>Ras GTPase-activating-like protein IQGAP2</t>
  </si>
  <si>
    <t>Stromal interaction molecule 1</t>
  </si>
  <si>
    <t>Isoform 1A of Sorting nexin-1</t>
  </si>
  <si>
    <t>Myotubularin-related protein 2</t>
  </si>
  <si>
    <t>Cullin-1</t>
  </si>
  <si>
    <t>Cullin-2</t>
  </si>
  <si>
    <t>Isoform 2 of Cullin-3</t>
  </si>
  <si>
    <t>Apoptosis-stimulating of p53 protein 2</t>
  </si>
  <si>
    <t>GDP-L-fucose synthase</t>
  </si>
  <si>
    <t>Ras-related protein Rab-31</t>
  </si>
  <si>
    <t>Ras-related protein Rab-32</t>
  </si>
  <si>
    <t>Trophoblast glycoprotein</t>
  </si>
  <si>
    <t>Isoform 5 of Four and a half LIM domains protein 1</t>
  </si>
  <si>
    <t>Four and a half LIM domains protein 3</t>
  </si>
  <si>
    <t>Alkylated DNA repair protein alkB homolog 1</t>
  </si>
  <si>
    <t>Mannosyl-oligosaccharide glucosidase</t>
  </si>
  <si>
    <t>Isoform 2 of CD166 antigen</t>
  </si>
  <si>
    <t>Protein Shroom2</t>
  </si>
  <si>
    <t>Isoform 3 of Spectrin alpha chain, non-erythrocytic 1</t>
  </si>
  <si>
    <t>Methylglutaconyl-CoA hydratase, mitochondrial</t>
  </si>
  <si>
    <t>Beta-1-syntrophin</t>
  </si>
  <si>
    <t>Tubulin beta-2A chain</t>
  </si>
  <si>
    <t>Bystin</t>
  </si>
  <si>
    <t>Isopentenyl-diphosphate Delta-isomerase 1</t>
  </si>
  <si>
    <t>Isoform 2 of Core-binding factor subunit beta</t>
  </si>
  <si>
    <t>Isoform 2 of Nuclear transcription factor Y subunit gamma</t>
  </si>
  <si>
    <t>Isoform 2 of Cytoskeleton-associated protein 5</t>
  </si>
  <si>
    <t>Cold-inducible RNA-binding protein</t>
  </si>
  <si>
    <t>Calcium/calmodulin-dependent protein kinase type 1</t>
  </si>
  <si>
    <t>Coactosin-like protein</t>
  </si>
  <si>
    <t>Collagen alpha-3(IX) chain</t>
  </si>
  <si>
    <t>Cytochrome c oxidase copper chaperone</t>
  </si>
  <si>
    <t>Isoform 3 of Heterogeneous nuclear ribonucleoprotein D0</t>
  </si>
  <si>
    <t>Lysosome membrane protein 2</t>
  </si>
  <si>
    <t>Isoform 2 of Low-density lipoprotein receptor-related protein 8</t>
  </si>
  <si>
    <t>Dystroglycan</t>
  </si>
  <si>
    <t>Desmoglein-2</t>
  </si>
  <si>
    <t>Protein DGCR6</t>
  </si>
  <si>
    <t>Transcription cofactor vestigial-like protein 4</t>
  </si>
  <si>
    <t>Ribosome biogenesis protein BOP1</t>
  </si>
  <si>
    <t>Ubiquitin conjugation factor E4 A</t>
  </si>
  <si>
    <t>Kelch-like ECH-associated protein 1</t>
  </si>
  <si>
    <t>Scaffold attachment factor B2</t>
  </si>
  <si>
    <t>Eukaryotic translation initiation factor 3 subunit A</t>
  </si>
  <si>
    <t>Ubiquitin-associated protein 2-like</t>
  </si>
  <si>
    <t>Isoform 2 of Ubiquitin-associated protein 2-like</t>
  </si>
  <si>
    <t>Protein scribble homolog</t>
  </si>
  <si>
    <t>Malectin</t>
  </si>
  <si>
    <t>Tubulin--tyrosine ligase-like protein 12</t>
  </si>
  <si>
    <t>DNA polymerase alpha subunit B</t>
  </si>
  <si>
    <t>Isoform LCRMP-4 of Dihydropyrimidinase-related protein 3</t>
  </si>
  <si>
    <t>Cytoplasmic dynein 1 heavy chain 1</t>
  </si>
  <si>
    <t>Translation initiation factor eIF-2B subunit alpha</t>
  </si>
  <si>
    <t>Eukaryotic initiation factor 4A-II</t>
  </si>
  <si>
    <t>Transcription elongation factor B polypeptide 3</t>
  </si>
  <si>
    <t>Ensconsin</t>
  </si>
  <si>
    <t>Src substrate cortactin</t>
  </si>
  <si>
    <t>Endonuclease G, mitochondrial</t>
  </si>
  <si>
    <t>Reticulocalbin-2</t>
  </si>
  <si>
    <t>Isoform 2 of Filamin-C</t>
  </si>
  <si>
    <t>Isoform 2 of Peptidyl-prolyl cis-trans isomerase FKBP8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</si>
  <si>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</si>
  <si>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</si>
  <si>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</si>
  <si>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</si>
  <si>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</si>
  <si>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Isoform 2 of Caprin-1</t>
  </si>
  <si>
    <t>Transcription factor HES-1</t>
  </si>
  <si>
    <t>Isoform 2 of RNA-binding protein 39</t>
  </si>
  <si>
    <t>Isoform 2 of Hyaluronan-binding protein 2</t>
  </si>
  <si>
    <t>Squalene monooxygenase</t>
  </si>
  <si>
    <t>Protein disulfide-isomerase A5</t>
  </si>
  <si>
    <t>DNA replication licensing factor MCM6</t>
  </si>
  <si>
    <t>Plastin-1</t>
  </si>
  <si>
    <t>Interferon regulatory factor 3</t>
  </si>
  <si>
    <t>L antigen family member 3</t>
  </si>
  <si>
    <t>Isoform 2 of E3 ubiquitin-protein ligase TRIP12</t>
  </si>
  <si>
    <t>Pumilio homolog 1</t>
  </si>
  <si>
    <t>Separin</t>
  </si>
  <si>
    <t>Isoform 3 of Mediator of DNA damage checkpoint protein 1</t>
  </si>
  <si>
    <t>Clathrin interactor 1</t>
  </si>
  <si>
    <t>BTB/POZ domain-containing protein KCTD2</t>
  </si>
  <si>
    <t>Structural maintenance of chromosomes protein 1A</t>
  </si>
  <si>
    <t>Isoform 2 of Ribosomal RNA processing protein 1 homolog B</t>
  </si>
  <si>
    <t>Nuclear receptor coactivator 6</t>
  </si>
  <si>
    <t>Isoform 2 of Genetic suppressor element 1</t>
  </si>
  <si>
    <t>DNA replication complex GINS protein PSF1</t>
  </si>
  <si>
    <t>Ubiquitin carboxyl-terminal hydrolase 10</t>
  </si>
  <si>
    <t>LDLR chaperone MESD</t>
  </si>
  <si>
    <t>Neutral alpha-glucosidase AB</t>
  </si>
  <si>
    <t>Raftlin</t>
  </si>
  <si>
    <t>Lamin-B receptor</t>
  </si>
  <si>
    <t>Golgin subfamily B member 1</t>
  </si>
  <si>
    <t>Caspase-8</t>
  </si>
  <si>
    <t>N-alpha-acetyltransferase 30</t>
  </si>
  <si>
    <t>Isoform MEF2DA0 of Myocyte-specific enhancer factor 2D</t>
  </si>
  <si>
    <t>LIM and SH3 domain protein 1</t>
  </si>
  <si>
    <t>Metal regulatory transcription factor 1</t>
  </si>
  <si>
    <t>Ras-related protein Rab-39A</t>
  </si>
  <si>
    <t>Zinc finger protein 638</t>
  </si>
  <si>
    <t>Importin subunit beta-1</t>
  </si>
  <si>
    <t>Nucleolar and coiled-body phosphoprotein 1</t>
  </si>
  <si>
    <t>Isoform 2 of Nuclear mitotic apparatus protein 1</t>
  </si>
  <si>
    <t>Isoform 2 of Sarcolemmal membrane-associated protein</t>
  </si>
  <si>
    <t>Isoform 6 of GTPase-activating protein and VPS9 domain-containing protein 1</t>
  </si>
  <si>
    <t>UBX domain-containing protein 2B</t>
  </si>
  <si>
    <t>Isoform 2 of N-alpha-acetyltransferase 25, NatB auxiliary subunit</t>
  </si>
  <si>
    <t>FAST kinase domain-containing protein 3</t>
  </si>
  <si>
    <t>PCNA-associated factor</t>
  </si>
  <si>
    <t>ER membrane protein complex subunit 2</t>
  </si>
  <si>
    <t>Pre-mRNA-splicing regulator WTAP</t>
  </si>
  <si>
    <t>26S proteasome non-ATPase regulatory subunit 6</t>
  </si>
  <si>
    <t>Lysosomal-associated transmembrane protein 4A</t>
  </si>
  <si>
    <t>MAD2L1-binding protein</t>
  </si>
  <si>
    <t>BRISC complex subunit Abro1</t>
  </si>
  <si>
    <t>Septin-2</t>
  </si>
  <si>
    <t>Condensin complex subunit 1</t>
  </si>
  <si>
    <t>Exosome complex component RRP42</t>
  </si>
  <si>
    <t>Isoform 2 of 116 kDa U5 small nuclear ribonucleoprotein component</t>
  </si>
  <si>
    <t>Isoform 2 of R3H domain-containing protein 1</t>
  </si>
  <si>
    <t>Isoform 2 of Sorting nexin-17</t>
  </si>
  <si>
    <t>Isoform 2 of DAZ-associated protein 2</t>
  </si>
  <si>
    <t>Isoform 2 of Zinc transporter ZIP14</t>
  </si>
  <si>
    <t>Lysine--tRNA ligase</t>
  </si>
  <si>
    <t>Isoform 3 of Histone-lysine N-methyltransferase SETDB1</t>
  </si>
  <si>
    <t>IQ calmodulin-binding motif-containing protein 1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</si>
  <si>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</si>
  <si>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</si>
  <si>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</si>
  <si>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Bromodomain-containing protein 3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</si>
  <si>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</si>
  <si>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</si>
  <si>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</si>
  <si>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</si>
  <si>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Inactive phospholipase C-like protein 1</t>
  </si>
  <si>
    <t>[Pyruvate dehydrogenase [lipoamide]] kinase isozyme 1, mitochondrial</t>
  </si>
  <si>
    <t>[Pyruvate dehydrogenase [lipoamide]] kinase isozyme 3, mitochondrial</t>
  </si>
  <si>
    <t>3-beta-hydroxysteroid-Delta(8),Delta(7)-isomerase</t>
  </si>
  <si>
    <t>Phosphomevalonate kinase</t>
  </si>
  <si>
    <t>Isoform 4 of Plectin</t>
  </si>
  <si>
    <t>Nodal modulator 1</t>
  </si>
  <si>
    <t>Isoform 2 of Transcription elongation factor A protein-like 1</t>
  </si>
  <si>
    <t>Serine/threonine-protein phosphatase 2A 56 kDa regulatory subunit alpha isoform</t>
  </si>
  <si>
    <t>Isoform Beta-2 of Serine/threonine-protein phosphatase 2A 56 kDa regulatory subunit beta isoform</t>
  </si>
  <si>
    <t>Inorganic pyrophosphatase</t>
  </si>
  <si>
    <t>Serine/threonine-protein kinase 38</t>
  </si>
  <si>
    <t>Non-POU domain-containing octamer-binding protein</t>
  </si>
  <si>
    <t>Serine/threonine-protein phosphatase 2A activator</t>
  </si>
  <si>
    <t>Rab GTPase-binding effector protein 1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</si>
  <si>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</si>
  <si>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</si>
  <si>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</si>
  <si>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</si>
  <si>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</si>
  <si>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Leucine-rich repeat-containing protein 41</t>
  </si>
  <si>
    <t>Poly(rC)-binding protein 1</t>
  </si>
  <si>
    <t>Isoform 3 of Poly(rC)-binding protein 2</t>
  </si>
  <si>
    <t>Ephrin type-A receptor 7</t>
  </si>
  <si>
    <t>GTP-binding protein Rheb</t>
  </si>
  <si>
    <t>Mitochondrial import receptor subunit TOM20 homolog</t>
  </si>
  <si>
    <t>Splicing factor 3B subunit 3</t>
  </si>
  <si>
    <t>Isoform 3 of Disks large-associated protein 5</t>
  </si>
  <si>
    <t>Ras suppressor protein 1</t>
  </si>
  <si>
    <t>Isoform 2 of Scaffold attachment factor B1</t>
  </si>
  <si>
    <t>Splicing factor 3A subunit 2</t>
  </si>
  <si>
    <t>Protein phosphatase 1 regulatory subunit 7</t>
  </si>
  <si>
    <t>Protein transport protein Sec23B</t>
  </si>
  <si>
    <t>Isoform 2 of Cytohesin-1</t>
  </si>
  <si>
    <t>Splicing factor 3A subunit 1</t>
  </si>
  <si>
    <t>SH2 domain-containing adapter protein B</t>
  </si>
  <si>
    <t>Helicase SKI2W</t>
  </si>
  <si>
    <t>Sperm surface protein Sp17</t>
  </si>
  <si>
    <t>Isoform 2 of Surfeit locus protein 1</t>
  </si>
  <si>
    <t>Surfeit locus protein 2</t>
  </si>
  <si>
    <t>Transcription initiation factor TFIID subunit 7</t>
  </si>
  <si>
    <t>Microtubule-associated protein RP/EB family member 2</t>
  </si>
  <si>
    <t>Nuclear receptor coactivator 2</t>
  </si>
  <si>
    <t>Isoform 2 of Na(+)/H(+) exchange regulatory cofactor NHE-RF2</t>
  </si>
  <si>
    <t>Isoform 2 of RISC-loading complex subunit TARBP2</t>
  </si>
  <si>
    <t>Isoform 5 of Splicing factor 1</t>
  </si>
  <si>
    <t>Cdc42-interacting protein 4</t>
  </si>
  <si>
    <t>Isoform 2 of Cdc42-interacting protein 4</t>
  </si>
  <si>
    <t>Thyroid receptor-interacting protein 11</t>
  </si>
  <si>
    <t>Pachytene checkpoint protein 2 homolog</t>
  </si>
  <si>
    <t>Zinc finger HIT domain-containing protein 3</t>
  </si>
  <si>
    <t>Isoform 2 of Probable JmjC domain-containing histone demethylation protein 2C</t>
  </si>
  <si>
    <t>Thyroid receptor-interacting protein 6</t>
  </si>
  <si>
    <t>Microtubule-associated protein RP/EB family member 1</t>
  </si>
  <si>
    <t>TSC22 domain family protein 1</t>
  </si>
  <si>
    <t>Sterol-4-alpha-carboxylate 3-dehydrogenase, decarboxylating</t>
  </si>
  <si>
    <t>TGF-beta-activated kinase 1 and MAP3K7-binding protein 1</t>
  </si>
  <si>
    <t>Neutral amino acid transporter B(0)</t>
  </si>
  <si>
    <t>Mitogen-activated protein kinase 11</t>
  </si>
  <si>
    <t>Ephrin-B3</t>
  </si>
  <si>
    <t>Mitochondrial import receptor subunit TOM34</t>
  </si>
  <si>
    <t>Isoform 2 of Methylsterol monooxygenase 1</t>
  </si>
  <si>
    <t>Tubulin-specific chaperone C</t>
  </si>
  <si>
    <t>Neuronal pentraxin-1</t>
  </si>
  <si>
    <t>Ubiquitin-conjugating enzyme E2 variant 2</t>
  </si>
  <si>
    <t>Serine/threonine-protein kinase STK11</t>
  </si>
  <si>
    <t>Isoform 2 of Syntaxin-binding protein 2</t>
  </si>
  <si>
    <t>Vesicle-associated membrane protein 3</t>
  </si>
  <si>
    <t>Ras-related protein Rab-11B</t>
  </si>
  <si>
    <t>Zyxin</t>
  </si>
  <si>
    <t>Electron transfer flavoprotein-ubiquinone oxidoreductase, mitochondrial</t>
  </si>
  <si>
    <t>Beta-synuclein</t>
  </si>
  <si>
    <t>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</si>
  <si>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</si>
  <si>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</si>
  <si>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</si>
  <si>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</si>
  <si>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Isoform 2 of 26S proteasome non-ATPase regulatory subunit 5</t>
  </si>
  <si>
    <t>Serine/threonine-protein kinase N1</t>
  </si>
  <si>
    <t>Serine/threonine-protein kinase N2</t>
  </si>
  <si>
    <t>Isoform TAFII15 of Transcription initiation factor TFIID subunit 12</t>
  </si>
  <si>
    <t>DNA damage-binding protein 1</t>
  </si>
  <si>
    <t>Mitogen-activated protein kinase 14</t>
  </si>
  <si>
    <t>Hsp90 co-chaperone Cdc37</t>
  </si>
  <si>
    <t>Dihydropyrimidinase-related protein 2</t>
  </si>
  <si>
    <t>Calcium/calmodulin-dependent protein kinase type IV</t>
  </si>
  <si>
    <t>Histone-binding protein RBBP7</t>
  </si>
  <si>
    <t>Isoform 2 of Histone-binding protein RBBP7</t>
  </si>
  <si>
    <t>Isoform 5 of Zinc finger protein 74</t>
  </si>
  <si>
    <t>Transcription initiation factor TFIID subunit 9</t>
  </si>
  <si>
    <t>Isoform 4 of Occludin</t>
  </si>
  <si>
    <t>Male-enhanced antigen 1</t>
  </si>
  <si>
    <t>Cleavage and polyadenylation specificity factor subunit 6</t>
  </si>
  <si>
    <t>Drebrin</t>
  </si>
  <si>
    <t>MAP kinase-activated protein kinase 3</t>
  </si>
  <si>
    <t>Fascin</t>
  </si>
  <si>
    <t>NADH dehydrogenase [ubiquinone] 1 alpha subcomplex subunit 5</t>
  </si>
  <si>
    <t>Isoform ZG of Plasma membrane calcium-transporting ATPase 3</t>
  </si>
  <si>
    <t>Putative ATP-dependent Clp protease proteolytic subunit, mitochondrial</t>
  </si>
  <si>
    <t>Thiosulfate sulfurtransferase</t>
  </si>
  <si>
    <t>Ubiquitin-conjugating enzyme E2 S</t>
  </si>
  <si>
    <t>Reticulon-1</t>
  </si>
  <si>
    <t>Phosphoenolpyruvate carboxykinase [GTP], mitochondrial</t>
  </si>
  <si>
    <t>Uridine phosphorylase 1</t>
  </si>
  <si>
    <t>Lanosterol 14-alpha demethylase</t>
  </si>
  <si>
    <t>Deoxyguanosine kinase, mitochondrial</t>
  </si>
  <si>
    <t>V-type proton ATPase subunit F</t>
  </si>
  <si>
    <t>Isoform 2 of Putative deoxyribonuclease TATDN3</t>
  </si>
  <si>
    <t>Flap endonuclease GEN homolog 1</t>
  </si>
  <si>
    <t>Proto-oncogene c-Rel</t>
  </si>
  <si>
    <t>Isoform 2 of Centrosome and spindle pole-associated protein 1</t>
  </si>
  <si>
    <t>Isoform 2 of Inverted formin-2</t>
  </si>
  <si>
    <t>Sister chromatid cohesion protein PDS5 homolog A</t>
  </si>
  <si>
    <t>Glutamine and serine-rich protein 1</t>
  </si>
  <si>
    <t>Isoform 2 of AP2-associated protein kinase 1</t>
  </si>
  <si>
    <t>Isoform 5 of Centrosomal protein kizuna</t>
  </si>
  <si>
    <t>DNA excision repair protein ERCC-6-like</t>
  </si>
  <si>
    <t>Pre-rRNA-processing protein TSR1 homolog</t>
  </si>
  <si>
    <t>Peroxisomal leader peptide-processing protease</t>
  </si>
  <si>
    <t>GDP-Man:Man(3)GlcNAc(2)-PP-Dol alpha-1,2-mannosyltransferase</t>
  </si>
  <si>
    <t>Glutamine-rich protein 1</t>
  </si>
  <si>
    <t>RELA protein</t>
  </si>
  <si>
    <t>WD40 repeat-containing protein SMU1</t>
  </si>
  <si>
    <t>CWF19-like protein 2</t>
  </si>
  <si>
    <t>UV-stimulated scaffold protein A</t>
  </si>
  <si>
    <t>Leucine-rich repeat flightless-interacting protein 1</t>
  </si>
  <si>
    <t>Isoform 2 of Leucine-rich repeat flightless-interacting protein 1</t>
  </si>
  <si>
    <t>Isoform 3 of Leucine-rich repeat flightless-interacting protein 1</t>
  </si>
  <si>
    <t>Isoform 4 of Leucine-rich repeat flightless-interacting protein 1</t>
  </si>
  <si>
    <t>DNA polymerase delta subunit 3</t>
  </si>
  <si>
    <t>CDP-diacylglycerol--glycerol-3-phosphate 3-phosphatidyltransferase, mitochondrial</t>
  </si>
  <si>
    <t>Prolyl 3-hydroxylase 1</t>
  </si>
  <si>
    <t>Isoform 3 of Prolyl 3-hydroxylase 1</t>
  </si>
  <si>
    <t>tRNA (guanine(37)-N1)-methyltransferase</t>
  </si>
  <si>
    <t>DNA-directed RNA polymerase I subunit RPA43</t>
  </si>
  <si>
    <t>Isoform 2 of MAP7 domain-containing protein 1</t>
  </si>
  <si>
    <t>UDP-N-acetylhexosamine pyrophosphorylase-like protein 1</t>
  </si>
  <si>
    <t>UPF0538 protein C2orf76</t>
  </si>
  <si>
    <t>Alpha-ketoglutarate-dependent dioxygenase alkB homolog 6</t>
  </si>
  <si>
    <t>Bifunctional ATP-dependent dihydroxyacetone kinase/FAD-AMP lyase (cyclizing)</t>
  </si>
  <si>
    <t>Protein LSM12 homolog</t>
  </si>
  <si>
    <t>TBC1 domain family member 25</t>
  </si>
  <si>
    <t>Putative tRNA pseudouridine synthase Pus10</t>
  </si>
  <si>
    <t>Inactive hydroxysteroid dehydrogenase-like protein 1</t>
  </si>
  <si>
    <t>Isoform 2 of Girdin</t>
  </si>
  <si>
    <t>Rab-like protein 6</t>
  </si>
  <si>
    <t>Tubulin beta-8 chain</t>
  </si>
  <si>
    <t>Mitochondrial import inner membrane translocase subunit TIM50</t>
  </si>
  <si>
    <t>Galectin-related protein</t>
  </si>
  <si>
    <t>Isoform 2 of Alpha-(1,3)-fucosyltransferase 11</t>
  </si>
  <si>
    <t>Isoform 2 of Cerebral dopamine neurotrophic factor</t>
  </si>
  <si>
    <t>UPF0489 protein C5orf22</t>
  </si>
  <si>
    <t>Cytochrome c oxidase assembly protein COX19</t>
  </si>
  <si>
    <t>Protein FAM188B</t>
  </si>
  <si>
    <t>Vacuolar protein sorting-associated protein 26B</t>
  </si>
  <si>
    <t>Protein CCSMST1</t>
  </si>
  <si>
    <t>La-related protein 7</t>
  </si>
  <si>
    <t>NAD kinase domain-containing protein 1, mitochondrial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</si>
  <si>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</si>
  <si>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</si>
  <si>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</si>
  <si>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</si>
  <si>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</si>
  <si>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Dynein light chain 1, axonemal</t>
  </si>
  <si>
    <t>GRIP1-associated protein 1</t>
  </si>
  <si>
    <t>B-cell CLL/lymphoma 7 protein family member A</t>
  </si>
  <si>
    <t>Isoform 2 of Membralin</t>
  </si>
  <si>
    <t>Isoform 2 of PAB-dependent poly(A)-specific ribonuclease subunit 2</t>
  </si>
  <si>
    <t>Uncharacterized protein C4orf46</t>
  </si>
  <si>
    <t>Isoform 2 of Protein FAM98B</t>
  </si>
  <si>
    <t>Rho GTPase-activating protein 29</t>
  </si>
  <si>
    <t>Isoform 2 of Programmed cell death protein 4</t>
  </si>
  <si>
    <t>CREB-regulated transcription coactivator 2</t>
  </si>
  <si>
    <t>Centrosomal protein of 55 kDa</t>
  </si>
  <si>
    <t>Uncharacterized protein C17orf85</t>
  </si>
  <si>
    <t>Isoform 2 of PDZ and LIM domain protein 3</t>
  </si>
  <si>
    <t>Estradiol 17-beta-dehydrogenase 12</t>
  </si>
  <si>
    <t>Akirin-2</t>
  </si>
  <si>
    <t>Beta-lactamase-like protein 2</t>
  </si>
  <si>
    <t>Pyrroline-5-carboxylate reductase 3</t>
  </si>
  <si>
    <t>Single-strand selective monofunctional uracil DNA glycosylase</t>
  </si>
  <si>
    <t>BolA-like protein 3</t>
  </si>
  <si>
    <t>Transmembrane protein 177</t>
  </si>
  <si>
    <t>HCLS1-binding protein 3</t>
  </si>
  <si>
    <t>Beta-actin-like protein 2</t>
  </si>
  <si>
    <t>Isoform 2 of Mpv17-like protein 2</t>
  </si>
  <si>
    <t>Vesicle transport protein SFT2C</t>
  </si>
  <si>
    <t>Isoform 4 of PAB-dependent poly(A)-specific ribonuclease subunit 3</t>
  </si>
  <si>
    <t>Putative heat shock protein HSP 90-beta 2</t>
  </si>
  <si>
    <t>DDB1- and CUL4-associated factor 6</t>
  </si>
  <si>
    <t>UPF0692 protein C19orf54</t>
  </si>
  <si>
    <t>Nucleolar MIF4G domain-containing protein 1</t>
  </si>
  <si>
    <t>RILP-like protein 1</t>
  </si>
  <si>
    <t>PDZ domain-containing protein 11</t>
  </si>
  <si>
    <t>DnaJ homolog subfamily C member 21</t>
  </si>
  <si>
    <t>Isoform 3 of Probable E3 ubiquitin-protein ligase HERC4</t>
  </si>
  <si>
    <t>cAMP-dependent protein kinase inhibitor gamma</t>
  </si>
  <si>
    <t>Metalloproteinase inhibitor 1</t>
  </si>
  <si>
    <t>Filamin-A</t>
  </si>
  <si>
    <t>Fidgetin</t>
  </si>
  <si>
    <t>Metaxin-3</t>
  </si>
  <si>
    <t>Rab-like protein 3</t>
  </si>
  <si>
    <t>2-methoxy-6-polyprenyl-1,4-benzoquinol methylase, mitochondrial</t>
  </si>
  <si>
    <t>Isoform 2 of SH3 domain-containing protein 19</t>
  </si>
  <si>
    <t>Tubulin beta chain</t>
  </si>
  <si>
    <t>Isoform 2 of Nodal modulator 2</t>
  </si>
  <si>
    <t>Probable glutamate--tRNA ligase, mitochondrial</t>
  </si>
  <si>
    <t>Elongation factor 1-alpha 1 (Fragment)</t>
  </si>
  <si>
    <t>Rho-related GTP-binding protein RhoC (Fragment)</t>
  </si>
  <si>
    <t>40S ribosomal protein S8</t>
  </si>
  <si>
    <t>Nucleoporin p58/p45 (Fragment)</t>
  </si>
  <si>
    <t>Presequence protease, mitochondrial</t>
  </si>
  <si>
    <t>Proteasome assembly chaperone 4</t>
  </si>
  <si>
    <t>Isoform 2 of WD repeat-containing protein 44</t>
  </si>
  <si>
    <t>High mobility group nucleosome-binding domain-containing protein 5 (Fragment)</t>
  </si>
  <si>
    <t>Protein PRRC2B</t>
  </si>
  <si>
    <t>Isoform 2 of APC membrane recruitment protein 1</t>
  </si>
  <si>
    <t>Isoform 2 of Tight junction-associated protein 1</t>
  </si>
  <si>
    <t>Isoform 2 of RRP12-like protein</t>
  </si>
  <si>
    <t>Isoform 3 of Cytochrome c oxidase assembly factor 6 homolog</t>
  </si>
  <si>
    <t>Glucocorticoid modulatory element binding protein 2, isoform CRA_a</t>
  </si>
  <si>
    <t>Alanine--tRNA ligase, mitochondrial</t>
  </si>
  <si>
    <t>Torsin-2A</t>
  </si>
  <si>
    <t>Vacuolar protein sorting-associated protein 16 homolog</t>
  </si>
  <si>
    <t>Rap guanine nucleotide exchange factor 1 (Fragment)</t>
  </si>
  <si>
    <t>Discs, large homolog 3 (Neuroendocrine-dlg, Drosophila), isoform CRA_b</t>
  </si>
  <si>
    <t>FERM domain-containing protein 3 (Fragment)</t>
  </si>
  <si>
    <t>FERM and PDZ domain-containing protein 3</t>
  </si>
  <si>
    <t>Centriolin</t>
  </si>
  <si>
    <t>Isoform 3 of PCI domain-containing protein 2</t>
  </si>
  <si>
    <t>Intracellular hyaluronan-binding protein 4</t>
  </si>
  <si>
    <t>Engulfment and cell motility protein 2</t>
  </si>
  <si>
    <t>Double-stranded RNA-binding protein Staufen homolog 1</t>
  </si>
  <si>
    <t>Transmembrane protein 230 (Fragment)</t>
  </si>
  <si>
    <t>Migration and invasion-inhibitory protein</t>
  </si>
  <si>
    <t>Mortality factor 4-like protein 2 (Fragment)</t>
  </si>
  <si>
    <t>Crooked neck-like protein 1</t>
  </si>
  <si>
    <t>Long-chain fatty acid transport protein 3</t>
  </si>
  <si>
    <t>Cytospin-B</t>
  </si>
  <si>
    <t>Isoform 3 of Serine/threonine-protein phosphatase 4 regulatory subunit 3B</t>
  </si>
  <si>
    <t>WD repeat domain phosphoinositide-interacting protein 3</t>
  </si>
  <si>
    <t>EGF domain-specific O-linked N-acetylglucosamine transferase</t>
  </si>
  <si>
    <t>Tubulin-specific chaperone cofactor E-like protein</t>
  </si>
  <si>
    <t>Peroxisomal biogenesis factor 19 (Fragment)</t>
  </si>
  <si>
    <t>ATP synthase subunit b, mitochondrial</t>
  </si>
  <si>
    <t>DDB1- and CUL4-associated factor 10</t>
  </si>
  <si>
    <t>Dolichol-phosphate mannosyltransferase</t>
  </si>
  <si>
    <t>SRSF protein kinase 1</t>
  </si>
  <si>
    <t>Isoform 4 of Rab GTPase-activating protein 1-like</t>
  </si>
  <si>
    <t>Pleckstrin homology domain-containing family A member 1</t>
  </si>
  <si>
    <t>Cytochrome c oxidase protein 20 homolog</t>
  </si>
  <si>
    <t>Exosome complex component MTR3</t>
  </si>
  <si>
    <t>Neural proliferation differentiation and control protein 1</t>
  </si>
  <si>
    <t>Isoform 5 of Alpha-tubulin N-acetyltransferase</t>
  </si>
  <si>
    <t>C-terminal-binding protein 2</t>
  </si>
  <si>
    <t>cGMP-dependent protein kinase 1</t>
  </si>
  <si>
    <t>Isoform 2 of Phytanoyl-CoA dioxygenase domain-containing protein 1</t>
  </si>
  <si>
    <t>Casein kinase 2, beta polypeptide, isoform CRA_d</t>
  </si>
  <si>
    <t>Heterochromatin protein 1-binding protein 3</t>
  </si>
  <si>
    <t>Valine--tRNA ligase, mitochondrial</t>
  </si>
  <si>
    <t>Dynamin-binding protein</t>
  </si>
  <si>
    <t>Protein odr-4 homolog</t>
  </si>
  <si>
    <t>DNL-type zinc finger protein</t>
  </si>
  <si>
    <t>Isoform 2 of NHS-like protein 1</t>
  </si>
  <si>
    <t>Cip1-interacting zinc finger protein</t>
  </si>
  <si>
    <t>Tudor and KH domain containing, isoform CRA_a</t>
  </si>
  <si>
    <t>Tumor protein p63-regulated gene 1-like protein</t>
  </si>
  <si>
    <t>Isoform 3 of Formin-binding protein 1-like</t>
  </si>
  <si>
    <t>cAMP-dependent protein kinase inhibitor beta</t>
  </si>
  <si>
    <t>SH3 domain-binding glutamic acid-rich-like protein 3</t>
  </si>
  <si>
    <t>Probable arginine--tRNA ligase, mitochondrial</t>
  </si>
  <si>
    <t>Pygopus homolog 2</t>
  </si>
  <si>
    <t>Type I inositol 1,4,5-trisphosphate 5-phosphatase</t>
  </si>
  <si>
    <t>Acyl-coenzyme A thioesterase THEM4</t>
  </si>
  <si>
    <t>FK506-binding protein 15</t>
  </si>
  <si>
    <t>Probable ATP-dependent RNA helicase DDX59</t>
  </si>
  <si>
    <t>Phospholysine phosphohistidine inorganic pyrophosphate phosphatase</t>
  </si>
  <si>
    <t>OTU domain-containing protein 3</t>
  </si>
  <si>
    <t>Isoform 2 of UPF0668 protein C10orf76</t>
  </si>
  <si>
    <t>Isoform 3 of Decaprenyl-diphosphate synthase subunit 1</t>
  </si>
  <si>
    <t>Arrestin domain-containing protein 1 (Fragment)</t>
  </si>
  <si>
    <t>HEAT repeat-containing protein 1</t>
  </si>
  <si>
    <t>Putative transferase CAF17, mitochondrial</t>
  </si>
  <si>
    <t>RNA-binding protein 20</t>
  </si>
  <si>
    <t>Isoform 3 of E3 ubiquitin-protein ligase UBR4</t>
  </si>
  <si>
    <t>Geranylgeranyl transferase type-2 subunit beta</t>
  </si>
  <si>
    <t>Isoform 3 of Syntaxin-binding protein 5</t>
  </si>
  <si>
    <t>Serine--tRNA ligase, cytoplasmic</t>
  </si>
  <si>
    <t>Isoform 3 of Sickle tail protein homolog</t>
  </si>
  <si>
    <t>Rho GTPase-activating protein 21</t>
  </si>
  <si>
    <t>Isoform 2 of Calmodulin-regulated spectrin-associated protein 1</t>
  </si>
  <si>
    <t>Ubiquitin-associated protein 2</t>
  </si>
  <si>
    <t>UPF0553 protein C9orf64</t>
  </si>
  <si>
    <t>Protein FAM69A</t>
  </si>
  <si>
    <t>RAB6-interacting golgin</t>
  </si>
  <si>
    <t>Isoform 2 of Acyl-CoA-binding domain-containing protein 5</t>
  </si>
  <si>
    <t>Isoform 2 of RNA-binding protein 26</t>
  </si>
  <si>
    <t>Surfeit 4</t>
  </si>
  <si>
    <t>Adenylate kinase isoenzyme 1</t>
  </si>
  <si>
    <t>Isoform 2 of Integrator complex subunit 11</t>
  </si>
  <si>
    <t>Glycolipid transfer protein domain-containing protein 1</t>
  </si>
  <si>
    <t>Protein argonaute-1</t>
  </si>
  <si>
    <t>Tetratricopeptide repeat domain 4, isoform CRA_a</t>
  </si>
  <si>
    <t>Terminal uridylyltransferase 4</t>
  </si>
  <si>
    <t>Ribonuclease H2 subunit B</t>
  </si>
  <si>
    <t>Protein tyrosine phosphatase type IVA 1</t>
  </si>
  <si>
    <t>Isoform 3 of Membrane-associated guanylate kinase, WW and PDZ domain-containing protein 3</t>
  </si>
  <si>
    <t>Mitogen-activated protein kinase kinase kinase MLK4</t>
  </si>
  <si>
    <t>Ribosyldihydronicotinamide dehydrogenase [quinone]</t>
  </si>
  <si>
    <t>Bombesin receptor-activated protein C6orf89</t>
  </si>
  <si>
    <t>Protein DDI1 homolog 2</t>
  </si>
  <si>
    <t>Isoform 2 of NADH dehydrogenase [ubiquinone] 1 alpha subcomplex assembly factor 5</t>
  </si>
  <si>
    <t>5-nucleotidase domain-containing protein 1</t>
  </si>
  <si>
    <t>NDRG family member 3, isoform CRA_c</t>
  </si>
  <si>
    <t>Isoform 3 of Protein PRR14L</t>
  </si>
  <si>
    <t>Thiamine transporter 1</t>
  </si>
  <si>
    <t>Rootletin</t>
  </si>
  <si>
    <t>Complex III assembly factor LYRM7</t>
  </si>
  <si>
    <t>Isoform 2 of Telomere-associated protein RIF1</t>
  </si>
  <si>
    <t>Isoform 4 of Vacuolar protein sorting-associated protein 53 homolog</t>
  </si>
  <si>
    <t>Isoform 3 of Glycoprotein endo-alpha-1,2-mannosidase-like protein</t>
  </si>
  <si>
    <t>Striatin-interacting protein 1</t>
  </si>
  <si>
    <t>Alpha/beta hydrolase domain-containing protein 17B</t>
  </si>
  <si>
    <t>Regulation of nuclear pre-mRNA domain-containing protein 2</t>
  </si>
  <si>
    <t>MOSC domain-containing protein 1, mitochondrial</t>
  </si>
  <si>
    <t>Growth hormone-inducible transmembrane protein</t>
  </si>
  <si>
    <t>E3 ubiquitin-protein ligase BRE1A</t>
  </si>
  <si>
    <t>Tropomyosin 3, isoform CRA_b</t>
  </si>
  <si>
    <t>Zinc finger protein 318</t>
  </si>
  <si>
    <t>OTU domain-containing protein 1</t>
  </si>
  <si>
    <t>Rho guanine nucleotide exchange factor 16</t>
  </si>
  <si>
    <t>Threonylcarbamoyladenosine tRNA methylthiotransferase</t>
  </si>
  <si>
    <t>Zinc finger protein 691</t>
  </si>
  <si>
    <t>Pleckstrin homology domain-containing family M member 2</t>
  </si>
  <si>
    <t>Ubiquitin thioesterase OTU1</t>
  </si>
  <si>
    <t>Nuclear factor 1</t>
  </si>
  <si>
    <t>BRO1 domain-containing protein BROX</t>
  </si>
  <si>
    <t>Glycerol-3-phosphate acyltransferase 1, mitochondrial</t>
  </si>
  <si>
    <t>Sorting nexin-30</t>
  </si>
  <si>
    <t>Protein FAM46C</t>
  </si>
  <si>
    <t>Lysophospholipase-like protein 1</t>
  </si>
  <si>
    <t>Golgi-associated plant pathogenesis-related protein 1</t>
  </si>
  <si>
    <t>Tripeptidyl-peptidase 2</t>
  </si>
  <si>
    <t>6-phosphofructo-2-kinase</t>
  </si>
  <si>
    <t>Isoform 2 of Protein FAM160B1</t>
  </si>
  <si>
    <t>Isoform 3 of Probable palmitoyltransferase ZDHHC20</t>
  </si>
  <si>
    <t>SPRY domain-containing protein 7</t>
  </si>
  <si>
    <t>NADH dehydrogenase (Ubiquinone) 1 beta subcomplex, 8, 19kDa, isoform CRA_a</t>
  </si>
  <si>
    <t>Protein QIL1</t>
  </si>
  <si>
    <t>Isoform 3 of F-box/WD repeat-containing protein 9</t>
  </si>
  <si>
    <t>CD276 antigen</t>
  </si>
  <si>
    <t>Isoform 2 of WASH complex subunit FAM21A</t>
  </si>
  <si>
    <t>Lysophospholipid acyltransferase LPCAT4</t>
  </si>
  <si>
    <t>Isoform 3 of Metalloreductase STEAP3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</si>
  <si>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</si>
  <si>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</si>
  <si>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</si>
  <si>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</si>
  <si>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ADP-ribosylation factor-like protein 6-interacting protein 4</t>
  </si>
  <si>
    <t>Digestive organ expansion factor homolog</t>
  </si>
  <si>
    <t>Glycosyltransferase 8 domain-containing protein 1</t>
  </si>
  <si>
    <t>Natural cytotoxicity triggering receptor 3 ligand 1</t>
  </si>
  <si>
    <t>Metallo-beta-lactamase domain-containing protein 2</t>
  </si>
  <si>
    <t>LMBR1 domain-containing protein 2</t>
  </si>
  <si>
    <t>Isoform 2 of Integrator complex subunit 3</t>
  </si>
  <si>
    <t>Rho GTPase-activating protein 17</t>
  </si>
  <si>
    <t>Uncharacterized protein DKFZp762I1415</t>
  </si>
  <si>
    <t>CWF19-like protein 1</t>
  </si>
  <si>
    <t>Uncharacterized protein C12orf73</t>
  </si>
  <si>
    <t>HEAT repeat-containing protein 6</t>
  </si>
  <si>
    <t>Zinc finger protein 787</t>
  </si>
  <si>
    <t>60S ribosomal protein L7-like 1</t>
  </si>
  <si>
    <t>Nucleoredoxin</t>
  </si>
  <si>
    <t>Tetratricopeptide repeat protein 19, mitochondrial</t>
  </si>
  <si>
    <t>Isoform 5 of DNA-directed RNA polymerase II subunit GRINL1A, isoforms 4/5</t>
  </si>
  <si>
    <t>Vasorin</t>
  </si>
  <si>
    <t>Isoform 3 of 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</si>
  <si>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</si>
  <si>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</si>
  <si>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</si>
  <si>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</si>
  <si>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THO complex subunit 7 homolog</t>
  </si>
  <si>
    <t>Glutamine-dependent NAD(+) synthetase</t>
  </si>
  <si>
    <t>Ragulator complex protein LAMTOR1</t>
  </si>
  <si>
    <t>Dehydrogenase/reductase SDR family member 7B</t>
  </si>
  <si>
    <t>Twinfilin-2</t>
  </si>
  <si>
    <t>Aspartate beta-hydroxylase domain-containing protein 2</t>
  </si>
  <si>
    <t>Transmembrane protein 132E</t>
  </si>
  <si>
    <t>Isoform 2 of Serine/threonine-protein phosphatase 4 regulatory subunit 3A</t>
  </si>
  <si>
    <t>tRNA wybutosine-synthesizing protein 3 homolog</t>
  </si>
  <si>
    <t>Ras-related protein Rab-12</t>
  </si>
  <si>
    <t>Isoform 2 of Protein SDE2 homolog</t>
  </si>
  <si>
    <t>Eukaryotic translation initiation factor 5A-1-like</t>
  </si>
  <si>
    <t>Acyl-CoA dehydrogenase family member 10</t>
  </si>
  <si>
    <t>Isoform 2 of Nipped-B-like protein</t>
  </si>
  <si>
    <t>Calcium-binding mitochondrial carrier protein SCaMC-2</t>
  </si>
  <si>
    <t>Protein lin-54 homolog</t>
  </si>
  <si>
    <t>N-alpha-acetyltransferase 16, NatA auxiliary subunit</t>
  </si>
  <si>
    <t>Isoform 4 of Uncharacterized protein CXorf57</t>
  </si>
  <si>
    <t>Isoform 2 of Pleckstrin homology-like domain family B member 3</t>
  </si>
  <si>
    <t>MFS-type transporter SLC18B1</t>
  </si>
  <si>
    <t>Calcium-binding mitochondrial carrier protein SCaMC-1</t>
  </si>
  <si>
    <t>All-trans-retinol 13,14-reductase</t>
  </si>
  <si>
    <t>RAD50-interacting protein 1</t>
  </si>
  <si>
    <t>Isoform 2 of Transmembrane protein 214</t>
  </si>
  <si>
    <t>Isoform 3 of Tectonic-3</t>
  </si>
  <si>
    <t>ATPase SWSAP1</t>
  </si>
  <si>
    <t>3-hydroxyisobutyryl-CoA hydrolase, mitochondrial</t>
  </si>
  <si>
    <t>Armadillo repeat-containing protein 6</t>
  </si>
  <si>
    <t>Ankyrin repeat domain-containing protein 54</t>
  </si>
  <si>
    <t>Bifunctional arginine demethylase and lysyl-hydroxylase JMJD6</t>
  </si>
  <si>
    <t>Phostensin</t>
  </si>
  <si>
    <t>Polymerase I and transcript release factor</t>
  </si>
  <si>
    <t>Zinc finger CCHC domain-containing protein 8</t>
  </si>
  <si>
    <t>Isoform 2 of RNA pseudouridylate synthase domain-containing protein 3</t>
  </si>
  <si>
    <t>39S ribosomal protein L54, mitochondrial</t>
  </si>
  <si>
    <t>Parafibromin</t>
  </si>
  <si>
    <t>Isoform 4 of Polyamine-modulated factor 1</t>
  </si>
  <si>
    <t>Protein FAM117B</t>
  </si>
  <si>
    <t>39S ribosomal protein L14, mitochondrial</t>
  </si>
  <si>
    <t>Long-chain fatty acid transport protein 4</t>
  </si>
  <si>
    <t>Coiled-coil and C2 domain-containing protein 1A</t>
  </si>
  <si>
    <t>Methyltransferase-like protein 2B</t>
  </si>
  <si>
    <t>tRNA-dihydrouridine(16/17) synthase [NAD(P)(+)]-like</t>
  </si>
  <si>
    <t>Isoform 2 of Mediator of RNA polymerase II transcription subunit 27</t>
  </si>
  <si>
    <t>Enhancer of mRNA-decapping protein 4</t>
  </si>
  <si>
    <t>Isoform 2 of Centrosomal protein of 85 kDa</t>
  </si>
  <si>
    <t>Putative protein arginine N-methyltransferase 10</t>
  </si>
  <si>
    <t>F-box only protein 42</t>
  </si>
  <si>
    <t>SCY1-like protein 2</t>
  </si>
  <si>
    <t>Tetratricopeptide repeat protein 27</t>
  </si>
  <si>
    <t>Mitochondrial fission regulator 2</t>
  </si>
  <si>
    <t>Sideroflexin-4</t>
  </si>
  <si>
    <t>Protein CASC4</t>
  </si>
  <si>
    <t>Adrenodoxin-like protein, mitochondrial</t>
  </si>
  <si>
    <t>WD repeat-containing protein 73</t>
  </si>
  <si>
    <t>Isoform 3 of Nuclear factor related to kappa-B-binding protein</t>
  </si>
  <si>
    <t>Mitotic-spindle organizing protein 2A</t>
  </si>
  <si>
    <t>Acylpyruvase FAHD1, mitochondrial</t>
  </si>
  <si>
    <t>RNA demethylase ALKBH5</t>
  </si>
  <si>
    <t>TLD domain-containing protein KIAA1609</t>
  </si>
  <si>
    <t>Round spermatid basic protein 1-like protein</t>
  </si>
  <si>
    <t>Glucose 1,6-bisphosphate synthase</t>
  </si>
  <si>
    <t>RNA polymerase-associated protein CTR9 homolog</t>
  </si>
  <si>
    <t>Alpha- and gamma-adaptin-binding protein p34</t>
  </si>
  <si>
    <t>Tetratricopeptide repeat protein 37</t>
  </si>
  <si>
    <t>UPF0547 protein C16orf87</t>
  </si>
  <si>
    <t>Isoform 3 of Serine/threonine-protein kinase ULK3</t>
  </si>
  <si>
    <t>Aspartate--tRNA ligase, mitochondrial</t>
  </si>
  <si>
    <t>Transmembrane protein 65</t>
  </si>
  <si>
    <t>Tetratricopeptide repeat protein 33</t>
  </si>
  <si>
    <t>Coiled-coil domain-containing protein 174</t>
  </si>
  <si>
    <t>Isoform 2 of Hydroxyacylglutathione hydrolase-like protein</t>
  </si>
  <si>
    <t>Isoform 2 of Fidgetin-like protein 1</t>
  </si>
  <si>
    <t>F-box only protein 46</t>
  </si>
  <si>
    <t>Tripartite motif-containing protein 65</t>
  </si>
  <si>
    <t>BRCA1-associated ATM activator 1</t>
  </si>
  <si>
    <t>Isoform 5 of Zinc finger CCCH domain-containing protein 14</t>
  </si>
  <si>
    <t>Consortin</t>
  </si>
  <si>
    <t>La-related protein 1</t>
  </si>
  <si>
    <t>Protein TMED8</t>
  </si>
  <si>
    <t>Zinc transporter 9</t>
  </si>
  <si>
    <t>Biogenesis of lysosome-related organelles complex 1 subunit 3</t>
  </si>
  <si>
    <t>Biogenesis of lysosome-related organelles complex 1 subunit 2</t>
  </si>
  <si>
    <t>Isoform 2 of Type-1 angiotensin II receptor-associated protein</t>
  </si>
  <si>
    <t>Methionine aminopeptidase 1D, mitochondrial</t>
  </si>
  <si>
    <t>Monofunctional C1-tetrahydrofolate synthase, mitochondrial</t>
  </si>
  <si>
    <t>Isoform 3 of Aftiphilin</t>
  </si>
  <si>
    <t>Isoform 3 of Pre-mRNA 3-end-processing factor FIP1</t>
  </si>
  <si>
    <t>Spindle assembly abnormal protein 6 homolog</t>
  </si>
  <si>
    <t>Isoform 2 of DBH-like monooxygenase protein 1</t>
  </si>
  <si>
    <t>KDEL motif-containing protein 1</t>
  </si>
  <si>
    <t>E3 ubiquitin-protein ligase LRSAM1</t>
  </si>
  <si>
    <t>Protein shisa-2 homolog</t>
  </si>
  <si>
    <t>Dehydrogenase/reductase SDR family member 11</t>
  </si>
  <si>
    <t>Isoform 3 of Lysocardiolipin acyltransferase 1</t>
  </si>
  <si>
    <t>Protein PET117 homolog, mitochondrial</t>
  </si>
  <si>
    <t>Peptidyl-prolyl cis-trans isomerase CWC27 homolog</t>
  </si>
  <si>
    <t>Dehydrogenase/reductase SDR family member 13</t>
  </si>
  <si>
    <t>Methyltransferase-like protein 7B</t>
  </si>
  <si>
    <t>Plexin domain-containing protein 2</t>
  </si>
  <si>
    <t>Isoform 6 of Seizure 6-like protein 2</t>
  </si>
  <si>
    <t>Isoform 4 of Cysteine-rich with EGF-like domain protein 2</t>
  </si>
  <si>
    <t>WD repeat-containing protein 82</t>
  </si>
  <si>
    <t>Apolipoprotein O-like</t>
  </si>
  <si>
    <t>Phosphofurin acidic cluster sorting protein 1</t>
  </si>
  <si>
    <t>Isoform 4 of BCL-6 corepressor</t>
  </si>
  <si>
    <t>Myosin phosphatase Rho-interacting protein</t>
  </si>
  <si>
    <t>Rab11 family-interacting protein 1</t>
  </si>
  <si>
    <t>Nicotinate phosphoribosyltransferase</t>
  </si>
  <si>
    <t>Very-long-chain (3R)-3-hydroxyacyl-[acyl-carrier protein] dehydratase 2</t>
  </si>
  <si>
    <t>Isoform 3 of PERQ amino acid-rich with GYF domain-containing protein 2</t>
  </si>
  <si>
    <t>Isoform 3 of Thyroid adenoma-associated protein</t>
  </si>
  <si>
    <t>Hydroxysteroid dehydrogenase-like protein 2</t>
  </si>
  <si>
    <t>Isoform 3 of Kynurenine--oxoglutarate transaminase 3</t>
  </si>
  <si>
    <t>Ceramide synthase 6</t>
  </si>
  <si>
    <t>L-lactate dehydrogenase A-like 6A</t>
  </si>
  <si>
    <t>Protein lin-28 homolog B</t>
  </si>
  <si>
    <t>Zinc finger protein 574</t>
  </si>
  <si>
    <t>NF-X1-type zinc finger protein NFXL1</t>
  </si>
  <si>
    <t>GDP-D-glucose phosphorylase 1</t>
  </si>
  <si>
    <t>Probable C-mannosyltransferase DPY19L3</t>
  </si>
  <si>
    <t>Sulfhydryl oxidase 2</t>
  </si>
  <si>
    <t>Isoform 2 of Protein FAM65A</t>
  </si>
  <si>
    <t>Uncharacterized protein C1orf122</t>
  </si>
  <si>
    <t>Isoform 2 of Transmembrane protein with metallophosphoesterase domain</t>
  </si>
  <si>
    <t>SH3 domain-binding protein 1</t>
  </si>
  <si>
    <t>Isoform 2 of TOM1-like protein 2</t>
  </si>
  <si>
    <t>Isoform 5 of PAX-interacting protein 1</t>
  </si>
  <si>
    <t>Syntaxin-binding protein 4</t>
  </si>
  <si>
    <t>Isoform 2 of Transmembrane and TPR repeat-containing protein 3</t>
  </si>
  <si>
    <t>Isoform 3 of Vacuolar protein sorting-associated protein 13C</t>
  </si>
  <si>
    <t>Acyl-CoA dehydrogenase family member 11</t>
  </si>
  <si>
    <t>MOB kinase activator 2</t>
  </si>
  <si>
    <t>Protein unc-13 homolog D</t>
  </si>
  <si>
    <t>Inhibitor of nuclear factor kappa-B kinase-interacting protein</t>
  </si>
  <si>
    <t>Isoform 4 of Inhibitor of nuclear factor kappa-B kinase-interacting protein</t>
  </si>
  <si>
    <t>Isoform 3 of Protein FRA10AC1</t>
  </si>
  <si>
    <t>Ubiquitin-conjugating enzyme E2 R2</t>
  </si>
  <si>
    <t>Isoform 5 of Mediator of RNA polymerase II transcription subunit 25</t>
  </si>
  <si>
    <t>Histone H2A.V</t>
  </si>
  <si>
    <t>Butyrophilin subfamily 2 member A1</t>
  </si>
  <si>
    <t>Transcription elongation factor SPT6</t>
  </si>
  <si>
    <t>Isoform 2 of Transcription elongation factor SPT6</t>
  </si>
  <si>
    <t>Staphylococcal nuclease domain-containing protein 1</t>
  </si>
  <si>
    <t>Isoform 2 of Cytochrome c oxidase assembly protein COX15 homolog</t>
  </si>
  <si>
    <t>Probable ATP-dependent RNA helicase DDX46</t>
  </si>
  <si>
    <t>Isoform 4 of Protein RUFY3</t>
  </si>
  <si>
    <t>Isoform 2 of Synaptic vesicle glycoprotein 2A</t>
  </si>
  <si>
    <t>Mitochondrial ribonuclease P protein 1</t>
  </si>
  <si>
    <t>Basic leucine zipper and W2 domain-containing protein 1</t>
  </si>
  <si>
    <t>Cytochrome b5 reductase 4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</si>
  <si>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</si>
  <si>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</si>
  <si>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</si>
  <si>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</si>
  <si>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Zinc finger protein 771</t>
  </si>
  <si>
    <t>Arginine/serine-rich coiled-coil protein 2</t>
  </si>
  <si>
    <t>Ras-related GTP-binding protein A</t>
  </si>
  <si>
    <t>NADH dehydrogenase [ubiquinone] complex I, assembly factor 7</t>
  </si>
  <si>
    <t>Lysophosphatidylcholine acyltransferase 2</t>
  </si>
  <si>
    <t>Mitochondrial enolase superfamily member 1</t>
  </si>
  <si>
    <t>Isoform 2 of Putative pre-mRNA-splicing factor ATP-dependent RNA helicase DHX32</t>
  </si>
  <si>
    <t>Serine/threonine-protein kinase TAO1</t>
  </si>
  <si>
    <t>Diphthine--ammonia ligase</t>
  </si>
  <si>
    <t>Leucine-rich repeat and immunoglobulin-like domain-containing nogo receptor-interacting protein 2</t>
  </si>
  <si>
    <t>Lysine-specific demethylase 3B</t>
  </si>
  <si>
    <t>Charged multivesicular body protein 1b</t>
  </si>
  <si>
    <t>Ribonucleoside-diphosphate reductase subunit M2 B</t>
  </si>
  <si>
    <t>Magnesium transporter NIPA1</t>
  </si>
  <si>
    <t>Protein-methionine sulfoxide oxidase MICAL3</t>
  </si>
  <si>
    <t>PHD finger-like domain-containing protein 5A</t>
  </si>
  <si>
    <t>G protein-regulated inducer of neurite outgrowth 1</t>
  </si>
  <si>
    <t>Zinc finger CCCH-type antiviral protein 1</t>
  </si>
  <si>
    <t>Elongation factor Tu GTP-binding domain-containing protein 1</t>
  </si>
  <si>
    <t>Isoform 5 of Protein FAM122B</t>
  </si>
  <si>
    <t>Isoform 2 of Autophagy-related protein 9A</t>
  </si>
  <si>
    <t>LysM and putative peptidoglycan-binding domain-containing protein 3</t>
  </si>
  <si>
    <t>Uncharacterized protein C10orf118</t>
  </si>
  <si>
    <t>Isoform 5 of Pogo transposable element with ZNF domain</t>
  </si>
  <si>
    <t>Isoform 4 of Mesoderm induction early response protein 3</t>
  </si>
  <si>
    <t>Zinc finger FYVE domain-containing protein 16</t>
  </si>
  <si>
    <t>Nuclear fragile X mental retardation-interacting protein 2</t>
  </si>
  <si>
    <t>Isoform 2 of SUZ domain-containing protein 1</t>
  </si>
  <si>
    <t>Mitochondrial antiviral-signaling protein</t>
  </si>
  <si>
    <t>Isoform 2 of tRNA (guanine(10)-N2)-methyltransferase homolog</t>
  </si>
  <si>
    <t>HD domain-containing protein 2</t>
  </si>
  <si>
    <t>Isoform 3 of HAUS augmin-like complex subunit 6</t>
  </si>
  <si>
    <t>KDEL motif-containing protein 2</t>
  </si>
  <si>
    <t>Isoform 4 of Tripartite motif-containing protein 46</t>
  </si>
  <si>
    <t>HEAT repeat-containing protein 3</t>
  </si>
  <si>
    <t>Hepatoma-derived growth factor-related protein 2</t>
  </si>
  <si>
    <t>L-xylulose reductase</t>
  </si>
  <si>
    <t>Isoform 2 of Golgin subfamily A member 7</t>
  </si>
  <si>
    <t>Wings apart-like protein homolog</t>
  </si>
  <si>
    <t>Isoform 2 of R3H and coiled-coil domain-containing protein 1-like</t>
  </si>
  <si>
    <t>Interferon regulatory factor 2-binding protein 2</t>
  </si>
  <si>
    <t>Pre-miRNA 5-monophosphate methyltransferase</t>
  </si>
  <si>
    <t>BTB/POZ domain-containing protein KCTD20</t>
  </si>
  <si>
    <t>Calmodulin-lysine N-methyltransferase</t>
  </si>
  <si>
    <t>Isoform 2 of SLIT-ROBO Rho GTPase-activating protein 1</t>
  </si>
  <si>
    <t>Isoform 2 of E3 ubiquitin-protein ligase RBBP6</t>
  </si>
  <si>
    <t>UPF0461 protein C5orf24</t>
  </si>
  <si>
    <t>E3 ubiquitin-protein ligase SH3RF1</t>
  </si>
  <si>
    <t>E3 ubiquitin-protein ligase E3D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</si>
  <si>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</si>
  <si>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</si>
  <si>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</si>
  <si>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</si>
  <si>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mTERF domain-containing protein 2</t>
  </si>
  <si>
    <t>Isoform 2 of tRNA-specific adenosine deaminase 2</t>
  </si>
  <si>
    <t>Isoform 2 of E3 ubiquitin-protein ligase HUWE1</t>
  </si>
  <si>
    <t>Cytoplasmic tRNA 2-thiolation protein 1</t>
  </si>
  <si>
    <t>Transcription initiation factor TFIID subunit 8</t>
  </si>
  <si>
    <t>Ubiquitin-conjugating enzyme E2 Q1</t>
  </si>
  <si>
    <t>Isoform 2 of UPF0469 protein KIAA0907</t>
  </si>
  <si>
    <t>Isoform 3 of Transmembrane emp24 domain-containing protein 4</t>
  </si>
  <si>
    <t>Schlafen family member 11</t>
  </si>
  <si>
    <t>Uncharacterized protein C11orf96</t>
  </si>
  <si>
    <t>Polypeptide N-acetylgalactosaminyltransferase 5</t>
  </si>
  <si>
    <t>Transmembrane protein 179B</t>
  </si>
  <si>
    <t>N-acetylgalactosaminyltransferase 7</t>
  </si>
  <si>
    <t>Isoform 2 of Stearoyl-CoA desaturase 5</t>
  </si>
  <si>
    <t>Serologically defined colon cancer antigen 8</t>
  </si>
  <si>
    <t>Isoform 3 of Dehydrodolichyl diphosphate synthase</t>
  </si>
  <si>
    <t>Glutaredoxin-related protein 5, mitochondrial</t>
  </si>
  <si>
    <t>Transmembrane protein 55B</t>
  </si>
  <si>
    <t>MOB kinase activator 3B</t>
  </si>
  <si>
    <t>Isoform 4 of Protein PAT1 homolog 1</t>
  </si>
  <si>
    <t>Isoform RF1 of Retrotransposon-derived protein PEG10</t>
  </si>
  <si>
    <t>Dipeptidyl peptidase 9</t>
  </si>
  <si>
    <t>tRNA 2-phosphotransferase 1</t>
  </si>
  <si>
    <t>Protein prune homolog</t>
  </si>
  <si>
    <t>Histone-lysine N-methyltransferase setd3</t>
  </si>
  <si>
    <t>Full-length cDNA clone CS0DB001YK19 of Neuroblastoma of Homo sapiens (human)</t>
  </si>
  <si>
    <t>Isoform 3 of Uncharacterized aarF domain-containing protein kinase 1</t>
  </si>
  <si>
    <t>Iron-sulfur cluster assembly 2 homolog, mitochondrial</t>
  </si>
  <si>
    <t>N6-adenosine-methyltransferase 70 kDa subunit</t>
  </si>
  <si>
    <t>Isoform 2 of LIM domain-binding protein 1</t>
  </si>
  <si>
    <t>YrdC domain-containing protein, mitochondrial</t>
  </si>
  <si>
    <t>Pre-mRNA-processing factor 39</t>
  </si>
  <si>
    <t>Suppressor APC domain-containing protein 2</t>
  </si>
  <si>
    <t>Protein LYRIC</t>
  </si>
  <si>
    <t>Isoform 2 of Serine/threonine-protein kinase tousled-like 2</t>
  </si>
  <si>
    <t>Isoform 3 of Zinc finger protein 598</t>
  </si>
  <si>
    <t>Glycerol-3-phosphate acyltransferase 4</t>
  </si>
  <si>
    <t>Reticulon-4 receptor-like 2</t>
  </si>
  <si>
    <t>Kinectin</t>
  </si>
  <si>
    <t>Telomerase-binding protein EST1A</t>
  </si>
  <si>
    <t>Isoform 4 of B-cell CLL/lymphoma 9-like protein</t>
  </si>
  <si>
    <t>Isoform 2 of Pleckstrin homology-like domain family B member 1</t>
  </si>
  <si>
    <t>Ubiquitin carboxyl-terminal hydrolase 48</t>
  </si>
  <si>
    <t>Isoform 2 of Fermitin family homolog 3</t>
  </si>
  <si>
    <t>TXNDC5 protein</t>
  </si>
  <si>
    <t>Isoform 2 of 5-nucleotidase domain-containing protein 3</t>
  </si>
  <si>
    <t>Acetoacetyl-CoA synthetase</t>
  </si>
  <si>
    <t>Adiponectin receptor protein 2</t>
  </si>
  <si>
    <t>Leucine zipper protein 1</t>
  </si>
  <si>
    <t>Integral membrane protein GPR180</t>
  </si>
  <si>
    <t>Protein FAM160B2</t>
  </si>
  <si>
    <t>Uncharacterized protein C11orf74</t>
  </si>
  <si>
    <t>Isoform 2 of Vacuolar protein-sorting-associated protein 36</t>
  </si>
  <si>
    <t>Cullin-associated NEDD8-dissociated protein 1</t>
  </si>
  <si>
    <t>Glucocorticoid-induced transcript 1 protein</t>
  </si>
  <si>
    <t>WAS protein family, member 3, isoform CRA_a</t>
  </si>
  <si>
    <t>Protein FAM134C</t>
  </si>
  <si>
    <t>Protein Hook homolog 3</t>
  </si>
  <si>
    <t>Catechol O-methyltransferase domain-containing protein 1</t>
  </si>
  <si>
    <t>Transmembrane protein adipocyte-associated 1</t>
  </si>
  <si>
    <t>THO complex subunit 6 homolog</t>
  </si>
  <si>
    <t>Methyltransferase-like protein 16</t>
  </si>
  <si>
    <t>Poly(ADP-ribose) glycohydrolase</t>
  </si>
  <si>
    <t>Isoform 4 of Liprin-beta-1</t>
  </si>
  <si>
    <t>Isoform 2 of Valacyclovir hydrolase</t>
  </si>
  <si>
    <t>Isoform 2 of Chromodomain-helicase-DNA-binding protein 1-like</t>
  </si>
  <si>
    <t>Nuclear receptor 2C2-associated protein</t>
  </si>
  <si>
    <t>Coiled-coil domain-containing protein 25</t>
  </si>
  <si>
    <t>Proline and serine-rich protein 2</t>
  </si>
  <si>
    <t>Stimulator of interferon genes protein</t>
  </si>
  <si>
    <t>CCDC43 protein</t>
  </si>
  <si>
    <t>Cerebellar degeneration-related protein 2-like</t>
  </si>
  <si>
    <t>Ras-specific guanine nucleotide-releasing factor RalGPS2</t>
  </si>
  <si>
    <t>Glutamate-rich protein 1</t>
  </si>
  <si>
    <t>Isoform 1 of Histone-arginine methyltransferase CARM1</t>
  </si>
  <si>
    <t>Isoform 1 of Nitrilase homolog 1</t>
  </si>
  <si>
    <t>COMM domain-containing protein 2</t>
  </si>
  <si>
    <t>Isoform 3 of Swi5-dependent recombination DNA repair protein 1 homolog</t>
  </si>
  <si>
    <t>ATP-dependent RNA helicase DDX42</t>
  </si>
  <si>
    <t>CDK2-associated and cullin domain-containing protein 1</t>
  </si>
  <si>
    <t>HEAT repeat-containing protein 2</t>
  </si>
  <si>
    <t>Syntaxin-12</t>
  </si>
  <si>
    <t>ERO1-like protein beta</t>
  </si>
  <si>
    <t>Decaprenyl-diphosphate synthase subunit 2</t>
  </si>
  <si>
    <t>Testis development-related protein</t>
  </si>
  <si>
    <t>Isoform 4 of G-protein-signaling modulator 1</t>
  </si>
  <si>
    <t>Isoform 2 of Rab11 family-interacting protein 4</t>
  </si>
  <si>
    <t>Tyrosine-protein kinase SgK223</t>
  </si>
  <si>
    <t>Hermansky-Pudlak syndrome 6 protein</t>
  </si>
  <si>
    <t>Interferon regulatory factor 2-binding protein 1</t>
  </si>
  <si>
    <t>Isoform 2 of Calcium/calmodulin-dependent protein kinase type 1D</t>
  </si>
  <si>
    <t>Isoform 2 of Polypeptide N-acetylgalactosaminyltransferase 13</t>
  </si>
  <si>
    <t>Isoform 2 of Bifunctional lysine-specific demethylase and histidyl-hydroxylase MINA</t>
  </si>
  <si>
    <t>Palmitoyltransferase ZDHHC13</t>
  </si>
  <si>
    <t>Cytokine receptor-like factor 3</t>
  </si>
  <si>
    <t>Trafficking protein particle complex subunit 5</t>
  </si>
  <si>
    <t>RELT-like protein 1</t>
  </si>
  <si>
    <t>Isoform 4 of Transmembrane protein 126B</t>
  </si>
  <si>
    <t>Carabin</t>
  </si>
  <si>
    <t>Phospholipase D3</t>
  </si>
  <si>
    <t>Ankyrin repeat and MYND domain-containing protein 2</t>
  </si>
  <si>
    <t>Isoform 3 of Inactive serine/threonine-protein kinase VRK3</t>
  </si>
  <si>
    <t>LIX1-like protein</t>
  </si>
  <si>
    <t>NudC domain-containing protein 3</t>
  </si>
  <si>
    <t>Isoform 3 of Protein AHNAK2</t>
  </si>
  <si>
    <t>Ankyrin repeat domain-containing protein 18A</t>
  </si>
  <si>
    <t>Isoform 3 of Mitogen-activated protein kinase kinase kinase kinase 3</t>
  </si>
  <si>
    <t>Coiled-coil domain-containing protein 50</t>
  </si>
  <si>
    <t>Isoform 2 of Coiled-coil domain-containing protein 50</t>
  </si>
  <si>
    <t>Malonyl-CoA-acyl carrier protein transacylase, mitochondrial</t>
  </si>
  <si>
    <t>Isoform 4 of AT-rich interactive domain-containing protein 3B</t>
  </si>
  <si>
    <t>ATP-dependent (S)-NAD(P)H-hydrate dehydratase</t>
  </si>
  <si>
    <t>Mitofusin-1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</si>
  <si>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</si>
  <si>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</si>
  <si>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</si>
  <si>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</si>
  <si>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DCN1-like protein 3</t>
  </si>
  <si>
    <t>Protein DENND6A</t>
  </si>
  <si>
    <t>MAX gene-associated protein</t>
  </si>
  <si>
    <t>GRIP and coiled-coil domain-containing protein 2</t>
  </si>
  <si>
    <t>Iron-sulfur cluster co-chaperone protein HscB, mitochondrial</t>
  </si>
  <si>
    <t>Coiled-coil domain-containing protein 28A</t>
  </si>
  <si>
    <t>Serine/threonine-protein kinase LMTK2</t>
  </si>
  <si>
    <t>Isoform 4 of E3 ubiquitin-protein ligase UBR2</t>
  </si>
  <si>
    <t>Isoform 4 of Rho GTPase-activating protein 12</t>
  </si>
  <si>
    <t>Isoform 6 of Ankyrin repeat and KH domain-containing protein 1</t>
  </si>
  <si>
    <t>SURP and G-patch domain-containing protein 1</t>
  </si>
  <si>
    <t>Isoform 2 of Cell division cycle and apoptosis regulator protein 1</t>
  </si>
  <si>
    <t>Isoform 3 of Probable ATP-dependent RNA helicase DHX40</t>
  </si>
  <si>
    <t>Spindle and kinetochore-associated protein 3</t>
  </si>
  <si>
    <t>Isoform 2 of DnaJ homolog subfamily C member 10</t>
  </si>
  <si>
    <t>Mitochondrial Rho GTPase 2</t>
  </si>
  <si>
    <t>Isoform 4 of Mitochondrial Rho GTPase 1</t>
  </si>
  <si>
    <t>Isoform 2 of NAD-dependent protein deacetylase sirtuin-2</t>
  </si>
  <si>
    <t>Uncharacterized protein C9orf40</t>
  </si>
  <si>
    <t>Uncharacterized protein KIAA1704</t>
  </si>
  <si>
    <t>Methyltransferase-like protein 20</t>
  </si>
  <si>
    <t>Isoform 2 of Putative RNA polymerase II subunit B1 CTD phosphatase RPAP2</t>
  </si>
  <si>
    <t>Presqualene diphosphate phosphatase</t>
  </si>
  <si>
    <t>Probable ATP-dependent RNA helicase DHX37</t>
  </si>
  <si>
    <t>Isoform 2 of Transmembrane protein 192</t>
  </si>
  <si>
    <t>Protein MB21D2</t>
  </si>
  <si>
    <t>Isoform 3 of Stromal membrane-associated protein 1</t>
  </si>
  <si>
    <t>DIS3-like exonuclease 2</t>
  </si>
  <si>
    <t>ATP-dependent RNA helicase SUPV3L1, mitochondrial</t>
  </si>
  <si>
    <t>Zinc finger protein 595</t>
  </si>
  <si>
    <t>Eukaryotic peptide chain release factor GTP-binding subunit ERF3B</t>
  </si>
  <si>
    <t>Isoform 4 of ZZ-type zinc finger-containing protein 3</t>
  </si>
  <si>
    <t>Exocyst complex component 8</t>
  </si>
  <si>
    <t>UPF0688 protein C1orf174</t>
  </si>
  <si>
    <t>Transcription elongation factor A protein-like 8</t>
  </si>
  <si>
    <t>Threonine synthase-like 1</t>
  </si>
  <si>
    <t>SET and MYND domain-containing protein 4</t>
  </si>
  <si>
    <t>Peptidase M20 domain-containing protein 2</t>
  </si>
  <si>
    <t>Uncharacterized protein KIAA2013</t>
  </si>
  <si>
    <t>Isoform 4 of E3 ubiquitin-protein ligase HACE1</t>
  </si>
  <si>
    <t>Ankyrin repeat domain-containing protein 13A</t>
  </si>
  <si>
    <t>Transposon-derived Buster3 transposase-like protein</t>
  </si>
  <si>
    <t>Isoform 3 of Phosphatase and actin regulator 4</t>
  </si>
  <si>
    <t>Ras and EF-hand domain-containing protein</t>
  </si>
  <si>
    <t>Metaxin 2</t>
  </si>
  <si>
    <t>RNA pseudouridylate synthase domain-containing protein 2</t>
  </si>
  <si>
    <t>Dyslexia-associated protein KIAA0319-like protein</t>
  </si>
  <si>
    <t>mRNA-decapping enzyme 1B</t>
  </si>
  <si>
    <t>Isoform 2 of Netrin receptor UNC5B</t>
  </si>
  <si>
    <t>Isoform 2 of Probable palmitoyltransferase ZDHHC14</t>
  </si>
  <si>
    <t>Isoform 3 of CKLF-like MARVEL transmembrane domain-containing protein 4</t>
  </si>
  <si>
    <t>Retinol dehydrogenase 10</t>
  </si>
  <si>
    <t>Uncharacterized protein C8orf59</t>
  </si>
  <si>
    <t>Vitamin K epoxide reductase complex subunit 1-like protein 1</t>
  </si>
  <si>
    <t>L-fucose kinase</t>
  </si>
  <si>
    <t>Isoform 2 of Citrate lyase subunit beta-like protein, mitochondrial</t>
  </si>
  <si>
    <t>Spartin</t>
  </si>
  <si>
    <t>Spindle and centriole-associated protein 1</t>
  </si>
  <si>
    <t>Tetratricopeptide repeat protein 5</t>
  </si>
  <si>
    <t>Isoform 7 of Mesoderm induction early response protein 1</t>
  </si>
  <si>
    <t>Protein canopy homolog 4</t>
  </si>
  <si>
    <t>Mimitin, mitochondrial</t>
  </si>
  <si>
    <t>Vacuolar protein sorting-associated protein 52 homolog</t>
  </si>
  <si>
    <t>Nuclear pore complex protein Nup93</t>
  </si>
  <si>
    <t>Cap-specific mRNA (nucleoside-2-O-)-methyltransferase 1</t>
  </si>
  <si>
    <t>Leucine-rich repeat-containing protein 47</t>
  </si>
  <si>
    <t>Carbonic anhydrase 13</t>
  </si>
  <si>
    <t>Isoform 3 of Armadillo repeat-containing protein 10</t>
  </si>
  <si>
    <t>Isoform 3 of GH3 domain-containing protein</t>
  </si>
  <si>
    <t>Monoacylglycerol lipase ABHD12</t>
  </si>
  <si>
    <t>E3 SUMO-protein ligase PIAS4</t>
  </si>
  <si>
    <t>Centromere protein S</t>
  </si>
  <si>
    <t>Coiled-coil domain-containing protein 23</t>
  </si>
  <si>
    <t>Glycerol-3-phosphate dehydrogenase 1-like protein</t>
  </si>
  <si>
    <t>Mesoderm induction early response protein 2</t>
  </si>
  <si>
    <t>Lysine-specific demethylase 8</t>
  </si>
  <si>
    <t>Isoform 2 of Rho GTPase-activating protein 18</t>
  </si>
  <si>
    <t>EH domain-binding protein 1-like protein 1</t>
  </si>
  <si>
    <t>MICAL-like protein 1</t>
  </si>
  <si>
    <t>MAGUK p55 subfamily member 5</t>
  </si>
  <si>
    <t>Formin-binding protein 4</t>
  </si>
  <si>
    <t>D-2-hydroxyglutarate dehydrogenase, mitochondrial</t>
  </si>
  <si>
    <t>RING1 and YY1-binding protein</t>
  </si>
  <si>
    <t>Isoform 2 of Probable hydrolase PNKD</t>
  </si>
  <si>
    <t>Isoform 4 of Probable hydrolase PNKD</t>
  </si>
  <si>
    <t>Isoform 1 of Misshapen-like kinase 1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</si>
  <si>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</si>
  <si>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</si>
  <si>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</si>
  <si>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Membrane magnesium transporter 1</t>
  </si>
  <si>
    <t>Actin filament-associated protein 1</t>
  </si>
  <si>
    <t>Isoform 2 of Oxidation resistance protein 1</t>
  </si>
  <si>
    <t>Isoform 8 of Oxidation resistance protein 1</t>
  </si>
  <si>
    <t>Tetratricopeptide repeat protein 39C</t>
  </si>
  <si>
    <t>Isoform 3 of Zinc finger CCCH-type with G patch domain-containing protein</t>
  </si>
  <si>
    <t>DTW domain-containing protein 1</t>
  </si>
  <si>
    <t>Isoform 2 of Small integral membrane protein 20</t>
  </si>
  <si>
    <t>Uncharacterized protein C12orf45</t>
  </si>
  <si>
    <t>CDGSH iron-sulfur domain-containing protein 2</t>
  </si>
  <si>
    <t>Protein jagunal homolog 1</t>
  </si>
  <si>
    <t>39S ribosomal protein L50, mitochondrial</t>
  </si>
  <si>
    <t>Eukaryotic translation initiation factor 4E type 3</t>
  </si>
  <si>
    <t>FTS and Hook-interacting protein</t>
  </si>
  <si>
    <t>Uncharacterized protein C10orf12</t>
  </si>
  <si>
    <t>Isoform 2 of Cleavage and polyadenylation specificity factor subunit 7</t>
  </si>
  <si>
    <t>Solute carrier family 15 member 4</t>
  </si>
  <si>
    <t>ADP-ribosylation factor GTPase-activating protein 2</t>
  </si>
  <si>
    <t>OTU domain-containing protein 6B</t>
  </si>
  <si>
    <t>UPF0690 protein C1orf52</t>
  </si>
  <si>
    <t>Acyl-CoA-binding domain-containing protein 7</t>
  </si>
  <si>
    <t>TOM1-like protein 1</t>
  </si>
  <si>
    <t>Isoform 3 of ER membrane protein complex subunit 1</t>
  </si>
  <si>
    <t>RNA polymerase II-associated factor 1 homolog</t>
  </si>
  <si>
    <t>Isoform 3 of Cyclin-Y-like protein 1</t>
  </si>
  <si>
    <t>Putative E3 ubiquitin-protein ligase UBR7</t>
  </si>
  <si>
    <t>Uncharacterized protein C4orf32</t>
  </si>
  <si>
    <t>Prostaglandin reductase 2</t>
  </si>
  <si>
    <t>UPF0565 protein C2orf69</t>
  </si>
  <si>
    <t>ARL14 effector protein</t>
  </si>
  <si>
    <t>Protein enabled homolog</t>
  </si>
  <si>
    <t>Discoidin, CUB and LCCL domain-containing protein 1</t>
  </si>
  <si>
    <t>G patch domain-containing protein 11</t>
  </si>
  <si>
    <t>Isoform 4 of 39S ribosomal protein L43, mitochondrial</t>
  </si>
  <si>
    <t>Uncharacterized protein C12orf29</t>
  </si>
  <si>
    <t>Isoform 2 of Junction-mediating and -regulatory protein</t>
  </si>
  <si>
    <t>Focal adhesion kinase 1</t>
  </si>
  <si>
    <t>Glycerophosphodiester phosphodiesterase domain-containing protein 1</t>
  </si>
  <si>
    <t>Leucine-rich repeat-containing protein 57</t>
  </si>
  <si>
    <t>Probable RNA-binding protein EIF1AD</t>
  </si>
  <si>
    <t>Isoform 2 of Tandem C2 domains nuclear protein</t>
  </si>
  <si>
    <t>Isoform 2 of WD repeat, SAM and U-box domain-containing protein 1</t>
  </si>
  <si>
    <t>Zinc finger protein 579</t>
  </si>
  <si>
    <t>Pre-mRNA-splicing factor 38A</t>
  </si>
  <si>
    <t>Isoform 2 of Zinc finger protein 511</t>
  </si>
  <si>
    <t>Parkinson disease 7 domain-containing protein 1</t>
  </si>
  <si>
    <t>Probable phospholipid-transporting ATPase IG</t>
  </si>
  <si>
    <t>DTW domain-containing protein 2</t>
  </si>
  <si>
    <t>NHL repeat-containing protein 2</t>
  </si>
  <si>
    <t>Late secretory pathway protein AVL9 homolog</t>
  </si>
  <si>
    <t>Xyloside xylosyltransferase 1</t>
  </si>
  <si>
    <t>Isoform 2 of Golgi membrane protein 1</t>
  </si>
  <si>
    <t>Procollagen galactosyltransferase 1</t>
  </si>
  <si>
    <t>Isoform 4 of Sulfatase-modifying factor 1</t>
  </si>
  <si>
    <t>Protein O-glucosyltransferase 1</t>
  </si>
  <si>
    <t>Isoform 2 of Ubiquitin-associated domain-containing protein 2</t>
  </si>
  <si>
    <t>Transmembrane protein 87A</t>
  </si>
  <si>
    <t>Retinol dehydrogenase 13</t>
  </si>
  <si>
    <t>ATPase family AAA domain-containing protein 1</t>
  </si>
  <si>
    <t>Saccharopine dehydrogenase-like oxidoreductase</t>
  </si>
  <si>
    <t>Isoform 2 of Plasminogen activator inhibitor 1 RNA-binding protein</t>
  </si>
  <si>
    <t>Keratinocyte-associated transmembrane protein 2</t>
  </si>
  <si>
    <t>LEM domain-containing protein 2</t>
  </si>
  <si>
    <t>Group XV phospholipase A2</t>
  </si>
  <si>
    <t>Isoform 4 of tRNA-splicing endonuclease subunit Sen2</t>
  </si>
  <si>
    <t>Isoform 2 of Myotubularin-related protein 14</t>
  </si>
  <si>
    <t>NFATC2-interacting protein</t>
  </si>
  <si>
    <t>Carbohydrate sulfotransferase 14</t>
  </si>
  <si>
    <t>Cytoplasmic dynein 2 heavy chain 1</t>
  </si>
  <si>
    <t>Pyruvate dehydrogenase phosphatase regulatory subunit, mitochondrial</t>
  </si>
  <si>
    <t>NAD(P)H-hydrate epimerase</t>
  </si>
  <si>
    <t>Isoform 3 of Protein SMG8</t>
  </si>
  <si>
    <t>RING finger protein 214</t>
  </si>
  <si>
    <t>Isoform 2 of Protein LSM14 homolog A</t>
  </si>
  <si>
    <t>Isoform 3 of Cyclin-Y</t>
  </si>
  <si>
    <t>MAPK-interacting and spindle-stabilizing protein-like</t>
  </si>
  <si>
    <t>Isoform 5 of Probable aminopeptidase NPEPL1</t>
  </si>
  <si>
    <t>Isoform 3 of EH domain-binding protein 1</t>
  </si>
  <si>
    <t>Deleted in autism protein 1</t>
  </si>
  <si>
    <t>Metal transporter CNNM3</t>
  </si>
  <si>
    <t>Choline dehydrogenase, mitochondrial</t>
  </si>
  <si>
    <t>Isoform 2 of ATP-binding cassette sub-family F member 1</t>
  </si>
  <si>
    <t>Isoform 3 of Calcium uniporter protein, mitochondrial</t>
  </si>
  <si>
    <t>Glutathione S-transferase C-terminal domain-containing protein</t>
  </si>
  <si>
    <t>Serum response factor-binding protein 1</t>
  </si>
  <si>
    <t>PDZ domain-containing protein 8</t>
  </si>
  <si>
    <t>DCC-interacting protein 13-beta</t>
  </si>
  <si>
    <t>Isoform 5 of Neuron navigator 1</t>
  </si>
  <si>
    <t>F-box only protein 22</t>
  </si>
  <si>
    <t>Lysophosphatidylcholine acyltransferase 1</t>
  </si>
  <si>
    <t>Putative uncharacterized protein FLJ00310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</si>
  <si>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</si>
  <si>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</si>
  <si>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</si>
  <si>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</si>
  <si>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</si>
  <si>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Diphosphoinositol polyphosphate phosphohydrolase 3-alpha</t>
  </si>
  <si>
    <t>Torsin-1A-interacting protein 2</t>
  </si>
  <si>
    <t>Inositol polyphosphate multikinase</t>
  </si>
  <si>
    <t>Alpha/beta hydrolase domain-containing protein 11</t>
  </si>
  <si>
    <t>Isoform 2 of Syntaxin-binding protein 6</t>
  </si>
  <si>
    <t>Neuroligin-2</t>
  </si>
  <si>
    <t>Cell adhesion molecule 4</t>
  </si>
  <si>
    <t>DNA helicase B</t>
  </si>
  <si>
    <t>Tubulin--tyrosine ligase</t>
  </si>
  <si>
    <t>Small VCP/p97-interacting protein</t>
  </si>
  <si>
    <t>E3 ubiquitin-protein ligase ZNRF2</t>
  </si>
  <si>
    <t>Putative phospholipase B-like 2</t>
  </si>
  <si>
    <t>Tudor domain-containing protein 7</t>
  </si>
  <si>
    <t>Protein NEDD1</t>
  </si>
  <si>
    <t>Anaphase-promoting complex subunit CDC26</t>
  </si>
  <si>
    <t>Isoform 2 of Nuclear receptor coactivator 7</t>
  </si>
  <si>
    <t>Isoform 2 of Multiple coagulation factor deficiency protein 2</t>
  </si>
  <si>
    <t>THO complex subunit 2</t>
  </si>
  <si>
    <t>WD repeat-containing protein 36</t>
  </si>
  <si>
    <t>Protein phosphatase PTC7 homolog</t>
  </si>
  <si>
    <t>Chaperone activity of bc1 complex-like, mitochondrial</t>
  </si>
  <si>
    <t>Retinitis pigmentosa 9 protein</t>
  </si>
  <si>
    <t>GrpE protein homolog 2, mitochondrial</t>
  </si>
  <si>
    <t>Isoform 2 of Vang-like protein 1</t>
  </si>
  <si>
    <t>Protein phosphatase 1 regulatory subunit 14C</t>
  </si>
  <si>
    <t>Growth arrest and DNA damage-inducible proteins-interacting protein 1</t>
  </si>
  <si>
    <t>Isoform 3 of WD repeat-containing protein 48</t>
  </si>
  <si>
    <t>Protein phosphatase 1 regulatory subunit 35</t>
  </si>
  <si>
    <t>Nuclear protein localization protein 4 homolog</t>
  </si>
  <si>
    <t>Protein FAM110D</t>
  </si>
  <si>
    <t>Uncharacterized protein CXorf38</t>
  </si>
  <si>
    <t>Ganglioside-induced differentiation-associated protein 1</t>
  </si>
  <si>
    <t>Iron-sulfur protein NUBPL</t>
  </si>
  <si>
    <t>F-box only protein 30</t>
  </si>
  <si>
    <t>Isoform 3 of Adenosine 3-phospho 5-phosphosulfate transporter 1</t>
  </si>
  <si>
    <t>Isoform 2 of Golgin subfamily A member 5</t>
  </si>
  <si>
    <t>Isoform 3 of Kelch domain-containing protein 4</t>
  </si>
  <si>
    <t>NEDD8-activating enzyme E1 catalytic subunit</t>
  </si>
  <si>
    <t>N-acylneuraminate-9-phosphatase</t>
  </si>
  <si>
    <t>Solute carrier family 25 member 40</t>
  </si>
  <si>
    <t>Phosphatidylinositol 5-phosphate 4-kinase type-2 gamma</t>
  </si>
  <si>
    <t>tRNA methyltransferase 10 homolog A</t>
  </si>
  <si>
    <t>Isoform 2 of TBC1 domain family member 15</t>
  </si>
  <si>
    <t>Retinol dehydrogenase 11</t>
  </si>
  <si>
    <t>Transmembrane protein 163</t>
  </si>
  <si>
    <t>Isoform 2 of Mitochondria-eating protein</t>
  </si>
  <si>
    <t>UPF0729 protein C18orf32</t>
  </si>
  <si>
    <t>5(3)-deoxyribonucleotidase, cytosolic type</t>
  </si>
  <si>
    <t>Protein CIP2A</t>
  </si>
  <si>
    <t>Polyribonucleotide nucleotidyltransferase 1, mitochondrial</t>
  </si>
  <si>
    <t>Isoform 5 of Minor histocompatibility antigen H13</t>
  </si>
  <si>
    <t>Protein bicaudal D homolog 2</t>
  </si>
  <si>
    <t>Serine/threonine-protein kinase Nek9</t>
  </si>
  <si>
    <t>Alanine aminotransferase 2</t>
  </si>
  <si>
    <t>ATP-dependent RNA helicase DDX54</t>
  </si>
  <si>
    <t>Biogenesis of lysosome-related organelles complex 1 subunit 5</t>
  </si>
  <si>
    <t>Glucosamine-6-phosphate isomerase 2</t>
  </si>
  <si>
    <t>Serine/threonine-protein kinase Nek7</t>
  </si>
  <si>
    <t>Isoform 2 of RB1-inducible coiled-coil protein 1</t>
  </si>
  <si>
    <t>Protein-methionine sulfoxide oxidase MICAL1</t>
  </si>
  <si>
    <t>Isoform 2 of Pantothenate kinase 1</t>
  </si>
  <si>
    <t>Protein phosphatase Slingshot homolog 3</t>
  </si>
  <si>
    <t>Putative methyltransferase NSUN6</t>
  </si>
  <si>
    <t>D-tyrosyl-tRNA(Tyr) deacylase 1</t>
  </si>
  <si>
    <t>Isoform 2 of DDB1- and CUL4-associated factor 11</t>
  </si>
  <si>
    <t>DENN domain-containing protein 1A</t>
  </si>
  <si>
    <t>Nuclear pore membrane glycoprotein 210</t>
  </si>
  <si>
    <t>Gem-associated protein 5</t>
  </si>
  <si>
    <t>Isoform 2 of GPI ethanolamine phosphate transferase 3</t>
  </si>
  <si>
    <t>Smith-Magenis syndrome chromosomal region candidate gene 8 protein</t>
  </si>
  <si>
    <t>Isoform 4 of Partitioning defective 3 homolog</t>
  </si>
  <si>
    <t>Importin-4</t>
  </si>
  <si>
    <t>Isoform 2 of Ubiquitin carboxyl-terminal hydrolase 33</t>
  </si>
  <si>
    <t>Arginine/serine-rich protein PNISR</t>
  </si>
  <si>
    <t>Isoform 2 of Serine/threonine-protein phosphatase 4 regulatory subunit 1</t>
  </si>
  <si>
    <t>WAS/WASL-interacting protein family member 2</t>
  </si>
  <si>
    <t>Histone-lysine N-methyltransferase SETD7</t>
  </si>
  <si>
    <t>Protein FAM222B</t>
  </si>
  <si>
    <t>Isoform 2 of Stromal membrane-associated protein 2</t>
  </si>
  <si>
    <t>Zinc finger CCCH domain-containing protein 15</t>
  </si>
  <si>
    <t>Peptidyl-prolyl cis-trans isomerase-like 4</t>
  </si>
  <si>
    <t>Isoform 3 of PHD finger protein 10</t>
  </si>
  <si>
    <t>Ras-related protein Rab-2B</t>
  </si>
  <si>
    <t>Cholinephosphotransferase 1</t>
  </si>
  <si>
    <t>RelA-associated inhibitor</t>
  </si>
  <si>
    <t>Isoform 2 of Protein FAM172A</t>
  </si>
  <si>
    <t>UPF0444 transmembrane protein C12orf23</t>
  </si>
  <si>
    <t>Neuferricin</t>
  </si>
  <si>
    <t>Phosphatidylglycerophosphatase and protein-tyrosine phosphatase 1</t>
  </si>
  <si>
    <t>Programmed cell death 6-interacting protein</t>
  </si>
  <si>
    <t>Filamin-binding LIM protein 1</t>
  </si>
  <si>
    <t>UPF0235 protein C15orf40</t>
  </si>
  <si>
    <t>Cation transport regulator-like protein 2</t>
  </si>
  <si>
    <t>Charged multivesicular body protein 7</t>
  </si>
  <si>
    <t>Protein THEM6</t>
  </si>
  <si>
    <t>N-acetyltransferase 14</t>
  </si>
  <si>
    <t>Non-structural maintenance of chromosomes element 1 homolog</t>
  </si>
  <si>
    <t>Nucleoside diphosphate-linked moiety X motif 8, mitochondrial</t>
  </si>
  <si>
    <t>MIT domain-containing protein 1</t>
  </si>
  <si>
    <t>RNA polymerase-associated protein LEO1</t>
  </si>
  <si>
    <t>E3 ubiquitin-protein ligase RNF138</t>
  </si>
  <si>
    <t>N(6)-adenine-specific DNA methyltransferase 2</t>
  </si>
  <si>
    <t>NudC domain-containing protein 2</t>
  </si>
  <si>
    <t>U4/U6.U5 small nuclear ribonucleoprotein 27 kDa protein</t>
  </si>
  <si>
    <t>Spindle and kinetochore-associated protein 2</t>
  </si>
  <si>
    <t>Ankyrin repeat domain-containing protein 49</t>
  </si>
  <si>
    <t>Dimethyladenosine transferase 1, mitochondrial</t>
  </si>
  <si>
    <t>Sec1 family domain-containing protein 1</t>
  </si>
  <si>
    <t>Fatty acyl-CoA reductase 1</t>
  </si>
  <si>
    <t>Ubiquitin-like domain-containing CTD phosphatase 1</t>
  </si>
  <si>
    <t>tRNA-splicing endonuclease subunit Sen15</t>
  </si>
  <si>
    <t>PEST proteolytic signal-containing nuclear protein</t>
  </si>
  <si>
    <t>SPRY domain-containing protein 4</t>
  </si>
  <si>
    <t>Uncharacterized protein C2orf47, mitochondrial</t>
  </si>
  <si>
    <t>Probable tRNA pseudouridine synthase 1</t>
  </si>
  <si>
    <t>Reticulon-4-interacting protein 1, mitochondrial</t>
  </si>
  <si>
    <t>Selenoprotein M</t>
  </si>
  <si>
    <t>Negative elongation factor B</t>
  </si>
  <si>
    <t>Isoform 3 of Palladin</t>
  </si>
  <si>
    <t>RUN and FYVE domain-containing protein 2</t>
  </si>
  <si>
    <t>Isoform 2 of Splicing regulatory glutamine/lysine-rich protein 1</t>
  </si>
  <si>
    <t>Gem-associated protein 6</t>
  </si>
  <si>
    <t>Caskin-2</t>
  </si>
  <si>
    <t>Paraspeckle component 1</t>
  </si>
  <si>
    <t>Transcriptional repressor p66-beta</t>
  </si>
  <si>
    <t>DnaJ homolog subfamily C member 9</t>
  </si>
  <si>
    <t>Isoform Short of Autism susceptibility gene 2 protein</t>
  </si>
  <si>
    <t>BRI3-binding protein</t>
  </si>
  <si>
    <t>Isoform 2 of Protein phosphatase 1E</t>
  </si>
  <si>
    <t>THAP domain-containing protein 4</t>
  </si>
  <si>
    <t>Isoform 3 of Beta-catenin-like protein 1</t>
  </si>
  <si>
    <t>Ovarian cancer-associated gene 2 protein</t>
  </si>
  <si>
    <t>Immunity-related GTPase family Q protein</t>
  </si>
  <si>
    <t>Isoform D3 of DNA damage-binding protein 2</t>
  </si>
  <si>
    <t>ATP-dependent RNA helicase DDX1</t>
  </si>
  <si>
    <t>Estradiol 17-beta-dehydrogenase 8</t>
  </si>
  <si>
    <t>Protein FAM3C</t>
  </si>
  <si>
    <t>Histone H1x</t>
  </si>
  <si>
    <t>Isoform 3 of T-complex protein 1 subunit zeta-2</t>
  </si>
  <si>
    <t>Golgi-specific brefeldin A-resistance guanine nucleotide exchange factor 1</t>
  </si>
  <si>
    <t>RNA polymerase-associated protein RTF1 homolog</t>
  </si>
  <si>
    <t>Transmembrane 9 superfamily member 4</t>
  </si>
  <si>
    <t>DNA topoisomerase 2-binding protein 1</t>
  </si>
  <si>
    <t>28S ribosomal protein S27, mitochondrial</t>
  </si>
  <si>
    <t>Wiskott-Aldrich syndrome protein family member 1</t>
  </si>
  <si>
    <t>UBX domain-containing protein 4</t>
  </si>
  <si>
    <t>Isoform 2 of PHD finger protein 3</t>
  </si>
  <si>
    <t>Mastermind-like protein 1</t>
  </si>
  <si>
    <t>Protein NDRG1</t>
  </si>
  <si>
    <t>Isoform Beta of Heat shock protein 105 kDa</t>
  </si>
  <si>
    <t>Acyl-CoA:lysophosphatidylglycerol acyltransferase 1</t>
  </si>
  <si>
    <t>Translational activator GCN1</t>
  </si>
  <si>
    <t>Pre-mRNA-splicing factor ATP-dependent RNA helicase PRP16</t>
  </si>
  <si>
    <t>Nuclear pore complex protein Nup205</t>
  </si>
  <si>
    <t>Tetratricopeptide repeat protein 9A</t>
  </si>
  <si>
    <t>Ankyrin repeat and SAM domain-containing protein 1A</t>
  </si>
  <si>
    <t>28S ribosomal protein S31, mitochondrial</t>
  </si>
  <si>
    <t>A-kinase anchor protein 1, mitochondrial</t>
  </si>
  <si>
    <t>Neurogranin</t>
  </si>
  <si>
    <t>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</si>
  <si>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</si>
  <si>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</si>
  <si>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</si>
  <si>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Isoform 2 of Protein TFG</t>
  </si>
  <si>
    <t>Actin-related protein 2/3 complex subunit 1A</t>
  </si>
  <si>
    <t>Isoform 2 of Signal transducing adapter molecule 1</t>
  </si>
  <si>
    <t>Synaptonemal complex protein SC65</t>
  </si>
  <si>
    <t>Isoform 2 of CREB-binding protein</t>
  </si>
  <si>
    <t>Symplekin</t>
  </si>
  <si>
    <t>Isoform Short of TATA-binding protein-associated factor 2N</t>
  </si>
  <si>
    <t>Golgin subfamily A member 1</t>
  </si>
  <si>
    <t>Gamma-glutamyl hydrolase</t>
  </si>
  <si>
    <t>Isoform 4 of X-linked retinitis pigmentosa GTPase regulator</t>
  </si>
  <si>
    <t>Isoform 3 of Bcl-2-like protein 2</t>
  </si>
  <si>
    <t>Isoform 4 of Kinesin-associated protein 3</t>
  </si>
  <si>
    <t>Phosphomannomutase 1</t>
  </si>
  <si>
    <t>DNA repair protein RAD50</t>
  </si>
  <si>
    <t>Osteoclast-stimulating factor 1</t>
  </si>
  <si>
    <t>Isoform 3 of Rho guanine nucleotide exchange factor 1</t>
  </si>
  <si>
    <t>DNA repair endonuclease XPF</t>
  </si>
  <si>
    <t>Ubiquitin fusion degradation protein 1 homolog</t>
  </si>
  <si>
    <t>Golgi apparatus protein 1</t>
  </si>
  <si>
    <t>Isoform 2 of Regulator of nonsense transcripts 1</t>
  </si>
  <si>
    <t>COP9 signalosome complex subunit 5</t>
  </si>
  <si>
    <t>G patch domain and KOW motifs-containing protein</t>
  </si>
  <si>
    <t>SWI/SNF complex subunit SMARCC1</t>
  </si>
  <si>
    <t>Ras-related protein Rab-8B</t>
  </si>
  <si>
    <t>Bcl2 antagonist of cell death</t>
  </si>
  <si>
    <t>Far upstream element-binding protein 2</t>
  </si>
  <si>
    <t>Glutaryl-CoA dehydrogenase, mitochondrial</t>
  </si>
  <si>
    <t>Peroxisomal membrane protein PEX13</t>
  </si>
  <si>
    <t>Isoform 2 of Transportin-1</t>
  </si>
  <si>
    <t>Ribosomal RNA small subunit methyltransferase NEP1</t>
  </si>
  <si>
    <t>Glomulin</t>
  </si>
  <si>
    <t>Ubiquitin carboxyl-terminal hydrolase 13</t>
  </si>
  <si>
    <t>Isoform 2 of Probable ubiquitin carboxyl-terminal hydrolase FAF-X</t>
  </si>
  <si>
    <t>Cullin-5</t>
  </si>
  <si>
    <t>Lipoma-preferred partner</t>
  </si>
  <si>
    <t>Histone H2A type 1-C</t>
  </si>
  <si>
    <t>Histone H2B type 1-H</t>
  </si>
  <si>
    <t>Isoform 2 of Secretory carrier-associated membrane protein 4</t>
  </si>
  <si>
    <t>Pre-rRNA-processing protein TSR2 homolog</t>
  </si>
  <si>
    <t>Isoform 2 of Protein naked cuticle homolog 2</t>
  </si>
  <si>
    <t>Riboflavin kinase</t>
  </si>
  <si>
    <t>UPF0556 protein C19orf10</t>
  </si>
  <si>
    <t>E3 ubiquitin-protein ligase RNF34</t>
  </si>
  <si>
    <t>Protein YIPF5</t>
  </si>
  <si>
    <t>Isoform 4 of GPI transamidase component PIG-T</t>
  </si>
  <si>
    <t>Isoform 3 of Immunoglobulin superfamily member 8</t>
  </si>
  <si>
    <t>60S ribosomal protein L36a-like</t>
  </si>
  <si>
    <t>Ras-related protein Rab-24</t>
  </si>
  <si>
    <t>Isoform 3 of Endonuclease 8-like 2</t>
  </si>
  <si>
    <t>Zinc finger protein 622</t>
  </si>
  <si>
    <t>Isoform 2 of Ribosome-releasing factor 2, mitochondrial</t>
  </si>
  <si>
    <t>Isoform 2 of 7-methylguanosine phosphate-specific 5-nucleotidase</t>
  </si>
  <si>
    <t>Proteasome assembly chaperone 2</t>
  </si>
  <si>
    <t>Isoform 2 of Nicalin</t>
  </si>
  <si>
    <t>Isoform 2 of Endoplasmic reticulum-Golgi intermediate compartment protein 1</t>
  </si>
  <si>
    <t>Isoform 3 of tRNA modification GTPase GTPBP3, mitochondrial</t>
  </si>
  <si>
    <t>Protein TBRG4</t>
  </si>
  <si>
    <t>MOSC domain-containing protein 2, mitochondrial</t>
  </si>
  <si>
    <t>Coiled-coil domain-containing protein 102A</t>
  </si>
  <si>
    <t>Coiled-coil domain-containing protein 47</t>
  </si>
  <si>
    <t>Mitoferrin-2</t>
  </si>
  <si>
    <t>Synapse-associated protein 1</t>
  </si>
  <si>
    <t>Exocyst complex component 4</t>
  </si>
  <si>
    <t>Putative monooxygenase p33MONOX</t>
  </si>
  <si>
    <t>Isochorismatase domain-containing protein 2, mitochondrial</t>
  </si>
  <si>
    <t>Protein N-terminal asparagine amidohydrolase</t>
  </si>
  <si>
    <t>Fermitin family homolog 2</t>
  </si>
  <si>
    <t>Patatin-like phospholipase domain-containing protein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</si>
  <si>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</si>
  <si>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</si>
  <si>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</si>
  <si>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</si>
  <si>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Mitochondrial calcium uniporter regulator 1</t>
  </si>
  <si>
    <t>Uncharacterized protein KIAA1143</t>
  </si>
  <si>
    <t>Ribulose-phosphate 3-epimerase</t>
  </si>
  <si>
    <t>Peptidyl-prolyl cis-trans isomerase FKBP10</t>
  </si>
  <si>
    <t>Isoform 2 of RAD51-associated protein 1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</si>
  <si>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</si>
  <si>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</si>
  <si>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</si>
  <si>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</si>
  <si>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</si>
  <si>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Leukocyte receptor cluster member 9</t>
  </si>
  <si>
    <t>SH3 domain-containing kinase-binding protein 1</t>
  </si>
  <si>
    <t>Isoform 2 of PHD finger protein 21A</t>
  </si>
  <si>
    <t>Isoform 2 of Spindle and kinetochore-associated protein 1</t>
  </si>
  <si>
    <t>E3 ubiquitin-protein ligase RNF25</t>
  </si>
  <si>
    <t>PIN2/TERF1-interacting telomerase inhibitor 1</t>
  </si>
  <si>
    <t>ADP-ribosylation factor-like protein 8A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</si>
  <si>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</si>
  <si>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</si>
  <si>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</si>
  <si>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</si>
  <si>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Alkylated DNA repair protein alkB homolog 8</t>
  </si>
  <si>
    <t>Isoform 2 of Phosphotriesterase-related protein</t>
  </si>
  <si>
    <t>Autophagy-related protein 2 homolog B</t>
  </si>
  <si>
    <t>Leukocyte receptor cluster member 1</t>
  </si>
  <si>
    <t>TBC1 domain family member 20</t>
  </si>
  <si>
    <t>EF-hand domain-containing protein D2</t>
  </si>
  <si>
    <t>Aldose 1-epimerase</t>
  </si>
  <si>
    <t>Isoform 2 of RUN domain-containing protein 1</t>
  </si>
  <si>
    <t>Pyrroline-5-carboxylate reductase 2</t>
  </si>
  <si>
    <t>Uncharacterized protein C12orf43</t>
  </si>
  <si>
    <t>m7GpppX diphosphatase</t>
  </si>
  <si>
    <t>Protein phosphatase 1 regulatory subunit 14B</t>
  </si>
  <si>
    <t>Isoform 4 of Serologically defined colon cancer antigen 3</t>
  </si>
  <si>
    <t>Isoform 4 of 5-methylcytosine rRNA methyltransferase NSUN4</t>
  </si>
  <si>
    <t>Charged multivesicular body protein 4c</t>
  </si>
  <si>
    <t>TRAF-interacting protein with FHA domain-containing protein A</t>
  </si>
  <si>
    <t>Isochorismatase domain-containing protein 1</t>
  </si>
  <si>
    <t>GRIP and coiled-coil domain-containing protein 1</t>
  </si>
  <si>
    <t>FLYWCH family member 2</t>
  </si>
  <si>
    <t>HAUS augmin-like complex subunit 1</t>
  </si>
  <si>
    <t>FAS-associated factor 2</t>
  </si>
  <si>
    <t>Coiled-coil domain-containing protein 124</t>
  </si>
  <si>
    <t>Isoform 3 of FAD-dependent oxidoreductase domain-containing protein 1</t>
  </si>
  <si>
    <t>Isoform 3 of Optineurin</t>
  </si>
  <si>
    <t>Isoform 2 of AP-2 complex subunit mu</t>
  </si>
  <si>
    <t>Isoform 2 of Gamma-tubulin complex component 3</t>
  </si>
  <si>
    <t>Probable RNA polymerase II nuclear localization protein SLC7A6OS</t>
  </si>
  <si>
    <t>BTB/POZ domain-containing protein KCTD12</t>
  </si>
  <si>
    <t>Leucine-rich repeat-containing protein 58</t>
  </si>
  <si>
    <t>Uncharacterized protein C10orf35</t>
  </si>
  <si>
    <t>Uncharacterized aarF domain-containing protein kinase 4</t>
  </si>
  <si>
    <t>Isoform 3 of RalBP1-associated Eps domain-containing protein 1</t>
  </si>
  <si>
    <t>Isoform 2 of Mitochondrial import inner membrane translocase subunit TIM14</t>
  </si>
  <si>
    <t>U8 snoRNA-decapping enzyme</t>
  </si>
  <si>
    <t>Anaphase-promoting complex subunit 16</t>
  </si>
  <si>
    <t>Protein DGCR14</t>
  </si>
  <si>
    <t>Carboxymethylenebutenolidase homolog</t>
  </si>
  <si>
    <t>Rho guanine nucleotide exchange factor 26</t>
  </si>
  <si>
    <t>Cysteine protease ATG4C</t>
  </si>
  <si>
    <t>Isoform 2 of Zinc finger and BTB domain-containing protein 10</t>
  </si>
  <si>
    <t>Isoform 2 of Endoplasmic reticulum lectin 1</t>
  </si>
  <si>
    <t>Protein FAM122A</t>
  </si>
  <si>
    <t>Isoform 3 of Ribosome-recycling factor, mitochondrial</t>
  </si>
  <si>
    <t>RecQ-mediated genome instability protein 2</t>
  </si>
  <si>
    <t>Nogo-B receptor</t>
  </si>
  <si>
    <t>Metalloendopeptidase OMA1, mitochondrial</t>
  </si>
  <si>
    <t>Protein Spindly</t>
  </si>
  <si>
    <t>Elongator complex protein 4</t>
  </si>
  <si>
    <t>NAD-dependent protein deacetylase sirtuin-1</t>
  </si>
  <si>
    <t>Protein YIPF6</t>
  </si>
  <si>
    <t>Nucleoporin SEH1</t>
  </si>
  <si>
    <t>Transcription elongation factor A protein-like 4</t>
  </si>
  <si>
    <t>KIF1-binding protein</t>
  </si>
  <si>
    <t>Glucosamine 6-phosphate N-acetyltransferase</t>
  </si>
  <si>
    <t>Protein KTI12 homolog</t>
  </si>
  <si>
    <t>39S ribosomal protein L53, mitochondrial</t>
  </si>
  <si>
    <t>Trans-L-3-hydroxyproline dehydratase</t>
  </si>
  <si>
    <t>DAZ-associated protein 1</t>
  </si>
  <si>
    <t>Small glutamine-rich tetratricopeptide repeat-containing protein beta</t>
  </si>
  <si>
    <t>Protein SAAL1</t>
  </si>
  <si>
    <t>Coiled-coil domain-containing protein 51</t>
  </si>
  <si>
    <t>Ribosomal RNA processing protein 36 homolog</t>
  </si>
  <si>
    <t>RNA-binding protein 33</t>
  </si>
  <si>
    <t>Dysbindin</t>
  </si>
  <si>
    <t>WD repeat-containing protein 34</t>
  </si>
  <si>
    <t>DnaJ homolog subfamily A member 3, mitochondrial</t>
  </si>
  <si>
    <t>Multivesicular body subunit 12A</t>
  </si>
  <si>
    <t>Cob(I)yrinic acid a,c-diamide adenosyltransferase, mitochondrial</t>
  </si>
  <si>
    <t>Probable inactive tRNA-specific adenosine deaminase-like protein 3</t>
  </si>
  <si>
    <t>Diamine acetyltransferase 2</t>
  </si>
  <si>
    <t>Isoform 2 of Nuclear receptor-binding factor 2</t>
  </si>
  <si>
    <t>Isoform 3 of E3 ubiquitin-protein ligase TRIM11</t>
  </si>
  <si>
    <t>Zinc finger protein 503</t>
  </si>
  <si>
    <t>Interleukin-17 receptor A</t>
  </si>
  <si>
    <t>Enhancer of mRNA-decapping protein 3</t>
  </si>
  <si>
    <t>Isoform 4 of Probable ATP-dependent RNA helicase DDX11</t>
  </si>
  <si>
    <t>Isoform 2 of Protein MEF2BNB</t>
  </si>
  <si>
    <t>WD repeat-containing protein 89</t>
  </si>
  <si>
    <t>THO complex subunit 1</t>
  </si>
  <si>
    <t>tRNA (adenine(58)-N(1))-methyltransferase catalytic subunit TRMT61A</t>
  </si>
  <si>
    <t>UPF0361 protein C3orf37</t>
  </si>
  <si>
    <t>Charged multivesicular body protein 6</t>
  </si>
  <si>
    <t>Phosphoglucomutase-2</t>
  </si>
  <si>
    <t>Ceramide synthase 2</t>
  </si>
  <si>
    <t>Mediator of RNA polymerase II transcription subunit 8</t>
  </si>
  <si>
    <t>Coiled-coil domain-containing protein 104</t>
  </si>
  <si>
    <t>tRNA-dihydrouridine(47) synthase [NAD(P)(+)]-like</t>
  </si>
  <si>
    <t>Diphosphoinositol polyphosphate phosphohydrolase 3-beta</t>
  </si>
  <si>
    <t>Isoform 3 of OTU domain-containing protein 5</t>
  </si>
  <si>
    <t>Protein LTV1 homolog</t>
  </si>
  <si>
    <t>Serine dehydratase-like</t>
  </si>
  <si>
    <t>Pyridoxal phosphate phosphatase</t>
  </si>
  <si>
    <t>E3 ubiquitin-protein ligase RNF185</t>
  </si>
  <si>
    <t>DCN1-like protein 1</t>
  </si>
  <si>
    <t>Isoform 3 of tRNA (uracil(54)-C(5))-methyltransferase homolog</t>
  </si>
  <si>
    <t>Fumarylacetoacetate hydrolase domain-containing protein 2A</t>
  </si>
  <si>
    <t>Isoform 2 of Scavenger receptor class F member 2</t>
  </si>
  <si>
    <t>Uncharacterized protein C17orf59</t>
  </si>
  <si>
    <t>Alpha/beta hydrolase domain-containing protein 17A</t>
  </si>
  <si>
    <t>UNC119-binding protein C5orf30</t>
  </si>
  <si>
    <t>Methionine--tRNA ligase, mitochondrial</t>
  </si>
  <si>
    <t>Putative ataxin-7-like protein 3B</t>
  </si>
  <si>
    <t>Isoform 2 of Serine/threonine-protein kinase greatwall</t>
  </si>
  <si>
    <t>Methylthioribulose-1-phosphate dehydratase</t>
  </si>
  <si>
    <t>Zinc finger C2HC domain-containing protein 1A</t>
  </si>
  <si>
    <t>Vacuolar-sorting protein SNF8</t>
  </si>
  <si>
    <t>Zinc finger CCCH-type antiviral protein 1-like</t>
  </si>
  <si>
    <t>Isoform 2 of Nuclear envelope pore membrane protein POM 121</t>
  </si>
  <si>
    <t>Isoform 4 of Uncharacterized protein C1orf159</t>
  </si>
  <si>
    <t>Isoform 2 of Tonsoku-like protein</t>
  </si>
  <si>
    <t>Isoform 2 of Coiled-coil domain-containing protein 120</t>
  </si>
  <si>
    <t>PDZ and LIM domain protein 5</t>
  </si>
  <si>
    <t>Cysteine-rich with EGF-like domain protein 1</t>
  </si>
  <si>
    <t>ERO1-like protein alpha</t>
  </si>
  <si>
    <t>Isoform 2 of Putative adenosylhomocysteinase 3</t>
  </si>
  <si>
    <t>Receptor expression-enhancing protein 6</t>
  </si>
  <si>
    <t>Serine/threonine-protein phosphatase PGAM5, mitochondrial</t>
  </si>
  <si>
    <t>Isoform 2 of Integrator complex subunit 4</t>
  </si>
  <si>
    <t>DDRGK domain-containing protein 1</t>
  </si>
  <si>
    <t>Selenocysteine lyase</t>
  </si>
  <si>
    <t>Far upstream element-binding protein 3</t>
  </si>
  <si>
    <t>Splicing factor 45</t>
  </si>
  <si>
    <t>Cytochrome c oxidase assembly protein COX14</t>
  </si>
  <si>
    <t>Williams-Beuren syndrome chromosomal region 16 protein</t>
  </si>
  <si>
    <t>Probable asparagine--tRNA ligase, mitochondrial</t>
  </si>
  <si>
    <t>Isoform 2 of Kazal-type serine protease inhibitor domain-containing protein 1</t>
  </si>
  <si>
    <t>Succinyl-CoA ligase [GDP-forming] subunit beta, mitochondrial</t>
  </si>
  <si>
    <t>LIM domain-containing protein ajuba</t>
  </si>
  <si>
    <t>Mannose-1-phosphate guanyltransferase alpha</t>
  </si>
  <si>
    <t>Biorientation of chromosomes in cell division protein 1</t>
  </si>
  <si>
    <t>Isoform 2 of Zinc finger protein 414</t>
  </si>
  <si>
    <t>Alpha/beta hydrolase domain-containing protein 14B</t>
  </si>
  <si>
    <t>Isoform 3 of Peptide-N(4)-(N-acetyl-beta-glucosaminyl)asparagine amidase</t>
  </si>
  <si>
    <t>Up-regulated during skeletal muscle growth protein 5</t>
  </si>
  <si>
    <t>PRKC apoptosis WT1 regulator protein</t>
  </si>
  <si>
    <t>Isoform 2 of Serine/Arginine-related protein 53</t>
  </si>
  <si>
    <t>THO complex subunit 3</t>
  </si>
  <si>
    <t>Isoform 2 of E3 ubiquitin-protein ligase Itchy homolog</t>
  </si>
  <si>
    <t>Kin of IRRE-like protein 1</t>
  </si>
  <si>
    <t>Leucine-rich repeats and immunoglobulin-like domains protein 1</t>
  </si>
  <si>
    <t>Isoform 2 of CDK5 regulatory subunit-associated protein 3</t>
  </si>
  <si>
    <t>Isoform 2 of Vam6/Vps39-like protein</t>
  </si>
  <si>
    <t>Isoform 3 of Coiled-coil domain-containing protein 132</t>
  </si>
  <si>
    <t>Deubiquitinating protein VCIP135</t>
  </si>
  <si>
    <t>Protein disulfide-isomerase TMX3</t>
  </si>
  <si>
    <t>Chromosome alignment-maintaining phosphoprotein 1</t>
  </si>
  <si>
    <t>E3 ubiquitin-protein ligase ZFP91</t>
  </si>
  <si>
    <t>Calmin</t>
  </si>
  <si>
    <t>PDZ and LIM domain protein 2</t>
  </si>
  <si>
    <t>Fatty acyl-CoA reductase 2</t>
  </si>
  <si>
    <t>Isoform 2 of E3 ubiquitin-protein ligase RNF170</t>
  </si>
  <si>
    <t>Isoform 2 of Cleft lip and palate transmembrane protein 1-like protein</t>
  </si>
  <si>
    <t>Lymphokine-activated killer T-cell-originated protein kinase</t>
  </si>
  <si>
    <t>ADP-ribosylation factor-like protein 5B</t>
  </si>
  <si>
    <t>DnaJ homolog subfamily C member 1</t>
  </si>
  <si>
    <t>Protein FAM84B</t>
  </si>
  <si>
    <t>Exocyst complex component 2</t>
  </si>
  <si>
    <t>Cytosolic non-specific dipeptidase</t>
  </si>
  <si>
    <t>Apoptosis-stimulating of p53 protein 1</t>
  </si>
  <si>
    <t>Zinc finger RNA-binding protein</t>
  </si>
  <si>
    <t>EPH receptor B4, isoform CRA_b</t>
  </si>
  <si>
    <t>Isoform 2 of Sorting nexin-27</t>
  </si>
  <si>
    <t>Isoform 2 of Protein arginine N-methyltransferase 6</t>
  </si>
  <si>
    <t>Intraflagellar transport protein 74 homolog</t>
  </si>
  <si>
    <t>Ubiquitin-conjugating enzyme E2 E2</t>
  </si>
  <si>
    <t>Protein PRRC1</t>
  </si>
  <si>
    <t>Isoform 4 of F-box/LRR-repeat protein 18</t>
  </si>
  <si>
    <t>Transmembrane protein 68</t>
  </si>
  <si>
    <t>Isoform 2 of AP-4 complex accessory subunit tepsin</t>
  </si>
  <si>
    <t>Isoform 2 of Lysophospholipid acyltransferase 7</t>
  </si>
  <si>
    <t>LisH domain-containing protein FOPNL</t>
  </si>
  <si>
    <t>Sideroflexin-2</t>
  </si>
  <si>
    <t>Zinc finger protein 830</t>
  </si>
  <si>
    <t>Zinc finger matrin-type protein 2</t>
  </si>
  <si>
    <t>Transmembrane protein 74</t>
  </si>
  <si>
    <t>Isoform 2 of Putative methyltransferase NSUN5</t>
  </si>
  <si>
    <t>Isoform 2 of Regulation of nuclear pre-mRNA domain-containing protein 1A</t>
  </si>
  <si>
    <t>Arf-GAP with GTPase, ANK repeat and PH domain-containing protein 3</t>
  </si>
  <si>
    <t>Isoform 3 of Arf-GAP with Rho-GAP domain, ANK repeat and PH domain-containing protein 1</t>
  </si>
  <si>
    <t>Arf-GAP with coiled-coil, ANK repeat and PH domain-containing protein 3</t>
  </si>
  <si>
    <t>Importin-9</t>
  </si>
  <si>
    <t>Discoidin, CUB and LCCL domain-containing protein 2</t>
  </si>
  <si>
    <t>Methylmalonyl-CoA epimerase, mitochondrial</t>
  </si>
  <si>
    <t>Bcl-2-binding component 3</t>
  </si>
  <si>
    <t>RNA-binding protein 14</t>
  </si>
  <si>
    <t>RING finger and CHY zinc finger domain-containing protein 1</t>
  </si>
  <si>
    <t>Isoform 2 of E3 ubiquitin-protein ligase NEDD4-like</t>
  </si>
  <si>
    <t>Protein quaking</t>
  </si>
  <si>
    <t>Pseudouridylate synthase 7 homolog</t>
  </si>
  <si>
    <t>Isoform 2 of CCA tRNA nucleotidyltransferase 1, mitochondrial</t>
  </si>
  <si>
    <t>Isoform 2 of Transmembrane protein 237</t>
  </si>
  <si>
    <t>Alpha-ketoglutarate-dependent dioxygenase alkB homolog 3</t>
  </si>
  <si>
    <t>Serine/threonine-protein phosphatase 1 regulatory subunit 10</t>
  </si>
  <si>
    <t>Isoform 2 of DEP domain-containing protein 7</t>
  </si>
  <si>
    <t>Vacuolar protein sorting-associated protein 35</t>
  </si>
  <si>
    <t>Transcriptional activator protein Pur-beta</t>
  </si>
  <si>
    <t>Exportin-6</t>
  </si>
  <si>
    <t>Sperm-associated antigen 5</t>
  </si>
  <si>
    <t>Nucleus accumbens-associated protein 1</t>
  </si>
  <si>
    <t>Isoform 3 of Sorting nexin-18</t>
  </si>
  <si>
    <t>PAS domain-containing serine/threonine-protein kinase</t>
  </si>
  <si>
    <t>Isoform 4 of Vacuolar protein sorting-associated protein 13A</t>
  </si>
  <si>
    <t>Elongation factor G, mitochondrial</t>
  </si>
  <si>
    <t>Twinkle protein, mitochondrial</t>
  </si>
  <si>
    <t>Isoform 2 of Calcium/calmodulin-dependent protein kinase kinase 2</t>
  </si>
  <si>
    <t>NudC domain-containing protein 1</t>
  </si>
  <si>
    <t>Isoform 7 of Protein LAP2</t>
  </si>
  <si>
    <t>Isoform 2 of Ubiquitin carboxyl-terminal hydrolase 28</t>
  </si>
  <si>
    <t>Isoform 4 of Formin-binding protein 1</t>
  </si>
  <si>
    <t>UPF0585 protein C16orf13</t>
  </si>
  <si>
    <t>TP53-regulating kinase</t>
  </si>
  <si>
    <t>GPI transamidase component PIG-S</t>
  </si>
  <si>
    <t>Isoform 2 of ATPase WRNIP1</t>
  </si>
  <si>
    <t>Ran-binding protein 9</t>
  </si>
  <si>
    <t>Chloride channel CLIC-like protein 1</t>
  </si>
  <si>
    <t>Isoform 2 of LysM and putative peptidoglycan-binding domain-containing protein 1</t>
  </si>
  <si>
    <t>Isoform 3 of Cyclin-L2</t>
  </si>
  <si>
    <t>Pleckstrin homology domain-containing family F member 1</t>
  </si>
  <si>
    <t>Neurabin-2</t>
  </si>
  <si>
    <t>Structural maintenance of chromosomes protein 6</t>
  </si>
  <si>
    <t>BTB/POZ domain-containing protein KCTD15</t>
  </si>
  <si>
    <t>Isoform 2 of Transmembrane protein 209</t>
  </si>
  <si>
    <t>Protein IWS1 homolog</t>
  </si>
  <si>
    <t>Paired amphipathic helix protein Sin3a</t>
  </si>
  <si>
    <t>2-aminoethanethiol dioxygenase</t>
  </si>
  <si>
    <t>Isoform 2 of CDK5 regulatory subunit-associated protein 1</t>
  </si>
  <si>
    <t>Isoform 2 of Putative RNA-binding protein 15</t>
  </si>
  <si>
    <t>RUN and FYVE domain-containing protein 1</t>
  </si>
  <si>
    <t>Isoform 2 of Mitochondrial inner membrane protease subunit 2</t>
  </si>
  <si>
    <t>Msx2-interacting protein</t>
  </si>
  <si>
    <t>Isoform 6 of MMS19 nucleotide excision repair protein homolog</t>
  </si>
  <si>
    <t>E3 ubiquitin-protein ligase UHRF1</t>
  </si>
  <si>
    <t>Isoform 2 of Niban-like protein 1</t>
  </si>
  <si>
    <t>Isoform 3 of ATP-dependent zinc metalloprotease YME1L1</t>
  </si>
  <si>
    <t>Transcription factor 12</t>
  </si>
  <si>
    <t>C-Myc-binding protein</t>
  </si>
  <si>
    <t>Tubulin-folding cofactor B</t>
  </si>
  <si>
    <t>Proteasome subunit beta type-7</t>
  </si>
  <si>
    <t>Translocation protein SEC62</t>
  </si>
  <si>
    <t>Ethanolamine-phosphate cytidylyltransferase</t>
  </si>
  <si>
    <t>Cell division cycle 5-like protein</t>
  </si>
  <si>
    <t>26S proteasome non-ATPase regulatory subunit 1</t>
  </si>
  <si>
    <t>Prefoldin subunit 5</t>
  </si>
  <si>
    <t>Platelet-activating factor acetylhydrolase 2, cytoplasmic</t>
  </si>
  <si>
    <t>E3 ubiquitin-protein ligase RING2</t>
  </si>
  <si>
    <t>Protein DJ-1</t>
  </si>
  <si>
    <t>Isoform 2 of Eyes absent homolog 3</t>
  </si>
  <si>
    <t>Sialidase-1</t>
  </si>
  <si>
    <t>Sortilin</t>
  </si>
  <si>
    <t>Synaptic vesicle membrane protein VAT-1 homolog</t>
  </si>
  <si>
    <t>DnaJ homolog subfamily C member 2</t>
  </si>
  <si>
    <t>Nuclear pore complex protein Nup88</t>
  </si>
  <si>
    <t>Isoform 2 of Plakophilin-4</t>
  </si>
  <si>
    <t>Neuroserpin</t>
  </si>
  <si>
    <t>Ribonucleases P/MRP protein subunit POP1</t>
  </si>
  <si>
    <t>Protein S100-A13</t>
  </si>
  <si>
    <t>Translin-associated protein X</t>
  </si>
  <si>
    <t>Selenide, water dikinase 2</t>
  </si>
  <si>
    <t>Tetratricopeptide repeat protein 1</t>
  </si>
  <si>
    <t>DnaJ homolog subfamily C member 7</t>
  </si>
  <si>
    <t>Cell division cycle-associated protein 3</t>
  </si>
  <si>
    <t>Protein C10</t>
  </si>
  <si>
    <t>Prohibitin-2</t>
  </si>
  <si>
    <t>Pre-mRNA-splicing factor 18</t>
  </si>
  <si>
    <t>Isoform 3 of Membrane-associated tyrosine- and threonine-specific cdc2-inhibitory kinase</t>
  </si>
  <si>
    <t>Calcineurin B homologous protein 1</t>
  </si>
  <si>
    <t>Kinesin-like protein KIF2C</t>
  </si>
  <si>
    <t>Docking protein 1</t>
  </si>
  <si>
    <t>Methionine synthase</t>
  </si>
  <si>
    <t>3-hydroxyacyl-CoA dehydrogenase type-2</t>
  </si>
  <si>
    <t>Isoform 4 of Sigma non-opioid intracellular receptor 1</t>
  </si>
  <si>
    <t>Isoform 3 of Heterogeneous nuclear ribonucleoprotein A/B</t>
  </si>
  <si>
    <t>Nucleosome assembly protein 1-like 4</t>
  </si>
  <si>
    <t>Isoform 2 of Microsomal glutathione S-transferase 2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</si>
  <si>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</si>
  <si>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</si>
  <si>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</si>
  <si>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</si>
  <si>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</si>
  <si>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Transmembrane 9 superfamily member 2</t>
  </si>
  <si>
    <t>Ubiquinone biosynthesis protein COQ7 homolog</t>
  </si>
  <si>
    <t>Tumor susceptibility gene 101 protein</t>
  </si>
  <si>
    <t>T-complex protein 1 subunit eta</t>
  </si>
  <si>
    <t>AT-rich interactive domain-containing protein 3A</t>
  </si>
  <si>
    <t>Histone H2A type 1-J</t>
  </si>
  <si>
    <t>Isoform 2 of Tyrosine-protein phosphatase non-receptor type 18</t>
  </si>
  <si>
    <t>Dual specificity protein phosphatase 9</t>
  </si>
  <si>
    <t>Endophilin-A2</t>
  </si>
  <si>
    <t>Isoform 4 of Endophilin-A3</t>
  </si>
  <si>
    <t>Dihydropyrimidinase-related protein 5</t>
  </si>
  <si>
    <t>Protein NipSnap homolog 1</t>
  </si>
  <si>
    <t>Condensin complex subunit 3</t>
  </si>
  <si>
    <t>Actin-related protein 2/3 complex subunit 5-like protein</t>
  </si>
  <si>
    <t>UPF0415 protein C7orf25</t>
  </si>
  <si>
    <t>Polyadenylate-binding protein-interacting protein 2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</si>
  <si>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</si>
  <si>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</si>
  <si>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</si>
  <si>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</si>
  <si>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Transcription factor 25</t>
  </si>
  <si>
    <t>Evolutionarily conserved signaling intermediate in Toll pathway, mitochondrial</t>
  </si>
  <si>
    <t>Diphthamide biosynthesis protein 2</t>
  </si>
  <si>
    <t>Myb-binding protein 1A</t>
  </si>
  <si>
    <t>Mitochondrial genome maintenance exonuclease 1</t>
  </si>
  <si>
    <t>FYVE and coiled-coil domain-containing protein 1</t>
  </si>
  <si>
    <t>Isoform 2 of Mitochondrial 2-oxodicarboxylate carrier</t>
  </si>
  <si>
    <t>Acyl-CoA-binding domain-containing protein 6</t>
  </si>
  <si>
    <t>Coronin-1B</t>
  </si>
  <si>
    <t>Thioredoxin domain-containing protein 17</t>
  </si>
  <si>
    <t>Isoform 2 of BUD13 homolog</t>
  </si>
  <si>
    <t>Calcineurin-like phosphoesterase domain-containing protein 1</t>
  </si>
  <si>
    <t>39S ribosomal protein L45, mitochondrial</t>
  </si>
  <si>
    <t>Leucine zipper putative tumor suppressor 2</t>
  </si>
  <si>
    <t>45 kDa calcium-binding protein</t>
  </si>
  <si>
    <t>Programmed cell death protein 2-like</t>
  </si>
  <si>
    <t>Proteasomal ATPase-associated factor 1</t>
  </si>
  <si>
    <t>Isoform 2 of Partner of Y14 and mago</t>
  </si>
  <si>
    <t>Isoform 2 of ADP-dependent glucokinase</t>
  </si>
  <si>
    <t>Serine/threonine-protein kinase RIO1</t>
  </si>
  <si>
    <t>Mitochondrial nucleoid factor 1</t>
  </si>
  <si>
    <t>DNA replication complex GINS protein SLD5</t>
  </si>
  <si>
    <t>Suppressor of IKBKE 1</t>
  </si>
  <si>
    <t>Protein pelota homolog</t>
  </si>
  <si>
    <t>DNA replication complex GINS protein PSF3</t>
  </si>
  <si>
    <t>Endoplasmic reticulum resident protein 44</t>
  </si>
  <si>
    <t>Latexin</t>
  </si>
  <si>
    <t>Autophagy-related protein 101</t>
  </si>
  <si>
    <t>Cancer-related nucleoside-triphosphatase</t>
  </si>
  <si>
    <t>Uncharacterized protein C19orf52</t>
  </si>
  <si>
    <t>Translational activator of cytochrome c oxidase 1</t>
  </si>
  <si>
    <t>Haloacid dehalogenase-like hydrolase domain-containing protein 3</t>
  </si>
  <si>
    <t>Gamma-tubulin complex component 2</t>
  </si>
  <si>
    <t>Isoform 3 of Uncharacterized protein C17orf80</t>
  </si>
  <si>
    <t>Extended synaptotagmin-1</t>
  </si>
  <si>
    <t>Protein fem-1 homolog A</t>
  </si>
  <si>
    <t>Ubiquitin-associated domain-containing protein 1</t>
  </si>
  <si>
    <t>Protein YIPF4</t>
  </si>
  <si>
    <t>Isoform 2 of Rhotekin</t>
  </si>
  <si>
    <t>UPF0183 protein C16orf70</t>
  </si>
  <si>
    <t>tRNA-splicing endonuclease subunit Sen34</t>
  </si>
  <si>
    <t>Coiled-coil-helix-coiled-coil-helix domain-containing protein 5</t>
  </si>
  <si>
    <t>Protein canopy homolog 3</t>
  </si>
  <si>
    <t>Mitochondrial GTPase 1</t>
  </si>
  <si>
    <t>Chitobiosyldiphosphodolichol beta-mannosyltransferase</t>
  </si>
  <si>
    <t>LIM domain-containing protein 2</t>
  </si>
  <si>
    <t>Isoform 2 of HAUS augmin-like complex subunit 8</t>
  </si>
  <si>
    <t>Alpha-ketoglutarate-dependent dioxygenase alkB homolog 7</t>
  </si>
  <si>
    <t>Proteasome assembly chaperone 3</t>
  </si>
  <si>
    <t>COP9 signalosome complex subunit 4</t>
  </si>
  <si>
    <t>Trichoplein keratin filament-binding protein</t>
  </si>
  <si>
    <t>Isoform 4 of WW domain-containing adapter protein with coiled-coil</t>
  </si>
  <si>
    <t>Death-inducer obliterator 1</t>
  </si>
  <si>
    <t>Isoform 2 of Mini-chromosome maintenance complex-binding protein</t>
  </si>
  <si>
    <t>Alanyl-tRNA editing protein Aarsd1</t>
  </si>
  <si>
    <t>DCN1-like protein 5</t>
  </si>
  <si>
    <t>Isoform 2 of THUMP domain-containing protein 2</t>
  </si>
  <si>
    <t>RNMT-activating mini protein</t>
  </si>
  <si>
    <t>Acidic leucine-rich nuclear phosphoprotein 32 family member E</t>
  </si>
  <si>
    <t>Leucine-rich repeat-containing protein 1</t>
  </si>
  <si>
    <t>Phosphatidylinositol 4-kinase type 2-alpha</t>
  </si>
  <si>
    <t>Fibronectin type III and SPRY domain-containing protein 1</t>
  </si>
  <si>
    <t>WD repeat-containing protein 85</t>
  </si>
  <si>
    <t>Plasma alpha-L-fucosidase</t>
  </si>
  <si>
    <t>Protein FAM203A</t>
  </si>
  <si>
    <t>Isoform 8 of Dehydrogenase/reductase SDR family member 4</t>
  </si>
  <si>
    <t>Thiamine-triphosphatase</t>
  </si>
  <si>
    <t>Isoform 3 of Lipase maturation factor 2</t>
  </si>
  <si>
    <t>NADH dehydrogenase [ubiquinone] 1 alpha subcomplex assembly factor 3</t>
  </si>
  <si>
    <t>Deoxyhypusine hydroxylase</t>
  </si>
  <si>
    <t>Uncharacterized protein C11orf84</t>
  </si>
  <si>
    <t>Isoform 2 of Transmembrane protein 70, mitochondrial</t>
  </si>
  <si>
    <t>Mediator of RNA polymerase II transcription subunit 18</t>
  </si>
  <si>
    <t>Iron-sulfur cluster assembly 1 homolog, mitochondrial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</si>
  <si>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</si>
  <si>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</si>
  <si>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</si>
  <si>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</si>
  <si>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Isoform 3 of Protein misato homolog 1</t>
  </si>
  <si>
    <t>Coiled-coil domain-containing protein 28B</t>
  </si>
  <si>
    <t>Isoform 3 of Oxidoreductase HTATIP2</t>
  </si>
  <si>
    <t>Telomerase Cajal body protein 1</t>
  </si>
  <si>
    <t>3-hydroxybutyrate dehydrogenase type 2</t>
  </si>
  <si>
    <t>Protein FAM195A</t>
  </si>
  <si>
    <t>UPF0184 protein C9orf16</t>
  </si>
  <si>
    <t>Dol-P-Man:Man(7)GlcNAc(2)-PP-Dol alpha-1,6-mannosyltransferase</t>
  </si>
  <si>
    <t>Uncharacterized protein C1orf50</t>
  </si>
  <si>
    <t>Methylthioribose-1-phosphate isomerase</t>
  </si>
  <si>
    <t>Monoacylglycerol lipase ABHD6</t>
  </si>
  <si>
    <t>WD repeat-containing protein 18</t>
  </si>
  <si>
    <t>Vesicle-associated membrane protein 8</t>
  </si>
  <si>
    <t>THUMP domain-containing protein 3</t>
  </si>
  <si>
    <t>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</si>
  <si>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</si>
  <si>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</si>
  <si>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</si>
  <si>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N-terminal Xaa-Pro-Lys N-methyltransferase 1</t>
  </si>
  <si>
    <t>Katanin p80 WD40 repeat-containing subunit B1</t>
  </si>
  <si>
    <t>Tubulin beta-2B chain</t>
  </si>
  <si>
    <t>Sister chromatid cohesion protein DCC1</t>
  </si>
  <si>
    <t>Target of rapamycin complex subunit LST8</t>
  </si>
  <si>
    <t>Transmembrane protein 109</t>
  </si>
  <si>
    <t>Protein PBDC1</t>
  </si>
  <si>
    <t>Phosphatidylserine synthase 2</t>
  </si>
  <si>
    <t>Isoform 3 of U3 small nucleolar RNA-associated protein 14 homolog A</t>
  </si>
  <si>
    <t>Transmembrane emp24 domain-containing protein 9</t>
  </si>
  <si>
    <t>Selenoprotein O</t>
  </si>
  <si>
    <t>Protein DPCD</t>
  </si>
  <si>
    <t>Gamma-glutamylaminecyclotransferase</t>
  </si>
  <si>
    <t>Gamma-tubulin complex component 4</t>
  </si>
  <si>
    <t>tRNA (adenine(58)-N(1))-methyltransferase, mitochondrial</t>
  </si>
  <si>
    <t>Mitochondrial import inner membrane translocase subunit Tim21</t>
  </si>
  <si>
    <t>TIMELESS-interacting protein</t>
  </si>
  <si>
    <t>Kinesin-like protein KIFC1</t>
  </si>
  <si>
    <t>Nuclear pore complex protein Nup85</t>
  </si>
  <si>
    <t>Tubulin polymerization-promoting protein family member 3</t>
  </si>
  <si>
    <t>Elongation of very long chain fatty acids protein 1</t>
  </si>
  <si>
    <t>DET1- and DDB1-associated protein 1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</si>
  <si>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</si>
  <si>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</si>
  <si>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</si>
  <si>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</si>
  <si>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</si>
  <si>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</si>
  <si>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Protein FAM127B</t>
  </si>
  <si>
    <t>RNA-binding protein 4</t>
  </si>
  <si>
    <t>Isoform 2 of Sodium channel modifier 1</t>
  </si>
  <si>
    <t>FUN14 domain-containing protein 2</t>
  </si>
  <si>
    <t>Isoform 2 of RNA polymerase II-associated protein 1</t>
  </si>
  <si>
    <t>Splicing factor 3B subunit 5</t>
  </si>
  <si>
    <t>Sideroflexin-3</t>
  </si>
  <si>
    <t>Poly(A) polymerase gamma</t>
  </si>
  <si>
    <t>Caspase recruitment domain-containing protein 10</t>
  </si>
  <si>
    <t>Kanadaptin</t>
  </si>
  <si>
    <t>Protein LSM14 homolog B</t>
  </si>
  <si>
    <t>Fanconi anemia group J protein</t>
  </si>
  <si>
    <t>Isoform 9 of Sorbin and SH3 domain-containing protein 1</t>
  </si>
  <si>
    <t>Junctional adhesion molecule C</t>
  </si>
  <si>
    <t>Histidine triad nucleotide-binding protein 2, mitochondrial</t>
  </si>
  <si>
    <t>Sphingosine-1-phosphate phosphatase 1</t>
  </si>
  <si>
    <t>Oxysterol-binding protein-related protein 11</t>
  </si>
  <si>
    <t>Rab11 family-interacting protein 5</t>
  </si>
  <si>
    <t>N-alpha-acetyltransferase 15, NatA auxiliary subunit</t>
  </si>
  <si>
    <t>Solute carrier family 12 member 9</t>
  </si>
  <si>
    <t>Isoform 4 of Serrate RNA effector molecule homolog</t>
  </si>
  <si>
    <t>Queuine tRNA-ribosyltransferase</t>
  </si>
  <si>
    <t>Uncharacterized protein C14orf142</t>
  </si>
  <si>
    <t>Oxysterol-binding protein-related protein 1</t>
  </si>
  <si>
    <t>Isoform 1 of Cat eye syndrome critical region protein 5</t>
  </si>
  <si>
    <t>Isoform 2 of Fanconi anemia group D2 protein</t>
  </si>
  <si>
    <t>Inosine triphosphate pyrophosphatase</t>
  </si>
  <si>
    <t>Charged multivesicular body protein 4a</t>
  </si>
  <si>
    <t>Polymerase delta-interacting protein 3</t>
  </si>
  <si>
    <t>Guanine nucleotide-binding protein subunit beta-like protein 1</t>
  </si>
  <si>
    <t>Partitioning defective 6 homolog beta</t>
  </si>
  <si>
    <t>Sulfiredoxin-1</t>
  </si>
  <si>
    <t>Serine/threonine-protein kinase 33</t>
  </si>
  <si>
    <t>Neurolysin, mitochondrial</t>
  </si>
  <si>
    <t>Centrosomal protein of 41 kDa</t>
  </si>
  <si>
    <t>Histone-lysine N-methyltransferase SETD2</t>
  </si>
  <si>
    <t>Isoform 2 of Pantothenate kinase 2, mitochondrial</t>
  </si>
  <si>
    <t>Isoform 2 of FERM domain-containing protein 8</t>
  </si>
  <si>
    <t>Kinetochore protein Nuf2</t>
  </si>
  <si>
    <t>tRNA pseudouridine(38/39) synthase</t>
  </si>
  <si>
    <t>Tether containing UBX domain for GLUT4</t>
  </si>
  <si>
    <t>Ubiquitin-like protein 5</t>
  </si>
  <si>
    <t>Group XIIA secretory phospholipase A2</t>
  </si>
  <si>
    <t>NKG2D ligand 3</t>
  </si>
  <si>
    <t>NKG2D ligand 2</t>
  </si>
  <si>
    <t>Uridine-cytidine kinase 2</t>
  </si>
  <si>
    <t>Isoform 2 of Apoptosis inhibitor 5</t>
  </si>
  <si>
    <t>Protein dpy-30 homolog</t>
  </si>
  <si>
    <t>Isoform 5 of E3 ubiquitin-protein ligase TRIM9</t>
  </si>
  <si>
    <t>Isoform Beta of Tripartite motif-containing protein 4</t>
  </si>
  <si>
    <t>Tripartite motif-containing protein 2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</si>
  <si>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</si>
  <si>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</si>
  <si>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</si>
  <si>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</si>
  <si>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</si>
  <si>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Semaphorin-4C</t>
  </si>
  <si>
    <t>Isoform 4 of Activating molecule in BECN1-regulated autophagy protein 1</t>
  </si>
  <si>
    <t>Ubiquitin-conjugating enzyme E2 O</t>
  </si>
  <si>
    <t>Protein zyg-11 homolog B</t>
  </si>
  <si>
    <t>Isoform 2 of Protein TANC1</t>
  </si>
  <si>
    <t>Centrosomal protein of 44 kDa</t>
  </si>
  <si>
    <t>Isoform 2 of Protein tweety homolog 3</t>
  </si>
  <si>
    <t>Isoform 3 of Myotubularin-related protein 12</t>
  </si>
  <si>
    <t>Ribosome biogenesis protein WDR12</t>
  </si>
  <si>
    <t>Actin-related protein 6</t>
  </si>
  <si>
    <t>Isoform 2 of UPF0687 protein C20orf27</t>
  </si>
  <si>
    <t>PITH domain-containing protein 1</t>
  </si>
  <si>
    <t>Derlin-2</t>
  </si>
  <si>
    <t>WD repeat-containing protein 61</t>
  </si>
  <si>
    <t>SRA stem-loop-interacting RNA-binding protein, mitochondrial</t>
  </si>
  <si>
    <t>Serine racemase</t>
  </si>
  <si>
    <t>Isoform 2 of Coiled-coil domain-containing protein 90B, mitochondrial</t>
  </si>
  <si>
    <t>Isoform 2 of NIF3-like protein 1</t>
  </si>
  <si>
    <t>Egl nine homolog 1</t>
  </si>
  <si>
    <t>Protein FAM192A</t>
  </si>
  <si>
    <t>Twisted gastrulation protein homolog 1</t>
  </si>
  <si>
    <t>Mitochondrial fission factor</t>
  </si>
  <si>
    <t>Isoform 2 of Mitochondrial fission factor</t>
  </si>
  <si>
    <t>Ubiquitin-like modifier-activating enzyme 5</t>
  </si>
  <si>
    <t>Isoform 3 of Mitochondrial fission regulator 1-like</t>
  </si>
  <si>
    <t>Transmembrane protein 126A</t>
  </si>
  <si>
    <t>Polyadenylate-binding protein-interacting protein 1</t>
  </si>
  <si>
    <t>Isoform 2 of Caseinolytic peptidase B protein homolog</t>
  </si>
  <si>
    <t>Ras-related protein Rab-33B</t>
  </si>
  <si>
    <t>Protein FAM107B</t>
  </si>
  <si>
    <t>Kinesin light chain 2</t>
  </si>
  <si>
    <t>Integrin-linked kinase-associated serine/threonine phosphatase 2C</t>
  </si>
  <si>
    <t>5-3 exoribonuclease 2</t>
  </si>
  <si>
    <t>Toll-interacting protein</t>
  </si>
  <si>
    <t>Isoform 2 of Bromodomain-containing protein 8</t>
  </si>
  <si>
    <t>Isoform 2 of Sharpin</t>
  </si>
  <si>
    <t>Nuclear speckle splicing regulatory protein 1</t>
  </si>
  <si>
    <t>Rac GTPase-activating protein 1</t>
  </si>
  <si>
    <t>Enkurin domain-containing protein 1</t>
  </si>
  <si>
    <t>Cleavage stimulation factor subunit 2 tau variant</t>
  </si>
  <si>
    <t>Cytosolic 5-nucleotidase 3A</t>
  </si>
  <si>
    <t>Haloacid dehalogenase-like hydrolase domain-containing protein 2</t>
  </si>
  <si>
    <t>Glutamyl-tRNA(Gln) amidotransferase subunit A, mitochondrial</t>
  </si>
  <si>
    <t>Magnesium transporter protein 1</t>
  </si>
  <si>
    <t>Ras-related protein Rab-1B</t>
  </si>
  <si>
    <t>Transmembrane protein 168</t>
  </si>
  <si>
    <t>VIP36-like protein</t>
  </si>
  <si>
    <t>Ester hydrolase C11orf54</t>
  </si>
  <si>
    <t>Protein ITFG3</t>
  </si>
  <si>
    <t>Nucleotide exchange factor SIL1</t>
  </si>
  <si>
    <t>Interferon regulatory factor 2-binding protein-like</t>
  </si>
  <si>
    <t>Glycosyltransferase 8 domain-containing protein 2</t>
  </si>
  <si>
    <t>Nuclear ubiquitous casein and cyclin-dependent kinase substrate 1</t>
  </si>
  <si>
    <t>Rabenosyn-5</t>
  </si>
  <si>
    <t>Iron-sulfur cluster assembly enzyme ISCU, mitochondrial</t>
  </si>
  <si>
    <t>Isoform 2 of Oxysterol-binding protein-related protein 2</t>
  </si>
  <si>
    <t>DnaJ homolog subfamily C member 25</t>
  </si>
  <si>
    <t>Autophagy protein 5</t>
  </si>
  <si>
    <t>WD repeat-containing protein 13</t>
  </si>
  <si>
    <t>EH domain-containing protein 4</t>
  </si>
  <si>
    <t>Uncharacterized protein C1orf21</t>
  </si>
  <si>
    <t>Vacuolar protein sorting-associated protein 33B</t>
  </si>
  <si>
    <t>Vacuolar protein sorting-associated protein 11 homolog</t>
  </si>
  <si>
    <t>Gigaxonin</t>
  </si>
  <si>
    <t>Mitochondrial folate transporter/carrier</t>
  </si>
  <si>
    <t>Isoform 1 of TRIO and F-actin-binding protein</t>
  </si>
  <si>
    <t>Isoform 2 of STE20-like serine/threonine-protein kinase</t>
  </si>
  <si>
    <t>Golgin-45</t>
  </si>
  <si>
    <t>Peptidyl-prolyl cis-trans isomerase-like 3</t>
  </si>
  <si>
    <t>Sodium-dependent neutral amino acid transporter B(0)AT2</t>
  </si>
  <si>
    <t>Rab3 GTPase-activating protein non-catalytic subunit</t>
  </si>
  <si>
    <t>Activity-dependent neuroprotector homeobox protein</t>
  </si>
  <si>
    <t>Isoform 3 of Diphthine synthase</t>
  </si>
  <si>
    <t>Inorganic pyrophosphatase 2, mitochondrial</t>
  </si>
  <si>
    <t>39S ribosomal protein L46, mitochondrial</t>
  </si>
  <si>
    <t>Presenilins-associated rhomboid-like protein, mitochondrial</t>
  </si>
  <si>
    <t>Pinin</t>
  </si>
  <si>
    <t>Isoform 2 of Transmembrane protein 245</t>
  </si>
  <si>
    <t>Gametogenetin-binding protein 2</t>
  </si>
  <si>
    <t>Probable serine carboxypeptidase CPVL</t>
  </si>
  <si>
    <t>Isoform 4 of tRNA dimethylallyltransferase, mitochondrial</t>
  </si>
  <si>
    <t>UPF0696 protein C11orf68</t>
  </si>
  <si>
    <t>BolA-like protein 2</t>
  </si>
  <si>
    <t>Thioredoxin-related transmembrane protein 1</t>
  </si>
  <si>
    <t>Golgi resident protein GCP60</t>
  </si>
  <si>
    <t>Cdc42 effector protein 4</t>
  </si>
  <si>
    <t>Tyrosine-protein phosphatase non-receptor type 23</t>
  </si>
  <si>
    <t>Protein unc-45 homolog A</t>
  </si>
  <si>
    <t>Isoform 4 of Major facilitator superfamily domain-containing protein 1</t>
  </si>
  <si>
    <t>Pancreatic progenitor cell differentiation and proliferation factor</t>
  </si>
  <si>
    <t>Isoform 2 of DnaJ homolog subfamily C member 5</t>
  </si>
  <si>
    <t>Kinetochore-associated protein DSN1 homolog</t>
  </si>
  <si>
    <t>Uncharacterized protein C1orf198</t>
  </si>
  <si>
    <t>Charged multivesicular body protein 4b</t>
  </si>
  <si>
    <t>CUE domain-containing protein 2</t>
  </si>
  <si>
    <t>GDP-fucose protein O-fucosyltransferase 1</t>
  </si>
  <si>
    <t>15 kDa interferon-responsive protein</t>
  </si>
  <si>
    <t>Torsin-3A</t>
  </si>
  <si>
    <t>Golgi phosphoprotein 3-like</t>
  </si>
  <si>
    <t>Golgi phosphoprotein 3</t>
  </si>
  <si>
    <t>Probable tRNA threonylcarbamoyladenosine biosynthesis protein OSGEPL1</t>
  </si>
  <si>
    <t>Protein FAM83D</t>
  </si>
  <si>
    <t>GTP-binding protein 5</t>
  </si>
  <si>
    <t>Isoform 1b of Oxysterol-binding protein-related protein 3</t>
  </si>
  <si>
    <t>SWI/SNF-related matrix-associated actin-dependent regulator of chromatin subfamily A containing DEAD/H box 1</t>
  </si>
  <si>
    <t>EH domain-containing protein 1</t>
  </si>
  <si>
    <t>Phosphorylated CTD-interacting factor 1</t>
  </si>
  <si>
    <t>Alpha-1,3/1,6-mannosyltransferase ALG2</t>
  </si>
  <si>
    <t>Isoform 2 of Zinc finger protein 644</t>
  </si>
  <si>
    <t>Probable inactive protein kinase-like protein SgK196</t>
  </si>
  <si>
    <t>Rab GTPase-binding effector protein 2</t>
  </si>
  <si>
    <t>Dimethyladenosine transferase 2, mitochondrial</t>
  </si>
  <si>
    <t>Isoform 2 of UPF0428 protein CXorf56</t>
  </si>
  <si>
    <t>MIP18 family protein FAM96A</t>
  </si>
  <si>
    <t>Zinc finger protein 576</t>
  </si>
  <si>
    <t>Coiled-coil domain-containing protein 134</t>
  </si>
  <si>
    <t>Coiled-coil domain-containing protein 86</t>
  </si>
  <si>
    <t>Receptor expression-enhancing protein 4</t>
  </si>
  <si>
    <t>Isoform 2 of Uncharacterized protein C6orf106</t>
  </si>
  <si>
    <t>Protein FAM134B</t>
  </si>
  <si>
    <t>Cytosolic Fe-S cluster assembly factor NARFL</t>
  </si>
  <si>
    <t>Isoform 2 of RNA polymerase II-associated protein 3</t>
  </si>
  <si>
    <t>Isoform 5 of Breast carcinoma-amplified sequence 3</t>
  </si>
  <si>
    <t>Alpha-1,2-mannosyltransferase ALG9</t>
  </si>
  <si>
    <t>Anthrax toxin receptor 1</t>
  </si>
  <si>
    <t>WD repeat-containing protein 55</t>
  </si>
  <si>
    <t>dCTP pyrophosphatase 1</t>
  </si>
  <si>
    <t>Histone-lysine N-methyltransferase SMYD3</t>
  </si>
  <si>
    <t>Isoform 2 of WD repeat-containing protein 26</t>
  </si>
  <si>
    <t>Probable cation-transporting ATPase 13A3</t>
  </si>
  <si>
    <t>Putative transmembrane protein 185B</t>
  </si>
  <si>
    <t>Protein phosphatase 1 regulatory subunit 3E</t>
  </si>
  <si>
    <t>Splicing factor, arginine/serine-rich 19</t>
  </si>
  <si>
    <t>Zinc finger protein 703</t>
  </si>
  <si>
    <t>Zinc finger protein 696</t>
  </si>
  <si>
    <t>Isoform 2 of Rab-like protein 5</t>
  </si>
  <si>
    <t>Histone acetyltransferase KAT8</t>
  </si>
  <si>
    <t>Prostaglandin E synthase 2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</si>
  <si>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</si>
  <si>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</si>
  <si>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</si>
  <si>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</si>
  <si>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2 of 5-nucleotidase domain-containing protein 2</t>
  </si>
  <si>
    <t>Caspase activity and apoptosis inhibitor 1</t>
  </si>
  <si>
    <t>Nucleolar protein 11</t>
  </si>
  <si>
    <t>Protein FAM188A</t>
  </si>
  <si>
    <t>MOB kinase activator 1A</t>
  </si>
  <si>
    <t>AN1-type zinc finger protein 3</t>
  </si>
  <si>
    <t>Pleckstrin homology domain-containing family F member 2</t>
  </si>
  <si>
    <t>Ankyrin repeat and zinc finger domain-containing protein 1</t>
  </si>
  <si>
    <t>Golgi reassembly-stacking protein 2</t>
  </si>
  <si>
    <t>Protein zwilch homolog</t>
  </si>
  <si>
    <t>Isoform 2 of Hematological and neurological expressed 1-like protein</t>
  </si>
  <si>
    <t>Mitochondrial glutamate carrier 1</t>
  </si>
  <si>
    <t>Proline-serine-threonine phosphatase-interacting protein 2</t>
  </si>
  <si>
    <t>Mediator of RNA polymerase II transcription subunit 20</t>
  </si>
  <si>
    <t>Isoform 4 of Queuine tRNA-ribosyltransferase subunit QTRTD1</t>
  </si>
  <si>
    <t>WD repeat-containing protein 54</t>
  </si>
  <si>
    <t>Actin-related protein 8</t>
  </si>
  <si>
    <t>UPF0364 protein C6orf211</t>
  </si>
  <si>
    <t>Leucine-rich repeat-containing protein 40</t>
  </si>
  <si>
    <t>Isoform 3 of Histone-lysine N-methyltransferase EHMT1</t>
  </si>
  <si>
    <t>Sideroflexin-1</t>
  </si>
  <si>
    <t>Actin-related protein 5</t>
  </si>
  <si>
    <t>Vacuolar protein sorting-associated protein 37B</t>
  </si>
  <si>
    <t>L-2-hydroxyglutarate dehydrogenase, mitochondrial</t>
  </si>
  <si>
    <t>Fukutin-related protein</t>
  </si>
  <si>
    <t>Isoform 2 of JmjC domain-containing protein 4</t>
  </si>
  <si>
    <t>Isoform 3 of Uridine-cytidine kinase 1</t>
  </si>
  <si>
    <t>Ketosamine-3-kinase</t>
  </si>
  <si>
    <t>Probable cysteine--tRNA ligase, mitochondrial</t>
  </si>
  <si>
    <t>Phosphopantothenate--cysteine ligase</t>
  </si>
  <si>
    <t>WD repeat-containing protein 41</t>
  </si>
  <si>
    <t>Isoform 2 of Chromatin modification-related protein MEAF6</t>
  </si>
  <si>
    <t>E3 ubiquitin-protein ligase pellino homolog 2</t>
  </si>
  <si>
    <t>Guanine nucleotide-binding protein subunit beta-4</t>
  </si>
  <si>
    <t>Exportin-5</t>
  </si>
  <si>
    <t>Tumor necrosis factor receptor superfamily member 27</t>
  </si>
  <si>
    <t>GrpE protein homolog 1, mitochondrial</t>
  </si>
  <si>
    <t>UPF0160 protein MYG1, mitochondrial</t>
  </si>
  <si>
    <t>Bcl-2-like protein 12</t>
  </si>
  <si>
    <t>Pleckstrin homology domain-containing family A member 3</t>
  </si>
  <si>
    <t>Retinoid-inducible serine carboxypeptidase</t>
  </si>
  <si>
    <t>Calcyclin-binding protein</t>
  </si>
  <si>
    <t>Ras-related GTP-binding protein C</t>
  </si>
  <si>
    <t>SMARCA4 isoform 2</t>
  </si>
  <si>
    <t>Peptide deformylase, mitochondrial</t>
  </si>
  <si>
    <t>Retinol dehydrogenase 14</t>
  </si>
  <si>
    <t>Isoform 3 of Beta-parvin</t>
  </si>
  <si>
    <t>Arsenite methyltransferase</t>
  </si>
  <si>
    <t>Plasminogen receptor (KT)</t>
  </si>
  <si>
    <t>NmrA-like family domain-containing protein 1</t>
  </si>
  <si>
    <t>Kinetochore protein Spc25</t>
  </si>
  <si>
    <t>Transcription initiation factor TFIID subunit 9B</t>
  </si>
  <si>
    <t>1-acyl-sn-glycerol-3-phosphate acyltransferase alpha</t>
  </si>
  <si>
    <t>Putative sodium-coupled neutral amino acid transporter 10</t>
  </si>
  <si>
    <t>Mitochondrial thiamine pyrophosphate carrier</t>
  </si>
  <si>
    <t>Isoform 2 of Glyoxalase domain-containing protein 4</t>
  </si>
  <si>
    <t>Vasculin-like protein 1</t>
  </si>
  <si>
    <t>Methylcrotonoyl-CoA carboxylase beta chain, mitochondrial</t>
  </si>
  <si>
    <t>Isoform 5 of Lateral signaling target protein 2 homolog</t>
  </si>
  <si>
    <t>Protein TANC2</t>
  </si>
  <si>
    <t>Methyltransferase-like protein 14</t>
  </si>
  <si>
    <t>Isoform 2 of Ribonucleoprotein PTB-binding 2</t>
  </si>
  <si>
    <t>DBF4-type zinc finger-containing protein 2</t>
  </si>
  <si>
    <t>Isoform 4 of Band 4.1-like protein 5</t>
  </si>
  <si>
    <t>Isoform 3 of GPN-loop GTPase 1</t>
  </si>
  <si>
    <t>Stromal cell-derived factor 2-like protein 1</t>
  </si>
  <si>
    <t>Prolactin regulatory element-binding protein</t>
  </si>
  <si>
    <t>Steroid receptor RNA activator 1</t>
  </si>
  <si>
    <t>Isoform B of Probable cation-transporting ATPase 13A1</t>
  </si>
  <si>
    <t>Isoform 2 of Golgi-associated PDZ and coiled-coil motif-containing protein</t>
  </si>
  <si>
    <t>Transmembrane 9 superfamily member 3</t>
  </si>
  <si>
    <t>Isoform 2 of Ran guanine nucleotide release factor</t>
  </si>
  <si>
    <t>Adipocyte plasma membrane-associated protein</t>
  </si>
  <si>
    <t>Isoform 2 of Thioredoxin reductase 2, mitochondrial</t>
  </si>
  <si>
    <t>Isoform 2 of Tuftelin</t>
  </si>
  <si>
    <t>Isoform 2 of ATP-binding cassette sub-family B member 6, mitochondrial</t>
  </si>
  <si>
    <t>ADP-ribosylation factor GTPase-activating protein 3</t>
  </si>
  <si>
    <t>High mobility group protein 20A</t>
  </si>
  <si>
    <t>Ras-related protein Rab-18</t>
  </si>
  <si>
    <t>RNA polymerase II subunit A C-terminal domain phosphatase SSU72</t>
  </si>
  <si>
    <t>Vacuolar protein sorting-associated protein VTA1 homolog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</si>
  <si>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</si>
  <si>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</si>
  <si>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</si>
  <si>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</si>
  <si>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</si>
  <si>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H/ACA ribonucleoprotein complex subunit 3</t>
  </si>
  <si>
    <t>CD320 antigen</t>
  </si>
  <si>
    <t>Probable tRNA threonylcarbamoyladenosine biosynthesis protein OSGEP</t>
  </si>
  <si>
    <t>Probable palmitoyltransferase ZDHHC4</t>
  </si>
  <si>
    <t>Lysophosphatidic acid phosphatase type 6</t>
  </si>
  <si>
    <t>mRNA-decapping enzyme 1A</t>
  </si>
  <si>
    <t>Acyl-coenzyme A thioesterase 13</t>
  </si>
  <si>
    <t>Mediator of RNA polymerase II transcription subunit 4</t>
  </si>
  <si>
    <t>Translocase of inner mitochondrial membrane domain-containing protein 1</t>
  </si>
  <si>
    <t>Isoform 4 of Synembryn-A</t>
  </si>
  <si>
    <t>Protein GPR108</t>
  </si>
  <si>
    <t>Isoform 3 of Probable cation-transporting ATPase 13A2</t>
  </si>
  <si>
    <t>Putative RNA-binding protein Luc7-like 1</t>
  </si>
  <si>
    <t>Fructose-2,6-bisphosphatase TIGAR</t>
  </si>
  <si>
    <t>Reticulon-4</t>
  </si>
  <si>
    <t>Histidine triad nucleotide-binding protein 3</t>
  </si>
  <si>
    <t>Protein MANBAL</t>
  </si>
  <si>
    <t>Regulation of nuclear pre-mRNA domain-containing protein 1B</t>
  </si>
  <si>
    <t>Isoform 2 of Probable Xaa-Pro aminopeptidase 3</t>
  </si>
  <si>
    <t>Ras-related GTP-binding protein D</t>
  </si>
  <si>
    <t>Prefoldin subunit 4</t>
  </si>
  <si>
    <t>Omega-amidase NIT2</t>
  </si>
  <si>
    <t>Cell death regulator Aven</t>
  </si>
  <si>
    <t>Exosome complex component RRP46</t>
  </si>
  <si>
    <t>Kinesin-like protein KIF13B</t>
  </si>
  <si>
    <t>Actin-binding protein anillin</t>
  </si>
  <si>
    <t>Isoform 3 of Xaa-Pro aminopeptidase 1</t>
  </si>
  <si>
    <t>StAR-related lipid transfer protein 7, mitochondrial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</si>
  <si>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</si>
  <si>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</si>
  <si>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</si>
  <si>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</si>
  <si>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</si>
  <si>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</si>
  <si>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</si>
  <si>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Translation initiation factor eIF-2B subunit gamma</t>
  </si>
  <si>
    <t>Eukaryotic translation initiation factor 4E transporter</t>
  </si>
  <si>
    <t>Carbohydrate sulfotransferase 12</t>
  </si>
  <si>
    <t>Spectrin beta chain, non-erythrocytic 5</t>
  </si>
  <si>
    <t>PRKCA-binding protein</t>
  </si>
  <si>
    <t>Isoform 3 of SH2B adapter protein 1</t>
  </si>
  <si>
    <t>CTP synthase 2</t>
  </si>
  <si>
    <t>DNA polymerase epsilon subunit 3</t>
  </si>
  <si>
    <t>Chromatin accessibility complex protein 1</t>
  </si>
  <si>
    <t>N-lysine methyltransferase SMYD2</t>
  </si>
  <si>
    <t>Isoform 2 of Epimerase family protein SDR39U1</t>
  </si>
  <si>
    <t>Yae1 domain-containing protein 1</t>
  </si>
  <si>
    <t>ATP-binding cassette sub-family B member 10, mitochondrial</t>
  </si>
  <si>
    <t>L-aminoadipate-semialdehyde dehydrogenase-phosphopantetheinyl transferase</t>
  </si>
  <si>
    <t>Methyltransferase-like protein 5</t>
  </si>
  <si>
    <t>Oligosaccharyltransferase complex subunit OSTC</t>
  </si>
  <si>
    <t>COX assembly mitochondrial protein 2 homolog</t>
  </si>
  <si>
    <t>Protein ACN9 homolog, mitochondrial</t>
  </si>
  <si>
    <t>Ubiquilin-4</t>
  </si>
  <si>
    <t>Isoform 2 of 72 kDa inositol polyphosphate 5-phosphatase</t>
  </si>
  <si>
    <t>CDC42 small effector protein 1</t>
  </si>
  <si>
    <t>Isoform 2 of Sorting nexin-15</t>
  </si>
  <si>
    <t>Heme-binding protein 1</t>
  </si>
  <si>
    <t>Ras-related protein Rab-6B</t>
  </si>
  <si>
    <t>Dual specificity protein phosphatase 22</t>
  </si>
  <si>
    <t>Vacuolar protein sorting-associated protein 45</t>
  </si>
  <si>
    <t>14 kDa phosphohistidine phosphatase</t>
  </si>
  <si>
    <t>Serine incorporator 1</t>
  </si>
  <si>
    <t>Rho GTPase-activating protein 35</t>
  </si>
  <si>
    <t>Protein FAM114A2</t>
  </si>
  <si>
    <t>Phospholipid scramblase 3</t>
  </si>
  <si>
    <t>1-acyl-sn-glycerol-3-phosphate acyltransferase delta</t>
  </si>
  <si>
    <t>Isoform 2 of 1-acyl-sn-glycerol-3-phosphate acyltransferase gamma</t>
  </si>
  <si>
    <t>Isoform 3 of Lymphoid-specific helicase</t>
  </si>
  <si>
    <t>Mitochondrial import receptor subunit TOM22 homolog</t>
  </si>
  <si>
    <t>LanC-like protein 2</t>
  </si>
  <si>
    <t>Isoform 4 of Kinesin-like protein KIF15</t>
  </si>
  <si>
    <t>E3 ubiquitin-protein ligase RAD18</t>
  </si>
  <si>
    <t>Transmembrane 7 superfamily member 3</t>
  </si>
  <si>
    <t>Beta-catenin-interacting protein 1</t>
  </si>
  <si>
    <t>Isoform 2 of Homer protein homolog 2</t>
  </si>
  <si>
    <t>Phenylalanine--tRNA ligase beta subunit</t>
  </si>
  <si>
    <t>Isoleucine--tRNA ligase, mitochondrial</t>
  </si>
  <si>
    <t>Isoform 3 of Uncharacterized protein C1orf112</t>
  </si>
  <si>
    <t>Isoform B of Protein FAM207A</t>
  </si>
  <si>
    <t>Ubiquitin-like-conjugating enzyme ATG3</t>
  </si>
  <si>
    <t>Phosphatidylinositide phosphatase SAC1</t>
  </si>
  <si>
    <t>Isoform 2 of Obg-like ATPase 1</t>
  </si>
  <si>
    <t>Copper homeostasis protein cutC homolog</t>
  </si>
  <si>
    <t>Semaphorin-4G</t>
  </si>
  <si>
    <t>Isoform 4 of Zinc finger protein 64 homolog, isoforms 3 and 4</t>
  </si>
  <si>
    <t>Isoform 3 of Ethylmalonyl-CoA decarboxylase</t>
  </si>
  <si>
    <t>Isoform 2 of E3 ubiquitin-protein ligase RNF146</t>
  </si>
  <si>
    <t>RNA-binding protein 12</t>
  </si>
  <si>
    <t>TBC1 domain family member 22B</t>
  </si>
  <si>
    <t>LYR motif-containing protein 2</t>
  </si>
  <si>
    <t>Isoform 2 of Acetyl-coenzyme A synthetase 2-like, mitochondrial</t>
  </si>
  <si>
    <t>Palmitoyltransferase ZDHHC18</t>
  </si>
  <si>
    <t>p53 and DNA damage-regulated protein 1</t>
  </si>
  <si>
    <t>Mycophenolic acid acyl-glucuronide esterase, mitochondrial</t>
  </si>
  <si>
    <t>Transmembrane protein 106B</t>
  </si>
  <si>
    <t>Isoform 3 of Probable lysosomal cobalamin transporter</t>
  </si>
  <si>
    <t>Biogenesis of lysosome-related organelles complex 1 subunit 4</t>
  </si>
  <si>
    <t>tRNA:m(4)X modification enzyme TRM13 homolog</t>
  </si>
  <si>
    <t>Protein lin-7 homolog C</t>
  </si>
  <si>
    <t>1-acyl-sn-glycerol-3-phosphate acyltransferase epsilon</t>
  </si>
  <si>
    <t>Gamma-taxilin</t>
  </si>
  <si>
    <t>Ufm1-specific protease 2</t>
  </si>
  <si>
    <t>ATP-binding cassette sub-family F member 3</t>
  </si>
  <si>
    <t>Protein FAM49B</t>
  </si>
  <si>
    <t>AP-5 complex subunit sigma-1</t>
  </si>
  <si>
    <t>ATP-dependent RNA helicase DDX19A</t>
  </si>
  <si>
    <t>Tyrosyl-DNA phosphodiesterase 1</t>
  </si>
  <si>
    <t>Isoform 2 of TBC1 domain family member 23</t>
  </si>
  <si>
    <t>DDB1- and CUL4-associated factor 13</t>
  </si>
  <si>
    <t>Transmembrane protein 100</t>
  </si>
  <si>
    <t>MRG/MORF4L-binding protein</t>
  </si>
  <si>
    <t>Isoform 2 of Exocyst complex component 1</t>
  </si>
  <si>
    <t>Isoform 3 of Cell cycle control protein 50A</t>
  </si>
  <si>
    <t>Transmembrane protein 184C</t>
  </si>
  <si>
    <t>Mediator of RNA polymerase II transcription subunit 17</t>
  </si>
  <si>
    <t>Pantothenate kinase 4</t>
  </si>
  <si>
    <t>TBC1 domain family member 13</t>
  </si>
  <si>
    <t>Exonuclease 3-5 domain-containing protein 2</t>
  </si>
  <si>
    <t>Isoform 3 of DnaJ homolog subfamily C member 11</t>
  </si>
  <si>
    <t>Isoform 4 of Integrator complex subunit 7</t>
  </si>
  <si>
    <t>Fanconi anemia group I protein</t>
  </si>
  <si>
    <t>Isoform 2 of ATPase family AAA domain-containing protein 3A</t>
  </si>
  <si>
    <t>ADP-ribosylation factor-like protein 8B</t>
  </si>
  <si>
    <t>Protein arginine N-methyltransferase 7</t>
  </si>
  <si>
    <t>DnaJ homolog subfamily C member 17</t>
  </si>
  <si>
    <t>Protein asunder homolog</t>
  </si>
  <si>
    <t>Histone chaperone ASF1B</t>
  </si>
  <si>
    <t>Fas apoptotic inhibitory molecule 1</t>
  </si>
  <si>
    <t>Kelch-like protein 11</t>
  </si>
  <si>
    <t>Protein kintoun</t>
  </si>
  <si>
    <t>Armadillo repeat-containing protein 1</t>
  </si>
  <si>
    <t>Trimeric intracellular cation channel type B</t>
  </si>
  <si>
    <t>Isoform 2 of Poly(A) RNA polymerase, mitochondrial</t>
  </si>
  <si>
    <t>Notchless protein homolog 1</t>
  </si>
  <si>
    <t>Adaptin ear-binding coat-associated protein 2</t>
  </si>
  <si>
    <t>Pre-mRNA-splicing factor RBM22</t>
  </si>
  <si>
    <t>WD repeat-containing protein 70</t>
  </si>
  <si>
    <t>Arginine and glutamate-rich protein 1</t>
  </si>
  <si>
    <t>SAFB-like transcription modulator</t>
  </si>
  <si>
    <t>Peptidyl-prolyl cis-trans isomerase FKBP14</t>
  </si>
  <si>
    <t>Phosphoprotein associated with glycosphingolipid-enriched microdomains 1</t>
  </si>
  <si>
    <t>Coiled-coil domain-containing protein 109B</t>
  </si>
  <si>
    <t>Protein FAM118A</t>
  </si>
  <si>
    <t>Hypoxia-inducible factor 1-alpha inhibitor</t>
  </si>
  <si>
    <t>3-oxoacyl-[acyl-carrier-protein] synthase, mitochondrial</t>
  </si>
  <si>
    <t>UPF0587 protein C1orf123</t>
  </si>
  <si>
    <t>Ankyrin repeat and SOCS box protein 6</t>
  </si>
  <si>
    <t>Probable tRNA(His) guanylyltransferase</t>
  </si>
  <si>
    <t>UPF0609 protein C4orf27</t>
  </si>
  <si>
    <t>Interleukin-1 receptor-associated kinase 4</t>
  </si>
  <si>
    <t>Thioredoxin-like protein 4B</t>
  </si>
  <si>
    <t>Isoform 2 of tRNA selenocysteine 1-associated protein 1</t>
  </si>
  <si>
    <t>COMM domain-containing protein 8</t>
  </si>
  <si>
    <t>NADH dehydrogenase [ubiquinone] 1 beta subcomplex subunit 11, mitochondrial</t>
  </si>
  <si>
    <t>H/ACA ribonucleoprotein complex subunit 2</t>
  </si>
  <si>
    <t>Protein FAM206A</t>
  </si>
  <si>
    <t>OCIA domain-containing protein 1</t>
  </si>
  <si>
    <t>Poly(ADP-ribose) glycohydrolase ARH3</t>
  </si>
  <si>
    <t>E3 ubiquitin-protein ligase MARCH5</t>
  </si>
  <si>
    <t>Huntingtin-interacting protein K</t>
  </si>
  <si>
    <t>Inositol monophosphatase 3</t>
  </si>
  <si>
    <t>Mediator of RNA polymerase II transcription subunit 29</t>
  </si>
  <si>
    <t>tRNA-dihydrouridine(20) synthase [NAD(P)+]-like</t>
  </si>
  <si>
    <t>NAD-dependent protein deacylase sirtuin-5, mitochondrial</t>
  </si>
  <si>
    <t>DDB1- and CUL4-associated factor 16</t>
  </si>
  <si>
    <t>tRNA (guanine(26)-N(2))-dimethyltransferase</t>
  </si>
  <si>
    <t>Isoform 2 of Ganglioside-induced differentiation-associated protein 2</t>
  </si>
  <si>
    <t>Isoform 2 of Nuclear distribution protein nudE homolog 1</t>
  </si>
  <si>
    <t>BRCA1-A complex subunit BRE</t>
  </si>
  <si>
    <t>ADP-ribosylation factor-like protein 15</t>
  </si>
  <si>
    <t>BTB/POZ domain-containing protein KCTD5</t>
  </si>
  <si>
    <t>CDKN2A-interacting protein</t>
  </si>
  <si>
    <t>Alpha-ketoglutarate-dependent dioxygenase alkB homolog 4</t>
  </si>
  <si>
    <t>Serine/threonine-protein phosphatase 4 regulatory subunit 2</t>
  </si>
  <si>
    <t>Isoform 2 of Probable ATP-dependent RNA helicase DDX56</t>
  </si>
  <si>
    <t>Telomeric repeat-binding factor 2-interacting protein 1</t>
  </si>
  <si>
    <t>U3 small nucleolar RNA-associated protein 6 homolog</t>
  </si>
  <si>
    <t>Cytochrome c oxidase assembly factor 4 homolog, mitochondrial</t>
  </si>
  <si>
    <t>TGF-beta-activated kinase 1 and MAP3K7-binding protein 2</t>
  </si>
  <si>
    <t>39S ribosomal protein L39, mitochondrial</t>
  </si>
  <si>
    <t>Isoform 3 of Protein EURL homolog</t>
  </si>
  <si>
    <t>Isoform 2 of Mitogen-activated protein kinase kinase kinase MLT</t>
  </si>
  <si>
    <t>Tropomodulin-3</t>
  </si>
  <si>
    <t>Protein Mis18-alpha</t>
  </si>
  <si>
    <t>Isoform 2 of UDP-glucose:glycoprotein glucosyltransferase 1</t>
  </si>
  <si>
    <t>FAST kinase domain-containing protein 2</t>
  </si>
  <si>
    <t>G2 and S phase-expressed protein 1</t>
  </si>
  <si>
    <t>Very-long-chain enoyl-CoA reductase</t>
  </si>
  <si>
    <t>Endoplasmic reticulum aminopeptidase 1</t>
  </si>
  <si>
    <t>Isoform 2 of Ubiquitin-associated protein 1</t>
  </si>
  <si>
    <t>Actin-related protein 10</t>
  </si>
  <si>
    <t>CDGSH iron-sulfur domain-containing protein 1</t>
  </si>
  <si>
    <t>Podocalyxin-like protein 2</t>
  </si>
  <si>
    <t>Uncharacterized protein C9orf78</t>
  </si>
  <si>
    <t>Isoform 3 of Chloride intracellular channel protein 5</t>
  </si>
  <si>
    <t>Isoform 6 of Molybdenum cofactor biosynthesis protein 1</t>
  </si>
  <si>
    <t>Glycerophosphodiester phosphodiesterase 1</t>
  </si>
  <si>
    <t>WW domain-containing oxidoreductase</t>
  </si>
  <si>
    <t>SWI/SNF-related matrix-associated actin-dependent regulator of chromatin subfamily A-like protein 1</t>
  </si>
  <si>
    <t>Isoform 2 of Maspardin</t>
  </si>
  <si>
    <t>Insulin-like growth factor 2 mRNA-binding protein 1</t>
  </si>
  <si>
    <t>Isoform 2 of Sacsin</t>
  </si>
  <si>
    <t>Hexaprenyldihydroxybenzoate methyltransferase, mitochondrial</t>
  </si>
  <si>
    <t>Diphosphoinositol polyphosphate phosphohydrolase 2</t>
  </si>
  <si>
    <t>Hsp70-binding protein 1</t>
  </si>
  <si>
    <t>Methionine adenosyltransferase 2 subunit beta</t>
  </si>
  <si>
    <t>Isoform 2 of Methionine adenosyltransferase 2 subunit beta</t>
  </si>
  <si>
    <t>EH domain-containing protein 3</t>
  </si>
  <si>
    <t>Rho guanine nucleotide exchange factor 12</t>
  </si>
  <si>
    <t>Isoform 3 of NCK-interacting protein with SH3 domain</t>
  </si>
  <si>
    <t>Isoform 2 of Opioid growth factor receptor</t>
  </si>
  <si>
    <t>LIM and cysteine-rich domains protein 1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</si>
  <si>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</si>
  <si>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</si>
  <si>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</si>
  <si>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</si>
  <si>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</si>
  <si>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NADH dehydrogenase [ubiquinone] 1 alpha subcomplex assembly factor 4</t>
  </si>
  <si>
    <t>Very-long-chain (3R)-3-hydroxyacyl-[acyl-carrier protein] dehydratase 3</t>
  </si>
  <si>
    <t>[Pyruvate dehydrogenase [acetyl-transferring]]-phosphatase 1, mitochondrial</t>
  </si>
  <si>
    <t>Vesicle-associated membrane protein-associated protein A</t>
  </si>
  <si>
    <t>Serine/threonine-protein kinase MARK1</t>
  </si>
  <si>
    <t>Isoform 3 of TBC1 domain family member 7</t>
  </si>
  <si>
    <t>E3 ubiquitin-protein ligase RNF181</t>
  </si>
  <si>
    <t>GSK3-beta interaction protein</t>
  </si>
  <si>
    <t>SH3 domain-binding protein 4</t>
  </si>
  <si>
    <t>Schwannomin-interacting protein 1</t>
  </si>
  <si>
    <t>DNA-directed RNA polymerase I subunit RPA12</t>
  </si>
  <si>
    <t>Calmodulin-regulated spectrin-associated protein 3</t>
  </si>
  <si>
    <t>Isoform 2 of Calcium-binding and coiled-coil domain-containing protein 1</t>
  </si>
  <si>
    <t>Uncharacterized protein KIAA1522</t>
  </si>
  <si>
    <t>Protein RCC2</t>
  </si>
  <si>
    <t>Isoform 2 of LisH domain and HEAT repeat-containing protein KIAA1468</t>
  </si>
  <si>
    <t>Disco-interacting protein 2 homolog B</t>
  </si>
  <si>
    <t>Junctional protein associated with coronary artery disease</t>
  </si>
  <si>
    <t>SLAIN motif-containing protein 2</t>
  </si>
  <si>
    <t>Isoform 2 of BRCA2 and CDKN1A-interacting protein</t>
  </si>
  <si>
    <t>Prostaglandin F2 receptor negative regulator</t>
  </si>
  <si>
    <t>CTTNBP2 N-terminal-like protein</t>
  </si>
  <si>
    <t>Transmembrane protein 181</t>
  </si>
  <si>
    <t>Isoform 4 of Chromodomain-helicase-DNA-binding protein 7</t>
  </si>
  <si>
    <t>Isoform 3 of HEAT repeat-containing protein 5B</t>
  </si>
  <si>
    <t>Isoform 5 of Dynein heavy chain 1, axonemal</t>
  </si>
  <si>
    <t>Ribosome-binding protein 1</t>
  </si>
  <si>
    <t>Cleavage and polyadenylation specificity factor subunit 2</t>
  </si>
  <si>
    <t>Cingulin</t>
  </si>
  <si>
    <t>RNA-binding protein 27</t>
  </si>
  <si>
    <t>Ankyrin repeat and FYVE domain-containing protein 1</t>
  </si>
  <si>
    <t>Isoform 2 of Homologous-pairing protein 2 homolog</t>
  </si>
  <si>
    <t>Dolichol-phosphate mannosyltransferase subunit 3</t>
  </si>
  <si>
    <t>Protein IMPACT</t>
  </si>
  <si>
    <t>Ataxin-10</t>
  </si>
  <si>
    <t>Neurochondrin</t>
  </si>
  <si>
    <t>Tuftelin-interacting protein 11</t>
  </si>
  <si>
    <t>Isoform 2 of Epidermal growth factor receptor substrate 15-like 1</t>
  </si>
  <si>
    <t>SUMO-activating enzyme subunit 1</t>
  </si>
  <si>
    <t>Coatomer subunit gamma-2</t>
  </si>
  <si>
    <t>RING-box protein 2</t>
  </si>
  <si>
    <t>Isoform 2 of Phosphatidylinositol 4-kinase beta</t>
  </si>
  <si>
    <t>Guanine nucleotide-binding protein G(I)/G(S)/G(O) subunit gamma-12</t>
  </si>
  <si>
    <t>Isoform B of Methionine synthase reductase</t>
  </si>
  <si>
    <t>Isoform 2 of Copine-7</t>
  </si>
  <si>
    <t>7-dehydrocholesterol reductase</t>
  </si>
  <si>
    <t>Tumor necrosis factor receptor superfamily member 10D</t>
  </si>
  <si>
    <t>Isoform 3 of Spastin</t>
  </si>
  <si>
    <t>tRNA (guanine-N(7)-)-methyltransferase</t>
  </si>
  <si>
    <t>Isoform 4 of PTB domain-containing engulfment adapter protein 1</t>
  </si>
  <si>
    <t>Vacuolar protein sorting-associated protein 29</t>
  </si>
  <si>
    <t>Glyoxylate reductase/hydroxypyruvate reductase</t>
  </si>
  <si>
    <t>Ribosomal protein S6 kinase beta-2</t>
  </si>
  <si>
    <t>DnaJ homolog subfamily B member 11</t>
  </si>
  <si>
    <t>Isoform 2 of E3 ubiquitin-protein ligase RNF14</t>
  </si>
  <si>
    <t>SUMO-activating enzyme subunit 2</t>
  </si>
  <si>
    <t>Isoform 2 of Alpha-catulin</t>
  </si>
  <si>
    <t>Protein FAM8A1</t>
  </si>
  <si>
    <t>Isoform 2 of Mortality factor 4-like protein 1</t>
  </si>
  <si>
    <t>Peflin</t>
  </si>
  <si>
    <t>Zinc finger MYM-type protein 2</t>
  </si>
  <si>
    <t>COP9 signalosome complex subunit 7a</t>
  </si>
  <si>
    <t>Alpha-aminoadipic semialdehyde synthase, mitochondrial</t>
  </si>
  <si>
    <t>Mitochondrial fission process protein 1</t>
  </si>
  <si>
    <t>Isoform C1 of Tight junction protein ZO-2</t>
  </si>
  <si>
    <t>DnaJ homolog subfamily B member 4</t>
  </si>
  <si>
    <t>Isoform 2 of Mucosa-associated lymphoid tissue lymphoma translocation protein 1</t>
  </si>
  <si>
    <t>Craniofacial development protein 1</t>
  </si>
  <si>
    <t>Zinc finger protein 629</t>
  </si>
  <si>
    <t>Myelin protein zero-like protein 1 (Fragment)</t>
  </si>
  <si>
    <t>Isoform 3 of Death domain-associated protein 6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</si>
  <si>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</si>
  <si>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</si>
  <si>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</si>
  <si>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</si>
  <si>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Leucine-rich repeat and WD repeat-containing protein 1</t>
  </si>
  <si>
    <t>UPF0449 protein C19orf25</t>
  </si>
  <si>
    <t>CGG triplet repeat-binding protein 1</t>
  </si>
  <si>
    <t>Isoform 2 of Phosphatidylserine decarboxylase proenzyme</t>
  </si>
  <si>
    <t>ATP-binding cassette sub-family F member 2</t>
  </si>
  <si>
    <t>Peptide chain release factor 1-like, mitochondrial</t>
  </si>
  <si>
    <t>Testin</t>
  </si>
  <si>
    <t>Isoform 2 of Testin</t>
  </si>
  <si>
    <t>LIM domain-containing protein 1</t>
  </si>
  <si>
    <t>Translocation protein SEC63 homolog</t>
  </si>
  <si>
    <t>Isoform 2 of Transcription factor 20</t>
  </si>
  <si>
    <t>Armadillo repeat-containing X-linked protein 3</t>
  </si>
  <si>
    <t>Ragulator complex protein LAMTOR3</t>
  </si>
  <si>
    <t>LIM domain and actin-binding protein 1</t>
  </si>
  <si>
    <t>Cysteine and histidine-rich domain-containing protein 1</t>
  </si>
  <si>
    <t>Serine/threonine-protein kinase TBK1</t>
  </si>
  <si>
    <t>Isoform 7 of Septin-9</t>
  </si>
  <si>
    <t>Ubiquilin-2</t>
  </si>
  <si>
    <t>Metalloreductase STEAP1</t>
  </si>
  <si>
    <t>ProSAAS</t>
  </si>
  <si>
    <t>Prenylcysteine oxidase 1</t>
  </si>
  <si>
    <t>Probable ATP-dependent RNA helicase DDX20</t>
  </si>
  <si>
    <t>Sedoheptulokinase</t>
  </si>
  <si>
    <t>Ubiquitin carboxyl-terminal hydrolase 25</t>
  </si>
  <si>
    <t>B-cell receptor-associated protein 29</t>
  </si>
  <si>
    <t>NADH-cytochrome b5 reductase 1</t>
  </si>
  <si>
    <t>Brain-specific angiogenesis inhibitor 1-associated protein 2-like protein 1</t>
  </si>
  <si>
    <t>Prefoldin subunit 2</t>
  </si>
  <si>
    <t>GPN-loop GTPase 3</t>
  </si>
  <si>
    <t>Isoform 4 of Poly(U)-binding-splicing factor PUF60</t>
  </si>
  <si>
    <t>Nuclear receptor-binding protein</t>
  </si>
  <si>
    <t>Enolase-phosphatase E1</t>
  </si>
  <si>
    <t>Ena/VASP-like protein</t>
  </si>
  <si>
    <t>Isoform 2 of V-type proton ATPase subunit H</t>
  </si>
  <si>
    <t>Importin-11</t>
  </si>
  <si>
    <t>tRNA methyltransferase 112 homolog</t>
  </si>
  <si>
    <t>Putative ribosomal RNA methyltransferase 2</t>
  </si>
  <si>
    <t>Leucine carboxyl methyltransferase 1</t>
  </si>
  <si>
    <t>Vacuolar protein sorting-associated protein 51 homolog</t>
  </si>
  <si>
    <t>Isoform 2 of Tyrosine-protein kinase BAZ1B</t>
  </si>
  <si>
    <t>ATPase inhibitor, mitochondrial</t>
  </si>
  <si>
    <t>GTP:AMP phosphotransferase AK3, mitochondrial</t>
  </si>
  <si>
    <t>Isoform 3 of Short coiled-coil protein</t>
  </si>
  <si>
    <t>FK506-binding protein-like</t>
  </si>
  <si>
    <t>Isoform 3 of Leucyl-cystinyl aminopeptidase</t>
  </si>
  <si>
    <t>Rab5 GDP/GTP exchange factor</t>
  </si>
  <si>
    <t>N-acetyl-D-glucosamine kinase</t>
  </si>
  <si>
    <t>tRNA (adenine(58)-N(1))-methyltransferase non-catalytic subunit TRM6</t>
  </si>
  <si>
    <t>Calcium-binding mitochondrial carrier protein Aralar2</t>
  </si>
  <si>
    <t>Drebrin-like protein</t>
  </si>
  <si>
    <t>Isoform 2 of Drebrin-like protein</t>
  </si>
  <si>
    <t>Isoform 2 of Dynactin subunit 4</t>
  </si>
  <si>
    <t>Isoform 3 of Cell division cycle protein 23 homolog</t>
  </si>
  <si>
    <t>Isoform 2 of Anaphase-promoting complex subunit 7</t>
  </si>
  <si>
    <t>Isoform 2 of Anaphase-promoting complex subunit 4</t>
  </si>
  <si>
    <t>Isoform 2 of Anaphase-promoting complex subunit 2</t>
  </si>
  <si>
    <t>Heat shock protein beta-8</t>
  </si>
  <si>
    <t>ADP-ribosylation factor-binding protein GGA2</t>
  </si>
  <si>
    <t>Isoform 4 of ADP-ribosylation factor-binding protein GGA1</t>
  </si>
  <si>
    <t>Stomatin-like protein 2, mitochondrial</t>
  </si>
  <si>
    <t>N-acetylglucosamine-1-phosphodiester alpha-N-acetylglucosaminidase</t>
  </si>
  <si>
    <t>U6 snRNA-associated Sm-like protein LSm7</t>
  </si>
  <si>
    <t>Lariat debranching enzyme</t>
  </si>
  <si>
    <t>Hematological and neurological expressed 1 protein</t>
  </si>
  <si>
    <t>F-box only protein 3</t>
  </si>
  <si>
    <t>DnaJ homolog subfamily C member 12</t>
  </si>
  <si>
    <t>Cleavage and polyadenylation specificity factor subunit 3</t>
  </si>
  <si>
    <t>DCC-interacting protein 13-alpha</t>
  </si>
  <si>
    <t>Serine/threonine-protein kinase tousled-like 1</t>
  </si>
  <si>
    <t>Isoform 2 of G patch domain-containing protein 8</t>
  </si>
  <si>
    <t>ADP-sugar pyrophosphatase</t>
  </si>
  <si>
    <t>General transcription factor 3C polypeptide 4</t>
  </si>
  <si>
    <t>Protein kinase C and casein kinase substrate in neurons protein 3</t>
  </si>
  <si>
    <t>Isoform 2 of F-box only protein 5</t>
  </si>
  <si>
    <t>Isobutyryl-CoA dehydrogenase, mitochondrial</t>
  </si>
  <si>
    <t>E3 ubiquitin-protein ligase AMFR</t>
  </si>
  <si>
    <t>Nuclear pore complex protein Nup50</t>
  </si>
  <si>
    <t>Protein CDV3 homolog</t>
  </si>
  <si>
    <t>CCR4-NOT transcription complex subunit 11</t>
  </si>
  <si>
    <t>BAG family molecular chaperone regulator 5</t>
  </si>
  <si>
    <t>Ras-related protein Rab-21</t>
  </si>
  <si>
    <t>Ras-related protein Rab-22A</t>
  </si>
  <si>
    <t>Paraneoplastic antigen Ma2</t>
  </si>
  <si>
    <t>Proteasome activator complex subunit 2</t>
  </si>
  <si>
    <t>Isoform 2 of Serine/threonine-protein kinase TAO2</t>
  </si>
  <si>
    <t>Ras-related protein Rab-23</t>
  </si>
  <si>
    <t>Malignant T-cell-amplified sequence 1</t>
  </si>
  <si>
    <t>Zinc finger protein 777</t>
  </si>
  <si>
    <t>Paladin</t>
  </si>
  <si>
    <t>Zinc transporter ZIP10</t>
  </si>
  <si>
    <t>Isoform 5 of Kinase D-interacting substrate of 220 kDa</t>
  </si>
  <si>
    <t>Arf-GAP with SH3 domain, ANK repeat and PH domain-containing protein 1</t>
  </si>
  <si>
    <t>Isoform 4 of MKL/myocardin-like protein 2</t>
  </si>
  <si>
    <t>Isoform 2 of Zinc finger and BTB domain-containing protein 21</t>
  </si>
  <si>
    <t>Zinc finger MIZ domain-containing protein 1</t>
  </si>
  <si>
    <t>Isoform 2 of Ankyrin repeat domain-containing protein 50</t>
  </si>
  <si>
    <t>Isoform 2 of TBC1 domain family member 24</t>
  </si>
  <si>
    <t>Pre-mRNA-splicing factor ISY1 homolog</t>
  </si>
  <si>
    <t>E3 ubiquitin-protein ligase HECTD1</t>
  </si>
  <si>
    <t>Coronin-1C</t>
  </si>
  <si>
    <t>Targeting protein for Xklp2</t>
  </si>
  <si>
    <t>RNA-binding protein NOB1</t>
  </si>
  <si>
    <t>Anaphase-promoting complex subunit 10</t>
  </si>
  <si>
    <t>Histone-lysine N-methyltransferase MLL4</t>
  </si>
  <si>
    <t>ATP-dependent RNA helicase DDX19B</t>
  </si>
  <si>
    <t>Isoform 3 of NFU1 iron-sulfur cluster scaffold homolog, mitochondrial</t>
  </si>
  <si>
    <t>Pre-mRNA-processing factor 19</t>
  </si>
  <si>
    <t>Ubiquilin-1</t>
  </si>
  <si>
    <t>Suppressor of fused homolog</t>
  </si>
  <si>
    <t>Neudesin</t>
  </si>
  <si>
    <t>Isoform 2 of Sorting nexin-12</t>
  </si>
  <si>
    <t>Isoform 5 of Synergin gamma</t>
  </si>
  <si>
    <t>Vacuolar protein sorting-associated protein 4A</t>
  </si>
  <si>
    <t>Isoform B of Ras GTPase-activating protein-binding protein 2</t>
  </si>
  <si>
    <t>E3 ubiquitin-protein ligase CHIP</t>
  </si>
  <si>
    <t>Isoform 2 of Protein kinase C and casein kinase substrate in neurons protein 2</t>
  </si>
  <si>
    <t>Melanoma-associated antigen D2</t>
  </si>
  <si>
    <t>Sorting nexin-7</t>
  </si>
  <si>
    <t>Sorting nexin-6</t>
  </si>
  <si>
    <t>Syntaxin-8</t>
  </si>
  <si>
    <t>26S proteasome non-ATPase regulatory subunit 13</t>
  </si>
  <si>
    <t>FAS-associated factor 1</t>
  </si>
  <si>
    <t>Endothelial protein C receptor</t>
  </si>
  <si>
    <t>Peptidyl-prolyl cis-trans isomerase E</t>
  </si>
  <si>
    <t>Isoform 2 of Protein timeless homolog</t>
  </si>
  <si>
    <t>COP9 signalosome complex subunit 3</t>
  </si>
  <si>
    <t>Isoform 2 of Rab-like protein 2B</t>
  </si>
  <si>
    <t>Multiple inositol polyphosphate phosphatase 1</t>
  </si>
  <si>
    <t>RNA-binding protein Nova-2</t>
  </si>
  <si>
    <t>Transcription termination factor 2</t>
  </si>
  <si>
    <t>Isoform 3 of NSFL1 cofactor p47</t>
  </si>
  <si>
    <t>Leydig cell tumor 10 kDa protein homolog</t>
  </si>
  <si>
    <t>Conserved oligomeric Golgi complex subunit 5</t>
  </si>
  <si>
    <t>Isoform 5 of Solute carrier family 12 member 4</t>
  </si>
  <si>
    <t>Protein SCAF8</t>
  </si>
  <si>
    <t>Serine/threonine-protein phosphatase 6 regulatory subunit 1</t>
  </si>
  <si>
    <t>Isoform Beta of E3 ubiquitin-protein ligase TRIM33</t>
  </si>
  <si>
    <t>Isoform 2 of Trinucleotide repeat-containing gene 6B protein</t>
  </si>
  <si>
    <t>Inactive phospholipase C-like protein 2</t>
  </si>
  <si>
    <t>Protein SMG5</t>
  </si>
  <si>
    <t>Isoform 2 of Exocyst complex component 7</t>
  </si>
  <si>
    <t>Zinc finger CCCH domain-containing protein 4</t>
  </si>
  <si>
    <t>Ubiquitin carboxyl-terminal hydrolase 22</t>
  </si>
  <si>
    <t>Ubiquitin carboxyl-terminal hydrolase 24</t>
  </si>
  <si>
    <t>Isoform 2 of TBC1 domain family member 2B</t>
  </si>
  <si>
    <t>Cytosolic carboxypeptidase 1</t>
  </si>
  <si>
    <t>Microtubule-associated protein RP/EB family member 3</t>
  </si>
  <si>
    <t>Isoform 2 of Leucine-rich repeat protein SHOC-2</t>
  </si>
  <si>
    <t>Serine/arginine repetitive matrix protein 2</t>
  </si>
  <si>
    <t>Isoform 2 of Alpha-1,3-mannosyl-glycoprotein 4-beta-N-acetylglucosaminyltransferase B</t>
  </si>
  <si>
    <t>Proliferation-associated protein 2G4</t>
  </si>
  <si>
    <t>Isoform 2 of Exonuclease 1</t>
  </si>
  <si>
    <t>Paraplegin</t>
  </si>
  <si>
    <t>Structural maintenance of chromosomes protein 3</t>
  </si>
  <si>
    <t>Charged multivesicular body protein 2b</t>
  </si>
  <si>
    <t>Sex comb on midleg-like protein 2</t>
  </si>
  <si>
    <t>Myotubularin-related protein 6</t>
  </si>
  <si>
    <t>Protein jagged-2</t>
  </si>
  <si>
    <t>UPF0568 protein C14orf166</t>
  </si>
  <si>
    <t>RuvB-like 2</t>
  </si>
  <si>
    <t>cAMP and cAMP-inhibited cGMP 3,5-cyclic phosphodiesterase 10A</t>
  </si>
  <si>
    <t>Peptidyl-prolyl cis-trans isomerase NIMA-interacting 4</t>
  </si>
  <si>
    <t>Transcription factor 19</t>
  </si>
  <si>
    <t>Isoform 2 of RAC-gamma serine/threonine-protein kinase</t>
  </si>
  <si>
    <t>DNA replication complex GINS protein PSF2</t>
  </si>
  <si>
    <t>PRELI domain-containing protein 1, mitochondrial</t>
  </si>
  <si>
    <t>Choline/ethanolamine kinase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</si>
  <si>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</si>
  <si>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</si>
  <si>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</si>
  <si>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</si>
  <si>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</si>
  <si>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</si>
  <si>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Sodium-dependent multivitamin transporter</t>
  </si>
  <si>
    <t>Developmentally-regulated GTP-binding protein 1</t>
  </si>
  <si>
    <t>Protein canopy homolog 2</t>
  </si>
  <si>
    <t>Uronyl 2-sulfotransferase</t>
  </si>
  <si>
    <t>Isoform 4 of A-kinase anchor protein 2</t>
  </si>
  <si>
    <t>Isoform 4 of Caspase recruitment domain-containing protein 8</t>
  </si>
  <si>
    <t>Probable phospholipid-transporting ATPase IF</t>
  </si>
  <si>
    <t>GDP-fucose protein O-fucosyltransferase 2</t>
  </si>
  <si>
    <t>Isoform 2 of Disks large-associated protein 4</t>
  </si>
  <si>
    <t>Serine/threonine-protein kinase 38-like</t>
  </si>
  <si>
    <t>Isoform 2 of Fibronectin type-III domain-containing protein 3A</t>
  </si>
  <si>
    <t>Band 4.1-like protein 3</t>
  </si>
  <si>
    <t>Isoform B of Band 4.1-like protein 3</t>
  </si>
  <si>
    <t>Isoform 4 of Lysine-specific demethylase 2A</t>
  </si>
  <si>
    <t>Exosome complex exonuclease RRP44</t>
  </si>
  <si>
    <t>Isoform 3 of Probable phospholipid-transporting ATPase IA</t>
  </si>
  <si>
    <t>Ragulator complex protein LAMTOR2</t>
  </si>
  <si>
    <t>Cytochrome c oxidase assembly protein 3 homolog, mitochondrial</t>
  </si>
  <si>
    <t>DNA-directed RNA polymerases I and III subunit RPAC2</t>
  </si>
  <si>
    <t>Translation machinery-associated protein 7</t>
  </si>
  <si>
    <t>Polymerase delta-interacting protein 2</t>
  </si>
  <si>
    <t>AP-3 complex subunit mu-1</t>
  </si>
  <si>
    <t>Isoform 3 of Serine/threonine-protein phosphatase 2A 55 kDa regulatory subunit B gamma isoform</t>
  </si>
  <si>
    <t>Mitogen-activated protein kinase kinase kinase 2</t>
  </si>
  <si>
    <t>Inner nuclear membrane protein Man1</t>
  </si>
  <si>
    <t>Calcium-regulated heat stable protein 1</t>
  </si>
  <si>
    <t>Isoform 2 of Conserved oligomeric Golgi complex subunit 6</t>
  </si>
  <si>
    <t>Thyroid hormone receptor-associated protein 3</t>
  </si>
  <si>
    <t>Nucleolar protein 58</t>
  </si>
  <si>
    <t>ARF GTPase-activating protein GIT1</t>
  </si>
  <si>
    <t>DNA-directed RNA polymerase III subunit RPC10</t>
  </si>
  <si>
    <t>Isoform 2 of Suppressor of G2 allele of SKP1 homolog</t>
  </si>
  <si>
    <t>Isoform 6 of Protein MTO1 homolog, mitochondrial</t>
  </si>
  <si>
    <t>Tyrosine--tRNA ligase, mitochondrial</t>
  </si>
  <si>
    <t>Isoform 3 of Ubiquinone biosynthesis monooxygenase COQ6</t>
  </si>
  <si>
    <t>Isoform 2 of Putative N-acetylglucosamine-6-phosphate deacetylase</t>
  </si>
  <si>
    <t>Acyl-coenzyme A thioesterase 9, mitochondrial</t>
  </si>
  <si>
    <t>Nitric oxide synthase-interacting protein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</si>
  <si>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</si>
  <si>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</si>
  <si>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</si>
  <si>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</si>
  <si>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</si>
  <si>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</si>
  <si>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Putative RNA-binding protein Luc7-like 2</t>
  </si>
  <si>
    <t>Isoform 2 of Dehydrogenase/reductase SDR family member 7</t>
  </si>
  <si>
    <t>MOB-like protein phocein</t>
  </si>
  <si>
    <t>Ribosome maturation protein SBDS</t>
  </si>
  <si>
    <t>Transmembrane emp24 domain-containing protein 5</t>
  </si>
  <si>
    <t>Isoform 2 of Transmembrane emp24 domain-containing protein 7</t>
  </si>
  <si>
    <t>39S ribosomal protein L11, mitochondrial</t>
  </si>
  <si>
    <t>RRP15-like protein</t>
  </si>
  <si>
    <t>Nucleolar protein 16</t>
  </si>
  <si>
    <t>TP53RK-binding protein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</si>
  <si>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</si>
  <si>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</si>
  <si>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</si>
  <si>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</si>
  <si>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</si>
  <si>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</si>
  <si>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BolA-like protein 1</t>
  </si>
  <si>
    <t>Isoform 4 of Charged multivesicular body protein 3</t>
  </si>
  <si>
    <t>Serine-threonine kinase receptor-associated protein</t>
  </si>
  <si>
    <t>tRNA-splicing ligase RtcB homolog</t>
  </si>
  <si>
    <t>F-box only protein 7</t>
  </si>
  <si>
    <t>Ras-related protein Rap-2c</t>
  </si>
  <si>
    <t>Rab GTPase-activating protein 1</t>
  </si>
  <si>
    <t>TSC22 domain family protein 4</t>
  </si>
  <si>
    <t>Isoform 2 of Protein dopey-2</t>
  </si>
  <si>
    <t>Zinc finger protein 330</t>
  </si>
  <si>
    <t>R3H and coiled-coil domain-containing protein 1</t>
  </si>
  <si>
    <t>Nucleolar complex protein 2 homolog</t>
  </si>
  <si>
    <t>Coiled-coil domain-containing protein 9</t>
  </si>
  <si>
    <t>Isoform 4 of Deoxynucleoside triphosphate triphosphohydrolase SAMHD1</t>
  </si>
  <si>
    <t>Small kinetochore-associated protein</t>
  </si>
  <si>
    <t>Isoform 3 of HBS1-like protein</t>
  </si>
  <si>
    <t>Talin-1</t>
  </si>
  <si>
    <t>Lysine-specific demethylase 3A</t>
  </si>
  <si>
    <t>Isoform 2 of Protein FAM115A</t>
  </si>
  <si>
    <t>Isoform 2 of WASH complex subunit FAM21C</t>
  </si>
  <si>
    <t>Ubiquitin carboxyl-terminal hydrolase 15</t>
  </si>
  <si>
    <t>FERM, RhoGEF and pleckstrin domain-containing protein 1</t>
  </si>
  <si>
    <t>Insulin receptor substrate 2</t>
  </si>
  <si>
    <t>TNF receptor-associated factor 6</t>
  </si>
  <si>
    <t>Mitogen-activated protein kinase kinase kinase kinase 5</t>
  </si>
  <si>
    <t>Isoform 6 of Cysteine protease ATG4B</t>
  </si>
  <si>
    <t>Isoform 3 of WD repeat domain phosphoinositide-interacting protein 2</t>
  </si>
  <si>
    <t>Telomere length regulation protein TEL2 homolog</t>
  </si>
  <si>
    <t>Methylmalonic aciduria and homocystinuria type C protein</t>
  </si>
  <si>
    <t>AFG3-like protein 2</t>
  </si>
  <si>
    <t>E3 ubiquitin-protein ligase ARIH1</t>
  </si>
  <si>
    <t>U6 snRNA-associated Sm-like protein LSm4</t>
  </si>
  <si>
    <t>RING finger protein 114</t>
  </si>
  <si>
    <t>Sorting and assembly machinery component 50 homolog</t>
  </si>
  <si>
    <t>Leucine-rich repeat-containing protein 42</t>
  </si>
  <si>
    <t>Protein phosphatase methylesterase 1</t>
  </si>
  <si>
    <t>Mitochondrial import inner membrane translocase subunit Tim22</t>
  </si>
  <si>
    <t>Isoform 3 of BTB/POZ domain-containing protein KCTD3</t>
  </si>
  <si>
    <t>YTH domain family protein 2</t>
  </si>
  <si>
    <t>RNA polymerase II subunit A C-terminal domain phosphatase</t>
  </si>
  <si>
    <t>Isoform 2 of Nucleoside diphosphate kinase 7</t>
  </si>
  <si>
    <t>Pleckstrin homology-like domain family A member 3</t>
  </si>
  <si>
    <t>Mitochondrial import inner membrane translocase subunit Tim10 B</t>
  </si>
  <si>
    <t>Mitochondrial import inner membrane translocase subunit Tim9</t>
  </si>
  <si>
    <t>Isoform 2 of Ubiquitin carboxyl-terminal hydrolase isozyme L5</t>
  </si>
  <si>
    <t>CD2-associated protein</t>
  </si>
  <si>
    <t>V-type proton ATPase subunit D</t>
  </si>
  <si>
    <t>Hypoxia-inducible lipid droplet-associated protein</t>
  </si>
  <si>
    <t>Mitochondrial import inner membrane translocase subunit Tim13</t>
  </si>
  <si>
    <t>Signal recognition particle receptor subunit beta</t>
  </si>
  <si>
    <t>HemK methyltransferase family member 2</t>
  </si>
  <si>
    <t>Origin recognition complex subunit 6</t>
  </si>
  <si>
    <t>Isoform 2 of 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</si>
  <si>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</si>
  <si>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</si>
  <si>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</si>
  <si>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Serine/threonine-protein kinase MRCK beta</t>
  </si>
  <si>
    <t>RNA-binding protein 8A</t>
  </si>
  <si>
    <t>Isoform 5 of Ubiquitin carboxyl-terminal hydrolase 16</t>
  </si>
  <si>
    <t>Isoform 2 of Protein TSSC4</t>
  </si>
  <si>
    <t>Zinc finger protein 706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</si>
  <si>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</si>
  <si>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</si>
  <si>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</si>
  <si>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</si>
  <si>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</si>
  <si>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Heme-binding protein 2</t>
  </si>
  <si>
    <t>Isoform 2 of UbiA prenyltransferase domain-containing protein 1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</si>
  <si>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</si>
  <si>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</si>
  <si>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</si>
  <si>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</si>
  <si>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Mitochondrial ornithine transporter 1</t>
  </si>
  <si>
    <t>Isoform 1 of Neuroplastin</t>
  </si>
  <si>
    <t>Spindlin-1</t>
  </si>
  <si>
    <t>Dolichyl-phosphate beta-glucosyltransferase</t>
  </si>
  <si>
    <t>Coatomer subunit gamma-1</t>
  </si>
  <si>
    <t>Isoform Short of Ancient ubiquitous protein 1</t>
  </si>
  <si>
    <t>Isoform 3 of Peptidyl-prolyl cis-trans isomerase FKBP7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</si>
  <si>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</si>
  <si>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</si>
  <si>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</si>
  <si>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</si>
  <si>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</si>
  <si>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Mitochondrial carrier homolog 2</t>
  </si>
  <si>
    <t>Brefeldin A-inhibited guanine nucleotide-exchange protein 2</t>
  </si>
  <si>
    <t>Mitotic spindle assembly checkpoint protein MAD1</t>
  </si>
  <si>
    <t>Cytoplasmic dynein 1 light intermediate chain 1</t>
  </si>
  <si>
    <t>Coiled-coil-helix-coiled-coil-helix domain-containing protein 2, mitochondrial</t>
  </si>
  <si>
    <t>Isoform 3 of Epsin-1</t>
  </si>
  <si>
    <t>Testis-expressed sequence 264 protein</t>
  </si>
  <si>
    <t>Choline/ethanolaminephosphotransferase 1</t>
  </si>
  <si>
    <t>NF-kappa-B essential modulator</t>
  </si>
  <si>
    <t>Zinc transporter 1</t>
  </si>
  <si>
    <t>Isoform 6 of Roundabout homolog 1</t>
  </si>
  <si>
    <t>Stonin-1</t>
  </si>
  <si>
    <t>Isoform 2 of Nuclear receptor coactivator 3</t>
  </si>
  <si>
    <t>Numb-like protein</t>
  </si>
  <si>
    <t>Calpain-7</t>
  </si>
  <si>
    <t>Wiskott-Aldrich syndrome protein family member 2</t>
  </si>
  <si>
    <t>Zinc fingers and homeoboxes protein 2</t>
  </si>
  <si>
    <t>Motile sperm domain-containing protein 2</t>
  </si>
  <si>
    <t>26S proteasome non-ATPase regulatory subunit 8</t>
  </si>
  <si>
    <t>Ragulator complex protein LAMTOR5</t>
  </si>
  <si>
    <t>Polycomb complex protein BMI-1</t>
  </si>
  <si>
    <t>F-box only protein 44 (Fragment)</t>
  </si>
  <si>
    <t>MAP kinase-activated protein kinase 5 (Fragment)</t>
  </si>
  <si>
    <t>Protein tyrosine phosphatase type IVA 2</t>
  </si>
  <si>
    <t>YTH domain family protein 3</t>
  </si>
  <si>
    <t>26S protease regulatory subunit 6A</t>
  </si>
  <si>
    <t>TMEM129</t>
  </si>
  <si>
    <t>UBA6</t>
  </si>
  <si>
    <t>ESYT2</t>
  </si>
  <si>
    <t>KIAA1598</t>
  </si>
  <si>
    <t>TMEM223</t>
  </si>
  <si>
    <t>ILVBL</t>
  </si>
  <si>
    <t>C17orf89</t>
  </si>
  <si>
    <t>SH3PXD2B</t>
  </si>
  <si>
    <t>ACO2</t>
  </si>
  <si>
    <t>PRNP</t>
  </si>
  <si>
    <t>HLA-C</t>
  </si>
  <si>
    <t>KIAA1467</t>
  </si>
  <si>
    <t>TYW5</t>
  </si>
  <si>
    <t>EXOSC2</t>
  </si>
  <si>
    <t>SBNO1</t>
  </si>
  <si>
    <t>ISPD</t>
  </si>
  <si>
    <t>GTPBP10</t>
  </si>
  <si>
    <t>KLRG2</t>
  </si>
  <si>
    <t>DKFZP586J0619</t>
  </si>
  <si>
    <t>MBLAC1</t>
  </si>
  <si>
    <t>XIRP2</t>
  </si>
  <si>
    <t>RAB3GAP1</t>
  </si>
  <si>
    <t>ANKRD33B</t>
  </si>
  <si>
    <t>HS2ST1</t>
  </si>
  <si>
    <t>PALM3</t>
  </si>
  <si>
    <t>PGP</t>
  </si>
  <si>
    <t>C5orf51</t>
  </si>
  <si>
    <t>RCCD1</t>
  </si>
  <si>
    <t>HCFC1</t>
  </si>
  <si>
    <t>PIGK</t>
  </si>
  <si>
    <t>OFD1</t>
  </si>
  <si>
    <t>BPNT1</t>
  </si>
  <si>
    <t>CHMP1A</t>
  </si>
  <si>
    <t>PRCC</t>
  </si>
  <si>
    <t>TLCD2</t>
  </si>
  <si>
    <t>HN1L</t>
  </si>
  <si>
    <t>TUBAL3</t>
  </si>
  <si>
    <t>MRPL37</t>
  </si>
  <si>
    <t>SMCHD1</t>
  </si>
  <si>
    <t>UNC119B</t>
  </si>
  <si>
    <t>NDEL1</t>
  </si>
  <si>
    <t>METTL15</t>
  </si>
  <si>
    <t>CCDC144A</t>
  </si>
  <si>
    <t>RNPEP</t>
  </si>
  <si>
    <t>CCDC85C</t>
  </si>
  <si>
    <t>ZMYM3</t>
  </si>
  <si>
    <t>TRIM5</t>
  </si>
  <si>
    <t>SEPT8</t>
  </si>
  <si>
    <t>DIAPH2</t>
  </si>
  <si>
    <t>PHKA1</t>
  </si>
  <si>
    <t>POLA1</t>
  </si>
  <si>
    <t>ALMS1</t>
  </si>
  <si>
    <t>ANXA6</t>
  </si>
  <si>
    <t>CD9</t>
  </si>
  <si>
    <t>AIF1L</t>
  </si>
  <si>
    <t>FAM127A</t>
  </si>
  <si>
    <t>ZBTB8OS</t>
  </si>
  <si>
    <t>SELK</t>
  </si>
  <si>
    <t>YDJC</t>
  </si>
  <si>
    <t>MLLT4</t>
  </si>
  <si>
    <t>S100B</t>
  </si>
  <si>
    <t>RTFDC1</t>
  </si>
  <si>
    <t>HOOK1</t>
  </si>
  <si>
    <t>AIMP2</t>
  </si>
  <si>
    <t>SUMO3</t>
  </si>
  <si>
    <t>TUBA4A</t>
  </si>
  <si>
    <t>TSSC1</t>
  </si>
  <si>
    <t>GGPS1</t>
  </si>
  <si>
    <t>FAM171A2</t>
  </si>
  <si>
    <t>BICD1</t>
  </si>
  <si>
    <t>KIAA1324L</t>
  </si>
  <si>
    <t>ERCC2</t>
  </si>
  <si>
    <t>RAI1</t>
  </si>
  <si>
    <t>MATR3</t>
  </si>
  <si>
    <t>PTTG1IP</t>
  </si>
  <si>
    <t>NUDT19</t>
  </si>
  <si>
    <t>RAB34</t>
  </si>
  <si>
    <t>PIK3C3</t>
  </si>
  <si>
    <t>MIF4GD</t>
  </si>
  <si>
    <t>SRRM1</t>
  </si>
  <si>
    <t>FER1L4</t>
  </si>
  <si>
    <t>KIAA0930</t>
  </si>
  <si>
    <t>PFKFB2</t>
  </si>
  <si>
    <t>RBM14</t>
  </si>
  <si>
    <t>EIF3L</t>
  </si>
  <si>
    <t>SMCR7L</t>
  </si>
  <si>
    <t>TBC1D22A</t>
  </si>
  <si>
    <t>EWSR1</t>
  </si>
  <si>
    <t>CPNE1</t>
  </si>
  <si>
    <t>COMMD6</t>
  </si>
  <si>
    <t>BAG6</t>
  </si>
  <si>
    <t>ABHD16A</t>
  </si>
  <si>
    <t>EHMT2</t>
  </si>
  <si>
    <t>VARS</t>
  </si>
  <si>
    <t>APOC3</t>
  </si>
  <si>
    <t>TSPO</t>
  </si>
  <si>
    <t>NHP2L1</t>
  </si>
  <si>
    <t>HMGCL</t>
  </si>
  <si>
    <t>ESPN</t>
  </si>
  <si>
    <t>EPHB2</t>
  </si>
  <si>
    <t>NRD1</t>
  </si>
  <si>
    <t>DYNLRB1</t>
  </si>
  <si>
    <t>PEA15</t>
  </si>
  <si>
    <t>PHYH</t>
  </si>
  <si>
    <t>TMEM9</t>
  </si>
  <si>
    <t>EXOSC1</t>
  </si>
  <si>
    <t>PRSS3</t>
  </si>
  <si>
    <t>GUK1</t>
  </si>
  <si>
    <t>CD55</t>
  </si>
  <si>
    <t>EPS15</t>
  </si>
  <si>
    <t>EIF3S3</t>
  </si>
  <si>
    <t>EIF3F</t>
  </si>
  <si>
    <t>BCAT2</t>
  </si>
  <si>
    <t>LZTFL1</t>
  </si>
  <si>
    <t>SOD2</t>
  </si>
  <si>
    <t>PHF23</t>
  </si>
  <si>
    <t>CENPH</t>
  </si>
  <si>
    <t>PYROXD1</t>
  </si>
  <si>
    <t>CNN2</t>
  </si>
  <si>
    <t>HARS2</t>
  </si>
  <si>
    <t>SLC35A2</t>
  </si>
  <si>
    <t>REEP2</t>
  </si>
  <si>
    <t>TSPAN7</t>
  </si>
  <si>
    <t>SNX2</t>
  </si>
  <si>
    <t>NDUFA13</t>
  </si>
  <si>
    <t>SLC17A5</t>
  </si>
  <si>
    <t>CTNNB1</t>
  </si>
  <si>
    <t>PIP4K2A</t>
  </si>
  <si>
    <t>MAP1S</t>
  </si>
  <si>
    <t>PIP5K1B</t>
  </si>
  <si>
    <t>TGM2</t>
  </si>
  <si>
    <t>RAB5A</t>
  </si>
  <si>
    <t>SLC25A14</t>
  </si>
  <si>
    <t>SNRPD3</t>
  </si>
  <si>
    <t>CS</t>
  </si>
  <si>
    <t>PWP1</t>
  </si>
  <si>
    <t>NAPB</t>
  </si>
  <si>
    <t>TOP3A</t>
  </si>
  <si>
    <t>ECE1</t>
  </si>
  <si>
    <t>ZNF286A</t>
  </si>
  <si>
    <t>LSR</t>
  </si>
  <si>
    <t>CHURC1-FNTB</t>
  </si>
  <si>
    <t>CRYBG3</t>
  </si>
  <si>
    <t>C2orf18</t>
  </si>
  <si>
    <t>SLC25A10</t>
  </si>
  <si>
    <t>RPS6KB1</t>
  </si>
  <si>
    <t>DDX5</t>
  </si>
  <si>
    <t>RNF220</t>
  </si>
  <si>
    <t>BSDC1</t>
  </si>
  <si>
    <t>KLC4</t>
  </si>
  <si>
    <t>FAM45A</t>
  </si>
  <si>
    <t>KDSR</t>
  </si>
  <si>
    <t>PTGES3</t>
  </si>
  <si>
    <t>WDR77</t>
  </si>
  <si>
    <t>SMN1</t>
  </si>
  <si>
    <t>SNX11</t>
  </si>
  <si>
    <t>TOX4</t>
  </si>
  <si>
    <t>PGD</t>
  </si>
  <si>
    <t>NAA40</t>
  </si>
  <si>
    <t>SEC61A1</t>
  </si>
  <si>
    <t>STK24</t>
  </si>
  <si>
    <t>YKT6</t>
  </si>
  <si>
    <t>SIMC1</t>
  </si>
  <si>
    <t>MPPED1</t>
  </si>
  <si>
    <t>C9orf41</t>
  </si>
  <si>
    <t>SLITRK5</t>
  </si>
  <si>
    <t>ANXA7</t>
  </si>
  <si>
    <t>SLC25A46</t>
  </si>
  <si>
    <t>SLC35F2</t>
  </si>
  <si>
    <t>ANXA11</t>
  </si>
  <si>
    <t>EIF3D</t>
  </si>
  <si>
    <t>BAIAP2</t>
  </si>
  <si>
    <t>HACL1</t>
  </si>
  <si>
    <t>MPP7</t>
  </si>
  <si>
    <t>FXR1</t>
  </si>
  <si>
    <t>NUP35</t>
  </si>
  <si>
    <t>ARL1</t>
  </si>
  <si>
    <t>HDAC6</t>
  </si>
  <si>
    <t>DYNC1LI2</t>
  </si>
  <si>
    <t>RMDN1</t>
  </si>
  <si>
    <t>PHF6</t>
  </si>
  <si>
    <t>RBM6</t>
  </si>
  <si>
    <t>PEX5</t>
  </si>
  <si>
    <t>PNPO</t>
  </si>
  <si>
    <t>MST4</t>
  </si>
  <si>
    <t>RIOK3</t>
  </si>
  <si>
    <t>SFRS3</t>
  </si>
  <si>
    <t>STOM</t>
  </si>
  <si>
    <t>HADHB</t>
  </si>
  <si>
    <t>METTL13</t>
  </si>
  <si>
    <t>DVL3</t>
  </si>
  <si>
    <t>ABCB1</t>
  </si>
  <si>
    <t>LBH</t>
  </si>
  <si>
    <t>EML4</t>
  </si>
  <si>
    <t>CBLB</t>
  </si>
  <si>
    <t>SYNGR1</t>
  </si>
  <si>
    <t>PES1</t>
  </si>
  <si>
    <t>NCOA1</t>
  </si>
  <si>
    <t>TBC1D10A</t>
  </si>
  <si>
    <t>RFT1</t>
  </si>
  <si>
    <t>C2orf43</t>
  </si>
  <si>
    <t>PDIA6</t>
  </si>
  <si>
    <t>MTMR9</t>
  </si>
  <si>
    <t>MFSD8</t>
  </si>
  <si>
    <t>NT5C2</t>
  </si>
  <si>
    <t>TBCE</t>
  </si>
  <si>
    <t>GGA3</t>
  </si>
  <si>
    <t>DNASE2</t>
  </si>
  <si>
    <t>TOMM40L</t>
  </si>
  <si>
    <t>CCBL1</t>
  </si>
  <si>
    <t>STMN3</t>
  </si>
  <si>
    <t>SMAD2</t>
  </si>
  <si>
    <t>NBR1</t>
  </si>
  <si>
    <t>F11R</t>
  </si>
  <si>
    <t>WARS2</t>
  </si>
  <si>
    <t>ABR</t>
  </si>
  <si>
    <t>TNFAIP1</t>
  </si>
  <si>
    <t>RANBP3</t>
  </si>
  <si>
    <t>ATL2</t>
  </si>
  <si>
    <t>USP7</t>
  </si>
  <si>
    <t>DHCR24</t>
  </si>
  <si>
    <t>GPRC5B</t>
  </si>
  <si>
    <t>CCDC117</t>
  </si>
  <si>
    <t>TRDMT1</t>
  </si>
  <si>
    <t>ACADM</t>
  </si>
  <si>
    <t>ATP6AP2</t>
  </si>
  <si>
    <t>CALB1</t>
  </si>
  <si>
    <t>ATP1B1</t>
  </si>
  <si>
    <t>SH3GLB2</t>
  </si>
  <si>
    <t>PPP2R5E</t>
  </si>
  <si>
    <t>SART3</t>
  </si>
  <si>
    <t>SCARB1</t>
  </si>
  <si>
    <t>COX18</t>
  </si>
  <si>
    <t>EDEM3</t>
  </si>
  <si>
    <t>RLTPR</t>
  </si>
  <si>
    <t>CNRIP1</t>
  </si>
  <si>
    <t>TAX1BP1</t>
  </si>
  <si>
    <t>FAM126A</t>
  </si>
  <si>
    <t>SUMO1</t>
  </si>
  <si>
    <t>PTMA</t>
  </si>
  <si>
    <t>TCEB2</t>
  </si>
  <si>
    <t>AGFG1</t>
  </si>
  <si>
    <t>USP39</t>
  </si>
  <si>
    <t>RHBDD1</t>
  </si>
  <si>
    <t>IMMT</t>
  </si>
  <si>
    <t>ZNF507</t>
  </si>
  <si>
    <t>BAK1</t>
  </si>
  <si>
    <t>ATG12</t>
  </si>
  <si>
    <t>WASH3P</t>
  </si>
  <si>
    <t>MED30S</t>
  </si>
  <si>
    <t>ASNSD1</t>
  </si>
  <si>
    <t>ITGB1BP1</t>
  </si>
  <si>
    <t>ZC3HC1</t>
  </si>
  <si>
    <t>PFN2</t>
  </si>
  <si>
    <t>SRI</t>
  </si>
  <si>
    <t>INPP1</t>
  </si>
  <si>
    <t>UBE2F</t>
  </si>
  <si>
    <t>UBE2E1</t>
  </si>
  <si>
    <t>TAMM41</t>
  </si>
  <si>
    <t>IKBKG</t>
  </si>
  <si>
    <t>PHC2</t>
  </si>
  <si>
    <t>CROT</t>
  </si>
  <si>
    <t>REPIN1</t>
  </si>
  <si>
    <t>SSR1</t>
  </si>
  <si>
    <t>POLR2B</t>
  </si>
  <si>
    <t>RPL37A</t>
  </si>
  <si>
    <t>PDCD10</t>
  </si>
  <si>
    <t>IGF1R</t>
  </si>
  <si>
    <t>TANGO2</t>
  </si>
  <si>
    <t>KIF20B</t>
  </si>
  <si>
    <t>NISCH</t>
  </si>
  <si>
    <t>TNPO3</t>
  </si>
  <si>
    <t>MKLN1</t>
  </si>
  <si>
    <t>NCOR2</t>
  </si>
  <si>
    <t>ZMAT3</t>
  </si>
  <si>
    <t>ALDH5A1</t>
  </si>
  <si>
    <t>RPSA</t>
  </si>
  <si>
    <t>NMD3</t>
  </si>
  <si>
    <t>SSR3</t>
  </si>
  <si>
    <t>SRSF7</t>
  </si>
  <si>
    <t>HIGD1A</t>
  </si>
  <si>
    <t>DRAP1</t>
  </si>
  <si>
    <t>TMUB1</t>
  </si>
  <si>
    <t>ADCK2</t>
  </si>
  <si>
    <t>EIF4E2</t>
  </si>
  <si>
    <t>CYCS</t>
  </si>
  <si>
    <t>AAMP</t>
  </si>
  <si>
    <t>APEH</t>
  </si>
  <si>
    <t>PBLD</t>
  </si>
  <si>
    <t>KRIT1</t>
  </si>
  <si>
    <t>PSAP</t>
  </si>
  <si>
    <t>MYADM</t>
  </si>
  <si>
    <t>ITGA6</t>
  </si>
  <si>
    <t>SH2B2</t>
  </si>
  <si>
    <t>POLR2H</t>
  </si>
  <si>
    <t>APAF1</t>
  </si>
  <si>
    <t>PPIG</t>
  </si>
  <si>
    <t>IP6K1</t>
  </si>
  <si>
    <t>OARD1</t>
  </si>
  <si>
    <t>MBNL1</t>
  </si>
  <si>
    <t>CRTAP</t>
  </si>
  <si>
    <t>NRF1</t>
  </si>
  <si>
    <t>ARF4</t>
  </si>
  <si>
    <t>NME6</t>
  </si>
  <si>
    <t>STK11IP</t>
  </si>
  <si>
    <t>SEC22A</t>
  </si>
  <si>
    <t>CHCHD3</t>
  </si>
  <si>
    <t>DPP8</t>
  </si>
  <si>
    <t>SERP1</t>
  </si>
  <si>
    <t>RPL24</t>
  </si>
  <si>
    <t>FOXJ3</t>
  </si>
  <si>
    <t>POP7</t>
  </si>
  <si>
    <t>RPL22L1</t>
  </si>
  <si>
    <t>NRCAM</t>
  </si>
  <si>
    <t>NUDT5</t>
  </si>
  <si>
    <t>INPP5K</t>
  </si>
  <si>
    <t>RAPH1</t>
  </si>
  <si>
    <t>PALM2</t>
  </si>
  <si>
    <t>RPL32</t>
  </si>
  <si>
    <t>IRAK1</t>
  </si>
  <si>
    <t>CAMK2D</t>
  </si>
  <si>
    <t>CDK7</t>
  </si>
  <si>
    <t>POLR3G</t>
  </si>
  <si>
    <t>ERCC6</t>
  </si>
  <si>
    <t>COX7C</t>
  </si>
  <si>
    <t>RPS3A</t>
  </si>
  <si>
    <t>FAM169A</t>
  </si>
  <si>
    <t>ELMOD2</t>
  </si>
  <si>
    <t>EIF4E</t>
  </si>
  <si>
    <t>HSD17B11</t>
  </si>
  <si>
    <t>TMEM175</t>
  </si>
  <si>
    <t>SLC41A3</t>
  </si>
  <si>
    <t>EMB</t>
  </si>
  <si>
    <t>ALG13</t>
  </si>
  <si>
    <t>PET112</t>
  </si>
  <si>
    <t>SEC31A</t>
  </si>
  <si>
    <t>ZNF652</t>
  </si>
  <si>
    <t>CXCL6</t>
  </si>
  <si>
    <t>DCK</t>
  </si>
  <si>
    <t>CYB5B</t>
  </si>
  <si>
    <t>SEPT11</t>
  </si>
  <si>
    <t>SLC9B2</t>
  </si>
  <si>
    <t>SPRY1</t>
  </si>
  <si>
    <t>CENPK</t>
  </si>
  <si>
    <t>RNASET2</t>
  </si>
  <si>
    <t>COX7A2</t>
  </si>
  <si>
    <t>HNRPLL</t>
  </si>
  <si>
    <t>PYCR1</t>
  </si>
  <si>
    <t>C15orf38-AP3S2</t>
  </si>
  <si>
    <t>GMNN</t>
  </si>
  <si>
    <t>OPA1</t>
  </si>
  <si>
    <t>NSMCE2</t>
  </si>
  <si>
    <t>EBF1</t>
  </si>
  <si>
    <t>IMPA1</t>
  </si>
  <si>
    <t>TATDN1</t>
  </si>
  <si>
    <t>RWDD1</t>
  </si>
  <si>
    <t>STMN2</t>
  </si>
  <si>
    <t>DERL1</t>
  </si>
  <si>
    <t>TCEB1</t>
  </si>
  <si>
    <t>PSEN2</t>
  </si>
  <si>
    <t>TTI2</t>
  </si>
  <si>
    <t>POLB</t>
  </si>
  <si>
    <t>AP3B1</t>
  </si>
  <si>
    <t>TRPS1</t>
  </si>
  <si>
    <t>ZFAND1</t>
  </si>
  <si>
    <t>SDC2</t>
  </si>
  <si>
    <t>NUDT18</t>
  </si>
  <si>
    <t>SKP1</t>
  </si>
  <si>
    <t>MTFR1</t>
  </si>
  <si>
    <t>SGK3</t>
  </si>
  <si>
    <t>COPS6</t>
  </si>
  <si>
    <t>RNF5</t>
  </si>
  <si>
    <t>SWAP70</t>
  </si>
  <si>
    <t>AKAP10</t>
  </si>
  <si>
    <t>ASAH1</t>
  </si>
  <si>
    <t>RAI14</t>
  </si>
  <si>
    <t>SETMAR</t>
  </si>
  <si>
    <t>ZNF143</t>
  </si>
  <si>
    <t>NCSTN</t>
  </si>
  <si>
    <t>SYNE1</t>
  </si>
  <si>
    <t>HK1</t>
  </si>
  <si>
    <t>NARF</t>
  </si>
  <si>
    <t>RPL14</t>
  </si>
  <si>
    <t>CD44</t>
  </si>
  <si>
    <t>TOM1</t>
  </si>
  <si>
    <t>PDXDC1</t>
  </si>
  <si>
    <t>PRRC2C</t>
  </si>
  <si>
    <t>NDUFV2</t>
  </si>
  <si>
    <t>SNCA</t>
  </si>
  <si>
    <t>TNIP1</t>
  </si>
  <si>
    <t>GLB1</t>
  </si>
  <si>
    <t>NAA50</t>
  </si>
  <si>
    <t>TMED2</t>
  </si>
  <si>
    <t>TANK</t>
  </si>
  <si>
    <t>KIAA0196</t>
  </si>
  <si>
    <t>SENP6</t>
  </si>
  <si>
    <t>YIPF3</t>
  </si>
  <si>
    <t>DMD</t>
  </si>
  <si>
    <t>ACIN1</t>
  </si>
  <si>
    <t>TP53</t>
  </si>
  <si>
    <t>FAM136A</t>
  </si>
  <si>
    <t>SYNJ2</t>
  </si>
  <si>
    <t>FAM91A1</t>
  </si>
  <si>
    <t>ERMP1</t>
  </si>
  <si>
    <t>PAPSS2</t>
  </si>
  <si>
    <t>GMIP</t>
  </si>
  <si>
    <t>ATP2C1</t>
  </si>
  <si>
    <t>CLASP2</t>
  </si>
  <si>
    <t>EIF2B4</t>
  </si>
  <si>
    <t>ZC3H18</t>
  </si>
  <si>
    <t>TTC38</t>
  </si>
  <si>
    <t>HSPA4L</t>
  </si>
  <si>
    <t>PSEN1</t>
  </si>
  <si>
    <t>CLSPN</t>
  </si>
  <si>
    <t>NEFM</t>
  </si>
  <si>
    <t>USP19</t>
  </si>
  <si>
    <t>NDUFA10</t>
  </si>
  <si>
    <t>U2SURP</t>
  </si>
  <si>
    <t>DAGLB</t>
  </si>
  <si>
    <t>DNPEP</t>
  </si>
  <si>
    <t>METTL8</t>
  </si>
  <si>
    <t>RBMS1</t>
  </si>
  <si>
    <t>PLOD2</t>
  </si>
  <si>
    <t>MARK2</t>
  </si>
  <si>
    <t>GPX8</t>
  </si>
  <si>
    <t>CALM1</t>
  </si>
  <si>
    <t>BZW2</t>
  </si>
  <si>
    <t>FGFR1</t>
  </si>
  <si>
    <t>GDI2</t>
  </si>
  <si>
    <t>CSNK2A1</t>
  </si>
  <si>
    <t>UGP2</t>
  </si>
  <si>
    <t>NUP54</t>
  </si>
  <si>
    <t>EIF4G1</t>
  </si>
  <si>
    <t>PCCB</t>
  </si>
  <si>
    <t>PCM1</t>
  </si>
  <si>
    <t>DEPTOR</t>
  </si>
  <si>
    <t>MAP4</t>
  </si>
  <si>
    <t>ATG16L1</t>
  </si>
  <si>
    <t>LPHN3</t>
  </si>
  <si>
    <t>KLC1</t>
  </si>
  <si>
    <t>HDHD1</t>
  </si>
  <si>
    <t>CYFIP2</t>
  </si>
  <si>
    <t>HCLS1</t>
  </si>
  <si>
    <t>PRPF31</t>
  </si>
  <si>
    <t>SDAD1</t>
  </si>
  <si>
    <t>MYO6</t>
  </si>
  <si>
    <t>SALL2</t>
  </si>
  <si>
    <t>SEPT10</t>
  </si>
  <si>
    <t>ABI2</t>
  </si>
  <si>
    <t>EXOC6</t>
  </si>
  <si>
    <t>NDUFB5</t>
  </si>
  <si>
    <t>MPP2</t>
  </si>
  <si>
    <t>RPL15</t>
  </si>
  <si>
    <t>DCTN1</t>
  </si>
  <si>
    <t>RAVER1</t>
  </si>
  <si>
    <t>GPATCH4</t>
  </si>
  <si>
    <t>NUSAP1</t>
  </si>
  <si>
    <t>ALYREF</t>
  </si>
  <si>
    <t>HK2</t>
  </si>
  <si>
    <t>AGK</t>
  </si>
  <si>
    <t>BUB1</t>
  </si>
  <si>
    <t>LIMK1</t>
  </si>
  <si>
    <t>EIF2B5</t>
  </si>
  <si>
    <t>TNC</t>
  </si>
  <si>
    <t>FNIP1</t>
  </si>
  <si>
    <t>GUCY1B3</t>
  </si>
  <si>
    <t>GOSR1</t>
  </si>
  <si>
    <t>ELF2</t>
  </si>
  <si>
    <t>HNRNPH1</t>
  </si>
  <si>
    <t>SMG7</t>
  </si>
  <si>
    <t>SMC4</t>
  </si>
  <si>
    <t>CKAP2</t>
  </si>
  <si>
    <t>LRCH3</t>
  </si>
  <si>
    <t>MYO1B</t>
  </si>
  <si>
    <t>CACNA1C</t>
  </si>
  <si>
    <t>OXCT1</t>
  </si>
  <si>
    <t>SLC2A13</t>
  </si>
  <si>
    <t>ACADS</t>
  </si>
  <si>
    <t>ITGB6</t>
  </si>
  <si>
    <t>SGCE</t>
  </si>
  <si>
    <t>ATF2</t>
  </si>
  <si>
    <t>XPO7</t>
  </si>
  <si>
    <t>NRP1</t>
  </si>
  <si>
    <t>PDPK1</t>
  </si>
  <si>
    <t>DIAPH1</t>
  </si>
  <si>
    <t>KIAA1107</t>
  </si>
  <si>
    <t>NUP155</t>
  </si>
  <si>
    <t>ACSF2</t>
  </si>
  <si>
    <t>HADH</t>
  </si>
  <si>
    <t>TBL2</t>
  </si>
  <si>
    <t>CCDC18</t>
  </si>
  <si>
    <t>EGFR</t>
  </si>
  <si>
    <t>GSTK1</t>
  </si>
  <si>
    <t>PPP2R5D</t>
  </si>
  <si>
    <t>SQSTM1</t>
  </si>
  <si>
    <t>FCHSD2</t>
  </si>
  <si>
    <t>CEP97</t>
  </si>
  <si>
    <t>APP</t>
  </si>
  <si>
    <t>EPHA4</t>
  </si>
  <si>
    <t>RASA1</t>
  </si>
  <si>
    <t>INTS12</t>
  </si>
  <si>
    <t>SLC25A44</t>
  </si>
  <si>
    <t>TSN</t>
  </si>
  <si>
    <t>RPS6KA1</t>
  </si>
  <si>
    <t>COPS8</t>
  </si>
  <si>
    <t>MED22</t>
  </si>
  <si>
    <t>PRDX3</t>
  </si>
  <si>
    <t>NCAPH</t>
  </si>
  <si>
    <t>INPP4B</t>
  </si>
  <si>
    <t>CYP20A1</t>
  </si>
  <si>
    <t>TCOF1</t>
  </si>
  <si>
    <t>GSTM2</t>
  </si>
  <si>
    <t>POLR2D</t>
  </si>
  <si>
    <t>MTCH2</t>
  </si>
  <si>
    <t>NXF1</t>
  </si>
  <si>
    <t>BRCA2</t>
  </si>
  <si>
    <t>TXNRD1</t>
  </si>
  <si>
    <t>UBXN1</t>
  </si>
  <si>
    <t>VIMP</t>
  </si>
  <si>
    <t>CYHR1</t>
  </si>
  <si>
    <t>MKNK1</t>
  </si>
  <si>
    <t>CD81</t>
  </si>
  <si>
    <t>OSBPL9</t>
  </si>
  <si>
    <t>EEF1D</t>
  </si>
  <si>
    <t>BCLAF1</t>
  </si>
  <si>
    <t>PRMT1</t>
  </si>
  <si>
    <t>TRAPPC4</t>
  </si>
  <si>
    <t>TMEM123</t>
  </si>
  <si>
    <t>TTC9C</t>
  </si>
  <si>
    <t>RPL8</t>
  </si>
  <si>
    <t>SPCS2</t>
  </si>
  <si>
    <t>BTF3L4</t>
  </si>
  <si>
    <t>CLP1</t>
  </si>
  <si>
    <t>HYOU1</t>
  </si>
  <si>
    <t>TSPAN18</t>
  </si>
  <si>
    <t>NEDD8-MDP1</t>
  </si>
  <si>
    <t>CHIA</t>
  </si>
  <si>
    <t>NPEPPS</t>
  </si>
  <si>
    <t>RPL27A</t>
  </si>
  <si>
    <t>MACF1</t>
  </si>
  <si>
    <t>USP47</t>
  </si>
  <si>
    <t>CLNS1A</t>
  </si>
  <si>
    <t>FAM118B</t>
  </si>
  <si>
    <t>PEX16</t>
  </si>
  <si>
    <t>HSF1</t>
  </si>
  <si>
    <t>EBAG9</t>
  </si>
  <si>
    <t>TPD52L1</t>
  </si>
  <si>
    <t>PTS</t>
  </si>
  <si>
    <t>SSR2</t>
  </si>
  <si>
    <t>AAMDC</t>
  </si>
  <si>
    <t>ARHGAP27</t>
  </si>
  <si>
    <t>CD59</t>
  </si>
  <si>
    <t>ZC3H11A</t>
  </si>
  <si>
    <t>PPP2R5B</t>
  </si>
  <si>
    <t>VPS28</t>
  </si>
  <si>
    <t>ACP2</t>
  </si>
  <si>
    <t>ST3GAL4</t>
  </si>
  <si>
    <t>FAU</t>
  </si>
  <si>
    <t>MAF1</t>
  </si>
  <si>
    <t>CD151</t>
  </si>
  <si>
    <t>SCYL1</t>
  </si>
  <si>
    <t>PARVA</t>
  </si>
  <si>
    <t>TM9SF1</t>
  </si>
  <si>
    <t>IQGAP3</t>
  </si>
  <si>
    <t>MYH14</t>
  </si>
  <si>
    <t>HMGN1</t>
  </si>
  <si>
    <t>TRMT2A</t>
  </si>
  <si>
    <t>XPO4</t>
  </si>
  <si>
    <t>PITPNA</t>
  </si>
  <si>
    <t>CCDC53</t>
  </si>
  <si>
    <t>SMAD5</t>
  </si>
  <si>
    <t>CHD4</t>
  </si>
  <si>
    <t>PODXL</t>
  </si>
  <si>
    <t>FAM76B</t>
  </si>
  <si>
    <t>PHC1</t>
  </si>
  <si>
    <t>SUCLA2</t>
  </si>
  <si>
    <t>LTBP4</t>
  </si>
  <si>
    <t>ATE1</t>
  </si>
  <si>
    <t>PTPRK</t>
  </si>
  <si>
    <t>DAD1</t>
  </si>
  <si>
    <t>GPBP1</t>
  </si>
  <si>
    <t>GALNT1</t>
  </si>
  <si>
    <t>ABCD3</t>
  </si>
  <si>
    <t>CEP112</t>
  </si>
  <si>
    <t>STRN4</t>
  </si>
  <si>
    <t>OTUB1</t>
  </si>
  <si>
    <t>ATP6V0D1</t>
  </si>
  <si>
    <t>PXN</t>
  </si>
  <si>
    <t>FARP2</t>
  </si>
  <si>
    <t>MFGE8</t>
  </si>
  <si>
    <t>TRIM59</t>
  </si>
  <si>
    <t>DHX36</t>
  </si>
  <si>
    <t>SLC3A2</t>
  </si>
  <si>
    <t>MED15</t>
  </si>
  <si>
    <t>FAM120B</t>
  </si>
  <si>
    <t>ALKBH2</t>
  </si>
  <si>
    <t>SEC23IP</t>
  </si>
  <si>
    <t>GLTP</t>
  </si>
  <si>
    <t>ABI1</t>
  </si>
  <si>
    <t>L1CAM</t>
  </si>
  <si>
    <t>TXNRD2</t>
  </si>
  <si>
    <t>KIAA1211</t>
  </si>
  <si>
    <t>MPDZ</t>
  </si>
  <si>
    <t>LRBA</t>
  </si>
  <si>
    <t>ANKLE2</t>
  </si>
  <si>
    <t>VMP1</t>
  </si>
  <si>
    <t>WNK1</t>
  </si>
  <si>
    <t>KIAA1715</t>
  </si>
  <si>
    <t>DCTN2</t>
  </si>
  <si>
    <t>NECAP1</t>
  </si>
  <si>
    <t>HMGA2</t>
  </si>
  <si>
    <t>FADS3</t>
  </si>
  <si>
    <t>NRP2</t>
  </si>
  <si>
    <t>RBPMS</t>
  </si>
  <si>
    <t>SEC23A</t>
  </si>
  <si>
    <t>CHST10</t>
  </si>
  <si>
    <t>FZD10</t>
  </si>
  <si>
    <t>KPNA6</t>
  </si>
  <si>
    <t>ITM2C</t>
  </si>
  <si>
    <t>PEX14</t>
  </si>
  <si>
    <t>WLS</t>
  </si>
  <si>
    <t>GRIP1</t>
  </si>
  <si>
    <t>VPS37C</t>
  </si>
  <si>
    <t>EVI5</t>
  </si>
  <si>
    <t>PDCD2</t>
  </si>
  <si>
    <t>PSMF1</t>
  </si>
  <si>
    <t>SSH2</t>
  </si>
  <si>
    <t>EIF4G3</t>
  </si>
  <si>
    <t>ATP6V0A1</t>
  </si>
  <si>
    <t>BRK1</t>
  </si>
  <si>
    <t>TUBA1C</t>
  </si>
  <si>
    <t>NOC4L</t>
  </si>
  <si>
    <t>TNIK</t>
  </si>
  <si>
    <t>NDUFS7</t>
  </si>
  <si>
    <t>BCKDHA</t>
  </si>
  <si>
    <t>NAT1</t>
  </si>
  <si>
    <t>OXNAD1</t>
  </si>
  <si>
    <t>TAP1</t>
  </si>
  <si>
    <t>MED23</t>
  </si>
  <si>
    <t>LARS</t>
  </si>
  <si>
    <t>ATL3</t>
  </si>
  <si>
    <t>AIDA</t>
  </si>
  <si>
    <t>WBP11</t>
  </si>
  <si>
    <t>RPTOR</t>
  </si>
  <si>
    <t>DLAT</t>
  </si>
  <si>
    <t>MICB</t>
  </si>
  <si>
    <t>SLC16A7</t>
  </si>
  <si>
    <t>INPP4A</t>
  </si>
  <si>
    <t>TRAP1</t>
  </si>
  <si>
    <t>XRCC1</t>
  </si>
  <si>
    <t>ASH2L</t>
  </si>
  <si>
    <t>STARD10</t>
  </si>
  <si>
    <t>CLPTM1</t>
  </si>
  <si>
    <t>RABGAP1L</t>
  </si>
  <si>
    <t>EPN2</t>
  </si>
  <si>
    <t>SIPA1</t>
  </si>
  <si>
    <t>KDM1A</t>
  </si>
  <si>
    <t>PDE12</t>
  </si>
  <si>
    <t>PPP3R1</t>
  </si>
  <si>
    <t>NME2</t>
  </si>
  <si>
    <t>CAD</t>
  </si>
  <si>
    <t>DDX39B</t>
  </si>
  <si>
    <t>C12orf75</t>
  </si>
  <si>
    <t>METTL7A</t>
  </si>
  <si>
    <t>UIMC1</t>
  </si>
  <si>
    <t>METAP2</t>
  </si>
  <si>
    <t>NFYB</t>
  </si>
  <si>
    <t>PLXNA1</t>
  </si>
  <si>
    <t>C14orf79</t>
  </si>
  <si>
    <t>SLC38A2</t>
  </si>
  <si>
    <t>NAP1L1</t>
  </si>
  <si>
    <t>COPZ1</t>
  </si>
  <si>
    <t>NELL2</t>
  </si>
  <si>
    <t>CSRP2</t>
  </si>
  <si>
    <t>CASP9</t>
  </si>
  <si>
    <t>ALG10B</t>
  </si>
  <si>
    <t>TSPAN31</t>
  </si>
  <si>
    <t>ARFGAP1</t>
  </si>
  <si>
    <t>TFCP2</t>
  </si>
  <si>
    <t>SLC38A1</t>
  </si>
  <si>
    <t>SMARCC2</t>
  </si>
  <si>
    <t>SCAF11</t>
  </si>
  <si>
    <t>GIT2</t>
  </si>
  <si>
    <t>AAAS</t>
  </si>
  <si>
    <t>NACA</t>
  </si>
  <si>
    <t>C17orf49</t>
  </si>
  <si>
    <t>TROAP</t>
  </si>
  <si>
    <t>YEATS4</t>
  </si>
  <si>
    <t>ERGIC2</t>
  </si>
  <si>
    <t>PPP1CC</t>
  </si>
  <si>
    <t>CNOT2</t>
  </si>
  <si>
    <t>RPL6</t>
  </si>
  <si>
    <t>TGFBR1</t>
  </si>
  <si>
    <t>DPAGT1</t>
  </si>
  <si>
    <t>BNIPL</t>
  </si>
  <si>
    <t>RFX5</t>
  </si>
  <si>
    <t>HNRNPA1</t>
  </si>
  <si>
    <t>TLE4</t>
  </si>
  <si>
    <t>EML1</t>
  </si>
  <si>
    <t>ADIPOR1</t>
  </si>
  <si>
    <t>GPHN</t>
  </si>
  <si>
    <t>FAM162A</t>
  </si>
  <si>
    <t>VEZT</t>
  </si>
  <si>
    <t>SLBP</t>
  </si>
  <si>
    <t>TIA1</t>
  </si>
  <si>
    <t>ABLIM1</t>
  </si>
  <si>
    <t>STX5</t>
  </si>
  <si>
    <t>POLD2</t>
  </si>
  <si>
    <t>TOMM5</t>
  </si>
  <si>
    <t>IGF2BP2</t>
  </si>
  <si>
    <t>ASL</t>
  </si>
  <si>
    <t>PPIP5K1</t>
  </si>
  <si>
    <t>WNK2</t>
  </si>
  <si>
    <t>SLC26A6</t>
  </si>
  <si>
    <t>MED24</t>
  </si>
  <si>
    <t>STX16</t>
  </si>
  <si>
    <t>CLASP1</t>
  </si>
  <si>
    <t>CNN3</t>
  </si>
  <si>
    <t>ADAM22</t>
  </si>
  <si>
    <t>EIF2A</t>
  </si>
  <si>
    <t>ALDH16A1</t>
  </si>
  <si>
    <t>PNO1</t>
  </si>
  <si>
    <t>MRPL40</t>
  </si>
  <si>
    <t>RPL35A</t>
  </si>
  <si>
    <t>GTPBP8</t>
  </si>
  <si>
    <t>DOM3Z</t>
  </si>
  <si>
    <t>ZNF687</t>
  </si>
  <si>
    <t>SLC25A17</t>
  </si>
  <si>
    <t>DNMT3A</t>
  </si>
  <si>
    <t>ZFAND2B</t>
  </si>
  <si>
    <t>CBWD2</t>
  </si>
  <si>
    <t>ALG3</t>
  </si>
  <si>
    <t>NDUFV1</t>
  </si>
  <si>
    <t>OTUD4</t>
  </si>
  <si>
    <t>MTERFD1</t>
  </si>
  <si>
    <t>DPP3</t>
  </si>
  <si>
    <t>PON2</t>
  </si>
  <si>
    <t>HBA2</t>
  </si>
  <si>
    <t>LOH12CR1</t>
  </si>
  <si>
    <t>ZEB1</t>
  </si>
  <si>
    <t>ISYNA1</t>
  </si>
  <si>
    <t>GALNT2</t>
  </si>
  <si>
    <t>ATF7IP</t>
  </si>
  <si>
    <t>GOLT1B</t>
  </si>
  <si>
    <t>GTSF1</t>
  </si>
  <si>
    <t>RPL18</t>
  </si>
  <si>
    <t>METTL10</t>
  </si>
  <si>
    <t>TMEM189</t>
  </si>
  <si>
    <t>CDKN3</t>
  </si>
  <si>
    <t>ATP5J2-PTCD1</t>
  </si>
  <si>
    <t>APEX1</t>
  </si>
  <si>
    <t>ATXN3</t>
  </si>
  <si>
    <t>SIVA1</t>
  </si>
  <si>
    <t>HAUS4</t>
  </si>
  <si>
    <t>NDRG2</t>
  </si>
  <si>
    <t>FAM177A1</t>
  </si>
  <si>
    <t>CTAGE5</t>
  </si>
  <si>
    <t>GSTZ1</t>
  </si>
  <si>
    <t>CDK2</t>
  </si>
  <si>
    <t>SYNE2</t>
  </si>
  <si>
    <t>PSMA6</t>
  </si>
  <si>
    <t>TMEM48</t>
  </si>
  <si>
    <t>ARID1B</t>
  </si>
  <si>
    <t>MAP4K4</t>
  </si>
  <si>
    <t>LAMB1</t>
  </si>
  <si>
    <t>TIMM8B</t>
  </si>
  <si>
    <t>ABCB8</t>
  </si>
  <si>
    <t>ATG4A</t>
  </si>
  <si>
    <t>GPR107</t>
  </si>
  <si>
    <t>USP11</t>
  </si>
  <si>
    <t>DMWD</t>
  </si>
  <si>
    <t>SOS1</t>
  </si>
  <si>
    <t>TJP1</t>
  </si>
  <si>
    <t>HPS3</t>
  </si>
  <si>
    <t>PI4K2B</t>
  </si>
  <si>
    <t>CELF1</t>
  </si>
  <si>
    <t>TMOD2</t>
  </si>
  <si>
    <t>PDIA3</t>
  </si>
  <si>
    <t>COBLL1</t>
  </si>
  <si>
    <t>TDG</t>
  </si>
  <si>
    <t>MYL6</t>
  </si>
  <si>
    <t>PUS1</t>
  </si>
  <si>
    <t>MIA3</t>
  </si>
  <si>
    <t>ERC1</t>
  </si>
  <si>
    <t>WDR45</t>
  </si>
  <si>
    <t>LEPREL2</t>
  </si>
  <si>
    <t>TACC1</t>
  </si>
  <si>
    <t>PPT2</t>
  </si>
  <si>
    <t>TH1L</t>
  </si>
  <si>
    <t>ARFRP1</t>
  </si>
  <si>
    <t>PIGX</t>
  </si>
  <si>
    <t>CEP170</t>
  </si>
  <si>
    <t>AMPD2</t>
  </si>
  <si>
    <t>ODF2</t>
  </si>
  <si>
    <t>RPL35</t>
  </si>
  <si>
    <t>DAB2IP</t>
  </si>
  <si>
    <t>EIF4G2</t>
  </si>
  <si>
    <t>NELFA</t>
  </si>
  <si>
    <t>SIK3</t>
  </si>
  <si>
    <t>ZNF185</t>
  </si>
  <si>
    <t>IMPDH2</t>
  </si>
  <si>
    <t>TRRAP</t>
  </si>
  <si>
    <t>LPHN2</t>
  </si>
  <si>
    <t>PRKD3</t>
  </si>
  <si>
    <t>TRIM33</t>
  </si>
  <si>
    <t>UFM1</t>
  </si>
  <si>
    <t>ARFGAP3</t>
  </si>
  <si>
    <t>PYCRL</t>
  </si>
  <si>
    <t>GOLGA4</t>
  </si>
  <si>
    <t>NME4</t>
  </si>
  <si>
    <t>BRD2</t>
  </si>
  <si>
    <t>SP3</t>
  </si>
  <si>
    <t>ABCD1</t>
  </si>
  <si>
    <t>STIM2</t>
  </si>
  <si>
    <t>MTCH1</t>
  </si>
  <si>
    <t>DNPH1</t>
  </si>
  <si>
    <t>CANX</t>
  </si>
  <si>
    <t>PRR5-ARHGAP8</t>
  </si>
  <si>
    <t>UBE2B</t>
  </si>
  <si>
    <t>TMA16</t>
  </si>
  <si>
    <t>DGKQ</t>
  </si>
  <si>
    <t>MED28</t>
  </si>
  <si>
    <t>APBB2</t>
  </si>
  <si>
    <t>ENTPD4</t>
  </si>
  <si>
    <t>SH2D4A</t>
  </si>
  <si>
    <t>MRPS28</t>
  </si>
  <si>
    <t>C14orf159</t>
  </si>
  <si>
    <t>INTS8</t>
  </si>
  <si>
    <t>ASCC1</t>
  </si>
  <si>
    <t>ADAR</t>
  </si>
  <si>
    <t>CD58</t>
  </si>
  <si>
    <t>ALG8</t>
  </si>
  <si>
    <t>PPP5C</t>
  </si>
  <si>
    <t>SSSCA1</t>
  </si>
  <si>
    <t>RNASEH2C</t>
  </si>
  <si>
    <t>RPS2</t>
  </si>
  <si>
    <t>C8orf82</t>
  </si>
  <si>
    <t>CADM1</t>
  </si>
  <si>
    <t>REXO2</t>
  </si>
  <si>
    <t>JOSD1</t>
  </si>
  <si>
    <t>ETNK1</t>
  </si>
  <si>
    <t>ATXN2</t>
  </si>
  <si>
    <t>WDR83</t>
  </si>
  <si>
    <t>FBXO21</t>
  </si>
  <si>
    <t>LETMD1</t>
  </si>
  <si>
    <t>TPM1</t>
  </si>
  <si>
    <t>EMC4</t>
  </si>
  <si>
    <t>TLE3</t>
  </si>
  <si>
    <t>IDH3A</t>
  </si>
  <si>
    <t>POU2F1</t>
  </si>
  <si>
    <t>GMPR2</t>
  </si>
  <si>
    <t>RPL28</t>
  </si>
  <si>
    <t>AKAP13</t>
  </si>
  <si>
    <t>SPPL2A</t>
  </si>
  <si>
    <t>SEC11A</t>
  </si>
  <si>
    <t>AKR7A2</t>
  </si>
  <si>
    <t>TMEM63B</t>
  </si>
  <si>
    <t>SWI5</t>
  </si>
  <si>
    <t>DBNDD1</t>
  </si>
  <si>
    <t>DDX17</t>
  </si>
  <si>
    <t>NUB1</t>
  </si>
  <si>
    <t>ARPP19</t>
  </si>
  <si>
    <t>SPNS1</t>
  </si>
  <si>
    <t>C15orf39</t>
  </si>
  <si>
    <t>RNPS1</t>
  </si>
  <si>
    <t>C17orf103</t>
  </si>
  <si>
    <t>SLC38A7</t>
  </si>
  <si>
    <t>KIAA0513</t>
  </si>
  <si>
    <t>INO80E</t>
  </si>
  <si>
    <t>HEXA</t>
  </si>
  <si>
    <t>UBE2I</t>
  </si>
  <si>
    <t>RPGRIP1L</t>
  </si>
  <si>
    <t>HAGH</t>
  </si>
  <si>
    <t>CLN3</t>
  </si>
  <si>
    <t>NDRG4</t>
  </si>
  <si>
    <t>SNX33</t>
  </si>
  <si>
    <t>OBSCN</t>
  </si>
  <si>
    <t>hCG_2044799</t>
  </si>
  <si>
    <t>TERF2</t>
  </si>
  <si>
    <t>DCTN5</t>
  </si>
  <si>
    <t>KIF22</t>
  </si>
  <si>
    <t>ZNRF1</t>
  </si>
  <si>
    <t>GFER</t>
  </si>
  <si>
    <t>ZFYVE19</t>
  </si>
  <si>
    <t>UBFD1</t>
  </si>
  <si>
    <t>NFATC3</t>
  </si>
  <si>
    <t>FAM219B</t>
  </si>
  <si>
    <t>EIF3C</t>
  </si>
  <si>
    <t>ZNF768</t>
  </si>
  <si>
    <t>TMEM178B</t>
  </si>
  <si>
    <t>CIRH1A</t>
  </si>
  <si>
    <t>GABARAPL2</t>
  </si>
  <si>
    <t>CTU2</t>
  </si>
  <si>
    <t>FEM1B</t>
  </si>
  <si>
    <t>MAP1LC3B</t>
  </si>
  <si>
    <t>RNF166</t>
  </si>
  <si>
    <t>CDR2</t>
  </si>
  <si>
    <t>ARL2BP</t>
  </si>
  <si>
    <t>PPCDC</t>
  </si>
  <si>
    <t>ATXN2L</t>
  </si>
  <si>
    <t>OGFOD1</t>
  </si>
  <si>
    <t>UBL7</t>
  </si>
  <si>
    <t>GCA</t>
  </si>
  <si>
    <t>SMPD4</t>
  </si>
  <si>
    <t>EFR3B</t>
  </si>
  <si>
    <t>PPP6R3</t>
  </si>
  <si>
    <t>METTL21A</t>
  </si>
  <si>
    <t>ERGIC3</t>
  </si>
  <si>
    <t>BET1L</t>
  </si>
  <si>
    <t>MPC1</t>
  </si>
  <si>
    <t>TSPAN14</t>
  </si>
  <si>
    <t>PCMT1</t>
  </si>
  <si>
    <t>INTS9</t>
  </si>
  <si>
    <t>CSNK1D</t>
  </si>
  <si>
    <t>PSTK</t>
  </si>
  <si>
    <t>R3HDM2</t>
  </si>
  <si>
    <t>NHEJ1</t>
  </si>
  <si>
    <t>RTN4R</t>
  </si>
  <si>
    <t>IQSEC1</t>
  </si>
  <si>
    <t>FBXL19</t>
  </si>
  <si>
    <t>MZT2B</t>
  </si>
  <si>
    <t>USP4</t>
  </si>
  <si>
    <t>AP1S1</t>
  </si>
  <si>
    <t>UHRF1BP1</t>
  </si>
  <si>
    <t>CC2D1B</t>
  </si>
  <si>
    <t>APOO</t>
  </si>
  <si>
    <t>TATDN2</t>
  </si>
  <si>
    <t>CTDSP1</t>
  </si>
  <si>
    <t>SDK2</t>
  </si>
  <si>
    <t>SNAP47</t>
  </si>
  <si>
    <t>FAM134A</t>
  </si>
  <si>
    <t>CMC1</t>
  </si>
  <si>
    <t>DPY19L1</t>
  </si>
  <si>
    <t>GNS</t>
  </si>
  <si>
    <t>ARV1</t>
  </si>
  <si>
    <t>HEG1</t>
  </si>
  <si>
    <t>TMEM222</t>
  </si>
  <si>
    <t>CCDC58</t>
  </si>
  <si>
    <t>IAH1</t>
  </si>
  <si>
    <t>C3orf52</t>
  </si>
  <si>
    <t>PRC1</t>
  </si>
  <si>
    <t>PWWP2B</t>
  </si>
  <si>
    <t>MICU1</t>
  </si>
  <si>
    <t>GABPB1</t>
  </si>
  <si>
    <t>WASH6P</t>
  </si>
  <si>
    <t>SMG1</t>
  </si>
  <si>
    <t>GOSR2</t>
  </si>
  <si>
    <t>RNF167</t>
  </si>
  <si>
    <t>NSF</t>
  </si>
  <si>
    <t>DPH1</t>
  </si>
  <si>
    <t>SLC25A11</t>
  </si>
  <si>
    <t>CLUH</t>
  </si>
  <si>
    <t>GEMIN4</t>
  </si>
  <si>
    <t>FAM195B</t>
  </si>
  <si>
    <t>DVL2</t>
  </si>
  <si>
    <t>PELP1</t>
  </si>
  <si>
    <t>ATPAF1</t>
  </si>
  <si>
    <t>MYL4</t>
  </si>
  <si>
    <t>ELMO3</t>
  </si>
  <si>
    <t>NFKBIB</t>
  </si>
  <si>
    <t>ANK2</t>
  </si>
  <si>
    <t>FABP5</t>
  </si>
  <si>
    <t>CACTIN</t>
  </si>
  <si>
    <t>NPC2</t>
  </si>
  <si>
    <t>INTS2</t>
  </si>
  <si>
    <t>DPF2</t>
  </si>
  <si>
    <t>LDLR</t>
  </si>
  <si>
    <t>PI4KA</t>
  </si>
  <si>
    <t>KIAA0368</t>
  </si>
  <si>
    <t>FBRSL1</t>
  </si>
  <si>
    <t>PSMD9</t>
  </si>
  <si>
    <t>OBSL1</t>
  </si>
  <si>
    <t>BNIP2</t>
  </si>
  <si>
    <t>TOR1AIP1</t>
  </si>
  <si>
    <t>NCEH1</t>
  </si>
  <si>
    <t>OXA1L</t>
  </si>
  <si>
    <t>GTF2A1</t>
  </si>
  <si>
    <t>CCS</t>
  </si>
  <si>
    <t>COG4</t>
  </si>
  <si>
    <t>CHID1</t>
  </si>
  <si>
    <t>SEC16A</t>
  </si>
  <si>
    <t>ZFYVE1</t>
  </si>
  <si>
    <t>PHKG2</t>
  </si>
  <si>
    <t>DDX41</t>
  </si>
  <si>
    <t>BRAP</t>
  </si>
  <si>
    <t>ZFP1</t>
  </si>
  <si>
    <t>MARK3</t>
  </si>
  <si>
    <t>ALDH6A1</t>
  </si>
  <si>
    <t>FHL2</t>
  </si>
  <si>
    <t>SRSF2</t>
  </si>
  <si>
    <t>PTPRA</t>
  </si>
  <si>
    <t>NUP98</t>
  </si>
  <si>
    <t>DNTTIP2</t>
  </si>
  <si>
    <t>ETNK2</t>
  </si>
  <si>
    <t>PHACTR2</t>
  </si>
  <si>
    <t>HS6ST2</t>
  </si>
  <si>
    <t>KIF3A</t>
  </si>
  <si>
    <t>HDAC7</t>
  </si>
  <si>
    <t>CAMKK1</t>
  </si>
  <si>
    <t>SYNJ1</t>
  </si>
  <si>
    <t>TESC</t>
  </si>
  <si>
    <t>LUC7L3</t>
  </si>
  <si>
    <t>ARRB1</t>
  </si>
  <si>
    <t>DNAJB12</t>
  </si>
  <si>
    <t>TRABD</t>
  </si>
  <si>
    <t>MPST</t>
  </si>
  <si>
    <t>HDAC2</t>
  </si>
  <si>
    <t>ANTXR2</t>
  </si>
  <si>
    <t>RFXANK</t>
  </si>
  <si>
    <t>OLA1</t>
  </si>
  <si>
    <t>PTRH2</t>
  </si>
  <si>
    <t>C6orf203</t>
  </si>
  <si>
    <t>THUMPD1</t>
  </si>
  <si>
    <t>GTF2H2</t>
  </si>
  <si>
    <t>SUN2</t>
  </si>
  <si>
    <t>RAN</t>
  </si>
  <si>
    <t>GBA</t>
  </si>
  <si>
    <t>SUMF2</t>
  </si>
  <si>
    <t>APOL2</t>
  </si>
  <si>
    <t>AP1G1</t>
  </si>
  <si>
    <t>CCDC12</t>
  </si>
  <si>
    <t>TBCD</t>
  </si>
  <si>
    <t>C16orf55</t>
  </si>
  <si>
    <t>GSDMA</t>
  </si>
  <si>
    <t>MAP3K3</t>
  </si>
  <si>
    <t>PIGL</t>
  </si>
  <si>
    <t>CBX1</t>
  </si>
  <si>
    <t>TMEM199</t>
  </si>
  <si>
    <t>BLMH</t>
  </si>
  <si>
    <t>AMZ2</t>
  </si>
  <si>
    <t>FBXL20</t>
  </si>
  <si>
    <t>AURKB</t>
  </si>
  <si>
    <t>SRSF1</t>
  </si>
  <si>
    <t>CHERP</t>
  </si>
  <si>
    <t>ALDOC</t>
  </si>
  <si>
    <t>PSMB3</t>
  </si>
  <si>
    <t>SMARCE1</t>
  </si>
  <si>
    <t>SCO1</t>
  </si>
  <si>
    <t>SCRN2</t>
  </si>
  <si>
    <t>SLC39A11</t>
  </si>
  <si>
    <t>FLOT2</t>
  </si>
  <si>
    <t>MRPS23</t>
  </si>
  <si>
    <t>MRPS7</t>
  </si>
  <si>
    <t>ZFHX4</t>
  </si>
  <si>
    <t>SAP30BP</t>
  </si>
  <si>
    <t>RPL17</t>
  </si>
  <si>
    <t>FDXR</t>
  </si>
  <si>
    <t>MSL1</t>
  </si>
  <si>
    <t>YTHDC1</t>
  </si>
  <si>
    <t>RPL19</t>
  </si>
  <si>
    <t>ALDH3A2</t>
  </si>
  <si>
    <t>ORMDL3</t>
  </si>
  <si>
    <t>MYL12A</t>
  </si>
  <si>
    <t>ZNF207</t>
  </si>
  <si>
    <t>VAMP2</t>
  </si>
  <si>
    <t>HELZ</t>
  </si>
  <si>
    <t>CDK12</t>
  </si>
  <si>
    <t>KIAA1549</t>
  </si>
  <si>
    <t>COPS7B</t>
  </si>
  <si>
    <t>CHCHD6</t>
  </si>
  <si>
    <t>DST</t>
  </si>
  <si>
    <t>LMNB2</t>
  </si>
  <si>
    <t>PITPNC1</t>
  </si>
  <si>
    <t>TMCO1</t>
  </si>
  <si>
    <t>ARSG</t>
  </si>
  <si>
    <t>RWDD4</t>
  </si>
  <si>
    <t>CUL4B</t>
  </si>
  <si>
    <t>MBD3</t>
  </si>
  <si>
    <t>EML2</t>
  </si>
  <si>
    <t>YIPF2</t>
  </si>
  <si>
    <t>TUBG1</t>
  </si>
  <si>
    <t>SMAD4</t>
  </si>
  <si>
    <t>SEC14L1</t>
  </si>
  <si>
    <t>RPS15</t>
  </si>
  <si>
    <t>SPC24</t>
  </si>
  <si>
    <t>AP1M1</t>
  </si>
  <si>
    <t>SEC11C</t>
  </si>
  <si>
    <t>H3F3B</t>
  </si>
  <si>
    <t>LONP1</t>
  </si>
  <si>
    <t>MRPL4</t>
  </si>
  <si>
    <t>POLRMT</t>
  </si>
  <si>
    <t>TMUB2</t>
  </si>
  <si>
    <t>LINC00493</t>
  </si>
  <si>
    <t>CDC37</t>
  </si>
  <si>
    <t>PPP1R12C</t>
  </si>
  <si>
    <t>PRKCSH</t>
  </si>
  <si>
    <t>STX10</t>
  </si>
  <si>
    <t>KATNAL2</t>
  </si>
  <si>
    <t>TMEM205</t>
  </si>
  <si>
    <t>ACTG1</t>
  </si>
  <si>
    <t>ELOF1</t>
  </si>
  <si>
    <t>R3HDM4</t>
  </si>
  <si>
    <t>hCG_2039718</t>
  </si>
  <si>
    <t>NARS</t>
  </si>
  <si>
    <t>C18orf8</t>
  </si>
  <si>
    <t>ATP5SL</t>
  </si>
  <si>
    <t>UBXN6</t>
  </si>
  <si>
    <t>TMEM161A</t>
  </si>
  <si>
    <t>NDUFA11</t>
  </si>
  <si>
    <t>QPCTL</t>
  </si>
  <si>
    <t>AES</t>
  </si>
  <si>
    <t>USP32</t>
  </si>
  <si>
    <t>TPM4</t>
  </si>
  <si>
    <t>FARSA</t>
  </si>
  <si>
    <t>EIF3K</t>
  </si>
  <si>
    <t>DTNA</t>
  </si>
  <si>
    <t>YIF1B</t>
  </si>
  <si>
    <t>TK1</t>
  </si>
  <si>
    <t>UBE2O</t>
  </si>
  <si>
    <t>ATF7</t>
  </si>
  <si>
    <t>RAD23A</t>
  </si>
  <si>
    <t>G6PC3</t>
  </si>
  <si>
    <t>DNM2</t>
  </si>
  <si>
    <t>TXNL4A</t>
  </si>
  <si>
    <t>DCAKD</t>
  </si>
  <si>
    <t>SARS2</t>
  </si>
  <si>
    <t>BABAM1</t>
  </si>
  <si>
    <t>WIZ</t>
  </si>
  <si>
    <t>COPE</t>
  </si>
  <si>
    <t>ETHE1</t>
  </si>
  <si>
    <t>MCOLN1</t>
  </si>
  <si>
    <t>NUP62</t>
  </si>
  <si>
    <t>USF2</t>
  </si>
  <si>
    <t>ZNF428</t>
  </si>
  <si>
    <t>KXD1</t>
  </si>
  <si>
    <t>PIH1D1</t>
  </si>
  <si>
    <t>PNKP</t>
  </si>
  <si>
    <t>TUBB4A</t>
  </si>
  <si>
    <t>RPL13A</t>
  </si>
  <si>
    <t>USE1</t>
  </si>
  <si>
    <t>GRAMD1A</t>
  </si>
  <si>
    <t>C19orf44</t>
  </si>
  <si>
    <t>JOSD2</t>
  </si>
  <si>
    <t>HNRNPM</t>
  </si>
  <si>
    <t>ZNF737</t>
  </si>
  <si>
    <t>PRKD2</t>
  </si>
  <si>
    <t>SPHK2</t>
  </si>
  <si>
    <t>RPS5</t>
  </si>
  <si>
    <t>PLEKHA4</t>
  </si>
  <si>
    <t>RPL18A</t>
  </si>
  <si>
    <t>MRPL34</t>
  </si>
  <si>
    <t>FBL</t>
  </si>
  <si>
    <t>POLD1</t>
  </si>
  <si>
    <t>LRRC4B</t>
  </si>
  <si>
    <t>RABAC1</t>
  </si>
  <si>
    <t>AGPS</t>
  </si>
  <si>
    <t>UBXN8</t>
  </si>
  <si>
    <t>KIF2A</t>
  </si>
  <si>
    <t>DDX39A</t>
  </si>
  <si>
    <t>PDLIM1</t>
  </si>
  <si>
    <t>ACOT7</t>
  </si>
  <si>
    <t>MYO1C</t>
  </si>
  <si>
    <t>SNAP23</t>
  </si>
  <si>
    <t>HAX1</t>
  </si>
  <si>
    <t>AIP</t>
  </si>
  <si>
    <t>GTPBP1</t>
  </si>
  <si>
    <t>STXBP3</t>
  </si>
  <si>
    <t>SMAP</t>
  </si>
  <si>
    <t>APBB1</t>
  </si>
  <si>
    <t>NDUFS8</t>
  </si>
  <si>
    <t>NFKBIE</t>
  </si>
  <si>
    <t>PSMD11</t>
  </si>
  <si>
    <t>PSMD12</t>
  </si>
  <si>
    <t>ATOX1</t>
  </si>
  <si>
    <t>PGRMC1</t>
  </si>
  <si>
    <t>SUPT5H</t>
  </si>
  <si>
    <t>DFFA</t>
  </si>
  <si>
    <t>RFXAP</t>
  </si>
  <si>
    <t>HIP1</t>
  </si>
  <si>
    <t>CLIC1</t>
  </si>
  <si>
    <t>PDHX</t>
  </si>
  <si>
    <t>DCTN6</t>
  </si>
  <si>
    <t>SLC33A1</t>
  </si>
  <si>
    <t>WASL</t>
  </si>
  <si>
    <t>IPO5</t>
  </si>
  <si>
    <t>EEF2K</t>
  </si>
  <si>
    <t>IGF2BP3</t>
  </si>
  <si>
    <t>DNM1L</t>
  </si>
  <si>
    <t>RTCA</t>
  </si>
  <si>
    <t>GFRA2</t>
  </si>
  <si>
    <t>PIK3R2</t>
  </si>
  <si>
    <t>GOLIM4</t>
  </si>
  <si>
    <t>HMGN4</t>
  </si>
  <si>
    <t>NDUFA4</t>
  </si>
  <si>
    <t>PSMD14</t>
  </si>
  <si>
    <t>KPNA3</t>
  </si>
  <si>
    <t>STK25</t>
  </si>
  <si>
    <t>BCL9</t>
  </si>
  <si>
    <t>SDCBP</t>
  </si>
  <si>
    <t>MPHOSPH10</t>
  </si>
  <si>
    <t>NOP56</t>
  </si>
  <si>
    <t>DDX3X</t>
  </si>
  <si>
    <t>PIR</t>
  </si>
  <si>
    <t>KPNA4</t>
  </si>
  <si>
    <t>TRIM38</t>
  </si>
  <si>
    <t>E2F3</t>
  </si>
  <si>
    <t>PPP6C</t>
  </si>
  <si>
    <t>MAN2B1</t>
  </si>
  <si>
    <t>UBE2C</t>
  </si>
  <si>
    <t>PDXK</t>
  </si>
  <si>
    <t>SCD</t>
  </si>
  <si>
    <t>ARID1A</t>
  </si>
  <si>
    <t>CDK2AP1</t>
  </si>
  <si>
    <t>C2CD2L</t>
  </si>
  <si>
    <t>TMEM194A</t>
  </si>
  <si>
    <t>DPYSL4</t>
  </si>
  <si>
    <t>TRAFD1</t>
  </si>
  <si>
    <t>COX7A2L</t>
  </si>
  <si>
    <t>CIT</t>
  </si>
  <si>
    <t>CDC42EP2</t>
  </si>
  <si>
    <t>AP3D1</t>
  </si>
  <si>
    <t>TOR1A</t>
  </si>
  <si>
    <t>TOR1B</t>
  </si>
  <si>
    <t>ADAM10</t>
  </si>
  <si>
    <t>MLL2</t>
  </si>
  <si>
    <t>IMPA2</t>
  </si>
  <si>
    <t>MAP2K7</t>
  </si>
  <si>
    <t>ACOT8</t>
  </si>
  <si>
    <t>PDCD5</t>
  </si>
  <si>
    <t>PRMT5</t>
  </si>
  <si>
    <t>SLC9A3R1</t>
  </si>
  <si>
    <t>CHEK1</t>
  </si>
  <si>
    <t>TNFRSF10B</t>
  </si>
  <si>
    <t>FPGT</t>
  </si>
  <si>
    <t>TPP1</t>
  </si>
  <si>
    <t>TCERG1</t>
  </si>
  <si>
    <t>NDC80</t>
  </si>
  <si>
    <t>TNPO2</t>
  </si>
  <si>
    <t>CPLX1</t>
  </si>
  <si>
    <t>PSMA7</t>
  </si>
  <si>
    <t>SCAMP3</t>
  </si>
  <si>
    <t>BACH1</t>
  </si>
  <si>
    <t>GEMIN2</t>
  </si>
  <si>
    <t>GIPC1</t>
  </si>
  <si>
    <t>IKBKB</t>
  </si>
  <si>
    <t>TIMM23</t>
  </si>
  <si>
    <t>HAT1</t>
  </si>
  <si>
    <t>CASK</t>
  </si>
  <si>
    <t>HGS</t>
  </si>
  <si>
    <t>AURKA</t>
  </si>
  <si>
    <t>CLGN</t>
  </si>
  <si>
    <t>PPP1R12A</t>
  </si>
  <si>
    <t>GAK</t>
  </si>
  <si>
    <t>HNRPDL</t>
  </si>
  <si>
    <t>XPO1</t>
  </si>
  <si>
    <t>BTAF1</t>
  </si>
  <si>
    <t>ARHGEF10</t>
  </si>
  <si>
    <t>ZNF609</t>
  </si>
  <si>
    <t>SPTBN2</t>
  </si>
  <si>
    <t>PLXNB2</t>
  </si>
  <si>
    <t>KHNYN</t>
  </si>
  <si>
    <t>SETD1A</t>
  </si>
  <si>
    <t>KIAA0355</t>
  </si>
  <si>
    <t>KIF3B</t>
  </si>
  <si>
    <t>PFAS</t>
  </si>
  <si>
    <t>KIAA0391</t>
  </si>
  <si>
    <t>CHUK</t>
  </si>
  <si>
    <t>LSM1</t>
  </si>
  <si>
    <t>NPC1</t>
  </si>
  <si>
    <t>AGPAT2</t>
  </si>
  <si>
    <t>DEGS1</t>
  </si>
  <si>
    <t>SCAMP1</t>
  </si>
  <si>
    <t>SCAMP2</t>
  </si>
  <si>
    <t>ARPC1B</t>
  </si>
  <si>
    <t>ARPC2</t>
  </si>
  <si>
    <t>ARPC3</t>
  </si>
  <si>
    <t>BET1</t>
  </si>
  <si>
    <t>POLR1C</t>
  </si>
  <si>
    <t>TRIM24</t>
  </si>
  <si>
    <t>AXIN1</t>
  </si>
  <si>
    <t>PGRMC2</t>
  </si>
  <si>
    <t>PFDN6</t>
  </si>
  <si>
    <t>GNPAT</t>
  </si>
  <si>
    <t>CASC3</t>
  </si>
  <si>
    <t>RER1</t>
  </si>
  <si>
    <t>SPTLC1</t>
  </si>
  <si>
    <t>SPTLC2</t>
  </si>
  <si>
    <t>OGT</t>
  </si>
  <si>
    <t>PMM2</t>
  </si>
  <si>
    <t>MID1</t>
  </si>
  <si>
    <t>HMGB3</t>
  </si>
  <si>
    <t>PPM1G</t>
  </si>
  <si>
    <t>INPPL1</t>
  </si>
  <si>
    <t>IPO8</t>
  </si>
  <si>
    <t>STX7</t>
  </si>
  <si>
    <t>SLC31A1</t>
  </si>
  <si>
    <t>ABCC4</t>
  </si>
  <si>
    <t>CD3EAP</t>
  </si>
  <si>
    <t>P4HA2</t>
  </si>
  <si>
    <t>ARPC5</t>
  </si>
  <si>
    <t>RNF113A</t>
  </si>
  <si>
    <t>DHX15</t>
  </si>
  <si>
    <t>RNMT</t>
  </si>
  <si>
    <t>ASAP2</t>
  </si>
  <si>
    <t>FLRT2</t>
  </si>
  <si>
    <t>PJA2</t>
  </si>
  <si>
    <t>PRPF4</t>
  </si>
  <si>
    <t>PHGDH</t>
  </si>
  <si>
    <t>PSMD3</t>
  </si>
  <si>
    <t>RBFOX2</t>
  </si>
  <si>
    <t>PAPSS1</t>
  </si>
  <si>
    <t>ZNHIT1</t>
  </si>
  <si>
    <t>ZW10</t>
  </si>
  <si>
    <t>SART1</t>
  </si>
  <si>
    <t>AP5Z1</t>
  </si>
  <si>
    <t>HSPA12A</t>
  </si>
  <si>
    <t>CTIF</t>
  </si>
  <si>
    <t>PPIP5K2</t>
  </si>
  <si>
    <t>MAP3K7</t>
  </si>
  <si>
    <t>RIPK2</t>
  </si>
  <si>
    <t>WDR62</t>
  </si>
  <si>
    <t>HNRNPR</t>
  </si>
  <si>
    <t>PRPF3</t>
  </si>
  <si>
    <t>TXNL1</t>
  </si>
  <si>
    <t>TPD52L2</t>
  </si>
  <si>
    <t>EMC8</t>
  </si>
  <si>
    <t>PPIH</t>
  </si>
  <si>
    <t>HTRA2</t>
  </si>
  <si>
    <t>KLF4</t>
  </si>
  <si>
    <t>OIP5</t>
  </si>
  <si>
    <t>EPB41L2</t>
  </si>
  <si>
    <t>TGOLN2</t>
  </si>
  <si>
    <t>RAD51C</t>
  </si>
  <si>
    <t>B3GNT1</t>
  </si>
  <si>
    <t>MED7</t>
  </si>
  <si>
    <t>WIPF1</t>
  </si>
  <si>
    <t>BCL2L11</t>
  </si>
  <si>
    <t>FOXO3</t>
  </si>
  <si>
    <t>RNF13</t>
  </si>
  <si>
    <t>DENR</t>
  </si>
  <si>
    <t>XPOT</t>
  </si>
  <si>
    <t>TIMM44</t>
  </si>
  <si>
    <t>TRAPPC3</t>
  </si>
  <si>
    <t>CHMP2A</t>
  </si>
  <si>
    <t>NCK2</t>
  </si>
  <si>
    <t>TSPAN6</t>
  </si>
  <si>
    <t>RGS10</t>
  </si>
  <si>
    <t>NDUFB3</t>
  </si>
  <si>
    <t>NDUFC1</t>
  </si>
  <si>
    <t>NDUFA2</t>
  </si>
  <si>
    <t>ASNA1</t>
  </si>
  <si>
    <t>BUB3</t>
  </si>
  <si>
    <t>ACTN4</t>
  </si>
  <si>
    <t>WBSCR22</t>
  </si>
  <si>
    <t>TRIAP1</t>
  </si>
  <si>
    <t>HTATSF1</t>
  </si>
  <si>
    <t>STX6</t>
  </si>
  <si>
    <t>SGTA</t>
  </si>
  <si>
    <t>LIAS</t>
  </si>
  <si>
    <t>ENSA</t>
  </si>
  <si>
    <t>SLC25A20</t>
  </si>
  <si>
    <t>SSNA1</t>
  </si>
  <si>
    <t>NUDT21</t>
  </si>
  <si>
    <t>LANCL1</t>
  </si>
  <si>
    <t>STRN</t>
  </si>
  <si>
    <t>RRP9</t>
  </si>
  <si>
    <t>SCO2</t>
  </si>
  <si>
    <t>HYAL3</t>
  </si>
  <si>
    <t>AKAP8</t>
  </si>
  <si>
    <t>SLC37A4</t>
  </si>
  <si>
    <t>ZBTB14</t>
  </si>
  <si>
    <t>IDH3B</t>
  </si>
  <si>
    <t>CALU</t>
  </si>
  <si>
    <t>AHCYL1</t>
  </si>
  <si>
    <t>KIF1C</t>
  </si>
  <si>
    <t>ORC5</t>
  </si>
  <si>
    <t>NDUFS5</t>
  </si>
  <si>
    <t>ORC4</t>
  </si>
  <si>
    <t>PEX1</t>
  </si>
  <si>
    <t>RAD21</t>
  </si>
  <si>
    <t>TIMM8A</t>
  </si>
  <si>
    <t>DHX16</t>
  </si>
  <si>
    <t>SH3BP5</t>
  </si>
  <si>
    <t>PRPSAP2</t>
  </si>
  <si>
    <t>GNG7</t>
  </si>
  <si>
    <t>SMARCA5</t>
  </si>
  <si>
    <t>SPAG9</t>
  </si>
  <si>
    <t>SUSD5</t>
  </si>
  <si>
    <t>KIF5C</t>
  </si>
  <si>
    <t>KIF1B</t>
  </si>
  <si>
    <t>TBC1D4</t>
  </si>
  <si>
    <t>ECE2</t>
  </si>
  <si>
    <t>TBC1D12</t>
  </si>
  <si>
    <t>FADS1</t>
  </si>
  <si>
    <t>DFNA5</t>
  </si>
  <si>
    <t>LY75</t>
  </si>
  <si>
    <t>MAN1A2</t>
  </si>
  <si>
    <t>ACSL4</t>
  </si>
  <si>
    <t>SNX3</t>
  </si>
  <si>
    <t>MGEA5</t>
  </si>
  <si>
    <t>SORBS3</t>
  </si>
  <si>
    <t>SYNCRIP</t>
  </si>
  <si>
    <t>NEMF</t>
  </si>
  <si>
    <t>GMDS</t>
  </si>
  <si>
    <t>CCNT1</t>
  </si>
  <si>
    <t>BUB1B</t>
  </si>
  <si>
    <t>PLOD3</t>
  </si>
  <si>
    <t>SEP15</t>
  </si>
  <si>
    <t>EXOC3</t>
  </si>
  <si>
    <t>PLIN3</t>
  </si>
  <si>
    <t>RAD1</t>
  </si>
  <si>
    <t>PRMT3</t>
  </si>
  <si>
    <t>UGDH</t>
  </si>
  <si>
    <t>TPST2</t>
  </si>
  <si>
    <t>CTNND1</t>
  </si>
  <si>
    <t>ICMT</t>
  </si>
  <si>
    <t>USO1</t>
  </si>
  <si>
    <t>CCDC22</t>
  </si>
  <si>
    <t>PQBP1</t>
  </si>
  <si>
    <t>TIMM17B</t>
  </si>
  <si>
    <t>PRAF2</t>
  </si>
  <si>
    <t>DKC1</t>
  </si>
  <si>
    <t>EIF5B</t>
  </si>
  <si>
    <t>EDF1</t>
  </si>
  <si>
    <t>KIN</t>
  </si>
  <si>
    <t>DNAJA2</t>
  </si>
  <si>
    <t>BRD4</t>
  </si>
  <si>
    <t>CUTA</t>
  </si>
  <si>
    <t>SMPD2</t>
  </si>
  <si>
    <t>PFDN1</t>
  </si>
  <si>
    <t>PPP1R11</t>
  </si>
  <si>
    <t>NBN</t>
  </si>
  <si>
    <t>RNGTT</t>
  </si>
  <si>
    <t>ABCB7</t>
  </si>
  <si>
    <t>SRGAP2</t>
  </si>
  <si>
    <t>PLXNA2</t>
  </si>
  <si>
    <t>IGSF3</t>
  </si>
  <si>
    <t>DNAJC6</t>
  </si>
  <si>
    <t>FAM20B</t>
  </si>
  <si>
    <t>WDR1</t>
  </si>
  <si>
    <t>FZD7</t>
  </si>
  <si>
    <t>ATP9A</t>
  </si>
  <si>
    <t>N4BP1</t>
  </si>
  <si>
    <t>ROCK2</t>
  </si>
  <si>
    <t>CPNE3</t>
  </si>
  <si>
    <t>ATG13</t>
  </si>
  <si>
    <t>HIP1R</t>
  </si>
  <si>
    <t>RNF40</t>
  </si>
  <si>
    <t>CAND2</t>
  </si>
  <si>
    <t>TSC22D2</t>
  </si>
  <si>
    <t>KDM4A</t>
  </si>
  <si>
    <t>PPP6R2</t>
  </si>
  <si>
    <t>CNOT3</t>
  </si>
  <si>
    <t>ANKRD17</t>
  </si>
  <si>
    <t>XYLB</t>
  </si>
  <si>
    <t>COQ9</t>
  </si>
  <si>
    <t>GGCT</t>
  </si>
  <si>
    <t>NDUFS2</t>
  </si>
  <si>
    <t>ZNF259</t>
  </si>
  <si>
    <t>GBAS</t>
  </si>
  <si>
    <t>HMMR</t>
  </si>
  <si>
    <t>PDCD6</t>
  </si>
  <si>
    <t>TBCA</t>
  </si>
  <si>
    <t>ATP6V1G1</t>
  </si>
  <si>
    <t>VPS4B</t>
  </si>
  <si>
    <t>SH3BGRL</t>
  </si>
  <si>
    <t>FLNB</t>
  </si>
  <si>
    <t>NCOR1</t>
  </si>
  <si>
    <t>VAMP4</t>
  </si>
  <si>
    <t>NDUFS6</t>
  </si>
  <si>
    <t>SLC43A1</t>
  </si>
  <si>
    <t>SPAG7</t>
  </si>
  <si>
    <t>SEC22B</t>
  </si>
  <si>
    <t>PRPF40A</t>
  </si>
  <si>
    <t>CDC45</t>
  </si>
  <si>
    <t>GIGYF1</t>
  </si>
  <si>
    <t>LRCH4</t>
  </si>
  <si>
    <t>VPS26A</t>
  </si>
  <si>
    <t>NDUFB1</t>
  </si>
  <si>
    <t>PMPCB</t>
  </si>
  <si>
    <t>KATNA1</t>
  </si>
  <si>
    <t>PSIP1</t>
  </si>
  <si>
    <t>NDUFS3</t>
  </si>
  <si>
    <t>HSBP1</t>
  </si>
  <si>
    <t>ECI2</t>
  </si>
  <si>
    <t>RBMXL2</t>
  </si>
  <si>
    <t>BANF1</t>
  </si>
  <si>
    <t>SF3B1</t>
  </si>
  <si>
    <t>CSDE1</t>
  </si>
  <si>
    <t>WBP4</t>
  </si>
  <si>
    <t>MTRF1</t>
  </si>
  <si>
    <t>RPS6KA5</t>
  </si>
  <si>
    <t>GCAT</t>
  </si>
  <si>
    <t>NPM3</t>
  </si>
  <si>
    <t>LYPLA1</t>
  </si>
  <si>
    <t>ERAL1</t>
  </si>
  <si>
    <t>CREG1</t>
  </si>
  <si>
    <t>TRMU</t>
  </si>
  <si>
    <t>TIPRL</t>
  </si>
  <si>
    <t>PPM1B</t>
  </si>
  <si>
    <t>ADAP1</t>
  </si>
  <si>
    <t>RP2</t>
  </si>
  <si>
    <t>WDHD1</t>
  </si>
  <si>
    <t>SLC25A12</t>
  </si>
  <si>
    <t>PALM</t>
  </si>
  <si>
    <t>RNASEH2A</t>
  </si>
  <si>
    <t>CDC123</t>
  </si>
  <si>
    <t>SOLH</t>
  </si>
  <si>
    <t>EIF3G</t>
  </si>
  <si>
    <t>EIF3J</t>
  </si>
  <si>
    <t>CBR3</t>
  </si>
  <si>
    <t>PSMD10</t>
  </si>
  <si>
    <t>ZMPSTE24</t>
  </si>
  <si>
    <t>IDH1</t>
  </si>
  <si>
    <t>ATRN</t>
  </si>
  <si>
    <t>RBBP9</t>
  </si>
  <si>
    <t>STAM2</t>
  </si>
  <si>
    <t>ARL6IP5</t>
  </si>
  <si>
    <t>PIAS2</t>
  </si>
  <si>
    <t>BCAS2</t>
  </si>
  <si>
    <t>DNAJC8</t>
  </si>
  <si>
    <t>SMNDC1</t>
  </si>
  <si>
    <t>ATP5H</t>
  </si>
  <si>
    <t>ATP5L</t>
  </si>
  <si>
    <t>CPD</t>
  </si>
  <si>
    <t>GLRX3</t>
  </si>
  <si>
    <t>WFS1</t>
  </si>
  <si>
    <t>CLPX</t>
  </si>
  <si>
    <t>NEBL</t>
  </si>
  <si>
    <t>SNCG</t>
  </si>
  <si>
    <t>CIAO1</t>
  </si>
  <si>
    <t>DFFB</t>
  </si>
  <si>
    <t>ZFAND5</t>
  </si>
  <si>
    <t>JTB</t>
  </si>
  <si>
    <t>DDAH1</t>
  </si>
  <si>
    <t>RECQL4</t>
  </si>
  <si>
    <t>URI1</t>
  </si>
  <si>
    <t>B3GAT3</t>
  </si>
  <si>
    <t>MTA2</t>
  </si>
  <si>
    <t>USP1</t>
  </si>
  <si>
    <t>ALDH1A2</t>
  </si>
  <si>
    <t>STK10</t>
  </si>
  <si>
    <t>TPPP</t>
  </si>
  <si>
    <t>KBTBD11</t>
  </si>
  <si>
    <t>LTN1</t>
  </si>
  <si>
    <t>TOMM70A</t>
  </si>
  <si>
    <t>IPO13</t>
  </si>
  <si>
    <t>DDHD2</t>
  </si>
  <si>
    <t>MYO1D</t>
  </si>
  <si>
    <t>MICAL2</t>
  </si>
  <si>
    <t>SEC24D</t>
  </si>
  <si>
    <t>SUPT7L</t>
  </si>
  <si>
    <t>UFL1</t>
  </si>
  <si>
    <t>PHF14</t>
  </si>
  <si>
    <t>SASH1</t>
  </si>
  <si>
    <t>UBXN7</t>
  </si>
  <si>
    <t>PROSC</t>
  </si>
  <si>
    <t>PCF11</t>
  </si>
  <si>
    <t>ENDOD1</t>
  </si>
  <si>
    <t>GLS</t>
  </si>
  <si>
    <t>HAUS5</t>
  </si>
  <si>
    <t>WDR47</t>
  </si>
  <si>
    <t>AP2A2</t>
  </si>
  <si>
    <t>HEXIM1</t>
  </si>
  <si>
    <t>DIRAS1</t>
  </si>
  <si>
    <t>CCNB2</t>
  </si>
  <si>
    <t>AGFG2</t>
  </si>
  <si>
    <t>SCAF4</t>
  </si>
  <si>
    <t>S1PR2</t>
  </si>
  <si>
    <t>NDUFB6</t>
  </si>
  <si>
    <t>MFN2</t>
  </si>
  <si>
    <t>UBE4B</t>
  </si>
  <si>
    <t>ZFPL1</t>
  </si>
  <si>
    <t>IKBKAP</t>
  </si>
  <si>
    <t>NDUFA3</t>
  </si>
  <si>
    <t>NDUFB4</t>
  </si>
  <si>
    <t>RTN3</t>
  </si>
  <si>
    <t>LETM1</t>
  </si>
  <si>
    <t>ZRANB2</t>
  </si>
  <si>
    <t>SNX4</t>
  </si>
  <si>
    <t>ZWINT</t>
  </si>
  <si>
    <t>KIF4A</t>
  </si>
  <si>
    <t>KAT7</t>
  </si>
  <si>
    <t>CCNDBP1</t>
  </si>
  <si>
    <t>VAPB</t>
  </si>
  <si>
    <t>SNAPIN</t>
  </si>
  <si>
    <t>MPZL1</t>
  </si>
  <si>
    <t>NDUFC2</t>
  </si>
  <si>
    <t>FKBP9</t>
  </si>
  <si>
    <t>PGLS</t>
  </si>
  <si>
    <t>SMC2</t>
  </si>
  <si>
    <t>ATG7</t>
  </si>
  <si>
    <t>FARS2</t>
  </si>
  <si>
    <t>LYPLA2</t>
  </si>
  <si>
    <t>IPO7</t>
  </si>
  <si>
    <t>ARIH2</t>
  </si>
  <si>
    <t>SLU7</t>
  </si>
  <si>
    <t>PGM3</t>
  </si>
  <si>
    <t>MOCS3</t>
  </si>
  <si>
    <t>CD2BP2</t>
  </si>
  <si>
    <t>ZFYVE9</t>
  </si>
  <si>
    <t>BAG4</t>
  </si>
  <si>
    <t>AHSA1</t>
  </si>
  <si>
    <t>PARN</t>
  </si>
  <si>
    <t>PSMG1</t>
  </si>
  <si>
    <t>SGPL1</t>
  </si>
  <si>
    <t>SEC24A</t>
  </si>
  <si>
    <t>SEC24B</t>
  </si>
  <si>
    <t>TDP2</t>
  </si>
  <si>
    <t>ACSL3</t>
  </si>
  <si>
    <t>PCNT</t>
  </si>
  <si>
    <t>DUS4L</t>
  </si>
  <si>
    <t>CNOT4</t>
  </si>
  <si>
    <t>STAMBP</t>
  </si>
  <si>
    <t>ASMTL</t>
  </si>
  <si>
    <t>FGFR1OP</t>
  </si>
  <si>
    <t>PPP1R3D</t>
  </si>
  <si>
    <t>RAB3D</t>
  </si>
  <si>
    <t>SNAP29</t>
  </si>
  <si>
    <t>OXSR1</t>
  </si>
  <si>
    <t>LDOC1</t>
  </si>
  <si>
    <t>RAB36</t>
  </si>
  <si>
    <t>PTBP3</t>
  </si>
  <si>
    <t>NAA38</t>
  </si>
  <si>
    <t>AP2A1</t>
  </si>
  <si>
    <t>BAG2</t>
  </si>
  <si>
    <t>BAG3</t>
  </si>
  <si>
    <t>MLYCD</t>
  </si>
  <si>
    <t>CRYZL1</t>
  </si>
  <si>
    <t>AIFM1</t>
  </si>
  <si>
    <t>LATS1</t>
  </si>
  <si>
    <t>TSPAN13</t>
  </si>
  <si>
    <t>DDAH2</t>
  </si>
  <si>
    <t>C6orf47</t>
  </si>
  <si>
    <t>TXNDC12</t>
  </si>
  <si>
    <t>ECD</t>
  </si>
  <si>
    <t>SYF2</t>
  </si>
  <si>
    <t>NUDT3</t>
  </si>
  <si>
    <t>PTTG1</t>
  </si>
  <si>
    <t>BCL10</t>
  </si>
  <si>
    <t>NDUFB10</t>
  </si>
  <si>
    <t>ZBED1</t>
  </si>
  <si>
    <t>MOCS2</t>
  </si>
  <si>
    <t>TOMM40</t>
  </si>
  <si>
    <t>PEX11B</t>
  </si>
  <si>
    <t>PAK4</t>
  </si>
  <si>
    <t>CHEK2</t>
  </si>
  <si>
    <t>APBA3</t>
  </si>
  <si>
    <t>ACTL6A</t>
  </si>
  <si>
    <t>CYB5A</t>
  </si>
  <si>
    <t>LDHA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</si>
  <si>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</si>
  <si>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</si>
  <si>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</si>
  <si>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</si>
  <si>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</si>
  <si>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</si>
  <si>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</si>
  <si>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</si>
  <si>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</si>
  <si>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ABL1</t>
  </si>
  <si>
    <t>PGK1</t>
  </si>
  <si>
    <t>ADA</t>
  </si>
  <si>
    <t>CA2</t>
  </si>
  <si>
    <t>CST3</t>
  </si>
  <si>
    <t>NRAS</t>
  </si>
  <si>
    <t>HRAS</t>
  </si>
  <si>
    <t>KRAS</t>
  </si>
  <si>
    <t>HLA-B</t>
  </si>
  <si>
    <t>HBZ</t>
  </si>
  <si>
    <t>HBE1</t>
  </si>
  <si>
    <t>LMNA</t>
  </si>
  <si>
    <t>TFRC</t>
  </si>
  <si>
    <t>FTH1</t>
  </si>
  <si>
    <t>MT2A</t>
  </si>
  <si>
    <t>MT-ATP8</t>
  </si>
  <si>
    <t>CAT</t>
  </si>
  <si>
    <t>FUCA1</t>
  </si>
  <si>
    <t>ALDOA</t>
  </si>
  <si>
    <t>CSTB</t>
  </si>
  <si>
    <t>ANXA1</t>
  </si>
  <si>
    <t>NR3C1</t>
  </si>
  <si>
    <t>OAT</t>
  </si>
  <si>
    <t>GAPDH</t>
  </si>
  <si>
    <t>ERBB2</t>
  </si>
  <si>
    <t>CAPNS1</t>
  </si>
  <si>
    <t>HSPB1</t>
  </si>
  <si>
    <t>TYMS</t>
  </si>
  <si>
    <t>RPN1</t>
  </si>
  <si>
    <t>RPN2</t>
  </si>
  <si>
    <t>GNAI2</t>
  </si>
  <si>
    <t>SLC4A2</t>
  </si>
  <si>
    <t>ATP1A1</t>
  </si>
  <si>
    <t>ALDH2</t>
  </si>
  <si>
    <t>SLC25A5</t>
  </si>
  <si>
    <t>EIF2S1</t>
  </si>
  <si>
    <t>HMGN2</t>
  </si>
  <si>
    <t>RPLP1</t>
  </si>
  <si>
    <t>RPLP2</t>
  </si>
  <si>
    <t>RPLP0</t>
  </si>
  <si>
    <t>JUN</t>
  </si>
  <si>
    <t>SSB</t>
  </si>
  <si>
    <t>ITGB1</t>
  </si>
  <si>
    <t>PRKCB</t>
  </si>
  <si>
    <t>KRT18</t>
  </si>
  <si>
    <t>UROD</t>
  </si>
  <si>
    <t>FYN</t>
  </si>
  <si>
    <t>GLA</t>
  </si>
  <si>
    <t>CDK1</t>
  </si>
  <si>
    <t>ATP5B</t>
  </si>
  <si>
    <t>ENO1</t>
  </si>
  <si>
    <t>PYGL</t>
  </si>
  <si>
    <t>GPI</t>
  </si>
  <si>
    <t>NPM1</t>
  </si>
  <si>
    <t>TPM3</t>
  </si>
  <si>
    <t>ITGAV</t>
  </si>
  <si>
    <t>EPHX1</t>
  </si>
  <si>
    <t>DBI</t>
  </si>
  <si>
    <t>LDHB</t>
  </si>
  <si>
    <t>NEFL</t>
  </si>
  <si>
    <t>GPX1</t>
  </si>
  <si>
    <t>PGK2</t>
  </si>
  <si>
    <t>P4HB</t>
  </si>
  <si>
    <t>CTSD</t>
  </si>
  <si>
    <t>ANXA2</t>
  </si>
  <si>
    <t>CAPN1</t>
  </si>
  <si>
    <t>HEXB</t>
  </si>
  <si>
    <t>CTSL1</t>
  </si>
  <si>
    <t>PFN1</t>
  </si>
  <si>
    <t>BPGM</t>
  </si>
  <si>
    <t>APRT</t>
  </si>
  <si>
    <t>EPRS</t>
  </si>
  <si>
    <t>CTSB</t>
  </si>
  <si>
    <t>HSP90AA1</t>
  </si>
  <si>
    <t>GALT</t>
  </si>
  <si>
    <t>UQCRH</t>
  </si>
  <si>
    <t>LYN</t>
  </si>
  <si>
    <t>FH</t>
  </si>
  <si>
    <t>ERCC1</t>
  </si>
  <si>
    <t>SP1</t>
  </si>
  <si>
    <t>HSPA1A</t>
  </si>
  <si>
    <t>PFKM</t>
  </si>
  <si>
    <t>HSP90AB1</t>
  </si>
  <si>
    <t>SRPR</t>
  </si>
  <si>
    <t>ASNS</t>
  </si>
  <si>
    <t>HMBS</t>
  </si>
  <si>
    <t>PDHA1</t>
  </si>
  <si>
    <t>CYC1</t>
  </si>
  <si>
    <t>MET</t>
  </si>
  <si>
    <t>MFI2</t>
  </si>
  <si>
    <t>SNRNP70</t>
  </si>
  <si>
    <t>ITGA5</t>
  </si>
  <si>
    <t>VIM</t>
  </si>
  <si>
    <t>GNAI3</t>
  </si>
  <si>
    <t>ANXA5</t>
  </si>
  <si>
    <t>ENO2</t>
  </si>
  <si>
    <t>ACAA1</t>
  </si>
  <si>
    <t>SRP19</t>
  </si>
  <si>
    <t>GSTP1</t>
  </si>
  <si>
    <t>SNRPC</t>
  </si>
  <si>
    <t>LGALS1</t>
  </si>
  <si>
    <t>QDPR</t>
  </si>
  <si>
    <t>HMGB1</t>
  </si>
  <si>
    <t>CLTA</t>
  </si>
  <si>
    <t>CLTB</t>
  </si>
  <si>
    <t>ANXA4</t>
  </si>
  <si>
    <t>CNP</t>
  </si>
  <si>
    <t>HMOX1</t>
  </si>
  <si>
    <t>DLD</t>
  </si>
  <si>
    <t>SNRPA1</t>
  </si>
  <si>
    <t>COX6C</t>
  </si>
  <si>
    <t>PARP1</t>
  </si>
  <si>
    <t>UCHL1</t>
  </si>
  <si>
    <t>LTA4H</t>
  </si>
  <si>
    <t>CISD3</t>
  </si>
  <si>
    <t>ATXN1L</t>
  </si>
  <si>
    <t>POLR2M</t>
  </si>
  <si>
    <t>CHTF8</t>
  </si>
  <si>
    <t>TMSB15B</t>
  </si>
  <si>
    <t>RPS17L</t>
  </si>
  <si>
    <t>SMIM13</t>
  </si>
  <si>
    <t>FDX1</t>
  </si>
  <si>
    <t>TROVE2</t>
  </si>
  <si>
    <t>COX8A</t>
  </si>
  <si>
    <t>GAA</t>
  </si>
  <si>
    <t>RRAS</t>
  </si>
  <si>
    <t>ARAF</t>
  </si>
  <si>
    <t>PTPRF</t>
  </si>
  <si>
    <t>NR2F6</t>
  </si>
  <si>
    <t>TXN</t>
  </si>
  <si>
    <t>COX5B</t>
  </si>
  <si>
    <t>CTSA</t>
  </si>
  <si>
    <t>MAPT</t>
  </si>
  <si>
    <t>PRKAR1A</t>
  </si>
  <si>
    <t>UROS</t>
  </si>
  <si>
    <t>ESD</t>
  </si>
  <si>
    <t>HSPD1</t>
  </si>
  <si>
    <t>CLU</t>
  </si>
  <si>
    <t>HSPA5</t>
  </si>
  <si>
    <t>LAMC1</t>
  </si>
  <si>
    <t>MAP2</t>
  </si>
  <si>
    <t>HSPA8</t>
  </si>
  <si>
    <t>SLC2A1</t>
  </si>
  <si>
    <t>EPB41</t>
  </si>
  <si>
    <t>UMPS</t>
  </si>
  <si>
    <t>PDHB</t>
  </si>
  <si>
    <t>PYGB</t>
  </si>
  <si>
    <t>RALA</t>
  </si>
  <si>
    <t>RALB</t>
  </si>
  <si>
    <t>BCR</t>
  </si>
  <si>
    <t>LAMP1</t>
  </si>
  <si>
    <t>TOP1</t>
  </si>
  <si>
    <t>G6PD</t>
  </si>
  <si>
    <t>UBL4A</t>
  </si>
  <si>
    <t>PC</t>
  </si>
  <si>
    <t>MTHFD1</t>
  </si>
  <si>
    <t>IGF2R</t>
  </si>
  <si>
    <t>ADH5</t>
  </si>
  <si>
    <t>CDK4</t>
  </si>
  <si>
    <t>PRPS2</t>
  </si>
  <si>
    <t>PABPC1</t>
  </si>
  <si>
    <t>PCNA</t>
  </si>
  <si>
    <t>HARS</t>
  </si>
  <si>
    <t>COL6A1</t>
  </si>
  <si>
    <t>SLC25A4</t>
  </si>
  <si>
    <t>SLC25A6</t>
  </si>
  <si>
    <t>TPR</t>
  </si>
  <si>
    <t>CKB</t>
  </si>
  <si>
    <t>ANXA3</t>
  </si>
  <si>
    <t>CKMT1A</t>
  </si>
  <si>
    <t>ACTN1</t>
  </si>
  <si>
    <t>MYH1</t>
  </si>
  <si>
    <t>SRC</t>
  </si>
  <si>
    <t>PEPD</t>
  </si>
  <si>
    <t>XRCC6</t>
  </si>
  <si>
    <t>XRCC5</t>
  </si>
  <si>
    <t>UNG</t>
  </si>
  <si>
    <t>NR2C1</t>
  </si>
  <si>
    <t>COX4I1</t>
  </si>
  <si>
    <t>ALAS1</t>
  </si>
  <si>
    <t>RNH1</t>
  </si>
  <si>
    <t>CYBA</t>
  </si>
  <si>
    <t>NCAM1</t>
  </si>
  <si>
    <t>ITGA4</t>
  </si>
  <si>
    <t>EEF2</t>
  </si>
  <si>
    <t>PDIA4</t>
  </si>
  <si>
    <t>P4HA1</t>
  </si>
  <si>
    <t>TPT1</t>
  </si>
  <si>
    <t>PLS3</t>
  </si>
  <si>
    <t>ETFA</t>
  </si>
  <si>
    <t>PRKAR2A</t>
  </si>
  <si>
    <t>GTF2F2</t>
  </si>
  <si>
    <t>MTHFD2</t>
  </si>
  <si>
    <t>MIF</t>
  </si>
  <si>
    <t>CD99</t>
  </si>
  <si>
    <t>FDPS</t>
  </si>
  <si>
    <t>AKR1A1</t>
  </si>
  <si>
    <t>PKM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</si>
  <si>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</si>
  <si>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</si>
  <si>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</si>
  <si>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</si>
  <si>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</si>
  <si>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</si>
  <si>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</si>
  <si>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</si>
  <si>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JUP</t>
  </si>
  <si>
    <t>UQCRB</t>
  </si>
  <si>
    <t>GLUL</t>
  </si>
  <si>
    <t>AKR1B1</t>
  </si>
  <si>
    <t>PVR</t>
  </si>
  <si>
    <t>GSPT1</t>
  </si>
  <si>
    <t>ARSA</t>
  </si>
  <si>
    <t>EZR</t>
  </si>
  <si>
    <t>UCHL3</t>
  </si>
  <si>
    <t>CD46</t>
  </si>
  <si>
    <t>NME1</t>
  </si>
  <si>
    <t>ARSB</t>
  </si>
  <si>
    <t>CHN1</t>
  </si>
  <si>
    <t>TCF3</t>
  </si>
  <si>
    <t>DSP</t>
  </si>
  <si>
    <t>RPA2</t>
  </si>
  <si>
    <t>TIMP2</t>
  </si>
  <si>
    <t>CBR1</t>
  </si>
  <si>
    <t>PPP3CB</t>
  </si>
  <si>
    <t>NCK1</t>
  </si>
  <si>
    <t>GCFC2</t>
  </si>
  <si>
    <t>HIST1H1C</t>
  </si>
  <si>
    <t>POR</t>
  </si>
  <si>
    <t>FER</t>
  </si>
  <si>
    <t>ATP2A2</t>
  </si>
  <si>
    <t>PLCG2</t>
  </si>
  <si>
    <t>FAH</t>
  </si>
  <si>
    <t>STMN1</t>
  </si>
  <si>
    <t>YBX3</t>
  </si>
  <si>
    <t>ZNF24</t>
  </si>
  <si>
    <t>NAGA</t>
  </si>
  <si>
    <t>HSPA6</t>
  </si>
  <si>
    <t>HMGA1</t>
  </si>
  <si>
    <t>TMEM11</t>
  </si>
  <si>
    <t>GOT1</t>
  </si>
  <si>
    <t>PRKCA</t>
  </si>
  <si>
    <t>HOXB9</t>
  </si>
  <si>
    <t>HOXB6</t>
  </si>
  <si>
    <t>NDUFB7</t>
  </si>
  <si>
    <t>PRKACA</t>
  </si>
  <si>
    <t>CAPN2</t>
  </si>
  <si>
    <t>GAP43</t>
  </si>
  <si>
    <t>PTPN2</t>
  </si>
  <si>
    <t>CTPS1</t>
  </si>
  <si>
    <t>PFKL</t>
  </si>
  <si>
    <t>TCP1</t>
  </si>
  <si>
    <t>PTPN1</t>
  </si>
  <si>
    <t>ITGB5</t>
  </si>
  <si>
    <t>RPL7</t>
  </si>
  <si>
    <t>VCL</t>
  </si>
  <si>
    <t>SON</t>
  </si>
  <si>
    <t>NELFE</t>
  </si>
  <si>
    <t>PGAM1</t>
  </si>
  <si>
    <t>RCC1</t>
  </si>
  <si>
    <t>ATF1</t>
  </si>
  <si>
    <t>LIG1</t>
  </si>
  <si>
    <t>ATP5J</t>
  </si>
  <si>
    <t>CDH2</t>
  </si>
  <si>
    <t>PLCG1</t>
  </si>
  <si>
    <t>NCL</t>
  </si>
  <si>
    <t>POLR2C</t>
  </si>
  <si>
    <t>POLR2E</t>
  </si>
  <si>
    <t>EIF2AK2</t>
  </si>
  <si>
    <t>SRM</t>
  </si>
  <si>
    <t>CSNK2A2</t>
  </si>
  <si>
    <t>NFKB1</t>
  </si>
  <si>
    <t>ATP2B1</t>
  </si>
  <si>
    <t>EIF2S2</t>
  </si>
  <si>
    <t>CCNA2</t>
  </si>
  <si>
    <t>BTF3</t>
  </si>
  <si>
    <t>RAB3A</t>
  </si>
  <si>
    <t>RAB4A</t>
  </si>
  <si>
    <t>RAB6A</t>
  </si>
  <si>
    <t>MSH3</t>
  </si>
  <si>
    <t>PSMB1</t>
  </si>
  <si>
    <t>M6PR</t>
  </si>
  <si>
    <t>COX5A</t>
  </si>
  <si>
    <t>LMNB1</t>
  </si>
  <si>
    <t>CAST</t>
  </si>
  <si>
    <t>PTMS</t>
  </si>
  <si>
    <t>GSTM3</t>
  </si>
  <si>
    <t>ATP6V1B2</t>
  </si>
  <si>
    <t>ATP6V1C1</t>
  </si>
  <si>
    <t>ACO1</t>
  </si>
  <si>
    <t>TNFAIP3</t>
  </si>
  <si>
    <t>VDAC1</t>
  </si>
  <si>
    <t>SDHB</t>
  </si>
  <si>
    <t>COMT</t>
  </si>
  <si>
    <t>MUT</t>
  </si>
  <si>
    <t>OSBP</t>
  </si>
  <si>
    <t>GART</t>
  </si>
  <si>
    <t>PAICS</t>
  </si>
  <si>
    <t>SCP2</t>
  </si>
  <si>
    <t>UBA1</t>
  </si>
  <si>
    <t>ENPP1</t>
  </si>
  <si>
    <t>GAL</t>
  </si>
  <si>
    <t>HNRNPA2B1</t>
  </si>
  <si>
    <t>RFX1</t>
  </si>
  <si>
    <t>CBL</t>
  </si>
  <si>
    <t>UQCRC2</t>
  </si>
  <si>
    <t>FECH</t>
  </si>
  <si>
    <t>XPA</t>
  </si>
  <si>
    <t>TCEA1</t>
  </si>
  <si>
    <t>SFPQ</t>
  </si>
  <si>
    <t>PPIB</t>
  </si>
  <si>
    <t>ME2</t>
  </si>
  <si>
    <t>GLDC</t>
  </si>
  <si>
    <t>WARS</t>
  </si>
  <si>
    <t>RPS3</t>
  </si>
  <si>
    <t>GCSH</t>
  </si>
  <si>
    <t>PTPRG</t>
  </si>
  <si>
    <t>SP100</t>
  </si>
  <si>
    <t>MCC</t>
  </si>
  <si>
    <t>NFYA</t>
  </si>
  <si>
    <t>AHCY</t>
  </si>
  <si>
    <t>HIST1H2BO</t>
  </si>
  <si>
    <t>CFL1</t>
  </si>
  <si>
    <t>EIF4B</t>
  </si>
  <si>
    <t>ATP2B4</t>
  </si>
  <si>
    <t>CPT2</t>
  </si>
  <si>
    <t>DTYMK</t>
  </si>
  <si>
    <t>RRM1</t>
  </si>
  <si>
    <t>EEF1B2</t>
  </si>
  <si>
    <t>ACP1</t>
  </si>
  <si>
    <t>ACAT1</t>
  </si>
  <si>
    <t>POLR2A</t>
  </si>
  <si>
    <t>APC</t>
  </si>
  <si>
    <t>ADRBK1</t>
  </si>
  <si>
    <t>MCM3</t>
  </si>
  <si>
    <t>RPS12</t>
  </si>
  <si>
    <t>FAS</t>
  </si>
  <si>
    <t>YY1</t>
  </si>
  <si>
    <t>DNAJB1</t>
  </si>
  <si>
    <t>ATP5A1</t>
  </si>
  <si>
    <t>PSMA1</t>
  </si>
  <si>
    <t>PSMA2</t>
  </si>
  <si>
    <t>PSMA3</t>
  </si>
  <si>
    <t>PSMA4</t>
  </si>
  <si>
    <t>S100P</t>
  </si>
  <si>
    <t>ITGA3</t>
  </si>
  <si>
    <t>MSN</t>
  </si>
  <si>
    <t>DDX6</t>
  </si>
  <si>
    <t>DNMT1</t>
  </si>
  <si>
    <t>U2AF2</t>
  </si>
  <si>
    <t>RPL13</t>
  </si>
  <si>
    <t>CHML</t>
  </si>
  <si>
    <t>IVD</t>
  </si>
  <si>
    <t>MGAT1</t>
  </si>
  <si>
    <t>HMGB2</t>
  </si>
  <si>
    <t>PTBP1</t>
  </si>
  <si>
    <t>TARS</t>
  </si>
  <si>
    <t>EEF1G</t>
  </si>
  <si>
    <t>FKBP2</t>
  </si>
  <si>
    <t>AK4</t>
  </si>
  <si>
    <t>YWHAQ</t>
  </si>
  <si>
    <t>MAPK3</t>
  </si>
  <si>
    <t>ARNT</t>
  </si>
  <si>
    <t>RPL10</t>
  </si>
  <si>
    <t>RPA1</t>
  </si>
  <si>
    <t>CALR</t>
  </si>
  <si>
    <t>PSMA5</t>
  </si>
  <si>
    <t>PSMB4</t>
  </si>
  <si>
    <t>PSMB6</t>
  </si>
  <si>
    <t>PSMB5</t>
  </si>
  <si>
    <t>TMOD1</t>
  </si>
  <si>
    <t>NDUFS1</t>
  </si>
  <si>
    <t>MAPK1</t>
  </si>
  <si>
    <t>ERCC5</t>
  </si>
  <si>
    <t>GRN</t>
  </si>
  <si>
    <t>LAP3</t>
  </si>
  <si>
    <t>GTF2E2</t>
  </si>
  <si>
    <t>EPHA2</t>
  </si>
  <si>
    <t>SHC1</t>
  </si>
  <si>
    <t>MPG</t>
  </si>
  <si>
    <t>CRABP2</t>
  </si>
  <si>
    <t>TKT</t>
  </si>
  <si>
    <t>PML</t>
  </si>
  <si>
    <t>MARCKS</t>
  </si>
  <si>
    <t>GNA11</t>
  </si>
  <si>
    <t>ALDH4A1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</si>
  <si>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</si>
  <si>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</si>
  <si>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</si>
  <si>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</si>
  <si>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</si>
  <si>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</si>
  <si>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</si>
  <si>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</si>
  <si>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</si>
  <si>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</si>
  <si>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</si>
  <si>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</si>
  <si>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</si>
  <si>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WEE1</t>
  </si>
  <si>
    <t>CDC25C</t>
  </si>
  <si>
    <t>PPIF</t>
  </si>
  <si>
    <t>NMT1</t>
  </si>
  <si>
    <t>HMOX2</t>
  </si>
  <si>
    <t>ADSS</t>
  </si>
  <si>
    <t>LRPAP1</t>
  </si>
  <si>
    <t>ADSL</t>
  </si>
  <si>
    <t>PKLR</t>
  </si>
  <si>
    <t>CLIP1</t>
  </si>
  <si>
    <t>SERPINB1</t>
  </si>
  <si>
    <t>SLC7A1</t>
  </si>
  <si>
    <t>ALDH1B1</t>
  </si>
  <si>
    <t>SDHA</t>
  </si>
  <si>
    <t>CORO1A</t>
  </si>
  <si>
    <t>GDI1</t>
  </si>
  <si>
    <t>MAT2A</t>
  </si>
  <si>
    <t>PRKAR2B</t>
  </si>
  <si>
    <t>CPS1</t>
  </si>
  <si>
    <t>RRM2</t>
  </si>
  <si>
    <t>DNAJA1</t>
  </si>
  <si>
    <t>AKT1</t>
  </si>
  <si>
    <t>AKT2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</si>
  <si>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</si>
  <si>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</si>
  <si>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</si>
  <si>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</si>
  <si>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</si>
  <si>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</si>
  <si>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</si>
  <si>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</si>
  <si>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INPP5B</t>
  </si>
  <si>
    <t>PRDX2</t>
  </si>
  <si>
    <t>ARRB2</t>
  </si>
  <si>
    <t>DCTD</t>
  </si>
  <si>
    <t>ELF1</t>
  </si>
  <si>
    <t>CTH</t>
  </si>
  <si>
    <t>ACSL1</t>
  </si>
  <si>
    <t>KIF5B</t>
  </si>
  <si>
    <t>CSTF2</t>
  </si>
  <si>
    <t>DUT</t>
  </si>
  <si>
    <t>ABCC1</t>
  </si>
  <si>
    <t>CKS2</t>
  </si>
  <si>
    <t>MAN1A1</t>
  </si>
  <si>
    <t>TTK</t>
  </si>
  <si>
    <t>MCM4</t>
  </si>
  <si>
    <t>MCM5</t>
  </si>
  <si>
    <t>MCM7</t>
  </si>
  <si>
    <t>SHMT1</t>
  </si>
  <si>
    <t>SHMT2</t>
  </si>
  <si>
    <t>HSPA1L</t>
  </si>
  <si>
    <t>HSPA4</t>
  </si>
  <si>
    <t>MPI</t>
  </si>
  <si>
    <t>CA8</t>
  </si>
  <si>
    <t>CTNNA1</t>
  </si>
  <si>
    <t>PHB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</si>
  <si>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</si>
  <si>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</si>
  <si>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</si>
  <si>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</si>
  <si>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</si>
  <si>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</si>
  <si>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</si>
  <si>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</si>
  <si>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</si>
  <si>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</si>
  <si>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CBS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</si>
  <si>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</si>
  <si>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</si>
  <si>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</si>
  <si>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</si>
  <si>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</si>
  <si>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</si>
  <si>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</si>
  <si>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</si>
  <si>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</si>
  <si>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DEK</t>
  </si>
  <si>
    <t>GLRX</t>
  </si>
  <si>
    <t>CHKA</t>
  </si>
  <si>
    <t>PPM1A</t>
  </si>
  <si>
    <t>PSMC2</t>
  </si>
  <si>
    <t>ARL2</t>
  </si>
  <si>
    <t>ARL3</t>
  </si>
  <si>
    <t>TRIM23</t>
  </si>
  <si>
    <t>MAP2K2</t>
  </si>
  <si>
    <t>ATP5C1</t>
  </si>
  <si>
    <t>ATP6V1E1</t>
  </si>
  <si>
    <t>CPOX</t>
  </si>
  <si>
    <t>RPL4</t>
  </si>
  <si>
    <t>NUDT1</t>
  </si>
  <si>
    <t>PGM1</t>
  </si>
  <si>
    <t>GNL1</t>
  </si>
  <si>
    <t>POLR2I</t>
  </si>
  <si>
    <t>DLST</t>
  </si>
  <si>
    <t>GPX4</t>
  </si>
  <si>
    <t>SRP14</t>
  </si>
  <si>
    <t>FDFT1</t>
  </si>
  <si>
    <t>PIGA</t>
  </si>
  <si>
    <t>TAGLN2</t>
  </si>
  <si>
    <t>TALDO1</t>
  </si>
  <si>
    <t>ETFB</t>
  </si>
  <si>
    <t>COIL</t>
  </si>
  <si>
    <t>GGCX</t>
  </si>
  <si>
    <t>ATP6V1A</t>
  </si>
  <si>
    <t>HSPA9</t>
  </si>
  <si>
    <t>EIF4A3</t>
  </si>
  <si>
    <t>RPS19</t>
  </si>
  <si>
    <t>DDOST</t>
  </si>
  <si>
    <t>ANP32A</t>
  </si>
  <si>
    <t>FEN1</t>
  </si>
  <si>
    <t>CUX1</t>
  </si>
  <si>
    <t>CAPG</t>
  </si>
  <si>
    <t>IL6ST</t>
  </si>
  <si>
    <t>TXLNA</t>
  </si>
  <si>
    <t>CCT6A</t>
  </si>
  <si>
    <t>VHL</t>
  </si>
  <si>
    <t>STAT3</t>
  </si>
  <si>
    <t>USP8</t>
  </si>
  <si>
    <t>MDH1</t>
  </si>
  <si>
    <t>MDH2</t>
  </si>
  <si>
    <t>RFC5</t>
  </si>
  <si>
    <t>RFC3</t>
  </si>
  <si>
    <t>HADHA</t>
  </si>
  <si>
    <t>EIF2S3</t>
  </si>
  <si>
    <t>CETN2</t>
  </si>
  <si>
    <t>PRPH</t>
  </si>
  <si>
    <t>BUD31</t>
  </si>
  <si>
    <t>NAA10</t>
  </si>
  <si>
    <t>KDM5C</t>
  </si>
  <si>
    <t>PPP1R2</t>
  </si>
  <si>
    <t>CSK</t>
  </si>
  <si>
    <t>GARS</t>
  </si>
  <si>
    <t>SLC19A1</t>
  </si>
  <si>
    <t>EIF1</t>
  </si>
  <si>
    <t>PRKCI</t>
  </si>
  <si>
    <t>ACTR1B</t>
  </si>
  <si>
    <t>ECI1</t>
  </si>
  <si>
    <t>TMPO</t>
  </si>
  <si>
    <t>STAT1</t>
  </si>
  <si>
    <t>STAT6</t>
  </si>
  <si>
    <t>SKIV2L2</t>
  </si>
  <si>
    <t>AKR1C3</t>
  </si>
  <si>
    <t>MTOR</t>
  </si>
  <si>
    <t>CASP3</t>
  </si>
  <si>
    <t>CASP2</t>
  </si>
  <si>
    <t>RPS27</t>
  </si>
  <si>
    <t>ABL2</t>
  </si>
  <si>
    <t>LIFR</t>
  </si>
  <si>
    <t>LRPPRC</t>
  </si>
  <si>
    <t>ACAA2</t>
  </si>
  <si>
    <t>CDKN2A</t>
  </si>
  <si>
    <t>CDKN2C</t>
  </si>
  <si>
    <t>PRCP</t>
  </si>
  <si>
    <t>SLC1A3</t>
  </si>
  <si>
    <t>SLC1A4</t>
  </si>
  <si>
    <t>PAFAH1B1</t>
  </si>
  <si>
    <t>MCAM</t>
  </si>
  <si>
    <t>CRAT</t>
  </si>
  <si>
    <t>MSH2</t>
  </si>
  <si>
    <t>GRK6</t>
  </si>
  <si>
    <t>GPD2</t>
  </si>
  <si>
    <t>PTPN9</t>
  </si>
  <si>
    <t>SYK</t>
  </si>
  <si>
    <t>RANBP1</t>
  </si>
  <si>
    <t>NAMPT</t>
  </si>
  <si>
    <t>PSMC4</t>
  </si>
  <si>
    <t>TSFM</t>
  </si>
  <si>
    <t>VDAC2</t>
  </si>
  <si>
    <t>ACADSB</t>
  </si>
  <si>
    <t>CBX5</t>
  </si>
  <si>
    <t>USP5</t>
  </si>
  <si>
    <t>MAPK8</t>
  </si>
  <si>
    <t>MAPK9</t>
  </si>
  <si>
    <t>MAP2K4</t>
  </si>
  <si>
    <t>MKI67</t>
  </si>
  <si>
    <t>PHKA2</t>
  </si>
  <si>
    <t>RANGAP1</t>
  </si>
  <si>
    <t>RECQL</t>
  </si>
  <si>
    <t>NOP2</t>
  </si>
  <si>
    <t>CRK</t>
  </si>
  <si>
    <t>CRKL</t>
  </si>
  <si>
    <t>MTIF2</t>
  </si>
  <si>
    <t>NOTCH1</t>
  </si>
  <si>
    <t>MAP2K3</t>
  </si>
  <si>
    <t>BRCC3</t>
  </si>
  <si>
    <t>RPL5</t>
  </si>
  <si>
    <t>RPL21</t>
  </si>
  <si>
    <t>RPS9</t>
  </si>
  <si>
    <t>RPS10</t>
  </si>
  <si>
    <t>MAP1B</t>
  </si>
  <si>
    <t>GNPDA1</t>
  </si>
  <si>
    <t>YAP1</t>
  </si>
  <si>
    <t>UTRN</t>
  </si>
  <si>
    <t>IQGAP1</t>
  </si>
  <si>
    <t>GYG1</t>
  </si>
  <si>
    <t>STT3A</t>
  </si>
  <si>
    <t>RABIF</t>
  </si>
  <si>
    <t>PLA2G4A</t>
  </si>
  <si>
    <t>CAPZA2</t>
  </si>
  <si>
    <t>CAPZB</t>
  </si>
  <si>
    <t>EIF1AX</t>
  </si>
  <si>
    <t>RPL29</t>
  </si>
  <si>
    <t>ID4</t>
  </si>
  <si>
    <t>ZFP36L2</t>
  </si>
  <si>
    <t>UQCRFS1</t>
  </si>
  <si>
    <t>SLC6A8</t>
  </si>
  <si>
    <t>ATP5O</t>
  </si>
  <si>
    <t>KCNJ4</t>
  </si>
  <si>
    <t>LIMS1</t>
  </si>
  <si>
    <t>PREP</t>
  </si>
  <si>
    <t>ME1</t>
  </si>
  <si>
    <t>IREB2</t>
  </si>
  <si>
    <t>ARCN1</t>
  </si>
  <si>
    <t>LSS</t>
  </si>
  <si>
    <t>PPP3CC</t>
  </si>
  <si>
    <t>GCLC</t>
  </si>
  <si>
    <t>GCLM</t>
  </si>
  <si>
    <t>PRRC2A</t>
  </si>
  <si>
    <t>GSS</t>
  </si>
  <si>
    <t>CCT5</t>
  </si>
  <si>
    <t>NES</t>
  </si>
  <si>
    <t>HSPA13</t>
  </si>
  <si>
    <t>CSNK1A1</t>
  </si>
  <si>
    <t>IDH2</t>
  </si>
  <si>
    <t>PITPNB</t>
  </si>
  <si>
    <t>NOV</t>
  </si>
  <si>
    <t>CD97</t>
  </si>
  <si>
    <t>MARCKSL1</t>
  </si>
  <si>
    <t>CAMLG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</si>
  <si>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</si>
  <si>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</si>
  <si>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</si>
  <si>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</si>
  <si>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</si>
  <si>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</si>
  <si>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</si>
  <si>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</si>
  <si>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FNTB</t>
  </si>
  <si>
    <t>DHPS</t>
  </si>
  <si>
    <t>CCT3</t>
  </si>
  <si>
    <t>TUFM</t>
  </si>
  <si>
    <t>ALDH7A1</t>
  </si>
  <si>
    <t>CDC34</t>
  </si>
  <si>
    <t>CENPF</t>
  </si>
  <si>
    <t>SRP9</t>
  </si>
  <si>
    <t>UBE2A</t>
  </si>
  <si>
    <t>PCYT1A</t>
  </si>
  <si>
    <t>AARS</t>
  </si>
  <si>
    <t>CARS</t>
  </si>
  <si>
    <t>PPM1F</t>
  </si>
  <si>
    <t>PRIM1</t>
  </si>
  <si>
    <t>PRIM2</t>
  </si>
  <si>
    <t>CSNK1E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</si>
  <si>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</si>
  <si>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</si>
  <si>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</si>
  <si>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</si>
  <si>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</si>
  <si>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</si>
  <si>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</si>
  <si>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</si>
  <si>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</si>
  <si>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NUP153</t>
  </si>
  <si>
    <t>RANBP2</t>
  </si>
  <si>
    <t>GSK3A</t>
  </si>
  <si>
    <t>GSK3B</t>
  </si>
  <si>
    <t>SEPHS1</t>
  </si>
  <si>
    <t>MTHFS</t>
  </si>
  <si>
    <t>GMPS</t>
  </si>
  <si>
    <t>LIG3</t>
  </si>
  <si>
    <t>MRE11A</t>
  </si>
  <si>
    <t>KHK</t>
  </si>
  <si>
    <t>GNAQ</t>
  </si>
  <si>
    <t>GNG10</t>
  </si>
  <si>
    <t>MNX1</t>
  </si>
  <si>
    <t>SULT1A3</t>
  </si>
  <si>
    <t>SULT1A1</t>
  </si>
  <si>
    <t>PPOX</t>
  </si>
  <si>
    <t>EMD</t>
  </si>
  <si>
    <t>CPT1A</t>
  </si>
  <si>
    <t>SERPINB8</t>
  </si>
  <si>
    <t>SERPINH1</t>
  </si>
  <si>
    <t>ST13</t>
  </si>
  <si>
    <t>VASP</t>
  </si>
  <si>
    <t>NUDT2</t>
  </si>
  <si>
    <t>HLCS</t>
  </si>
  <si>
    <t>KNTC1</t>
  </si>
  <si>
    <t>RASSF2</t>
  </si>
  <si>
    <t>PPT1</t>
  </si>
  <si>
    <t>CCT8</t>
  </si>
  <si>
    <t>CCT4</t>
  </si>
  <si>
    <t>PAPOLA</t>
  </si>
  <si>
    <t>FXR2</t>
  </si>
  <si>
    <t>RAB5C</t>
  </si>
  <si>
    <t>RAB7A</t>
  </si>
  <si>
    <t>RAB9A</t>
  </si>
  <si>
    <t>RAB13</t>
  </si>
  <si>
    <t>RAB28</t>
  </si>
  <si>
    <t>RAB27A</t>
  </si>
  <si>
    <t>DAP</t>
  </si>
  <si>
    <t>DAP3</t>
  </si>
  <si>
    <t>DUSP3</t>
  </si>
  <si>
    <t>MMP15</t>
  </si>
  <si>
    <t>NOVA1</t>
  </si>
  <si>
    <t>SMARCA2</t>
  </si>
  <si>
    <t>IDH3G</t>
  </si>
  <si>
    <t>GALK1</t>
  </si>
  <si>
    <t>SSR4</t>
  </si>
  <si>
    <t>BCAP31</t>
  </si>
  <si>
    <t>TPMT</t>
  </si>
  <si>
    <t>HSD17B4</t>
  </si>
  <si>
    <t>PSMD7</t>
  </si>
  <si>
    <t>UBE2D1</t>
  </si>
  <si>
    <t>SUOX</t>
  </si>
  <si>
    <t>STAT5B</t>
  </si>
  <si>
    <t>CLCN3</t>
  </si>
  <si>
    <t>CLCN5</t>
  </si>
  <si>
    <t>CLCN7</t>
  </si>
  <si>
    <t>VAMP7</t>
  </si>
  <si>
    <t>RPS6KA3</t>
  </si>
  <si>
    <t>HDGF</t>
  </si>
  <si>
    <t>CCNH</t>
  </si>
  <si>
    <t>MNAT1</t>
  </si>
  <si>
    <t>NDUFA8</t>
  </si>
  <si>
    <t>HNRNPA3</t>
  </si>
  <si>
    <t>KPNA2</t>
  </si>
  <si>
    <t>KPNA1</t>
  </si>
  <si>
    <t>NCBP2</t>
  </si>
  <si>
    <t>RAP1GDS1</t>
  </si>
  <si>
    <t>POLR2J</t>
  </si>
  <si>
    <t>ARHGDIA</t>
  </si>
  <si>
    <t>SLC7A2</t>
  </si>
  <si>
    <t>HNRNPF</t>
  </si>
  <si>
    <t>STAT2</t>
  </si>
  <si>
    <t>GTF2A2</t>
  </si>
  <si>
    <t>MSH6</t>
  </si>
  <si>
    <t>KIF11</t>
  </si>
  <si>
    <t>VAV2</t>
  </si>
  <si>
    <t>HRSP12</t>
  </si>
  <si>
    <t>SMS</t>
  </si>
  <si>
    <t>EFNB2</t>
  </si>
  <si>
    <t>MRPL12</t>
  </si>
  <si>
    <t>THOP1</t>
  </si>
  <si>
    <t>CAPZA1</t>
  </si>
  <si>
    <t>CRIP2</t>
  </si>
  <si>
    <t>BLVRA</t>
  </si>
  <si>
    <t>SLC25A1</t>
  </si>
  <si>
    <t>PLK1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</si>
  <si>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</si>
  <si>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</si>
  <si>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</si>
  <si>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</si>
  <si>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</si>
  <si>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</si>
  <si>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</si>
  <si>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</si>
  <si>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COPB1</t>
  </si>
  <si>
    <t>COPA</t>
  </si>
  <si>
    <t>CTSC</t>
  </si>
  <si>
    <t>HCCS</t>
  </si>
  <si>
    <t>MAPK12</t>
  </si>
  <si>
    <t>SLC5A3</t>
  </si>
  <si>
    <t>POLR2K</t>
  </si>
  <si>
    <t>SMTN</t>
  </si>
  <si>
    <t>SLC16A1</t>
  </si>
  <si>
    <t>IST1</t>
  </si>
  <si>
    <t>SEC24C</t>
  </si>
  <si>
    <t>SUB1</t>
  </si>
  <si>
    <t>RARS</t>
  </si>
  <si>
    <t>ATN1</t>
  </si>
  <si>
    <t>CACNA2D1</t>
  </si>
  <si>
    <t>MYOM2</t>
  </si>
  <si>
    <t>YARS</t>
  </si>
  <si>
    <t>USP14</t>
  </si>
  <si>
    <t>PRKAG1</t>
  </si>
  <si>
    <t>PRKAA2</t>
  </si>
  <si>
    <t>HSPA2</t>
  </si>
  <si>
    <t>BCAT1</t>
  </si>
  <si>
    <t>ATP12A</t>
  </si>
  <si>
    <t>ATP1B3</t>
  </si>
  <si>
    <t>RAD23B</t>
  </si>
  <si>
    <t>NAGLU</t>
  </si>
  <si>
    <t>AK2</t>
  </si>
  <si>
    <t>GAS1</t>
  </si>
  <si>
    <t>ALDH18A1</t>
  </si>
  <si>
    <t>NAPA</t>
  </si>
  <si>
    <t>EIF5</t>
  </si>
  <si>
    <t>SLC12A2</t>
  </si>
  <si>
    <t>PSMD4</t>
  </si>
  <si>
    <t>DRG2</t>
  </si>
  <si>
    <t>CSE1L</t>
  </si>
  <si>
    <t>VCP</t>
  </si>
  <si>
    <t>MFAP1</t>
  </si>
  <si>
    <t>MFAP3</t>
  </si>
  <si>
    <t>MANF</t>
  </si>
  <si>
    <t>ELL</t>
  </si>
  <si>
    <t>CASP7</t>
  </si>
  <si>
    <t>CASP6</t>
  </si>
  <si>
    <t>ADK</t>
  </si>
  <si>
    <t>LAMB2</t>
  </si>
  <si>
    <t>TPD52</t>
  </si>
  <si>
    <t>SEC13</t>
  </si>
  <si>
    <t>HNRNPH2</t>
  </si>
  <si>
    <t>EIF3B</t>
  </si>
  <si>
    <t>BID</t>
  </si>
  <si>
    <t>NDUFV3</t>
  </si>
  <si>
    <t>RRP1</t>
  </si>
  <si>
    <t>MARS</t>
  </si>
  <si>
    <t>MAZ</t>
  </si>
  <si>
    <t>CMC4</t>
  </si>
  <si>
    <t>MP68</t>
  </si>
  <si>
    <t>ATP5I</t>
  </si>
  <si>
    <t>HDAC4</t>
  </si>
  <si>
    <t>EIF6</t>
  </si>
  <si>
    <t>PEX3</t>
  </si>
  <si>
    <t>CLDN12</t>
  </si>
  <si>
    <t>HSD17B7</t>
  </si>
  <si>
    <t>BCAR1</t>
  </si>
  <si>
    <t>STX17</t>
  </si>
  <si>
    <t>PIGP</t>
  </si>
  <si>
    <t>RWDD2B</t>
  </si>
  <si>
    <t>C21orf59</t>
  </si>
  <si>
    <t>WDR4</t>
  </si>
  <si>
    <t>TMEM33</t>
  </si>
  <si>
    <t>SYNJ2BP</t>
  </si>
  <si>
    <t>CORO7</t>
  </si>
  <si>
    <t>NUP107</t>
  </si>
  <si>
    <t>SNX16</t>
  </si>
  <si>
    <t>EEFSEC</t>
  </si>
  <si>
    <t>SESN2</t>
  </si>
  <si>
    <t>SESN3</t>
  </si>
  <si>
    <t>EPPK1</t>
  </si>
  <si>
    <t>MTPN</t>
  </si>
  <si>
    <t>YBEY</t>
  </si>
  <si>
    <t>ARPC4</t>
  </si>
  <si>
    <t>SEC61G</t>
  </si>
  <si>
    <t>TPI1</t>
  </si>
  <si>
    <t>EIF3E</t>
  </si>
  <si>
    <t>SEC61B</t>
  </si>
  <si>
    <t>PPP4C</t>
  </si>
  <si>
    <t>ROMO1</t>
  </si>
  <si>
    <t>UBE2G2</t>
  </si>
  <si>
    <t>ACTB</t>
  </si>
  <si>
    <t>RAC3</t>
  </si>
  <si>
    <t>EIF4A1</t>
  </si>
  <si>
    <t>RPS20</t>
  </si>
  <si>
    <t>PRPS1</t>
  </si>
  <si>
    <t>SHFM1</t>
  </si>
  <si>
    <t>S100A10</t>
  </si>
  <si>
    <t>CDC42</t>
  </si>
  <si>
    <t>DSTN</t>
  </si>
  <si>
    <t>GMFB</t>
  </si>
  <si>
    <t>RAB8A</t>
  </si>
  <si>
    <t>SPCS3</t>
  </si>
  <si>
    <t>SRP54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</si>
  <si>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</si>
  <si>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</si>
  <si>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</si>
  <si>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</si>
  <si>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</si>
  <si>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</si>
  <si>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</si>
  <si>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</si>
  <si>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</si>
  <si>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</si>
  <si>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</si>
  <si>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</si>
  <si>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COPS2</t>
  </si>
  <si>
    <t>POLR2F</t>
  </si>
  <si>
    <t>ABCE1</t>
  </si>
  <si>
    <t>RAP1B</t>
  </si>
  <si>
    <t>RAP2B</t>
  </si>
  <si>
    <t>MAX</t>
  </si>
  <si>
    <t>RPL26</t>
  </si>
  <si>
    <t>PSME3</t>
  </si>
  <si>
    <t>MAGOH</t>
  </si>
  <si>
    <t>PCBD1</t>
  </si>
  <si>
    <t>RHOA</t>
  </si>
  <si>
    <t>RND3</t>
  </si>
  <si>
    <t>NAA20</t>
  </si>
  <si>
    <t>HSPE1</t>
  </si>
  <si>
    <t>VBP1</t>
  </si>
  <si>
    <t>STXBP1</t>
  </si>
  <si>
    <t>PKIA</t>
  </si>
  <si>
    <t>RPL37</t>
  </si>
  <si>
    <t>SUMO2</t>
  </si>
  <si>
    <t>DCAF7</t>
  </si>
  <si>
    <t>WDR5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</si>
  <si>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</si>
  <si>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</si>
  <si>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</si>
  <si>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</si>
  <si>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</si>
  <si>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</si>
  <si>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</si>
  <si>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</si>
  <si>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PSMC1</t>
  </si>
  <si>
    <t>PSMC5</t>
  </si>
  <si>
    <t>RPS16</t>
  </si>
  <si>
    <t>YWHAE</t>
  </si>
  <si>
    <t>RPS14</t>
  </si>
  <si>
    <t>RPS23</t>
  </si>
  <si>
    <t>RPS18</t>
  </si>
  <si>
    <t>RPS29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</si>
  <si>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</si>
  <si>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</si>
  <si>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</si>
  <si>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</si>
  <si>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</si>
  <si>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</si>
  <si>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</si>
  <si>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</si>
  <si>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</si>
  <si>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</si>
  <si>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</si>
  <si>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</si>
  <si>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</si>
  <si>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</si>
  <si>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</si>
  <si>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</si>
  <si>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RPS4X</t>
  </si>
  <si>
    <t>PPP2CB</t>
  </si>
  <si>
    <t>RHOB</t>
  </si>
  <si>
    <t>RPL23A</t>
  </si>
  <si>
    <t>RPS6</t>
  </si>
  <si>
    <t>HIST1H4A</t>
  </si>
  <si>
    <t>HIST1H2BC</t>
  </si>
  <si>
    <t>RAB1A</t>
  </si>
  <si>
    <t>RPL23</t>
  </si>
  <si>
    <t>RAP1A</t>
  </si>
  <si>
    <t>UBE2D2</t>
  </si>
  <si>
    <t>RPS25</t>
  </si>
  <si>
    <t>RPS26</t>
  </si>
  <si>
    <t>RPS28</t>
  </si>
  <si>
    <t>GNB1</t>
  </si>
  <si>
    <t>GNB2</t>
  </si>
  <si>
    <t>RPL30</t>
  </si>
  <si>
    <t>RPL31</t>
  </si>
  <si>
    <t>RPL10A</t>
  </si>
  <si>
    <t>RPL11</t>
  </si>
  <si>
    <t>PPIA</t>
  </si>
  <si>
    <t>FKBP1A</t>
  </si>
  <si>
    <t>RPS27A</t>
  </si>
  <si>
    <t>UBA52</t>
  </si>
  <si>
    <t>GRB2</t>
  </si>
  <si>
    <t>TRA2B</t>
  </si>
  <si>
    <t>RAC1</t>
  </si>
  <si>
    <t>AP2B1</t>
  </si>
  <si>
    <t>GNAS</t>
  </si>
  <si>
    <t>GNAI1</t>
  </si>
  <si>
    <t>YWHAZ</t>
  </si>
  <si>
    <t>PPP2R2A</t>
  </si>
  <si>
    <t>DYNLL1</t>
  </si>
  <si>
    <t>RPL38</t>
  </si>
  <si>
    <t>GNG5</t>
  </si>
  <si>
    <t>RPS21</t>
  </si>
  <si>
    <t>EIF5A</t>
  </si>
  <si>
    <t>GNB2L1</t>
  </si>
  <si>
    <t>SUPT4H1</t>
  </si>
  <si>
    <t>PPP2CA</t>
  </si>
  <si>
    <t>YBX1</t>
  </si>
  <si>
    <t>ACTC1</t>
  </si>
  <si>
    <t>UBE2L3</t>
  </si>
  <si>
    <t>EEF1A1</t>
  </si>
  <si>
    <t>FKBP1B</t>
  </si>
  <si>
    <t>ACTA1</t>
  </si>
  <si>
    <t>TUBA1B</t>
  </si>
  <si>
    <t>TUBB4B</t>
  </si>
  <si>
    <t>PAFAH1B2</t>
  </si>
  <si>
    <t>HBB</t>
  </si>
  <si>
    <t>HBG2</t>
  </si>
  <si>
    <t>CXADR</t>
  </si>
  <si>
    <t>IGBP1</t>
  </si>
  <si>
    <t>PSPH</t>
  </si>
  <si>
    <t>RPP30</t>
  </si>
  <si>
    <t>GTF2I</t>
  </si>
  <si>
    <t>CCT2</t>
  </si>
  <si>
    <t>RAE1</t>
  </si>
  <si>
    <t>GSTO1</t>
  </si>
  <si>
    <t>PRKDC</t>
  </si>
  <si>
    <t>ADAM17</t>
  </si>
  <si>
    <t>BLOC1S1</t>
  </si>
  <si>
    <t>ARG2</t>
  </si>
  <si>
    <t>IFI35</t>
  </si>
  <si>
    <t>MT1X</t>
  </si>
  <si>
    <t>NUCB2</t>
  </si>
  <si>
    <t>BASP1</t>
  </si>
  <si>
    <t>GPSM2</t>
  </si>
  <si>
    <t>TMF1</t>
  </si>
  <si>
    <t>MRPS10</t>
  </si>
  <si>
    <t>MRPS36</t>
  </si>
  <si>
    <t>MRPS34</t>
  </si>
  <si>
    <t>MRPS6</t>
  </si>
  <si>
    <t>SARNP</t>
  </si>
  <si>
    <t>COG7</t>
  </si>
  <si>
    <t>HPCA</t>
  </si>
  <si>
    <t>ARF1</t>
  </si>
  <si>
    <t>ARF5</t>
  </si>
  <si>
    <t>ERH</t>
  </si>
  <si>
    <t>RHOG</t>
  </si>
  <si>
    <t>SERF2</t>
  </si>
  <si>
    <t>MXRA7</t>
  </si>
  <si>
    <t>FOXK1</t>
  </si>
  <si>
    <t>RPP14</t>
  </si>
  <si>
    <t>CCZ1</t>
  </si>
  <si>
    <t>DAB2</t>
  </si>
  <si>
    <t>XIAP</t>
  </si>
  <si>
    <t>EFNB1</t>
  </si>
  <si>
    <t>FAM3A</t>
  </si>
  <si>
    <t>RBM10</t>
  </si>
  <si>
    <t>RBM3</t>
  </si>
  <si>
    <t>MPP1</t>
  </si>
  <si>
    <t>TFAM</t>
  </si>
  <si>
    <t>SLC25A3</t>
  </si>
  <si>
    <t>HDLBP</t>
  </si>
  <si>
    <t>GTF2B</t>
  </si>
  <si>
    <t>CDK6</t>
  </si>
  <si>
    <t>CDK5</t>
  </si>
  <si>
    <t>CDK16</t>
  </si>
  <si>
    <t>CDC42EP1</t>
  </si>
  <si>
    <t>CLTC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</si>
  <si>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</si>
  <si>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</si>
  <si>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</si>
  <si>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</si>
  <si>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</si>
  <si>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</si>
  <si>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</si>
  <si>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</si>
  <si>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</si>
  <si>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FOXK2</t>
  </si>
  <si>
    <t>GALK2</t>
  </si>
  <si>
    <t>CAP1</t>
  </si>
  <si>
    <t>FLI1</t>
  </si>
  <si>
    <t>HMGCS1</t>
  </si>
  <si>
    <t>SLC7A5</t>
  </si>
  <si>
    <t>DR1</t>
  </si>
  <si>
    <t>PFKP</t>
  </si>
  <si>
    <t>OCRL</t>
  </si>
  <si>
    <t>PLCB3</t>
  </si>
  <si>
    <t>MEF2A</t>
  </si>
  <si>
    <t>NAAA</t>
  </si>
  <si>
    <t>SP2</t>
  </si>
  <si>
    <t>DHODH</t>
  </si>
  <si>
    <t>PRKCE</t>
  </si>
  <si>
    <t>KIF23</t>
  </si>
  <si>
    <t>SP4</t>
  </si>
  <si>
    <t>MAP2K1</t>
  </si>
  <si>
    <t>TEK</t>
  </si>
  <si>
    <t>FKBP4</t>
  </si>
  <si>
    <t>PLOD1</t>
  </si>
  <si>
    <t>NUCB1</t>
  </si>
  <si>
    <t>RASSF7</t>
  </si>
  <si>
    <t>AKAP12</t>
  </si>
  <si>
    <t>ACY1</t>
  </si>
  <si>
    <t>GBE1</t>
  </si>
  <si>
    <t>NOTCH2</t>
  </si>
  <si>
    <t>TLE1</t>
  </si>
  <si>
    <t>PRKCQ</t>
  </si>
  <si>
    <t>GLO1</t>
  </si>
  <si>
    <t>AKR1C1</t>
  </si>
  <si>
    <t>SSBP1</t>
  </si>
  <si>
    <t>YWHAH</t>
  </si>
  <si>
    <t>PLP2</t>
  </si>
  <si>
    <t>CSTF1</t>
  </si>
  <si>
    <t>UBE3A</t>
  </si>
  <si>
    <t>PTPN12</t>
  </si>
  <si>
    <t>LIPE</t>
  </si>
  <si>
    <t>SRSF11</t>
  </si>
  <si>
    <t>EEF1A2</t>
  </si>
  <si>
    <t>PRKCD</t>
  </si>
  <si>
    <t>CALD1</t>
  </si>
  <si>
    <t>PTPN11</t>
  </si>
  <si>
    <t>PPAT</t>
  </si>
  <si>
    <t>GFPT1</t>
  </si>
  <si>
    <t>EXOSC9</t>
  </si>
  <si>
    <t>PSME1</t>
  </si>
  <si>
    <t>RBPJ</t>
  </si>
  <si>
    <t>APLP2</t>
  </si>
  <si>
    <t>GABPA</t>
  </si>
  <si>
    <t>RING1</t>
  </si>
  <si>
    <t>RAD51</t>
  </si>
  <si>
    <t>PRDX1</t>
  </si>
  <si>
    <t>C1QBP</t>
  </si>
  <si>
    <t>CKAP4</t>
  </si>
  <si>
    <t>ENPEP</t>
  </si>
  <si>
    <t>KHDRBS1</t>
  </si>
  <si>
    <t>BAX</t>
  </si>
  <si>
    <t>MCL1</t>
  </si>
  <si>
    <t>LRP1</t>
  </si>
  <si>
    <t>ARHGAP1</t>
  </si>
  <si>
    <t>SRSF4</t>
  </si>
  <si>
    <t>PPP3CA</t>
  </si>
  <si>
    <t>DHX9</t>
  </si>
  <si>
    <t>CRYZ</t>
  </si>
  <si>
    <t>CACNB2</t>
  </si>
  <si>
    <t>SLC20A2</t>
  </si>
  <si>
    <t>GOLGA3</t>
  </si>
  <si>
    <t>GOLGA2</t>
  </si>
  <si>
    <t>EHHADH</t>
  </si>
  <si>
    <t>CD47</t>
  </si>
  <si>
    <t>PPID</t>
  </si>
  <si>
    <t>SSRP1</t>
  </si>
  <si>
    <t>CAMSAP2</t>
  </si>
  <si>
    <t>MZT1</t>
  </si>
  <si>
    <t>VAC14</t>
  </si>
  <si>
    <t>KIAA0100</t>
  </si>
  <si>
    <t>NSUN2</t>
  </si>
  <si>
    <t>RBBP4</t>
  </si>
  <si>
    <t>NCBP1</t>
  </si>
  <si>
    <t>EP300</t>
  </si>
  <si>
    <t>AHNAK</t>
  </si>
  <si>
    <t>HSPA14</t>
  </si>
  <si>
    <t>SCRN3</t>
  </si>
  <si>
    <t>MGAT2</t>
  </si>
  <si>
    <t>AP1B1</t>
  </si>
  <si>
    <t>PMPCA</t>
  </si>
  <si>
    <t>SCRN1</t>
  </si>
  <si>
    <t>NUP160</t>
  </si>
  <si>
    <t>TBL3</t>
  </si>
  <si>
    <t>TWF1</t>
  </si>
  <si>
    <t>ASPH</t>
  </si>
  <si>
    <t>CDC20</t>
  </si>
  <si>
    <t>FSTL1</t>
  </si>
  <si>
    <t>STX4</t>
  </si>
  <si>
    <t>GRSF1</t>
  </si>
  <si>
    <t>SFSWAP</t>
  </si>
  <si>
    <t>SF3A3</t>
  </si>
  <si>
    <t>TP53BP1</t>
  </si>
  <si>
    <t>TMEM115</t>
  </si>
  <si>
    <t>AIMP1</t>
  </si>
  <si>
    <t>ILF2</t>
  </si>
  <si>
    <t>ILF3</t>
  </si>
  <si>
    <t>LMAN2</t>
  </si>
  <si>
    <t>EPS8</t>
  </si>
  <si>
    <t>TRAF2</t>
  </si>
  <si>
    <t>FOXC1</t>
  </si>
  <si>
    <t>ANK3</t>
  </si>
  <si>
    <t>DLG1</t>
  </si>
  <si>
    <t>TAF10</t>
  </si>
  <si>
    <t>MYO1E</t>
  </si>
  <si>
    <t>PPP1R8</t>
  </si>
  <si>
    <t>BNIP1</t>
  </si>
  <si>
    <t>CSTF3</t>
  </si>
  <si>
    <t>ECH1</t>
  </si>
  <si>
    <t>MLLT11</t>
  </si>
  <si>
    <t>ARHGAP5</t>
  </si>
  <si>
    <t>STRN3</t>
  </si>
  <si>
    <t>STK4</t>
  </si>
  <si>
    <t>FLII</t>
  </si>
  <si>
    <t>TRIM32</t>
  </si>
  <si>
    <t>COASY</t>
  </si>
  <si>
    <t>GPS1</t>
  </si>
  <si>
    <t>CHAF1A</t>
  </si>
  <si>
    <t>CHAF1B</t>
  </si>
  <si>
    <t>DUSP4</t>
  </si>
  <si>
    <t>IK</t>
  </si>
  <si>
    <t>MTAP</t>
  </si>
  <si>
    <t>PRKAA1</t>
  </si>
  <si>
    <t>PPFIA1</t>
  </si>
  <si>
    <t>CALCOCO2</t>
  </si>
  <si>
    <t>TARDBP</t>
  </si>
  <si>
    <t>HNRNPA0</t>
  </si>
  <si>
    <t>PAK1</t>
  </si>
  <si>
    <t>FADD</t>
  </si>
  <si>
    <t>PRDX4</t>
  </si>
  <si>
    <t>MAPK7</t>
  </si>
  <si>
    <t>PAK2</t>
  </si>
  <si>
    <t>CBX3</t>
  </si>
  <si>
    <t>STK3</t>
  </si>
  <si>
    <t>PSMD2</t>
  </si>
  <si>
    <t>DDX10</t>
  </si>
  <si>
    <t>DNAJC3</t>
  </si>
  <si>
    <t>SELENBP1</t>
  </si>
  <si>
    <t>NME3</t>
  </si>
  <si>
    <t>SRSF5</t>
  </si>
  <si>
    <t>SRSF6</t>
  </si>
  <si>
    <t>MAD2L1</t>
  </si>
  <si>
    <t>TRIM28</t>
  </si>
  <si>
    <t>STX3</t>
  </si>
  <si>
    <t>G3BP1</t>
  </si>
  <si>
    <t>PTK7</t>
  </si>
  <si>
    <t>SKP2</t>
  </si>
  <si>
    <t>PABPC4</t>
  </si>
  <si>
    <t>GRB10</t>
  </si>
  <si>
    <t>IFIT5</t>
  </si>
  <si>
    <t>EIF3I</t>
  </si>
  <si>
    <t>PPIL2</t>
  </si>
  <si>
    <t>PPP2R5C</t>
  </si>
  <si>
    <t>CTBP1</t>
  </si>
  <si>
    <t>PDCL</t>
  </si>
  <si>
    <t>TARBP1</t>
  </si>
  <si>
    <t>MRPL49</t>
  </si>
  <si>
    <t>DYNC1I2</t>
  </si>
  <si>
    <t>ORC2</t>
  </si>
  <si>
    <t>ILK</t>
  </si>
  <si>
    <t>NNT</t>
  </si>
  <si>
    <t>SNTA1</t>
  </si>
  <si>
    <t>SNTB2</t>
  </si>
  <si>
    <t>XRCC4</t>
  </si>
  <si>
    <t>UNC119</t>
  </si>
  <si>
    <t>SF3B2</t>
  </si>
  <si>
    <t>OS9</t>
  </si>
  <si>
    <t>PDAP1</t>
  </si>
  <si>
    <t>ADAM9</t>
  </si>
  <si>
    <t>ADAM15</t>
  </si>
  <si>
    <t>TMED1</t>
  </si>
  <si>
    <t>FKBP5</t>
  </si>
  <si>
    <t>ROCK1</t>
  </si>
  <si>
    <t>GAB1</t>
  </si>
  <si>
    <t>PICALM</t>
  </si>
  <si>
    <t>MED21</t>
  </si>
  <si>
    <t>MTX1</t>
  </si>
  <si>
    <t>TUBB3</t>
  </si>
  <si>
    <t>PIN1</t>
  </si>
  <si>
    <t>EIF4EBP1</t>
  </si>
  <si>
    <t>EIF4EBP2</t>
  </si>
  <si>
    <t>RIPK1</t>
  </si>
  <si>
    <t>NAE1</t>
  </si>
  <si>
    <t>ITPK1</t>
  </si>
  <si>
    <t>SNW1</t>
  </si>
  <si>
    <t>IQGAP2</t>
  </si>
  <si>
    <t>STIM1</t>
  </si>
  <si>
    <t>SNX1</t>
  </si>
  <si>
    <t>MTMR2</t>
  </si>
  <si>
    <t>CUL1</t>
  </si>
  <si>
    <t>CUL2</t>
  </si>
  <si>
    <t>CUL3</t>
  </si>
  <si>
    <t>TP53BP2</t>
  </si>
  <si>
    <t>TSTA3</t>
  </si>
  <si>
    <t>RAB31</t>
  </si>
  <si>
    <t>RAB32</t>
  </si>
  <si>
    <t>TPBG</t>
  </si>
  <si>
    <t>FHL1</t>
  </si>
  <si>
    <t>FHL3</t>
  </si>
  <si>
    <t>ALKBH1</t>
  </si>
  <si>
    <t>MOGS</t>
  </si>
  <si>
    <t>ALCAM</t>
  </si>
  <si>
    <t>SHROOM2</t>
  </si>
  <si>
    <t>SPTAN1</t>
  </si>
  <si>
    <t>AUH</t>
  </si>
  <si>
    <t>SNTB1</t>
  </si>
  <si>
    <t>TUBB2A</t>
  </si>
  <si>
    <t>BYSL</t>
  </si>
  <si>
    <t>IDI1</t>
  </si>
  <si>
    <t>CBFB</t>
  </si>
  <si>
    <t>NFYC</t>
  </si>
  <si>
    <t>CKAP5</t>
  </si>
  <si>
    <t>CIRBP</t>
  </si>
  <si>
    <t>CAMK1</t>
  </si>
  <si>
    <t>COTL1</t>
  </si>
  <si>
    <t>COL9A3</t>
  </si>
  <si>
    <t>COX17</t>
  </si>
  <si>
    <t>HNRNPD</t>
  </si>
  <si>
    <t>SCARB2</t>
  </si>
  <si>
    <t>LRP8</t>
  </si>
  <si>
    <t>DAG1</t>
  </si>
  <si>
    <t>DSG2</t>
  </si>
  <si>
    <t>DGCR6</t>
  </si>
  <si>
    <t>VGLL4</t>
  </si>
  <si>
    <t>BOP1</t>
  </si>
  <si>
    <t>UBE4A</t>
  </si>
  <si>
    <t>KEAP1</t>
  </si>
  <si>
    <t>SAFB2</t>
  </si>
  <si>
    <t>EIF3A</t>
  </si>
  <si>
    <t>UBAP2L</t>
  </si>
  <si>
    <t>SCRIB</t>
  </si>
  <si>
    <t>MLEC</t>
  </si>
  <si>
    <t>TTLL12</t>
  </si>
  <si>
    <t>POLA2</t>
  </si>
  <si>
    <t>DPYSL3</t>
  </si>
  <si>
    <t>DYNC1H1</t>
  </si>
  <si>
    <t>EIF2B1</t>
  </si>
  <si>
    <t>EIF4A2</t>
  </si>
  <si>
    <t>TCEB3</t>
  </si>
  <si>
    <t>MAP7</t>
  </si>
  <si>
    <t>CTTN</t>
  </si>
  <si>
    <t>ENDOG</t>
  </si>
  <si>
    <t>RCN2</t>
  </si>
  <si>
    <t>FLNC</t>
  </si>
  <si>
    <t>FKBP8</t>
  </si>
  <si>
    <t>FAM50A</t>
  </si>
  <si>
    <t>FRG1</t>
  </si>
  <si>
    <t>GNA13</t>
  </si>
  <si>
    <t>GAMT</t>
  </si>
  <si>
    <t>GALE</t>
  </si>
  <si>
    <t>CAPRIN1</t>
  </si>
  <si>
    <t>HES1</t>
  </si>
  <si>
    <t>RBM39</t>
  </si>
  <si>
    <t>HABP2</t>
  </si>
  <si>
    <t>SQLE</t>
  </si>
  <si>
    <t>PDIA5</t>
  </si>
  <si>
    <t>MCM6</t>
  </si>
  <si>
    <t>PLS1</t>
  </si>
  <si>
    <t>IRF3</t>
  </si>
  <si>
    <t>LAGE3</t>
  </si>
  <si>
    <t>TRIP12</t>
  </si>
  <si>
    <t>PUM1</t>
  </si>
  <si>
    <t>ESPL1</t>
  </si>
  <si>
    <t>MDC1</t>
  </si>
  <si>
    <t>CLINT1</t>
  </si>
  <si>
    <t>KCTD2</t>
  </si>
  <si>
    <t>SMC1A</t>
  </si>
  <si>
    <t>RRP1B</t>
  </si>
  <si>
    <t>NCOA6</t>
  </si>
  <si>
    <t>GSE1</t>
  </si>
  <si>
    <t>GINS1</t>
  </si>
  <si>
    <t>USP10</t>
  </si>
  <si>
    <t>MESDC2</t>
  </si>
  <si>
    <t>GANAB</t>
  </si>
  <si>
    <t>RFTN1</t>
  </si>
  <si>
    <t>LBR</t>
  </si>
  <si>
    <t>GOLGB1</t>
  </si>
  <si>
    <t>CASP8</t>
  </si>
  <si>
    <t>NAA30</t>
  </si>
  <si>
    <t>MEF2D</t>
  </si>
  <si>
    <t>LASP1</t>
  </si>
  <si>
    <t>MTF1</t>
  </si>
  <si>
    <t>RAB39A</t>
  </si>
  <si>
    <t>ZNF638</t>
  </si>
  <si>
    <t>KPNB1</t>
  </si>
  <si>
    <t>NOLC1</t>
  </si>
  <si>
    <t>NUMA1</t>
  </si>
  <si>
    <t>SLMAP</t>
  </si>
  <si>
    <t>GAPVD1</t>
  </si>
  <si>
    <t>UBXN2B</t>
  </si>
  <si>
    <t>NAA25</t>
  </si>
  <si>
    <t>FASTKD3</t>
  </si>
  <si>
    <t>KIAA0101</t>
  </si>
  <si>
    <t>EMC2</t>
  </si>
  <si>
    <t>WTAP</t>
  </si>
  <si>
    <t>PSMD6</t>
  </si>
  <si>
    <t>LAPTM4A</t>
  </si>
  <si>
    <t>MAD2L1BP</t>
  </si>
  <si>
    <t>FAM175B</t>
  </si>
  <si>
    <t>SEPT2</t>
  </si>
  <si>
    <t>NCAPD2</t>
  </si>
  <si>
    <t>EXOSC7</t>
  </si>
  <si>
    <t>EFTUD2</t>
  </si>
  <si>
    <t>R3HDM1</t>
  </si>
  <si>
    <t>SNX17</t>
  </si>
  <si>
    <t>DAZAP2</t>
  </si>
  <si>
    <t>SLC39A14</t>
  </si>
  <si>
    <t>KARS</t>
  </si>
  <si>
    <t>SETDB1</t>
  </si>
  <si>
    <t>IQCB1</t>
  </si>
  <si>
    <t>EIF4H</t>
  </si>
  <si>
    <t>ACAP2</t>
  </si>
  <si>
    <t>BRD3</t>
  </si>
  <si>
    <t>WDR43</t>
  </si>
  <si>
    <t>ACOX1</t>
  </si>
  <si>
    <t>EEA1</t>
  </si>
  <si>
    <t>PAFAH1B3</t>
  </si>
  <si>
    <t>PLCL1</t>
  </si>
  <si>
    <t>PDK1</t>
  </si>
  <si>
    <t>PDK3</t>
  </si>
  <si>
    <t>EBP</t>
  </si>
  <si>
    <t>PMVK</t>
  </si>
  <si>
    <t>PLEC</t>
  </si>
  <si>
    <t>NOMO1</t>
  </si>
  <si>
    <t>TCEAL1</t>
  </si>
  <si>
    <t>PPP2R5A</t>
  </si>
  <si>
    <t>PPA1</t>
  </si>
  <si>
    <t>STK38</t>
  </si>
  <si>
    <t>NONO</t>
  </si>
  <si>
    <t>PPP2R4</t>
  </si>
  <si>
    <t>RABEP1</t>
  </si>
  <si>
    <t>RAB35</t>
  </si>
  <si>
    <t>RBBP5</t>
  </si>
  <si>
    <t>RCN1</t>
  </si>
  <si>
    <t>RALBP1</t>
  </si>
  <si>
    <t>LLGL1</t>
  </si>
  <si>
    <t>LRRC41</t>
  </si>
  <si>
    <t>PCBP1</t>
  </si>
  <si>
    <t>PCBP2</t>
  </si>
  <si>
    <t>EPHA7</t>
  </si>
  <si>
    <t>RHEB</t>
  </si>
  <si>
    <t>TOMM20</t>
  </si>
  <si>
    <t>SF3B3</t>
  </si>
  <si>
    <t>DLGAP5</t>
  </si>
  <si>
    <t>RSU1</t>
  </si>
  <si>
    <t>SAFB</t>
  </si>
  <si>
    <t>SF3A2</t>
  </si>
  <si>
    <t>PPP1R7</t>
  </si>
  <si>
    <t>SEC23B</t>
  </si>
  <si>
    <t>CYTH1</t>
  </si>
  <si>
    <t>SF3A1</t>
  </si>
  <si>
    <t>SHB</t>
  </si>
  <si>
    <t>SKIV2L</t>
  </si>
  <si>
    <t>SPA17</t>
  </si>
  <si>
    <t>SURF1</t>
  </si>
  <si>
    <t>SURF2</t>
  </si>
  <si>
    <t>TAF7</t>
  </si>
  <si>
    <t>MAPRE2</t>
  </si>
  <si>
    <t>NCOA2</t>
  </si>
  <si>
    <t>SLC9A3R2</t>
  </si>
  <si>
    <t>TARBP2</t>
  </si>
  <si>
    <t>SF1</t>
  </si>
  <si>
    <t>TRIP10</t>
  </si>
  <si>
    <t>TRIP11</t>
  </si>
  <si>
    <t>TRIP13</t>
  </si>
  <si>
    <t>ZNHIT3</t>
  </si>
  <si>
    <t>JMJD1C</t>
  </si>
  <si>
    <t>TRIP6</t>
  </si>
  <si>
    <t>MAPRE1</t>
  </si>
  <si>
    <t>TSC22D1</t>
  </si>
  <si>
    <t>NSDHL</t>
  </si>
  <si>
    <t>TAB1</t>
  </si>
  <si>
    <t>SLC1A5</t>
  </si>
  <si>
    <t>MAPK11</t>
  </si>
  <si>
    <t>EFNB3</t>
  </si>
  <si>
    <t>TOMM34</t>
  </si>
  <si>
    <t>MSMO1</t>
  </si>
  <si>
    <t>TBCC</t>
  </si>
  <si>
    <t>NPTX1</t>
  </si>
  <si>
    <t>UBE2V2</t>
  </si>
  <si>
    <t>STK11</t>
  </si>
  <si>
    <t>STXBP2</t>
  </si>
  <si>
    <t>VAMP3</t>
  </si>
  <si>
    <t>RAB11B</t>
  </si>
  <si>
    <t>ZYX</t>
  </si>
  <si>
    <t>ETFDH</t>
  </si>
  <si>
    <t>SNCB</t>
  </si>
  <si>
    <t>SEPT7</t>
  </si>
  <si>
    <t>ADRM1</t>
  </si>
  <si>
    <t>CCDC6</t>
  </si>
  <si>
    <t>UAP1</t>
  </si>
  <si>
    <t>E2F4</t>
  </si>
  <si>
    <t>PSMD5</t>
  </si>
  <si>
    <t>PKN1</t>
  </si>
  <si>
    <t>PKN2</t>
  </si>
  <si>
    <t>TAF12</t>
  </si>
  <si>
    <t>DDB1</t>
  </si>
  <si>
    <t>MAPK14</t>
  </si>
  <si>
    <t>DPYSL2</t>
  </si>
  <si>
    <t>CAMK4</t>
  </si>
  <si>
    <t>RBBP7</t>
  </si>
  <si>
    <t>ZNF74</t>
  </si>
  <si>
    <t>TAF9</t>
  </si>
  <si>
    <t>OCLN</t>
  </si>
  <si>
    <t>MEA1</t>
  </si>
  <si>
    <t>CPSF6</t>
  </si>
  <si>
    <t>DBN1</t>
  </si>
  <si>
    <t>MAPKAPK3</t>
  </si>
  <si>
    <t>FSCN1</t>
  </si>
  <si>
    <t>NDUFA5</t>
  </si>
  <si>
    <t>ATP2B3</t>
  </si>
  <si>
    <t>CLPP</t>
  </si>
  <si>
    <t>TST</t>
  </si>
  <si>
    <t>UBE2S</t>
  </si>
  <si>
    <t>RTN1</t>
  </si>
  <si>
    <t>PCK2</t>
  </si>
  <si>
    <t>UPP1</t>
  </si>
  <si>
    <t>CYP51A1</t>
  </si>
  <si>
    <t>DGUOK</t>
  </si>
  <si>
    <t>ATP6V1F</t>
  </si>
  <si>
    <t>TATDN3</t>
  </si>
  <si>
    <t>GEN1</t>
  </si>
  <si>
    <t>REL</t>
  </si>
  <si>
    <t>CSPP1</t>
  </si>
  <si>
    <t>INF2</t>
  </si>
  <si>
    <t>PDS5A</t>
  </si>
  <si>
    <t>QSER1</t>
  </si>
  <si>
    <t>AAK1</t>
  </si>
  <si>
    <t>PLK1S1</t>
  </si>
  <si>
    <t>ERCC6L</t>
  </si>
  <si>
    <t>TSR1</t>
  </si>
  <si>
    <t>TYSND1</t>
  </si>
  <si>
    <t>ALG11</t>
  </si>
  <si>
    <t>QRICH1</t>
  </si>
  <si>
    <t>RELA</t>
  </si>
  <si>
    <t>SMU1</t>
  </si>
  <si>
    <t>CWF19L2</t>
  </si>
  <si>
    <t>UVSSA</t>
  </si>
  <si>
    <t>LRRFIP1</t>
  </si>
  <si>
    <t>POLD3</t>
  </si>
  <si>
    <t>PGS1</t>
  </si>
  <si>
    <t>LEPRE1</t>
  </si>
  <si>
    <t>TRMT5</t>
  </si>
  <si>
    <t>NME1-NME2</t>
  </si>
  <si>
    <t>TWISTNB</t>
  </si>
  <si>
    <t>MAP7D1</t>
  </si>
  <si>
    <t>UAP1L1</t>
  </si>
  <si>
    <t>C2orf76</t>
  </si>
  <si>
    <t>ALKBH6</t>
  </si>
  <si>
    <t>DAK</t>
  </si>
  <si>
    <t>LSM12</t>
  </si>
  <si>
    <t>TBC1D25</t>
  </si>
  <si>
    <t>PUS10</t>
  </si>
  <si>
    <t>HSDL1</t>
  </si>
  <si>
    <t>CCDC88A</t>
  </si>
  <si>
    <t>RABL6</t>
  </si>
  <si>
    <t>TUBB8</t>
  </si>
  <si>
    <t>TIMM50</t>
  </si>
  <si>
    <t>LGALSL</t>
  </si>
  <si>
    <t>FUT11</t>
  </si>
  <si>
    <t>CDNF</t>
  </si>
  <si>
    <t>C5orf22</t>
  </si>
  <si>
    <t>COX19</t>
  </si>
  <si>
    <t>FAM188B</t>
  </si>
  <si>
    <t>VPS26B</t>
  </si>
  <si>
    <t>CCSMST1</t>
  </si>
  <si>
    <t>LARP7</t>
  </si>
  <si>
    <t>NADKD1</t>
  </si>
  <si>
    <t>GXYLT1</t>
  </si>
  <si>
    <t>ACSF3</t>
  </si>
  <si>
    <t>PREPL</t>
  </si>
  <si>
    <t>TBC1D10B</t>
  </si>
  <si>
    <t>ANO6</t>
  </si>
  <si>
    <t>DNAL1</t>
  </si>
  <si>
    <t>GRIPAP1</t>
  </si>
  <si>
    <t>BCL7A</t>
  </si>
  <si>
    <t>TMEM259</t>
  </si>
  <si>
    <t>PAN2</t>
  </si>
  <si>
    <t>C4orf46</t>
  </si>
  <si>
    <t>FAM98B</t>
  </si>
  <si>
    <t>ARHGAP29</t>
  </si>
  <si>
    <t>PDCD4</t>
  </si>
  <si>
    <t>CRTC2</t>
  </si>
  <si>
    <t>CEP55</t>
  </si>
  <si>
    <t>C17orf85</t>
  </si>
  <si>
    <t>PDLIM3</t>
  </si>
  <si>
    <t>HSD17B12</t>
  </si>
  <si>
    <t>AKIRIN2</t>
  </si>
  <si>
    <t>LACTB2</t>
  </si>
  <si>
    <t>SMUG1</t>
  </si>
  <si>
    <t>BOLA3</t>
  </si>
  <si>
    <t>TMEM177</t>
  </si>
  <si>
    <t>HS1BP3</t>
  </si>
  <si>
    <t>ACTBL2</t>
  </si>
  <si>
    <t>MPV17L2</t>
  </si>
  <si>
    <t>SFT2D3</t>
  </si>
  <si>
    <t>PAN3</t>
  </si>
  <si>
    <t>HSP90AB2P</t>
  </si>
  <si>
    <t>DCAF6</t>
  </si>
  <si>
    <t>C19orf54</t>
  </si>
  <si>
    <t>NOM1</t>
  </si>
  <si>
    <t>RILPL1</t>
  </si>
  <si>
    <t>PDZD11</t>
  </si>
  <si>
    <t>DNAJC21</t>
  </si>
  <si>
    <t>HERC4</t>
  </si>
  <si>
    <t>PKIG</t>
  </si>
  <si>
    <t>TIMP1</t>
  </si>
  <si>
    <t>FLNA</t>
  </si>
  <si>
    <t>FIGN</t>
  </si>
  <si>
    <t>MTX3</t>
  </si>
  <si>
    <t>RABL3</t>
  </si>
  <si>
    <t>COQ5</t>
  </si>
  <si>
    <t>SH3D19</t>
  </si>
  <si>
    <t>TUBB</t>
  </si>
  <si>
    <t>NOMO2</t>
  </si>
  <si>
    <t>EARS2</t>
  </si>
  <si>
    <t>RHOC</t>
  </si>
  <si>
    <t>RPS8</t>
  </si>
  <si>
    <t>NUPL1</t>
  </si>
  <si>
    <t>PITRM1</t>
  </si>
  <si>
    <t>PSMG4</t>
  </si>
  <si>
    <t>WDR44</t>
  </si>
  <si>
    <t>HMGN5</t>
  </si>
  <si>
    <t>PRRC2B</t>
  </si>
  <si>
    <t>AMER1</t>
  </si>
  <si>
    <t>TJAP1</t>
  </si>
  <si>
    <t>RRP12</t>
  </si>
  <si>
    <t>COA6</t>
  </si>
  <si>
    <t>GMEB2</t>
  </si>
  <si>
    <t>AARS2</t>
  </si>
  <si>
    <t>TOR2A</t>
  </si>
  <si>
    <t>VPS16</t>
  </si>
  <si>
    <t>RAPGEF1</t>
  </si>
  <si>
    <t>DLG3</t>
  </si>
  <si>
    <t>FRMD3</t>
  </si>
  <si>
    <t>FRMPD3</t>
  </si>
  <si>
    <t>CNTRL</t>
  </si>
  <si>
    <t>PCID2</t>
  </si>
  <si>
    <t>HABP4</t>
  </si>
  <si>
    <t>ELMO2</t>
  </si>
  <si>
    <t>STAU1</t>
  </si>
  <si>
    <t>TMEM230</t>
  </si>
  <si>
    <t>MIIP</t>
  </si>
  <si>
    <t>MORF4L2</t>
  </si>
  <si>
    <t>CRNKL1</t>
  </si>
  <si>
    <t>SLC27A3</t>
  </si>
  <si>
    <t>SPECC1</t>
  </si>
  <si>
    <t>SMEK2</t>
  </si>
  <si>
    <t>WDR45B</t>
  </si>
  <si>
    <t>EOGT</t>
  </si>
  <si>
    <t>TBCEL</t>
  </si>
  <si>
    <t>PEX19</t>
  </si>
  <si>
    <t>ATP5F1</t>
  </si>
  <si>
    <t>DCAF10</t>
  </si>
  <si>
    <t>DPM1</t>
  </si>
  <si>
    <t>SRPK1</t>
  </si>
  <si>
    <t>PLEKHA1</t>
  </si>
  <si>
    <t>COX20</t>
  </si>
  <si>
    <t>EXOSC6</t>
  </si>
  <si>
    <t>NPDC1</t>
  </si>
  <si>
    <t>ATAT1</t>
  </si>
  <si>
    <t>CTBP2</t>
  </si>
  <si>
    <t>PRKG1</t>
  </si>
  <si>
    <t>PHYHD1</t>
  </si>
  <si>
    <t>CSNK2B</t>
  </si>
  <si>
    <t>HP1BP3</t>
  </si>
  <si>
    <t>VARS2</t>
  </si>
  <si>
    <t>DNMBP</t>
  </si>
  <si>
    <t>ODR4</t>
  </si>
  <si>
    <t>DNLZ</t>
  </si>
  <si>
    <t>NHSL1</t>
  </si>
  <si>
    <t>CIZ1</t>
  </si>
  <si>
    <t>TDRKH</t>
  </si>
  <si>
    <t>TPRG1L</t>
  </si>
  <si>
    <t>FNBP1L</t>
  </si>
  <si>
    <t>PKIB</t>
  </si>
  <si>
    <t>SH3BGRL3</t>
  </si>
  <si>
    <t>RARS2</t>
  </si>
  <si>
    <t>PYGO2</t>
  </si>
  <si>
    <t>INPP5A</t>
  </si>
  <si>
    <t>THEM4</t>
  </si>
  <si>
    <t>FKBP15</t>
  </si>
  <si>
    <t>DDX59</t>
  </si>
  <si>
    <t>LHPP</t>
  </si>
  <si>
    <t>OTUD3</t>
  </si>
  <si>
    <t>C10orf76</t>
  </si>
  <si>
    <t>PDSS1</t>
  </si>
  <si>
    <t>ARRDC1</t>
  </si>
  <si>
    <t>HEATR1</t>
  </si>
  <si>
    <t>IBA57</t>
  </si>
  <si>
    <t>RBM20</t>
  </si>
  <si>
    <t>UBR4</t>
  </si>
  <si>
    <t>RABGGTB</t>
  </si>
  <si>
    <t>STXBP5</t>
  </si>
  <si>
    <t>SARS</t>
  </si>
  <si>
    <t>KIAA1217</t>
  </si>
  <si>
    <t>ARHGAP21</t>
  </si>
  <si>
    <t>CAMSAP1</t>
  </si>
  <si>
    <t>UBAP2</t>
  </si>
  <si>
    <t>C9orf64</t>
  </si>
  <si>
    <t>FAM69A</t>
  </si>
  <si>
    <t>GORAB</t>
  </si>
  <si>
    <t>ACBD5</t>
  </si>
  <si>
    <t>RBM26</t>
  </si>
  <si>
    <t>SURF4</t>
  </si>
  <si>
    <t>AK1</t>
  </si>
  <si>
    <t>CPSF3L</t>
  </si>
  <si>
    <t>GLTPD1</t>
  </si>
  <si>
    <t>AGO1</t>
  </si>
  <si>
    <t>TTC4</t>
  </si>
  <si>
    <t>ZCCHC11</t>
  </si>
  <si>
    <t>RNASEH2B</t>
  </si>
  <si>
    <t>PTP4A1</t>
  </si>
  <si>
    <t>MAGI3</t>
  </si>
  <si>
    <t>MLK4</t>
  </si>
  <si>
    <t>NQO2</t>
  </si>
  <si>
    <t>C6orf89</t>
  </si>
  <si>
    <t>DDI2</t>
  </si>
  <si>
    <t>NDUFAF5</t>
  </si>
  <si>
    <t>NT5DC1</t>
  </si>
  <si>
    <t>NDRG3</t>
  </si>
  <si>
    <t>PRR14L</t>
  </si>
  <si>
    <t>SLC19A2</t>
  </si>
  <si>
    <t>CROCC</t>
  </si>
  <si>
    <t>LYRM7</t>
  </si>
  <si>
    <t>RIF1</t>
  </si>
  <si>
    <t>VPS53</t>
  </si>
  <si>
    <t>MANEAL</t>
  </si>
  <si>
    <t>STRIP1</t>
  </si>
  <si>
    <t>ABHD17B</t>
  </si>
  <si>
    <t>RPRD2</t>
  </si>
  <si>
    <t>MARC1</t>
  </si>
  <si>
    <t>GHITM</t>
  </si>
  <si>
    <t>RNF20</t>
  </si>
  <si>
    <t>ZNF318</t>
  </si>
  <si>
    <t>OTUD1</t>
  </si>
  <si>
    <t>ARHGEF16</t>
  </si>
  <si>
    <t>CDKAL1</t>
  </si>
  <si>
    <t>ZNF691</t>
  </si>
  <si>
    <t>PLEKHM2</t>
  </si>
  <si>
    <t>YOD1</t>
  </si>
  <si>
    <t>NFIB</t>
  </si>
  <si>
    <t>BROX</t>
  </si>
  <si>
    <t>GPAM</t>
  </si>
  <si>
    <t>SNX30</t>
  </si>
  <si>
    <t>FAM46C</t>
  </si>
  <si>
    <t>LYPLAL1</t>
  </si>
  <si>
    <t>GLIPR2</t>
  </si>
  <si>
    <t>TPP2</t>
  </si>
  <si>
    <t>PFKFB3</t>
  </si>
  <si>
    <t>FAM160B1</t>
  </si>
  <si>
    <t>ZDHHC20</t>
  </si>
  <si>
    <t>SPRYD7</t>
  </si>
  <si>
    <t>NDUFB8</t>
  </si>
  <si>
    <t>QIL1</t>
  </si>
  <si>
    <t>FBXW9</t>
  </si>
  <si>
    <t>CD276</t>
  </si>
  <si>
    <t>FAM21A</t>
  </si>
  <si>
    <t>LPCAT4</t>
  </si>
  <si>
    <t>STEAP3</t>
  </si>
  <si>
    <t>CEP135</t>
  </si>
  <si>
    <t>TBC1D9B</t>
  </si>
  <si>
    <t>DCAF15</t>
  </si>
  <si>
    <t>PPP2R2D</t>
  </si>
  <si>
    <t>ARL6IP4</t>
  </si>
  <si>
    <t>DIEXF</t>
  </si>
  <si>
    <t>GLT8D1</t>
  </si>
  <si>
    <t>NCR3LG1</t>
  </si>
  <si>
    <t>MBLAC2</t>
  </si>
  <si>
    <t>LMBRD2</t>
  </si>
  <si>
    <t>INTS3</t>
  </si>
  <si>
    <t>ARHGAP17</t>
  </si>
  <si>
    <t>CWF19L1</t>
  </si>
  <si>
    <t>C12orf73</t>
  </si>
  <si>
    <t>HEATR6</t>
  </si>
  <si>
    <t>ZNF787</t>
  </si>
  <si>
    <t>RPL7L1</t>
  </si>
  <si>
    <t>NXN</t>
  </si>
  <si>
    <t>TTC19</t>
  </si>
  <si>
    <t>VASN</t>
  </si>
  <si>
    <t>CIAPIN1</t>
  </si>
  <si>
    <t>ZFAND6</t>
  </si>
  <si>
    <t>SMYD5</t>
  </si>
  <si>
    <t>PTRHD1</t>
  </si>
  <si>
    <t>OTUD7B</t>
  </si>
  <si>
    <t>THOC7</t>
  </si>
  <si>
    <t>NADSYN1</t>
  </si>
  <si>
    <t>LAMTOR1</t>
  </si>
  <si>
    <t>DHRS7B</t>
  </si>
  <si>
    <t>TWF2</t>
  </si>
  <si>
    <t>ASPHD2</t>
  </si>
  <si>
    <t>TMEM132E</t>
  </si>
  <si>
    <t>SMEK1</t>
  </si>
  <si>
    <t>TYW3</t>
  </si>
  <si>
    <t>RAB12</t>
  </si>
  <si>
    <t>SDE2</t>
  </si>
  <si>
    <t>EIF5AL1</t>
  </si>
  <si>
    <t>USP3</t>
  </si>
  <si>
    <t>ACAD10</t>
  </si>
  <si>
    <t>NIPBL</t>
  </si>
  <si>
    <t>SLC25A25</t>
  </si>
  <si>
    <t>LIN54</t>
  </si>
  <si>
    <t>NAA16</t>
  </si>
  <si>
    <t>CXorf57</t>
  </si>
  <si>
    <t>PHLDB3</t>
  </si>
  <si>
    <t>SLC18B1</t>
  </si>
  <si>
    <t>SLC25A24</t>
  </si>
  <si>
    <t>RETSAT</t>
  </si>
  <si>
    <t>RINT1</t>
  </si>
  <si>
    <t>TMEM214</t>
  </si>
  <si>
    <t>TCTN3</t>
  </si>
  <si>
    <t>SWSAP1</t>
  </si>
  <si>
    <t>HIBCH</t>
  </si>
  <si>
    <t>ARMC6</t>
  </si>
  <si>
    <t>ANKRD54</t>
  </si>
  <si>
    <t>JMJD6</t>
  </si>
  <si>
    <t>PPP1R18</t>
  </si>
  <si>
    <t>PTRF</t>
  </si>
  <si>
    <t>ZCCHC8</t>
  </si>
  <si>
    <t>RPUSD3</t>
  </si>
  <si>
    <t>MRPL54</t>
  </si>
  <si>
    <t>CDC73</t>
  </si>
  <si>
    <t>PMF1</t>
  </si>
  <si>
    <t>FAM117B</t>
  </si>
  <si>
    <t>MRPL14</t>
  </si>
  <si>
    <t>SLC27A4</t>
  </si>
  <si>
    <t>CC2D1A</t>
  </si>
  <si>
    <t>METTL2B</t>
  </si>
  <si>
    <t>DUS1L</t>
  </si>
  <si>
    <t>MED27</t>
  </si>
  <si>
    <t>EDC4</t>
  </si>
  <si>
    <t>CEP85</t>
  </si>
  <si>
    <t>PRMT10</t>
  </si>
  <si>
    <t>FBXO42</t>
  </si>
  <si>
    <t>SCYL2</t>
  </si>
  <si>
    <t>TTC27</t>
  </si>
  <si>
    <t>MTFR2</t>
  </si>
  <si>
    <t>SFXN4</t>
  </si>
  <si>
    <t>CASC4</t>
  </si>
  <si>
    <t>FDX1L</t>
  </si>
  <si>
    <t>WDR73</t>
  </si>
  <si>
    <t>NFRKB</t>
  </si>
  <si>
    <t>MZT2A</t>
  </si>
  <si>
    <t>FAHD1</t>
  </si>
  <si>
    <t>ALKBH5</t>
  </si>
  <si>
    <t>KIAA1609</t>
  </si>
  <si>
    <t>RSBN1L</t>
  </si>
  <si>
    <t>PGM2L1</t>
  </si>
  <si>
    <t>CTR9</t>
  </si>
  <si>
    <t>AAGAB</t>
  </si>
  <si>
    <t>TTC37</t>
  </si>
  <si>
    <t>C16orf87</t>
  </si>
  <si>
    <t>ULK3</t>
  </si>
  <si>
    <t>DARS2</t>
  </si>
  <si>
    <t>TMEM65</t>
  </si>
  <si>
    <t>TTC33</t>
  </si>
  <si>
    <t>CCDC174</t>
  </si>
  <si>
    <t>HAGHL</t>
  </si>
  <si>
    <t>FIGNL1</t>
  </si>
  <si>
    <t>FBXO46</t>
  </si>
  <si>
    <t>TRIM65</t>
  </si>
  <si>
    <t>BRAT1</t>
  </si>
  <si>
    <t>ZC3H14</t>
  </si>
  <si>
    <t>CNST</t>
  </si>
  <si>
    <t>LARP1</t>
  </si>
  <si>
    <t>TMED8</t>
  </si>
  <si>
    <t>SLC30A9</t>
  </si>
  <si>
    <t>BLOC1S3</t>
  </si>
  <si>
    <t>BLOC1S2</t>
  </si>
  <si>
    <t>AGTRAP</t>
  </si>
  <si>
    <t>METAP1D</t>
  </si>
  <si>
    <t>MTHFD1L</t>
  </si>
  <si>
    <t>AFTPH</t>
  </si>
  <si>
    <t>FIP1L1</t>
  </si>
  <si>
    <t>SASS6</t>
  </si>
  <si>
    <t>MOXD1</t>
  </si>
  <si>
    <t>KDELC1</t>
  </si>
  <si>
    <t>LRSAM1</t>
  </si>
  <si>
    <t>SHISA2</t>
  </si>
  <si>
    <t>DHRS11</t>
  </si>
  <si>
    <t>LCLAT1</t>
  </si>
  <si>
    <t>PET117</t>
  </si>
  <si>
    <t>CWC27</t>
  </si>
  <si>
    <t>DHRS13</t>
  </si>
  <si>
    <t>METTL7B</t>
  </si>
  <si>
    <t>PLXDC2</t>
  </si>
  <si>
    <t>SEZ6L2</t>
  </si>
  <si>
    <t>CRELD2</t>
  </si>
  <si>
    <t>WDR82</t>
  </si>
  <si>
    <t>APOOL</t>
  </si>
  <si>
    <t>PACS1</t>
  </si>
  <si>
    <t>BCOR</t>
  </si>
  <si>
    <t>MPRIP</t>
  </si>
  <si>
    <t>RAB11FIP1</t>
  </si>
  <si>
    <t>NAPRT1</t>
  </si>
  <si>
    <t>PTPLB</t>
  </si>
  <si>
    <t>GIGYF2</t>
  </si>
  <si>
    <t>THADA</t>
  </si>
  <si>
    <t>HSDL2</t>
  </si>
  <si>
    <t>CCBL2</t>
  </si>
  <si>
    <t>CERS6</t>
  </si>
  <si>
    <t>LDHAL6A</t>
  </si>
  <si>
    <t>LIN28B</t>
  </si>
  <si>
    <t>ZNF574</t>
  </si>
  <si>
    <t>NFXL1</t>
  </si>
  <si>
    <t>GDPGP1</t>
  </si>
  <si>
    <t>DPY19L3</t>
  </si>
  <si>
    <t>QSOX2</t>
  </si>
  <si>
    <t>FAM65A</t>
  </si>
  <si>
    <t>C1orf122</t>
  </si>
  <si>
    <t>TMPPE</t>
  </si>
  <si>
    <t>SH3BP1</t>
  </si>
  <si>
    <t>TOM1L2</t>
  </si>
  <si>
    <t>PAXIP1</t>
  </si>
  <si>
    <t>STXBP4</t>
  </si>
  <si>
    <t>TMTC3</t>
  </si>
  <si>
    <t>VPS13C</t>
  </si>
  <si>
    <t>ACAD11</t>
  </si>
  <si>
    <t>MOB2</t>
  </si>
  <si>
    <t>UNC13D</t>
  </si>
  <si>
    <t>IKBIP</t>
  </si>
  <si>
    <t>FRA10AC1</t>
  </si>
  <si>
    <t>UBE2R2</t>
  </si>
  <si>
    <t>MED25</t>
  </si>
  <si>
    <t>H2AFV</t>
  </si>
  <si>
    <t>BTN2A1</t>
  </si>
  <si>
    <t>SUPT6H</t>
  </si>
  <si>
    <t>SND1</t>
  </si>
  <si>
    <t>COX15</t>
  </si>
  <si>
    <t>DDX46</t>
  </si>
  <si>
    <t>RUFY3</t>
  </si>
  <si>
    <t>SV2A</t>
  </si>
  <si>
    <t>TRMT10C</t>
  </si>
  <si>
    <t>BZW1</t>
  </si>
  <si>
    <t>CYB5R4</t>
  </si>
  <si>
    <t>ASRGL1</t>
  </si>
  <si>
    <t>KCTD9</t>
  </si>
  <si>
    <t>EIF3M</t>
  </si>
  <si>
    <t>MEPCE</t>
  </si>
  <si>
    <t>ZNF771</t>
  </si>
  <si>
    <t>RSRC2</t>
  </si>
  <si>
    <t>RRAGA</t>
  </si>
  <si>
    <t>NDUFAF7</t>
  </si>
  <si>
    <t>LPCAT2</t>
  </si>
  <si>
    <t>ENOSF1</t>
  </si>
  <si>
    <t>DHX32</t>
  </si>
  <si>
    <t>TAOK1</t>
  </si>
  <si>
    <t>ATPBD4</t>
  </si>
  <si>
    <t>LINGO2</t>
  </si>
  <si>
    <t>KDM3B</t>
  </si>
  <si>
    <t>CHMP1B</t>
  </si>
  <si>
    <t>RRM2B</t>
  </si>
  <si>
    <t>NIPA1</t>
  </si>
  <si>
    <t>MICAL3</t>
  </si>
  <si>
    <t>PHF5A</t>
  </si>
  <si>
    <t>GPRIN1</t>
  </si>
  <si>
    <t>ZC3HAV1</t>
  </si>
  <si>
    <t>EFTUD1</t>
  </si>
  <si>
    <t>FAM122B</t>
  </si>
  <si>
    <t>ATG9A</t>
  </si>
  <si>
    <t>LYSMD3</t>
  </si>
  <si>
    <t>C10orf118</t>
  </si>
  <si>
    <t>POGZ</t>
  </si>
  <si>
    <t>MIER3</t>
  </si>
  <si>
    <t>ZFYVE16</t>
  </si>
  <si>
    <t>NUFIP2</t>
  </si>
  <si>
    <t>SZRD1</t>
  </si>
  <si>
    <t>MAVS</t>
  </si>
  <si>
    <t>TRMT11</t>
  </si>
  <si>
    <t>HDDC2</t>
  </si>
  <si>
    <t>HAUS6</t>
  </si>
  <si>
    <t>KDELC2</t>
  </si>
  <si>
    <t>TRIM46</t>
  </si>
  <si>
    <t>HEATR3</t>
  </si>
  <si>
    <t>HDGFRP2</t>
  </si>
  <si>
    <t>DCXR</t>
  </si>
  <si>
    <t>GOLGA7</t>
  </si>
  <si>
    <t>WAPAL</t>
  </si>
  <si>
    <t>R3HCC1L</t>
  </si>
  <si>
    <t>IRF2BP2</t>
  </si>
  <si>
    <t>BCDIN3D</t>
  </si>
  <si>
    <t>KCTD20</t>
  </si>
  <si>
    <t>CAMKMT</t>
  </si>
  <si>
    <t>SRGAP1</t>
  </si>
  <si>
    <t>RBBP6</t>
  </si>
  <si>
    <t>C5orf24</t>
  </si>
  <si>
    <t>SH3RF1</t>
  </si>
  <si>
    <t>UBE3D</t>
  </si>
  <si>
    <t>TSEN54</t>
  </si>
  <si>
    <t>PTAR1</t>
  </si>
  <si>
    <t>TECPR1</t>
  </si>
  <si>
    <t>RABEPK</t>
  </si>
  <si>
    <t>MTERFD2</t>
  </si>
  <si>
    <t>ADAT2</t>
  </si>
  <si>
    <t>HUWE1</t>
  </si>
  <si>
    <t>CTU1</t>
  </si>
  <si>
    <t>TAF8</t>
  </si>
  <si>
    <t>UBE2Q1</t>
  </si>
  <si>
    <t>KIAA0907</t>
  </si>
  <si>
    <t>TMED4</t>
  </si>
  <si>
    <t>SLFN11</t>
  </si>
  <si>
    <t>C11orf96</t>
  </si>
  <si>
    <t>GALNT5</t>
  </si>
  <si>
    <t>TMEM179B</t>
  </si>
  <si>
    <t>GALNT7</t>
  </si>
  <si>
    <t>SCD5</t>
  </si>
  <si>
    <t>SDCCAG8</t>
  </si>
  <si>
    <t>DHDDS</t>
  </si>
  <si>
    <t>GLRX5</t>
  </si>
  <si>
    <t>TMEM55B</t>
  </si>
  <si>
    <t>MOB3B</t>
  </si>
  <si>
    <t>PATL1</t>
  </si>
  <si>
    <t>PEG10</t>
  </si>
  <si>
    <t>DPP9</t>
  </si>
  <si>
    <t>TRPT1</t>
  </si>
  <si>
    <t>PRUNE</t>
  </si>
  <si>
    <t>SETD3</t>
  </si>
  <si>
    <t>LGMN</t>
  </si>
  <si>
    <t>ADCK1</t>
  </si>
  <si>
    <t>ISCA2</t>
  </si>
  <si>
    <t>METTL3</t>
  </si>
  <si>
    <t>LDB1</t>
  </si>
  <si>
    <t>YRDC</t>
  </si>
  <si>
    <t>PRPF39</t>
  </si>
  <si>
    <t>SAPCD2</t>
  </si>
  <si>
    <t>MTDH</t>
  </si>
  <si>
    <t>TLK2</t>
  </si>
  <si>
    <t>ZNF598</t>
  </si>
  <si>
    <t>AGPAT6</t>
  </si>
  <si>
    <t>RTN4RL2</t>
  </si>
  <si>
    <t>KTN1</t>
  </si>
  <si>
    <t>SMG6</t>
  </si>
  <si>
    <t>BCL9L</t>
  </si>
  <si>
    <t>PHLDB1</t>
  </si>
  <si>
    <t>USP48</t>
  </si>
  <si>
    <t>FERMT3</t>
  </si>
  <si>
    <t>TXNDC5</t>
  </si>
  <si>
    <t>NT5DC3</t>
  </si>
  <si>
    <t>AACS</t>
  </si>
  <si>
    <t>ADIPOR2</t>
  </si>
  <si>
    <t>LUZP1</t>
  </si>
  <si>
    <t>GPR180</t>
  </si>
  <si>
    <t>FAM160B2</t>
  </si>
  <si>
    <t>C11orf74</t>
  </si>
  <si>
    <t>VPS36</t>
  </si>
  <si>
    <t>CAND1</t>
  </si>
  <si>
    <t>GLCCI1</t>
  </si>
  <si>
    <t>WASF3</t>
  </si>
  <si>
    <t>FAM134C</t>
  </si>
  <si>
    <t>HOOK3</t>
  </si>
  <si>
    <t>COMTD1</t>
  </si>
  <si>
    <t>TPRA1</t>
  </si>
  <si>
    <t>THOC6</t>
  </si>
  <si>
    <t>METTL16</t>
  </si>
  <si>
    <t>PARG</t>
  </si>
  <si>
    <t>PPFIBP1</t>
  </si>
  <si>
    <t>BPHL</t>
  </si>
  <si>
    <t>CHD1L</t>
  </si>
  <si>
    <t>NR2C2AP</t>
  </si>
  <si>
    <t>CCDC25</t>
  </si>
  <si>
    <t>PROSER2</t>
  </si>
  <si>
    <t>TMEM173</t>
  </si>
  <si>
    <t>CCDC43</t>
  </si>
  <si>
    <t>CDR2L</t>
  </si>
  <si>
    <t>RALGPS2</t>
  </si>
  <si>
    <t>ERICH1</t>
  </si>
  <si>
    <t>CARM1</t>
  </si>
  <si>
    <t>NIT1</t>
  </si>
  <si>
    <t>COMMD2</t>
  </si>
  <si>
    <t>SFR1</t>
  </si>
  <si>
    <t>DDX42</t>
  </si>
  <si>
    <t>CACUL1</t>
  </si>
  <si>
    <t>HEATR2</t>
  </si>
  <si>
    <t>STX12</t>
  </si>
  <si>
    <t>ERO1LB</t>
  </si>
  <si>
    <t>PDSS2</t>
  </si>
  <si>
    <t>TDRP</t>
  </si>
  <si>
    <t>GPSM1</t>
  </si>
  <si>
    <t>RAB11FIP4</t>
  </si>
  <si>
    <t>SGK223</t>
  </si>
  <si>
    <t>HPS6</t>
  </si>
  <si>
    <t>IRF2BP1</t>
  </si>
  <si>
    <t>CAMK1D</t>
  </si>
  <si>
    <t>GALNT13</t>
  </si>
  <si>
    <t>MINA</t>
  </si>
  <si>
    <t>ZDHHC13</t>
  </si>
  <si>
    <t>CRLF3</t>
  </si>
  <si>
    <t>TRAPPC5</t>
  </si>
  <si>
    <t>RELL1</t>
  </si>
  <si>
    <t>TMEM126B</t>
  </si>
  <si>
    <t>TBC1D10C</t>
  </si>
  <si>
    <t>PLD3</t>
  </si>
  <si>
    <t>ANKMY2</t>
  </si>
  <si>
    <t>VRK3</t>
  </si>
  <si>
    <t>LIX1L</t>
  </si>
  <si>
    <t>NUDCD3</t>
  </si>
  <si>
    <t>AHNAK2</t>
  </si>
  <si>
    <t>ANKRD18A</t>
  </si>
  <si>
    <t>MAP4K3</t>
  </si>
  <si>
    <t>CCDC50</t>
  </si>
  <si>
    <t>MCAT</t>
  </si>
  <si>
    <t>ARID3B</t>
  </si>
  <si>
    <t>CARKD</t>
  </si>
  <si>
    <t>MFN1</t>
  </si>
  <si>
    <t>ITPRIP</t>
  </si>
  <si>
    <t>WDFY1</t>
  </si>
  <si>
    <t>TEX2</t>
  </si>
  <si>
    <t>MAP7D3</t>
  </si>
  <si>
    <t>DCUN1D3</t>
  </si>
  <si>
    <t>DENND6A</t>
  </si>
  <si>
    <t>MGA</t>
  </si>
  <si>
    <t>GCC2</t>
  </si>
  <si>
    <t>HSCB</t>
  </si>
  <si>
    <t>CCDC28A</t>
  </si>
  <si>
    <t>LMTK2</t>
  </si>
  <si>
    <t>UBR2</t>
  </si>
  <si>
    <t>ARHGAP12</t>
  </si>
  <si>
    <t>ANKHD1</t>
  </si>
  <si>
    <t>SUGP1</t>
  </si>
  <si>
    <t>CCAR1</t>
  </si>
  <si>
    <t>DHX40</t>
  </si>
  <si>
    <t>SKA3</t>
  </si>
  <si>
    <t>DNAJC10</t>
  </si>
  <si>
    <t>RHOT2</t>
  </si>
  <si>
    <t>RHOT1</t>
  </si>
  <si>
    <t>SIRT2</t>
  </si>
  <si>
    <t>C9orf40</t>
  </si>
  <si>
    <t>KIAA1704</t>
  </si>
  <si>
    <t>METTL20</t>
  </si>
  <si>
    <t>RPAP2</t>
  </si>
  <si>
    <t>PPAPDC2</t>
  </si>
  <si>
    <t>DHX37</t>
  </si>
  <si>
    <t>TMEM192</t>
  </si>
  <si>
    <t>MB21D2</t>
  </si>
  <si>
    <t>SMAP1</t>
  </si>
  <si>
    <t>DIS3L2</t>
  </si>
  <si>
    <t>SUPV3L1</t>
  </si>
  <si>
    <t>ZNF595</t>
  </si>
  <si>
    <t>GSPT2</t>
  </si>
  <si>
    <t>ZZZ3</t>
  </si>
  <si>
    <t>EXOC8</t>
  </si>
  <si>
    <t>C1orf174</t>
  </si>
  <si>
    <t>TCEAL8</t>
  </si>
  <si>
    <t>THNSL1</t>
  </si>
  <si>
    <t>SMYD4</t>
  </si>
  <si>
    <t>PM20D2</t>
  </si>
  <si>
    <t>KIAA2013</t>
  </si>
  <si>
    <t>HACE1</t>
  </si>
  <si>
    <t>ANKRD13A</t>
  </si>
  <si>
    <t>C5orf54</t>
  </si>
  <si>
    <t>PHACTR4</t>
  </si>
  <si>
    <t>RASEF</t>
  </si>
  <si>
    <t>MTX2</t>
  </si>
  <si>
    <t>RPUSD2</t>
  </si>
  <si>
    <t>KIAA0319L</t>
  </si>
  <si>
    <t>DCP1B</t>
  </si>
  <si>
    <t>UNC5B</t>
  </si>
  <si>
    <t>ZDHHC14</t>
  </si>
  <si>
    <t>CMTM4</t>
  </si>
  <si>
    <t>RDH10</t>
  </si>
  <si>
    <t>C8orf59</t>
  </si>
  <si>
    <t>VKORC1L1</t>
  </si>
  <si>
    <t>FUK</t>
  </si>
  <si>
    <t>CLYBL</t>
  </si>
  <si>
    <t>SPG20</t>
  </si>
  <si>
    <t>SPICE1</t>
  </si>
  <si>
    <t>TTC5</t>
  </si>
  <si>
    <t>MIER1</t>
  </si>
  <si>
    <t>CNPY4</t>
  </si>
  <si>
    <t>NDUFAF2</t>
  </si>
  <si>
    <t>VPS52</t>
  </si>
  <si>
    <t>NUP93</t>
  </si>
  <si>
    <t>FTSJD2</t>
  </si>
  <si>
    <t>LRRC47</t>
  </si>
  <si>
    <t>CA13</t>
  </si>
  <si>
    <t>ARMC10</t>
  </si>
  <si>
    <t>GHDC</t>
  </si>
  <si>
    <t>ABHD12</t>
  </si>
  <si>
    <t>PIAS4</t>
  </si>
  <si>
    <t>APITD1</t>
  </si>
  <si>
    <t>CCDC23</t>
  </si>
  <si>
    <t>GPD1L</t>
  </si>
  <si>
    <t>MIER2</t>
  </si>
  <si>
    <t>KDM8</t>
  </si>
  <si>
    <t>ARHGAP18</t>
  </si>
  <si>
    <t>EHBP1L1</t>
  </si>
  <si>
    <t>MICALL1</t>
  </si>
  <si>
    <t>MPP5</t>
  </si>
  <si>
    <t>FNBP4</t>
  </si>
  <si>
    <t>D2HGDH</t>
  </si>
  <si>
    <t>RYBP</t>
  </si>
  <si>
    <t>PNKD</t>
  </si>
  <si>
    <t>MINK1</t>
  </si>
  <si>
    <t>HDDC3</t>
  </si>
  <si>
    <t>ZADH2</t>
  </si>
  <si>
    <t>CHCHD4</t>
  </si>
  <si>
    <t>MMGT1</t>
  </si>
  <si>
    <t>AFAP1</t>
  </si>
  <si>
    <t>OXR1</t>
  </si>
  <si>
    <t>TTC39C</t>
  </si>
  <si>
    <t>ZGPAT</t>
  </si>
  <si>
    <t>DTWD1</t>
  </si>
  <si>
    <t>SMIM20</t>
  </si>
  <si>
    <t>C12orf45</t>
  </si>
  <si>
    <t>CISD2</t>
  </si>
  <si>
    <t>JAGN1</t>
  </si>
  <si>
    <t>MRPL50</t>
  </si>
  <si>
    <t>EIF4E3</t>
  </si>
  <si>
    <t>FAM160A2</t>
  </si>
  <si>
    <t>C10orf12</t>
  </si>
  <si>
    <t>CPSF7</t>
  </si>
  <si>
    <t>SLC15A4</t>
  </si>
  <si>
    <t>ARFGAP2</t>
  </si>
  <si>
    <t>OTUD6B</t>
  </si>
  <si>
    <t>C1orf52</t>
  </si>
  <si>
    <t>ACBD7</t>
  </si>
  <si>
    <t>TOM1L1</t>
  </si>
  <si>
    <t>EMC1</t>
  </si>
  <si>
    <t>PAF1</t>
  </si>
  <si>
    <t>CCNYL1</t>
  </si>
  <si>
    <t>UBR7</t>
  </si>
  <si>
    <t>C4orf32</t>
  </si>
  <si>
    <t>PTGR2</t>
  </si>
  <si>
    <t>C2orf69</t>
  </si>
  <si>
    <t>ARL14EP</t>
  </si>
  <si>
    <t>ENAH</t>
  </si>
  <si>
    <t>DCBLD1</t>
  </si>
  <si>
    <t>GPATCH11</t>
  </si>
  <si>
    <t>MRPL43</t>
  </si>
  <si>
    <t>C12orf29</t>
  </si>
  <si>
    <t>JMY</t>
  </si>
  <si>
    <t>PTK2</t>
  </si>
  <si>
    <t>GDPD1</t>
  </si>
  <si>
    <t>LRRC57</t>
  </si>
  <si>
    <t>EIF1AD</t>
  </si>
  <si>
    <t>TC2N</t>
  </si>
  <si>
    <t>WDSUB1</t>
  </si>
  <si>
    <t>ZNF579</t>
  </si>
  <si>
    <t>PRPF38A</t>
  </si>
  <si>
    <t>ZNF511</t>
  </si>
  <si>
    <t>PDDC1</t>
  </si>
  <si>
    <t>ATP11C</t>
  </si>
  <si>
    <t>DTWD2</t>
  </si>
  <si>
    <t>NHLRC2</t>
  </si>
  <si>
    <t>AVL9</t>
  </si>
  <si>
    <t>XXYLT1</t>
  </si>
  <si>
    <t>GOLM1</t>
  </si>
  <si>
    <t>COLGALT1</t>
  </si>
  <si>
    <t>SUMF1</t>
  </si>
  <si>
    <t>POGLUT1</t>
  </si>
  <si>
    <t>UBAC2</t>
  </si>
  <si>
    <t>TMEM87A</t>
  </si>
  <si>
    <t>RDH13</t>
  </si>
  <si>
    <t>ATAD1</t>
  </si>
  <si>
    <t>SCCPDH</t>
  </si>
  <si>
    <t>SERBP1</t>
  </si>
  <si>
    <t>KCT2</t>
  </si>
  <si>
    <t>LEMD2</t>
  </si>
  <si>
    <t>PLA2G15</t>
  </si>
  <si>
    <t>TSEN2</t>
  </si>
  <si>
    <t>MTMR14</t>
  </si>
  <si>
    <t>NFATC2IP</t>
  </si>
  <si>
    <t>CHST14</t>
  </si>
  <si>
    <t>DYNC2H1</t>
  </si>
  <si>
    <t>PDPR</t>
  </si>
  <si>
    <t>APOA1BP</t>
  </si>
  <si>
    <t>SMG8</t>
  </si>
  <si>
    <t>RNF214</t>
  </si>
  <si>
    <t>LSM14A</t>
  </si>
  <si>
    <t>CCNY</t>
  </si>
  <si>
    <t>MAPK1IP1L</t>
  </si>
  <si>
    <t>NPEPL1</t>
  </si>
  <si>
    <t>EHBP1</t>
  </si>
  <si>
    <t>C3orf58</t>
  </si>
  <si>
    <t>CNNM3</t>
  </si>
  <si>
    <t>CHDH</t>
  </si>
  <si>
    <t>ABCF1</t>
  </si>
  <si>
    <t>MCU</t>
  </si>
  <si>
    <t>GSTCD</t>
  </si>
  <si>
    <t>SRFBP1</t>
  </si>
  <si>
    <t>PDZD8</t>
  </si>
  <si>
    <t>APPL2</t>
  </si>
  <si>
    <t>NAV1</t>
  </si>
  <si>
    <t>FBXO22</t>
  </si>
  <si>
    <t>LPCAT1</t>
  </si>
  <si>
    <t>BOD1L1</t>
  </si>
  <si>
    <t>FLAD1</t>
  </si>
  <si>
    <t>FLCN</t>
  </si>
  <si>
    <t>NUP43</t>
  </si>
  <si>
    <t>NUP37</t>
  </si>
  <si>
    <t>NUDT10</t>
  </si>
  <si>
    <t>TOR1AIP2</t>
  </si>
  <si>
    <t>IPMK</t>
  </si>
  <si>
    <t>ABHD11</t>
  </si>
  <si>
    <t>STXBP6</t>
  </si>
  <si>
    <t>NLGN2</t>
  </si>
  <si>
    <t>CADM4</t>
  </si>
  <si>
    <t>HELB</t>
  </si>
  <si>
    <t>TTL</t>
  </si>
  <si>
    <t>SVIP</t>
  </si>
  <si>
    <t>ZNRF2</t>
  </si>
  <si>
    <t>PLBD2</t>
  </si>
  <si>
    <t>TDRD7</t>
  </si>
  <si>
    <t>NEDD1</t>
  </si>
  <si>
    <t>CDC26</t>
  </si>
  <si>
    <t>NCOA7</t>
  </si>
  <si>
    <t>MCFD2</t>
  </si>
  <si>
    <t>THOC2</t>
  </si>
  <si>
    <t>WDR36</t>
  </si>
  <si>
    <t>PPTC7</t>
  </si>
  <si>
    <t>ADCK3</t>
  </si>
  <si>
    <t>RP9</t>
  </si>
  <si>
    <t>GRPEL2</t>
  </si>
  <si>
    <t>VANGL1</t>
  </si>
  <si>
    <t>PPP1R14C</t>
  </si>
  <si>
    <t>GADD45GIP1</t>
  </si>
  <si>
    <t>WDR48</t>
  </si>
  <si>
    <t>PPP1R35</t>
  </si>
  <si>
    <t>NPLOC4</t>
  </si>
  <si>
    <t>FAM110D</t>
  </si>
  <si>
    <t>CXorf38</t>
  </si>
  <si>
    <t>GDAP1</t>
  </si>
  <si>
    <t>NUBPL</t>
  </si>
  <si>
    <t>FBXO30</t>
  </si>
  <si>
    <t>SLC35B2</t>
  </si>
  <si>
    <t>GOLGA5</t>
  </si>
  <si>
    <t>KLHDC4</t>
  </si>
  <si>
    <t>UBA3</t>
  </si>
  <si>
    <t>NANP</t>
  </si>
  <si>
    <t>SLC25A40</t>
  </si>
  <si>
    <t>PIP4K2C</t>
  </si>
  <si>
    <t>TRMT10A</t>
  </si>
  <si>
    <t>TBC1D15</t>
  </si>
  <si>
    <t>RDH11</t>
  </si>
  <si>
    <t>TMEM163</t>
  </si>
  <si>
    <t>SPATA18</t>
  </si>
  <si>
    <t>C18orf32</t>
  </si>
  <si>
    <t>NT5C</t>
  </si>
  <si>
    <t>KIAA1524</t>
  </si>
  <si>
    <t>PNPT1</t>
  </si>
  <si>
    <t>HM13</t>
  </si>
  <si>
    <t>BICD2</t>
  </si>
  <si>
    <t>NEK9</t>
  </si>
  <si>
    <t>GPT2</t>
  </si>
  <si>
    <t>DDX54</t>
  </si>
  <si>
    <t>BLOC1S5</t>
  </si>
  <si>
    <t>GNPDA2</t>
  </si>
  <si>
    <t>NEK7</t>
  </si>
  <si>
    <t>RB1CC1</t>
  </si>
  <si>
    <t>MICAL1</t>
  </si>
  <si>
    <t>PANK1</t>
  </si>
  <si>
    <t>SSH3</t>
  </si>
  <si>
    <t>NSUN6</t>
  </si>
  <si>
    <t>DTD1</t>
  </si>
  <si>
    <t>DCAF11</t>
  </si>
  <si>
    <t>DENND1A</t>
  </si>
  <si>
    <t>NUP210</t>
  </si>
  <si>
    <t>GEMIN5</t>
  </si>
  <si>
    <t>PIGO</t>
  </si>
  <si>
    <t>SMCR8</t>
  </si>
  <si>
    <t>PARD3</t>
  </si>
  <si>
    <t>IPO4</t>
  </si>
  <si>
    <t>USP33</t>
  </si>
  <si>
    <t>PNISR</t>
  </si>
  <si>
    <t>PPP4R1</t>
  </si>
  <si>
    <t>WIPF2</t>
  </si>
  <si>
    <t>SETD7</t>
  </si>
  <si>
    <t>FAM222B</t>
  </si>
  <si>
    <t>SMAP2</t>
  </si>
  <si>
    <t>ZC3H15</t>
  </si>
  <si>
    <t>PPIL4</t>
  </si>
  <si>
    <t>PHF10</t>
  </si>
  <si>
    <t>RAB2B</t>
  </si>
  <si>
    <t>CHPT1</t>
  </si>
  <si>
    <t>PPP1R13L</t>
  </si>
  <si>
    <t>FAM172A</t>
  </si>
  <si>
    <t>C12orf23</t>
  </si>
  <si>
    <t>CYB5D2</t>
  </si>
  <si>
    <t>PTPMT1</t>
  </si>
  <si>
    <t>PDCD6IP</t>
  </si>
  <si>
    <t>FBLIM1</t>
  </si>
  <si>
    <t>C15orf40</t>
  </si>
  <si>
    <t>CHAC2</t>
  </si>
  <si>
    <t>CHMP7</t>
  </si>
  <si>
    <t>THEM6</t>
  </si>
  <si>
    <t>NAT14</t>
  </si>
  <si>
    <t>NSMCE1</t>
  </si>
  <si>
    <t>NUDT8</t>
  </si>
  <si>
    <t>MITD1</t>
  </si>
  <si>
    <t>LEO1</t>
  </si>
  <si>
    <t>RNF138</t>
  </si>
  <si>
    <t>N6AMT2</t>
  </si>
  <si>
    <t>NUDCD2</t>
  </si>
  <si>
    <t>SNRNP27</t>
  </si>
  <si>
    <t>SKA2</t>
  </si>
  <si>
    <t>ANKRD49</t>
  </si>
  <si>
    <t>TFB1M</t>
  </si>
  <si>
    <t>SCFD1</t>
  </si>
  <si>
    <t>FAR1</t>
  </si>
  <si>
    <t>UBLCP1</t>
  </si>
  <si>
    <t>TSEN15</t>
  </si>
  <si>
    <t>PCNP</t>
  </si>
  <si>
    <t>SPRYD4</t>
  </si>
  <si>
    <t>C2orf47</t>
  </si>
  <si>
    <t>TRUB1</t>
  </si>
  <si>
    <t>RTN4IP1</t>
  </si>
  <si>
    <t>SELM</t>
  </si>
  <si>
    <t>NELFB</t>
  </si>
  <si>
    <t>PALLD</t>
  </si>
  <si>
    <t>RUFY2</t>
  </si>
  <si>
    <t>SREK1</t>
  </si>
  <si>
    <t>GEMIN6</t>
  </si>
  <si>
    <t>CASKIN2</t>
  </si>
  <si>
    <t>PSPC1</t>
  </si>
  <si>
    <t>GATAD2B</t>
  </si>
  <si>
    <t>DNAJC9</t>
  </si>
  <si>
    <t>AUTS2</t>
  </si>
  <si>
    <t>BRI3BP</t>
  </si>
  <si>
    <t>PPM1E</t>
  </si>
  <si>
    <t>THAP4</t>
  </si>
  <si>
    <t>CTNNBL1</t>
  </si>
  <si>
    <t>OVCA2</t>
  </si>
  <si>
    <t>IRGQ</t>
  </si>
  <si>
    <t>DDB2</t>
  </si>
  <si>
    <t>DDX1</t>
  </si>
  <si>
    <t>HSD17B8</t>
  </si>
  <si>
    <t>FAM3C</t>
  </si>
  <si>
    <t>H1FX</t>
  </si>
  <si>
    <t>CCT6B</t>
  </si>
  <si>
    <t>GBF1</t>
  </si>
  <si>
    <t>RTF1</t>
  </si>
  <si>
    <t>TM9SF4</t>
  </si>
  <si>
    <t>TOPBP1</t>
  </si>
  <si>
    <t>MRPS27</t>
  </si>
  <si>
    <t>WASF1</t>
  </si>
  <si>
    <t>UBXN4</t>
  </si>
  <si>
    <t>PHF3</t>
  </si>
  <si>
    <t>MAML1</t>
  </si>
  <si>
    <t>NDRG1</t>
  </si>
  <si>
    <t>HSPH1</t>
  </si>
  <si>
    <t>LPGAT1</t>
  </si>
  <si>
    <t>GCN1L1</t>
  </si>
  <si>
    <t>DHX38</t>
  </si>
  <si>
    <t>NUP205</t>
  </si>
  <si>
    <t>TTC9</t>
  </si>
  <si>
    <t>ANKS1A</t>
  </si>
  <si>
    <t>MRPS31</t>
  </si>
  <si>
    <t>AKAP1</t>
  </si>
  <si>
    <t>NRGN</t>
  </si>
  <si>
    <t>ANP32B</t>
  </si>
  <si>
    <t>PVRL2</t>
  </si>
  <si>
    <t>RABGGTA</t>
  </si>
  <si>
    <t>TFG</t>
  </si>
  <si>
    <t>ARPC1A</t>
  </si>
  <si>
    <t>STAM</t>
  </si>
  <si>
    <t>LEPREL4</t>
  </si>
  <si>
    <t>CREBBP</t>
  </si>
  <si>
    <t>SYMPK</t>
  </si>
  <si>
    <t>TAF15</t>
  </si>
  <si>
    <t>GOLGA1</t>
  </si>
  <si>
    <t>GGH</t>
  </si>
  <si>
    <t>RPGR</t>
  </si>
  <si>
    <t>BCL2L2</t>
  </si>
  <si>
    <t>KIFAP3</t>
  </si>
  <si>
    <t>PMM1</t>
  </si>
  <si>
    <t>RAD50</t>
  </si>
  <si>
    <t>OSTF1</t>
  </si>
  <si>
    <t>ARHGEF1</t>
  </si>
  <si>
    <t>ERCC4</t>
  </si>
  <si>
    <t>UFD1L</t>
  </si>
  <si>
    <t>GLG1</t>
  </si>
  <si>
    <t>UPF1</t>
  </si>
  <si>
    <t>COPS5</t>
  </si>
  <si>
    <t>GPKOW</t>
  </si>
  <si>
    <t>SMARCC1</t>
  </si>
  <si>
    <t>RAB8B</t>
  </si>
  <si>
    <t>BAD</t>
  </si>
  <si>
    <t>KHSRP</t>
  </si>
  <si>
    <t>GCDH</t>
  </si>
  <si>
    <t>PEX13</t>
  </si>
  <si>
    <t>TNPO1</t>
  </si>
  <si>
    <t>EMG1</t>
  </si>
  <si>
    <t>GLMN</t>
  </si>
  <si>
    <t>USP13</t>
  </si>
  <si>
    <t>USP9X</t>
  </si>
  <si>
    <t>CUL5</t>
  </si>
  <si>
    <t>LPP</t>
  </si>
  <si>
    <t>HIST1H2AC</t>
  </si>
  <si>
    <t>HIST1H2BH</t>
  </si>
  <si>
    <t>SCAMP4</t>
  </si>
  <si>
    <t>TSR2</t>
  </si>
  <si>
    <t>NKD2</t>
  </si>
  <si>
    <t>RFK</t>
  </si>
  <si>
    <t>C19orf10</t>
  </si>
  <si>
    <t>RNF34</t>
  </si>
  <si>
    <t>YIPF5</t>
  </si>
  <si>
    <t>PIGT</t>
  </si>
  <si>
    <t>IGSF8</t>
  </si>
  <si>
    <t>RPL36AL</t>
  </si>
  <si>
    <t>RAB24</t>
  </si>
  <si>
    <t>NEIL2</t>
  </si>
  <si>
    <t>ZNF622</t>
  </si>
  <si>
    <t>GFM2</t>
  </si>
  <si>
    <t>NT5C3B</t>
  </si>
  <si>
    <t>PSMG2</t>
  </si>
  <si>
    <t>NCLN</t>
  </si>
  <si>
    <t>ERGIC1</t>
  </si>
  <si>
    <t>GTPBP3</t>
  </si>
  <si>
    <t>TBRG4</t>
  </si>
  <si>
    <t>MARC2</t>
  </si>
  <si>
    <t>CCDC102A</t>
  </si>
  <si>
    <t>CCDC47</t>
  </si>
  <si>
    <t>SLC25A28</t>
  </si>
  <si>
    <t>SYAP1</t>
  </si>
  <si>
    <t>EXOC4</t>
  </si>
  <si>
    <t>KIAA1191</t>
  </si>
  <si>
    <t>ISOC2</t>
  </si>
  <si>
    <t>NTAN1</t>
  </si>
  <si>
    <t>FERMT2</t>
  </si>
  <si>
    <t>PNPLA2</t>
  </si>
  <si>
    <t>FUBP1</t>
  </si>
  <si>
    <t>LRRC59</t>
  </si>
  <si>
    <t>VTI1A</t>
  </si>
  <si>
    <t>MCUR1</t>
  </si>
  <si>
    <t>KIAA1143</t>
  </si>
  <si>
    <t>RPE</t>
  </si>
  <si>
    <t>FKBP10</t>
  </si>
  <si>
    <t>RAD51AP1</t>
  </si>
  <si>
    <t>C18orf25</t>
  </si>
  <si>
    <t>EXOSC8</t>
  </si>
  <si>
    <t>AKT1S1</t>
  </si>
  <si>
    <t>C10orf32</t>
  </si>
  <si>
    <t>TOMM6</t>
  </si>
  <si>
    <t>LENG9</t>
  </si>
  <si>
    <t>SH3KBP1</t>
  </si>
  <si>
    <t>PHF21A</t>
  </si>
  <si>
    <t>SKA1</t>
  </si>
  <si>
    <t>RNF25</t>
  </si>
  <si>
    <t>PINX1</t>
  </si>
  <si>
    <t>ARL8A</t>
  </si>
  <si>
    <t>FAM105B</t>
  </si>
  <si>
    <t>CHCHD1</t>
  </si>
  <si>
    <t>PPWD1</t>
  </si>
  <si>
    <t>SELRC1</t>
  </si>
  <si>
    <t>ALKBH8</t>
  </si>
  <si>
    <t>PTER</t>
  </si>
  <si>
    <t>ATG2B</t>
  </si>
  <si>
    <t>LENG1</t>
  </si>
  <si>
    <t>TBC1D20</t>
  </si>
  <si>
    <t>EFHD2</t>
  </si>
  <si>
    <t>GALM</t>
  </si>
  <si>
    <t>RUNDC1</t>
  </si>
  <si>
    <t>PYCR2</t>
  </si>
  <si>
    <t>C12orf43</t>
  </si>
  <si>
    <t>DCPS</t>
  </si>
  <si>
    <t>PPP1R14B</t>
  </si>
  <si>
    <t>SDCCAG3</t>
  </si>
  <si>
    <t>NSUN4</t>
  </si>
  <si>
    <t>CHMP4C</t>
  </si>
  <si>
    <t>TIFA</t>
  </si>
  <si>
    <t>ISOC1</t>
  </si>
  <si>
    <t>GCC1</t>
  </si>
  <si>
    <t>FLYWCH2</t>
  </si>
  <si>
    <t>HAUS1</t>
  </si>
  <si>
    <t>FAF2</t>
  </si>
  <si>
    <t>CCDC124</t>
  </si>
  <si>
    <t>FOXRED1</t>
  </si>
  <si>
    <t>OPTN</t>
  </si>
  <si>
    <t>AP2M1</t>
  </si>
  <si>
    <t>TUBGCP3</t>
  </si>
  <si>
    <t>SLC7A6OS</t>
  </si>
  <si>
    <t>KCTD12</t>
  </si>
  <si>
    <t>LRRC58</t>
  </si>
  <si>
    <t>C10orf35</t>
  </si>
  <si>
    <t>ADCK4</t>
  </si>
  <si>
    <t>REPS1</t>
  </si>
  <si>
    <t>DNAJC19</t>
  </si>
  <si>
    <t>NUDT16</t>
  </si>
  <si>
    <t>ANAPC16</t>
  </si>
  <si>
    <t>DGCR14</t>
  </si>
  <si>
    <t>CMBL</t>
  </si>
  <si>
    <t>ARHGEF26</t>
  </si>
  <si>
    <t>ATG4C</t>
  </si>
  <si>
    <t>ZBTB10</t>
  </si>
  <si>
    <t>ERLEC1</t>
  </si>
  <si>
    <t>FAM122A</t>
  </si>
  <si>
    <t>MRRF</t>
  </si>
  <si>
    <t>RMI2</t>
  </si>
  <si>
    <t>NUS1</t>
  </si>
  <si>
    <t>OMA1</t>
  </si>
  <si>
    <t>SPDL1</t>
  </si>
  <si>
    <t>ELP4</t>
  </si>
  <si>
    <t>SIRT1</t>
  </si>
  <si>
    <t>YIPF6</t>
  </si>
  <si>
    <t>SEH1L</t>
  </si>
  <si>
    <t>TCEAL4</t>
  </si>
  <si>
    <t>KIAA1279</t>
  </si>
  <si>
    <t>GNPNAT1</t>
  </si>
  <si>
    <t>KTI12</t>
  </si>
  <si>
    <t>MRPL53</t>
  </si>
  <si>
    <t>L3HYPDH</t>
  </si>
  <si>
    <t>DAZAP1</t>
  </si>
  <si>
    <t>SGTB</t>
  </si>
  <si>
    <t>SAAL1</t>
  </si>
  <si>
    <t>CCDC51</t>
  </si>
  <si>
    <t>RRP36</t>
  </si>
  <si>
    <t>RBM33</t>
  </si>
  <si>
    <t>DTNBP1</t>
  </si>
  <si>
    <t>WDR34</t>
  </si>
  <si>
    <t>DNAJA3</t>
  </si>
  <si>
    <t>MVB12A</t>
  </si>
  <si>
    <t>MMAB</t>
  </si>
  <si>
    <t>ADAT3</t>
  </si>
  <si>
    <t>SAT2</t>
  </si>
  <si>
    <t>NRBF2</t>
  </si>
  <si>
    <t>TRIM11</t>
  </si>
  <si>
    <t>ZNF503</t>
  </si>
  <si>
    <t>IL17RA</t>
  </si>
  <si>
    <t>EDC3</t>
  </si>
  <si>
    <t>DDX11</t>
  </si>
  <si>
    <t>MEF2BNB</t>
  </si>
  <si>
    <t>WDR89</t>
  </si>
  <si>
    <t>THOC1</t>
  </si>
  <si>
    <t>TRMT61A</t>
  </si>
  <si>
    <t>C3orf37</t>
  </si>
  <si>
    <t>CHMP6</t>
  </si>
  <si>
    <t>PGM2</t>
  </si>
  <si>
    <t>CERS2</t>
  </si>
  <si>
    <t>MED8</t>
  </si>
  <si>
    <t>CCDC104</t>
  </si>
  <si>
    <t>DUS3L</t>
  </si>
  <si>
    <t>NUDT11</t>
  </si>
  <si>
    <t>OTUD5</t>
  </si>
  <si>
    <t>LTV1</t>
  </si>
  <si>
    <t>SDSL</t>
  </si>
  <si>
    <t>PDXP</t>
  </si>
  <si>
    <t>RNF185</t>
  </si>
  <si>
    <t>DCUN1D1</t>
  </si>
  <si>
    <t>TRMT2B</t>
  </si>
  <si>
    <t>FAHD2A</t>
  </si>
  <si>
    <t>SCARF2</t>
  </si>
  <si>
    <t>C17orf59</t>
  </si>
  <si>
    <t>ABHD17A</t>
  </si>
  <si>
    <t>C5orf30</t>
  </si>
  <si>
    <t>MARS2</t>
  </si>
  <si>
    <t>ATXN7L3B</t>
  </si>
  <si>
    <t>MASTL</t>
  </si>
  <si>
    <t>APIP</t>
  </si>
  <si>
    <t>ZC2HC1A</t>
  </si>
  <si>
    <t>SNF8</t>
  </si>
  <si>
    <t>ZC3HAV1L</t>
  </si>
  <si>
    <t>POM121</t>
  </si>
  <si>
    <t>C1orf159</t>
  </si>
  <si>
    <t>TONSL</t>
  </si>
  <si>
    <t>CCDC120</t>
  </si>
  <si>
    <t>PDLIM5</t>
  </si>
  <si>
    <t>CRELD1</t>
  </si>
  <si>
    <t>ERO1L</t>
  </si>
  <si>
    <t>AHCYL2</t>
  </si>
  <si>
    <t>REEP6</t>
  </si>
  <si>
    <t>PGAM5</t>
  </si>
  <si>
    <t>INTS4</t>
  </si>
  <si>
    <t>DDRGK1</t>
  </si>
  <si>
    <t>SCLY</t>
  </si>
  <si>
    <t>FUBP3</t>
  </si>
  <si>
    <t>RBM17</t>
  </si>
  <si>
    <t>COX14</t>
  </si>
  <si>
    <t>WBSCR16</t>
  </si>
  <si>
    <t>NARS2</t>
  </si>
  <si>
    <t>KAZALD1</t>
  </si>
  <si>
    <t>SUCLG2</t>
  </si>
  <si>
    <t>AJUBA</t>
  </si>
  <si>
    <t>GMPPA</t>
  </si>
  <si>
    <t>BOD1</t>
  </si>
  <si>
    <t>ZNF414</t>
  </si>
  <si>
    <t>ABHD14B</t>
  </si>
  <si>
    <t>NGLY1</t>
  </si>
  <si>
    <t>USMG5</t>
  </si>
  <si>
    <t>PAWR</t>
  </si>
  <si>
    <t>RSRC1</t>
  </si>
  <si>
    <t>THOC3</t>
  </si>
  <si>
    <t>ITCH</t>
  </si>
  <si>
    <t>KIRREL</t>
  </si>
  <si>
    <t>LRIG1</t>
  </si>
  <si>
    <t>CDK5RAP3</t>
  </si>
  <si>
    <t>VPS39</t>
  </si>
  <si>
    <t>CCDC132</t>
  </si>
  <si>
    <t>VCPIP1</t>
  </si>
  <si>
    <t>TMX3</t>
  </si>
  <si>
    <t>CHAMP1</t>
  </si>
  <si>
    <t>ZFP91</t>
  </si>
  <si>
    <t>CLMN</t>
  </si>
  <si>
    <t>PDLIM2</t>
  </si>
  <si>
    <t>FAR2</t>
  </si>
  <si>
    <t>RNF170</t>
  </si>
  <si>
    <t>CLPTM1L</t>
  </si>
  <si>
    <t>PBK</t>
  </si>
  <si>
    <t>ARL5B</t>
  </si>
  <si>
    <t>DNAJC1</t>
  </si>
  <si>
    <t>FAM84B</t>
  </si>
  <si>
    <t>EXOC2</t>
  </si>
  <si>
    <t>CNDP2</t>
  </si>
  <si>
    <t>PPP1R13B</t>
  </si>
  <si>
    <t>ZFR</t>
  </si>
  <si>
    <t>EPHB4</t>
  </si>
  <si>
    <t>SNX27</t>
  </si>
  <si>
    <t>PRMT6</t>
  </si>
  <si>
    <t>IFT74</t>
  </si>
  <si>
    <t>UBE2E2</t>
  </si>
  <si>
    <t>PRRC1</t>
  </si>
  <si>
    <t>FBXL18</t>
  </si>
  <si>
    <t>TMEM68</t>
  </si>
  <si>
    <t>ENTHD2</t>
  </si>
  <si>
    <t>MBOAT7</t>
  </si>
  <si>
    <t>FOPNL</t>
  </si>
  <si>
    <t>SFXN2</t>
  </si>
  <si>
    <t>ZNF830</t>
  </si>
  <si>
    <t>ZMAT2</t>
  </si>
  <si>
    <t>TMEM74</t>
  </si>
  <si>
    <t>NSUN5</t>
  </si>
  <si>
    <t>RPRD1A</t>
  </si>
  <si>
    <t>AGAP3</t>
  </si>
  <si>
    <t>ARAP1</t>
  </si>
  <si>
    <t>ACAP3</t>
  </si>
  <si>
    <t>IPO9</t>
  </si>
  <si>
    <t>DCBLD2</t>
  </si>
  <si>
    <t>MCEE</t>
  </si>
  <si>
    <t>BBC3</t>
  </si>
  <si>
    <t>RCHY1</t>
  </si>
  <si>
    <t>NEDD4L</t>
  </si>
  <si>
    <t>QKI</t>
  </si>
  <si>
    <t>PUS7</t>
  </si>
  <si>
    <t>TRNT1</t>
  </si>
  <si>
    <t>TMEM237</t>
  </si>
  <si>
    <t>ALKBH3</t>
  </si>
  <si>
    <t>PPP1R10</t>
  </si>
  <si>
    <t>DEPDC7</t>
  </si>
  <si>
    <t>VPS35</t>
  </si>
  <si>
    <t>PURB</t>
  </si>
  <si>
    <t>XPO6</t>
  </si>
  <si>
    <t>SPAG5</t>
  </si>
  <si>
    <t>NACC1</t>
  </si>
  <si>
    <t>SNX18</t>
  </si>
  <si>
    <t>PASK</t>
  </si>
  <si>
    <t>VPS13A</t>
  </si>
  <si>
    <t>GFM1</t>
  </si>
  <si>
    <t>PEO1</t>
  </si>
  <si>
    <t>CAMKK2</t>
  </si>
  <si>
    <t>NUDCD1</t>
  </si>
  <si>
    <t>ERBB2IP</t>
  </si>
  <si>
    <t>USP28</t>
  </si>
  <si>
    <t>FNBP1</t>
  </si>
  <si>
    <t>C16orf13</t>
  </si>
  <si>
    <t>TP53RK</t>
  </si>
  <si>
    <t>PIGS</t>
  </si>
  <si>
    <t>WRNIP1</t>
  </si>
  <si>
    <t>RANBP9</t>
  </si>
  <si>
    <t>CLCC1</t>
  </si>
  <si>
    <t>LYSMD1</t>
  </si>
  <si>
    <t>CCNL2</t>
  </si>
  <si>
    <t>PLEKHF1</t>
  </si>
  <si>
    <t>PPP1R9B</t>
  </si>
  <si>
    <t>SMC6</t>
  </si>
  <si>
    <t>KCTD15</t>
  </si>
  <si>
    <t>TMEM209</t>
  </si>
  <si>
    <t>IWS1</t>
  </si>
  <si>
    <t>SIN3A</t>
  </si>
  <si>
    <t>ADO</t>
  </si>
  <si>
    <t>CDK5RAP1</t>
  </si>
  <si>
    <t>RBM15</t>
  </si>
  <si>
    <t>RUFY1</t>
  </si>
  <si>
    <t>IMMP2L</t>
  </si>
  <si>
    <t>SPEN</t>
  </si>
  <si>
    <t>MMS19</t>
  </si>
  <si>
    <t>UHRF1</t>
  </si>
  <si>
    <t>FAM129B</t>
  </si>
  <si>
    <t>YME1L1</t>
  </si>
  <si>
    <t>TCF12</t>
  </si>
  <si>
    <t>MYCBP</t>
  </si>
  <si>
    <t>TBCB</t>
  </si>
  <si>
    <t>PSMB7</t>
  </si>
  <si>
    <t>SEC62</t>
  </si>
  <si>
    <t>PCYT2</t>
  </si>
  <si>
    <t>CDC5L</t>
  </si>
  <si>
    <t>PSMD1</t>
  </si>
  <si>
    <t>PFDN5</t>
  </si>
  <si>
    <t>PAFAH2</t>
  </si>
  <si>
    <t>RNF2</t>
  </si>
  <si>
    <t>PARK7</t>
  </si>
  <si>
    <t>EYA3</t>
  </si>
  <si>
    <t>NEU1</t>
  </si>
  <si>
    <t>SORT1</t>
  </si>
  <si>
    <t>VAT1</t>
  </si>
  <si>
    <t>DNAJC2</t>
  </si>
  <si>
    <t>NUP88</t>
  </si>
  <si>
    <t>PKP4</t>
  </si>
  <si>
    <t>SERPINI1</t>
  </si>
  <si>
    <t>POP1</t>
  </si>
  <si>
    <t>S100A13</t>
  </si>
  <si>
    <t>TSNAX</t>
  </si>
  <si>
    <t>SEPHS2</t>
  </si>
  <si>
    <t>TTC1</t>
  </si>
  <si>
    <t>DNAJC7</t>
  </si>
  <si>
    <t>CDCA3</t>
  </si>
  <si>
    <t>C12orf57</t>
  </si>
  <si>
    <t>PHB2</t>
  </si>
  <si>
    <t>PRPF18</t>
  </si>
  <si>
    <t>PKMYT1</t>
  </si>
  <si>
    <t>CHP1</t>
  </si>
  <si>
    <t>KIF2C</t>
  </si>
  <si>
    <t>DOK1</t>
  </si>
  <si>
    <t>MTR</t>
  </si>
  <si>
    <t>HSD17B10</t>
  </si>
  <si>
    <t>SIGMAR1</t>
  </si>
  <si>
    <t>HNRNPAB</t>
  </si>
  <si>
    <t>NAP1L4</t>
  </si>
  <si>
    <t>MGST2</t>
  </si>
  <si>
    <t>NAPG</t>
  </si>
  <si>
    <t>TXN2</t>
  </si>
  <si>
    <t>ATP5S</t>
  </si>
  <si>
    <t>APBA2</t>
  </si>
  <si>
    <t>MIPEP</t>
  </si>
  <si>
    <t>TM9SF2</t>
  </si>
  <si>
    <t>COQ7</t>
  </si>
  <si>
    <t>TSG101</t>
  </si>
  <si>
    <t>CCT7</t>
  </si>
  <si>
    <t>ARID3A</t>
  </si>
  <si>
    <t>HIST1H2AJ</t>
  </si>
  <si>
    <t>PTPN18</t>
  </si>
  <si>
    <t>DUSP9</t>
  </si>
  <si>
    <t>SH3GL1</t>
  </si>
  <si>
    <t>SH3GL3</t>
  </si>
  <si>
    <t>DPYSL5</t>
  </si>
  <si>
    <t>NIPSNAP1</t>
  </si>
  <si>
    <t>NCAPG</t>
  </si>
  <si>
    <t>ARPC5L</t>
  </si>
  <si>
    <t>C7orf25</t>
  </si>
  <si>
    <t>PAIP2</t>
  </si>
  <si>
    <t>ELAC2</t>
  </si>
  <si>
    <t>C19orf43</t>
  </si>
  <si>
    <t>GRWD1</t>
  </si>
  <si>
    <t>MACROD1</t>
  </si>
  <si>
    <t>TCF25</t>
  </si>
  <si>
    <t>ECSIT</t>
  </si>
  <si>
    <t>DPH2</t>
  </si>
  <si>
    <t>MYBBP1A</t>
  </si>
  <si>
    <t>MGME1</t>
  </si>
  <si>
    <t>FYCO1</t>
  </si>
  <si>
    <t>SLC25A21</t>
  </si>
  <si>
    <t>ACBD6</t>
  </si>
  <si>
    <t>CORO1B</t>
  </si>
  <si>
    <t>TXNDC17</t>
  </si>
  <si>
    <t>BUD13</t>
  </si>
  <si>
    <t>CPPED1</t>
  </si>
  <si>
    <t>MRPL45</t>
  </si>
  <si>
    <t>LZTS2</t>
  </si>
  <si>
    <t>SDF4</t>
  </si>
  <si>
    <t>PDCD2L</t>
  </si>
  <si>
    <t>PAAF1</t>
  </si>
  <si>
    <t>WIBG</t>
  </si>
  <si>
    <t>ADPGK</t>
  </si>
  <si>
    <t>RIOK1</t>
  </si>
  <si>
    <t>MNF1</t>
  </si>
  <si>
    <t>GINS4</t>
  </si>
  <si>
    <t>SIKE1</t>
  </si>
  <si>
    <t>PELO</t>
  </si>
  <si>
    <t>GINS3</t>
  </si>
  <si>
    <t>ERP44</t>
  </si>
  <si>
    <t>LXN</t>
  </si>
  <si>
    <t>ATG101</t>
  </si>
  <si>
    <t>NTPCR</t>
  </si>
  <si>
    <t>C19orf52</t>
  </si>
  <si>
    <t>TACO1</t>
  </si>
  <si>
    <t>HDHD3</t>
  </si>
  <si>
    <t>TUBGCP2</t>
  </si>
  <si>
    <t>C17orf80</t>
  </si>
  <si>
    <t>ESYT1</t>
  </si>
  <si>
    <t>FEM1A</t>
  </si>
  <si>
    <t>UBAC1</t>
  </si>
  <si>
    <t>YIPF4</t>
  </si>
  <si>
    <t>RTKN</t>
  </si>
  <si>
    <t>C16orf70</t>
  </si>
  <si>
    <t>TSEN34</t>
  </si>
  <si>
    <t>CHCHD5</t>
  </si>
  <si>
    <t>CNPY3</t>
  </si>
  <si>
    <t>MTG1</t>
  </si>
  <si>
    <t>ALG1</t>
  </si>
  <si>
    <t>LIMD2</t>
  </si>
  <si>
    <t>HAUS8</t>
  </si>
  <si>
    <t>ALKBH7</t>
  </si>
  <si>
    <t>PSMG3</t>
  </si>
  <si>
    <t>COPS4</t>
  </si>
  <si>
    <t>TCHP</t>
  </si>
  <si>
    <t>WAC</t>
  </si>
  <si>
    <t>DIDO1</t>
  </si>
  <si>
    <t>MCMBP</t>
  </si>
  <si>
    <t>AARSD1</t>
  </si>
  <si>
    <t>DCUN1D5</t>
  </si>
  <si>
    <t>THUMPD2</t>
  </si>
  <si>
    <t>FAM103A1</t>
  </si>
  <si>
    <t>ANP32E</t>
  </si>
  <si>
    <t>LRRC1</t>
  </si>
  <si>
    <t>PI4K2A</t>
  </si>
  <si>
    <t>FSD1</t>
  </si>
  <si>
    <t>WDR85</t>
  </si>
  <si>
    <t>FUCA2</t>
  </si>
  <si>
    <t>FAM203A</t>
  </si>
  <si>
    <t>DHRS4</t>
  </si>
  <si>
    <t>THTPA</t>
  </si>
  <si>
    <t>LMF2</t>
  </si>
  <si>
    <t>NDUFAF3</t>
  </si>
  <si>
    <t>DOHH</t>
  </si>
  <si>
    <t>C11orf84</t>
  </si>
  <si>
    <t>TMEM70</t>
  </si>
  <si>
    <t>MED18</t>
  </si>
  <si>
    <t>ISCA1</t>
  </si>
  <si>
    <t>TUBB6</t>
  </si>
  <si>
    <t>C9orf142</t>
  </si>
  <si>
    <t>POLR3C</t>
  </si>
  <si>
    <t>HNRNPUL1</t>
  </si>
  <si>
    <t>MSTO1</t>
  </si>
  <si>
    <t>CCDC28B</t>
  </si>
  <si>
    <t>HTATIP2</t>
  </si>
  <si>
    <t>WRAP53</t>
  </si>
  <si>
    <t>BDH2</t>
  </si>
  <si>
    <t>FAM195A</t>
  </si>
  <si>
    <t>C9orf16</t>
  </si>
  <si>
    <t>ALG12</t>
  </si>
  <si>
    <t>C1orf50</t>
  </si>
  <si>
    <t>MRI1</t>
  </si>
  <si>
    <t>ABHD6</t>
  </si>
  <si>
    <t>WDR18</t>
  </si>
  <si>
    <t>VAMP8</t>
  </si>
  <si>
    <t>THUMPD3</t>
  </si>
  <si>
    <t>ADI1</t>
  </si>
  <si>
    <t>RNF126</t>
  </si>
  <si>
    <t>CEP250</t>
  </si>
  <si>
    <t>MECR</t>
  </si>
  <si>
    <t>NTMT1</t>
  </si>
  <si>
    <t>KATNB1</t>
  </si>
  <si>
    <t>TUBB2B</t>
  </si>
  <si>
    <t>DSCC1</t>
  </si>
  <si>
    <t>MLST8</t>
  </si>
  <si>
    <t>TMEM109</t>
  </si>
  <si>
    <t>PBDC1</t>
  </si>
  <si>
    <t>PTDSS2</t>
  </si>
  <si>
    <t>UTP14A</t>
  </si>
  <si>
    <t>TMED9</t>
  </si>
  <si>
    <t>SELO</t>
  </si>
  <si>
    <t>DPCD</t>
  </si>
  <si>
    <t>GGACT</t>
  </si>
  <si>
    <t>TUBGCP4</t>
  </si>
  <si>
    <t>TRMT61B</t>
  </si>
  <si>
    <t>TIMM21</t>
  </si>
  <si>
    <t>TIPIN</t>
  </si>
  <si>
    <t>KIFC1</t>
  </si>
  <si>
    <t>NUP85</t>
  </si>
  <si>
    <t>TPPP3</t>
  </si>
  <si>
    <t>ELOVL1</t>
  </si>
  <si>
    <t>DDA1</t>
  </si>
  <si>
    <t>HIRIP3</t>
  </si>
  <si>
    <t>IFT27</t>
  </si>
  <si>
    <t>CCDC94</t>
  </si>
  <si>
    <t>NUDT9</t>
  </si>
  <si>
    <t>TARS2</t>
  </si>
  <si>
    <t>ACAT2</t>
  </si>
  <si>
    <t>FAM127B</t>
  </si>
  <si>
    <t>RBM4</t>
  </si>
  <si>
    <t>SCNM1</t>
  </si>
  <si>
    <t>FUNDC2</t>
  </si>
  <si>
    <t>RPAP1</t>
  </si>
  <si>
    <t>SF3B5</t>
  </si>
  <si>
    <t>SFXN3</t>
  </si>
  <si>
    <t>PAPOLG</t>
  </si>
  <si>
    <t>CARD10</t>
  </si>
  <si>
    <t>SLC4A1AP</t>
  </si>
  <si>
    <t>LSM14B</t>
  </si>
  <si>
    <t>BRIP1</t>
  </si>
  <si>
    <t>SORBS1</t>
  </si>
  <si>
    <t>JAM3</t>
  </si>
  <si>
    <t>HINT2</t>
  </si>
  <si>
    <t>SGPP1</t>
  </si>
  <si>
    <t>OSBPL11</t>
  </si>
  <si>
    <t>RAB11FIP5</t>
  </si>
  <si>
    <t>NAA15</t>
  </si>
  <si>
    <t>SLC12A9</t>
  </si>
  <si>
    <t>SRRT</t>
  </si>
  <si>
    <t>QTRT1</t>
  </si>
  <si>
    <t>C14orf142</t>
  </si>
  <si>
    <t>OSBPL1A</t>
  </si>
  <si>
    <t>CECR5</t>
  </si>
  <si>
    <t>FANCD2</t>
  </si>
  <si>
    <t>ITPA</t>
  </si>
  <si>
    <t>CHMP4A</t>
  </si>
  <si>
    <t>POLDIP3</t>
  </si>
  <si>
    <t>GNB1L</t>
  </si>
  <si>
    <t>PARD6B</t>
  </si>
  <si>
    <t>SRXN1</t>
  </si>
  <si>
    <t>STK33</t>
  </si>
  <si>
    <t>NLN</t>
  </si>
  <si>
    <t>CEP41</t>
  </si>
  <si>
    <t>SETD2</t>
  </si>
  <si>
    <t>PANK2</t>
  </si>
  <si>
    <t>FRMD8</t>
  </si>
  <si>
    <t>NUF2</t>
  </si>
  <si>
    <t>PUS3</t>
  </si>
  <si>
    <t>ASPSCR1</t>
  </si>
  <si>
    <t>UBL5</t>
  </si>
  <si>
    <t>PLA2G12A</t>
  </si>
  <si>
    <t>ULBP3</t>
  </si>
  <si>
    <t>ULBP2</t>
  </si>
  <si>
    <t>UCK2</t>
  </si>
  <si>
    <t>API5</t>
  </si>
  <si>
    <t>DPY30</t>
  </si>
  <si>
    <t>TRIM9</t>
  </si>
  <si>
    <t>TRIM4</t>
  </si>
  <si>
    <t>TRIM2</t>
  </si>
  <si>
    <t>UNK</t>
  </si>
  <si>
    <t>FTO</t>
  </si>
  <si>
    <t>ZDHHC5</t>
  </si>
  <si>
    <t>TANGO6</t>
  </si>
  <si>
    <t>TNKS1BP1</t>
  </si>
  <si>
    <t>SEMA4C</t>
  </si>
  <si>
    <t>AMBRA1</t>
  </si>
  <si>
    <t>ZYG11B</t>
  </si>
  <si>
    <t>TANC1</t>
  </si>
  <si>
    <t>CEP44</t>
  </si>
  <si>
    <t>TTYH3</t>
  </si>
  <si>
    <t>MTMR12</t>
  </si>
  <si>
    <t>WDR12</t>
  </si>
  <si>
    <t>ACTR6</t>
  </si>
  <si>
    <t>C20orf27</t>
  </si>
  <si>
    <t>PITHD1</t>
  </si>
  <si>
    <t>DERL2</t>
  </si>
  <si>
    <t>WDR61</t>
  </si>
  <si>
    <t>SLIRP</t>
  </si>
  <si>
    <t>SRR</t>
  </si>
  <si>
    <t>CCDC90B</t>
  </si>
  <si>
    <t>NIF3L1</t>
  </si>
  <si>
    <t>EGLN1</t>
  </si>
  <si>
    <t>FAM192A</t>
  </si>
  <si>
    <t>TWSG1</t>
  </si>
  <si>
    <t>MFF</t>
  </si>
  <si>
    <t>UBA5</t>
  </si>
  <si>
    <t>MTFR1L</t>
  </si>
  <si>
    <t>TMEM126A</t>
  </si>
  <si>
    <t>PAIP1</t>
  </si>
  <si>
    <t>CLPB</t>
  </si>
  <si>
    <t>RAB33B</t>
  </si>
  <si>
    <t>FAM107B</t>
  </si>
  <si>
    <t>KLC2</t>
  </si>
  <si>
    <t>ILKAP</t>
  </si>
  <si>
    <t>XRN2</t>
  </si>
  <si>
    <t>TOLLIP</t>
  </si>
  <si>
    <t>BRD8</t>
  </si>
  <si>
    <t>SHARPIN</t>
  </si>
  <si>
    <t>NSRP1</t>
  </si>
  <si>
    <t>RACGAP1</t>
  </si>
  <si>
    <t>ENKD1</t>
  </si>
  <si>
    <t>CSTF2T</t>
  </si>
  <si>
    <t>NT5C3A</t>
  </si>
  <si>
    <t>HDHD2</t>
  </si>
  <si>
    <t>QRSL1</t>
  </si>
  <si>
    <t>MAGT1</t>
  </si>
  <si>
    <t>RAB1B</t>
  </si>
  <si>
    <t>TMEM168</t>
  </si>
  <si>
    <t>LMAN2L</t>
  </si>
  <si>
    <t>C11orf54</t>
  </si>
  <si>
    <t>ITFG3</t>
  </si>
  <si>
    <t>SIL1</t>
  </si>
  <si>
    <t>IRF2BPL</t>
  </si>
  <si>
    <t>GLT8D2</t>
  </si>
  <si>
    <t>NUCKS1</t>
  </si>
  <si>
    <t>ZFYVE20</t>
  </si>
  <si>
    <t>ISCU</t>
  </si>
  <si>
    <t>OSBPL2</t>
  </si>
  <si>
    <t>DNAJC25</t>
  </si>
  <si>
    <t>ATG5</t>
  </si>
  <si>
    <t>WDR13</t>
  </si>
  <si>
    <t>EHD4</t>
  </si>
  <si>
    <t>C1orf21</t>
  </si>
  <si>
    <t>VPS33B</t>
  </si>
  <si>
    <t>VPS11</t>
  </si>
  <si>
    <t>GAN</t>
  </si>
  <si>
    <t>SLC25A32</t>
  </si>
  <si>
    <t>TRIOBP</t>
  </si>
  <si>
    <t>SLK</t>
  </si>
  <si>
    <t>BLZF1</t>
  </si>
  <si>
    <t>PPIL3</t>
  </si>
  <si>
    <t>SLC6A15</t>
  </si>
  <si>
    <t>RAB3GAP2</t>
  </si>
  <si>
    <t>ADNP</t>
  </si>
  <si>
    <t>DPH5</t>
  </si>
  <si>
    <t>PPA2</t>
  </si>
  <si>
    <t>MRPL46</t>
  </si>
  <si>
    <t>PARL</t>
  </si>
  <si>
    <t>PNN</t>
  </si>
  <si>
    <t>TMEM245</t>
  </si>
  <si>
    <t>GGNBP2</t>
  </si>
  <si>
    <t>CPVL</t>
  </si>
  <si>
    <t>TRIT1</t>
  </si>
  <si>
    <t>C11orf68</t>
  </si>
  <si>
    <t>BOLA2</t>
  </si>
  <si>
    <t>TMX1</t>
  </si>
  <si>
    <t>ACBD3</t>
  </si>
  <si>
    <t>CDC42EP4</t>
  </si>
  <si>
    <t>PTPN23</t>
  </si>
  <si>
    <t>UNC45A</t>
  </si>
  <si>
    <t>MFSD1</t>
  </si>
  <si>
    <t>PPDPF</t>
  </si>
  <si>
    <t>DNAJC5</t>
  </si>
  <si>
    <t>DSN1</t>
  </si>
  <si>
    <t>C1orf198</t>
  </si>
  <si>
    <t>CHMP4B</t>
  </si>
  <si>
    <t>CUEDC2</t>
  </si>
  <si>
    <t>POFUT1</t>
  </si>
  <si>
    <t>IFRG15</t>
  </si>
  <si>
    <t>TOR3A</t>
  </si>
  <si>
    <t>GOLPH3L</t>
  </si>
  <si>
    <t>GOLPH3</t>
  </si>
  <si>
    <t>OSGEPL1</t>
  </si>
  <si>
    <t>FAM83D</t>
  </si>
  <si>
    <t>GTPBP5</t>
  </si>
  <si>
    <t>OSBPL3</t>
  </si>
  <si>
    <t>SMARCAD1</t>
  </si>
  <si>
    <t>EHD1</t>
  </si>
  <si>
    <t>PCIF1</t>
  </si>
  <si>
    <t>ALG2</t>
  </si>
  <si>
    <t>ZNF644</t>
  </si>
  <si>
    <t>SGK196</t>
  </si>
  <si>
    <t>RABEP2</t>
  </si>
  <si>
    <t>TFB2M</t>
  </si>
  <si>
    <t>CXorf56</t>
  </si>
  <si>
    <t>FAM96A</t>
  </si>
  <si>
    <t>ZNF576</t>
  </si>
  <si>
    <t>CCDC134</t>
  </si>
  <si>
    <t>CCDC86</t>
  </si>
  <si>
    <t>REEP4</t>
  </si>
  <si>
    <t>C6orf106</t>
  </si>
  <si>
    <t>FAM134B</t>
  </si>
  <si>
    <t>NARFL</t>
  </si>
  <si>
    <t>RPAP3</t>
  </si>
  <si>
    <t>BCAS3</t>
  </si>
  <si>
    <t>ALG9</t>
  </si>
  <si>
    <t>ANTXR1</t>
  </si>
  <si>
    <t>WDR55</t>
  </si>
  <si>
    <t>DCTPP1</t>
  </si>
  <si>
    <t>SMYD3</t>
  </si>
  <si>
    <t>WDR26</t>
  </si>
  <si>
    <t>ATP13A3</t>
  </si>
  <si>
    <t>TMEM185B</t>
  </si>
  <si>
    <t>PPP1R3E</t>
  </si>
  <si>
    <t>SCAF1</t>
  </si>
  <si>
    <t>ZNF703</t>
  </si>
  <si>
    <t>ZNF696</t>
  </si>
  <si>
    <t>RABL5</t>
  </si>
  <si>
    <t>KAT8</t>
  </si>
  <si>
    <t>PTGES2</t>
  </si>
  <si>
    <t>PHAX</t>
  </si>
  <si>
    <t>UBE2Z</t>
  </si>
  <si>
    <t>GEMIN7</t>
  </si>
  <si>
    <t>ACAD9</t>
  </si>
  <si>
    <t>NT5DC2</t>
  </si>
  <si>
    <t>CAAP1</t>
  </si>
  <si>
    <t>NOL11</t>
  </si>
  <si>
    <t>FAM188A</t>
  </si>
  <si>
    <t>MOB1A</t>
  </si>
  <si>
    <t>ZFAND3</t>
  </si>
  <si>
    <t>PLEKHF2</t>
  </si>
  <si>
    <t>ANKZF1</t>
  </si>
  <si>
    <t>GORASP2</t>
  </si>
  <si>
    <t>ZWILCH</t>
  </si>
  <si>
    <t>SLC25A22</t>
  </si>
  <si>
    <t>PSTPIP2</t>
  </si>
  <si>
    <t>MED20</t>
  </si>
  <si>
    <t>QTRTD1</t>
  </si>
  <si>
    <t>WDR54</t>
  </si>
  <si>
    <t>ACTR8</t>
  </si>
  <si>
    <t>C6orf211</t>
  </si>
  <si>
    <t>LRRC40</t>
  </si>
  <si>
    <t>EHMT1</t>
  </si>
  <si>
    <t>SFXN1</t>
  </si>
  <si>
    <t>ACTR5</t>
  </si>
  <si>
    <t>VPS37B</t>
  </si>
  <si>
    <t>L2HGDH</t>
  </si>
  <si>
    <t>FKRP</t>
  </si>
  <si>
    <t>JMJD4</t>
  </si>
  <si>
    <t>UCK1</t>
  </si>
  <si>
    <t>FN3KRP</t>
  </si>
  <si>
    <t>CARS2</t>
  </si>
  <si>
    <t>PPCS</t>
  </si>
  <si>
    <t>WDR41</t>
  </si>
  <si>
    <t>MEAF6</t>
  </si>
  <si>
    <t>PELI2</t>
  </si>
  <si>
    <t>GNB4</t>
  </si>
  <si>
    <t>XPO5</t>
  </si>
  <si>
    <t>EDA2R</t>
  </si>
  <si>
    <t>GRPEL1</t>
  </si>
  <si>
    <t>C12orf10</t>
  </si>
  <si>
    <t>BCL2L12</t>
  </si>
  <si>
    <t>PLEKHA3</t>
  </si>
  <si>
    <t>SCPEP1</t>
  </si>
  <si>
    <t>CACYBP</t>
  </si>
  <si>
    <t>RRAGC</t>
  </si>
  <si>
    <t>SMARCA4</t>
  </si>
  <si>
    <t>PDF</t>
  </si>
  <si>
    <t>RDH14</t>
  </si>
  <si>
    <t>PARVB</t>
  </si>
  <si>
    <t>AS3MT</t>
  </si>
  <si>
    <t>PLGRKT</t>
  </si>
  <si>
    <t>NMRAL1</t>
  </si>
  <si>
    <t>SPC25</t>
  </si>
  <si>
    <t>TAF9B</t>
  </si>
  <si>
    <t>AGPAT1</t>
  </si>
  <si>
    <t>SLC38A10</t>
  </si>
  <si>
    <t>SLC25A19</t>
  </si>
  <si>
    <t>GLOD4</t>
  </si>
  <si>
    <t>GPBP1L1</t>
  </si>
  <si>
    <t>MCCC2</t>
  </si>
  <si>
    <t>ZFYVE28</t>
  </si>
  <si>
    <t>TANC2</t>
  </si>
  <si>
    <t>METTL14</t>
  </si>
  <si>
    <t>RAVER2</t>
  </si>
  <si>
    <t>ZDBF2</t>
  </si>
  <si>
    <t>EPB41L5</t>
  </si>
  <si>
    <t>GPN1</t>
  </si>
  <si>
    <t>SDF2L1</t>
  </si>
  <si>
    <t>PREB</t>
  </si>
  <si>
    <t>SRA1</t>
  </si>
  <si>
    <t>ATP13A1</t>
  </si>
  <si>
    <t>GOPC</t>
  </si>
  <si>
    <t>TM9SF3</t>
  </si>
  <si>
    <t>RANGRF</t>
  </si>
  <si>
    <t>APMAP</t>
  </si>
  <si>
    <t>TUFT1</t>
  </si>
  <si>
    <t>ABCB6</t>
  </si>
  <si>
    <t>HMG20A</t>
  </si>
  <si>
    <t>RAB18</t>
  </si>
  <si>
    <t>SSU72</t>
  </si>
  <si>
    <t>VTA1</t>
  </si>
  <si>
    <t>MID1IP1</t>
  </si>
  <si>
    <t>ENY2</t>
  </si>
  <si>
    <t>GPCPD1</t>
  </si>
  <si>
    <t>EXOSC4</t>
  </si>
  <si>
    <t>UBE2T</t>
  </si>
  <si>
    <t>NOP10</t>
  </si>
  <si>
    <t>CD320</t>
  </si>
  <si>
    <t>OSGEP</t>
  </si>
  <si>
    <t>ZDHHC4</t>
  </si>
  <si>
    <t>ACP6</t>
  </si>
  <si>
    <t>DCP1A</t>
  </si>
  <si>
    <t>ACOT13</t>
  </si>
  <si>
    <t>MED4</t>
  </si>
  <si>
    <t>TIMMDC1</t>
  </si>
  <si>
    <t>RIC8A</t>
  </si>
  <si>
    <t>GPR108</t>
  </si>
  <si>
    <t>ATP13A2</t>
  </si>
  <si>
    <t>LUC7L</t>
  </si>
  <si>
    <t>TIGAR</t>
  </si>
  <si>
    <t>RTN4</t>
  </si>
  <si>
    <t>HINT3</t>
  </si>
  <si>
    <t>MANBAL</t>
  </si>
  <si>
    <t>RPRD1B</t>
  </si>
  <si>
    <t>XPNPEP3</t>
  </si>
  <si>
    <t>RRAGD</t>
  </si>
  <si>
    <t>PFDN4</t>
  </si>
  <si>
    <t>NIT2</t>
  </si>
  <si>
    <t>AVEN</t>
  </si>
  <si>
    <t>EXOSC5</t>
  </si>
  <si>
    <t>KIF13B</t>
  </si>
  <si>
    <t>ANLN</t>
  </si>
  <si>
    <t>XPNPEP1</t>
  </si>
  <si>
    <t>STARD7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</si>
  <si>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</si>
  <si>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</si>
  <si>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</si>
  <si>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</si>
  <si>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</si>
  <si>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</si>
  <si>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</si>
  <si>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</si>
  <si>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EIF4ENIF1</t>
  </si>
  <si>
    <t>CHST12</t>
  </si>
  <si>
    <t>SPTBN5</t>
  </si>
  <si>
    <t>PICK1</t>
  </si>
  <si>
    <t>SH2B1</t>
  </si>
  <si>
    <t>CTPS2</t>
  </si>
  <si>
    <t>POLE3</t>
  </si>
  <si>
    <t>CHRAC1</t>
  </si>
  <si>
    <t>SMYD2</t>
  </si>
  <si>
    <t>SDR39U1</t>
  </si>
  <si>
    <t>YAE1D1</t>
  </si>
  <si>
    <t>ABCB10</t>
  </si>
  <si>
    <t>AASDHPPT</t>
  </si>
  <si>
    <t>METTL5</t>
  </si>
  <si>
    <t>OSTC</t>
  </si>
  <si>
    <t>CMC2</t>
  </si>
  <si>
    <t>ACN9</t>
  </si>
  <si>
    <t>UBQLN4</t>
  </si>
  <si>
    <t>INPP5E</t>
  </si>
  <si>
    <t>CDC42SE1</t>
  </si>
  <si>
    <t>SNX15</t>
  </si>
  <si>
    <t>HEBP1</t>
  </si>
  <si>
    <t>RAB6B</t>
  </si>
  <si>
    <t>DUSP22</t>
  </si>
  <si>
    <t>VPS45</t>
  </si>
  <si>
    <t>PHPT1</t>
  </si>
  <si>
    <t>SERINC1</t>
  </si>
  <si>
    <t>ARHGAP35</t>
  </si>
  <si>
    <t>FAM114A2</t>
  </si>
  <si>
    <t>PLSCR3</t>
  </si>
  <si>
    <t>AGPAT4</t>
  </si>
  <si>
    <t>AGPAT3</t>
  </si>
  <si>
    <t>HELLS</t>
  </si>
  <si>
    <t>TOMM22</t>
  </si>
  <si>
    <t>LANCL2</t>
  </si>
  <si>
    <t>KIF15</t>
  </si>
  <si>
    <t>RAD18</t>
  </si>
  <si>
    <t>TM7SF3</t>
  </si>
  <si>
    <t>CTNNBIP1</t>
  </si>
  <si>
    <t>HOMER2</t>
  </si>
  <si>
    <t>FARSB</t>
  </si>
  <si>
    <t>IARS2</t>
  </si>
  <si>
    <t>C1orf112</t>
  </si>
  <si>
    <t>FAM207A</t>
  </si>
  <si>
    <t>ATG3</t>
  </si>
  <si>
    <t>SACM1L</t>
  </si>
  <si>
    <t>CUTC</t>
  </si>
  <si>
    <t>SEMA4G</t>
  </si>
  <si>
    <t>ZFP64</t>
  </si>
  <si>
    <t>ECHDC1</t>
  </si>
  <si>
    <t>RNF146</t>
  </si>
  <si>
    <t>RBM12</t>
  </si>
  <si>
    <t>TBC1D22B</t>
  </si>
  <si>
    <t>LYRM2</t>
  </si>
  <si>
    <t>ACSS1</t>
  </si>
  <si>
    <t>ZDHHC18</t>
  </si>
  <si>
    <t>PDRG1</t>
  </si>
  <si>
    <t>ABHD10</t>
  </si>
  <si>
    <t>TMEM106B</t>
  </si>
  <si>
    <t>LMBRD1</t>
  </si>
  <si>
    <t>BLOC1S4</t>
  </si>
  <si>
    <t>TRMT13</t>
  </si>
  <si>
    <t>LIN7C</t>
  </si>
  <si>
    <t>AGPAT5</t>
  </si>
  <si>
    <t>TXLNG</t>
  </si>
  <si>
    <t>UFSP2</t>
  </si>
  <si>
    <t>ABCF3</t>
  </si>
  <si>
    <t>FAM49B</t>
  </si>
  <si>
    <t>AP5S1</t>
  </si>
  <si>
    <t>DDX19A</t>
  </si>
  <si>
    <t>TDP1</t>
  </si>
  <si>
    <t>TBC1D23</t>
  </si>
  <si>
    <t>DCAF13</t>
  </si>
  <si>
    <t>TMEM100</t>
  </si>
  <si>
    <t>MRGBP</t>
  </si>
  <si>
    <t>EXOC1</t>
  </si>
  <si>
    <t>TMEM30A</t>
  </si>
  <si>
    <t>TMEM184C</t>
  </si>
  <si>
    <t>MED17</t>
  </si>
  <si>
    <t>PANK4</t>
  </si>
  <si>
    <t>TBC1D13</t>
  </si>
  <si>
    <t>EXD2</t>
  </si>
  <si>
    <t>DNAJC11</t>
  </si>
  <si>
    <t>INTS7</t>
  </si>
  <si>
    <t>FANCI</t>
  </si>
  <si>
    <t>ATAD3A</t>
  </si>
  <si>
    <t>ARL8B</t>
  </si>
  <si>
    <t>PRMT7</t>
  </si>
  <si>
    <t>DNAJC17</t>
  </si>
  <si>
    <t>ASUN</t>
  </si>
  <si>
    <t>ASF1B</t>
  </si>
  <si>
    <t>FAIM</t>
  </si>
  <si>
    <t>KLHL11</t>
  </si>
  <si>
    <t>DNAAF2</t>
  </si>
  <si>
    <t>ARMC1</t>
  </si>
  <si>
    <t>TMEM38B</t>
  </si>
  <si>
    <t>MTPAP</t>
  </si>
  <si>
    <t>NLE1</t>
  </si>
  <si>
    <t>NECAP2</t>
  </si>
  <si>
    <t>RBM22</t>
  </si>
  <si>
    <t>WDR70</t>
  </si>
  <si>
    <t>ARGLU1</t>
  </si>
  <si>
    <t>SLTM</t>
  </si>
  <si>
    <t>FKBP14</t>
  </si>
  <si>
    <t>PAG1</t>
  </si>
  <si>
    <t>CCDC109B</t>
  </si>
  <si>
    <t>FAM118A</t>
  </si>
  <si>
    <t>HIF1AN</t>
  </si>
  <si>
    <t>OXSM</t>
  </si>
  <si>
    <t>C1orf123</t>
  </si>
  <si>
    <t>ASB6</t>
  </si>
  <si>
    <t>THG1L</t>
  </si>
  <si>
    <t>C4orf27</t>
  </si>
  <si>
    <t>IRAK4</t>
  </si>
  <si>
    <t>TXNL4B</t>
  </si>
  <si>
    <t>TRNAU1AP</t>
  </si>
  <si>
    <t>COMMD8</t>
  </si>
  <si>
    <t>NDUFB11</t>
  </si>
  <si>
    <t>NHP2</t>
  </si>
  <si>
    <t>FAM206A</t>
  </si>
  <si>
    <t>OCIAD1</t>
  </si>
  <si>
    <t>ADPRHL2</t>
  </si>
  <si>
    <t>MARCH5</t>
  </si>
  <si>
    <t>HYPK</t>
  </si>
  <si>
    <t>IMPAD1</t>
  </si>
  <si>
    <t>MED29</t>
  </si>
  <si>
    <t>DUS2L</t>
  </si>
  <si>
    <t>SIRT5</t>
  </si>
  <si>
    <t>DCAF16</t>
  </si>
  <si>
    <t>TRMT1</t>
  </si>
  <si>
    <t>GDAP2</t>
  </si>
  <si>
    <t>NDE1</t>
  </si>
  <si>
    <t>BRE</t>
  </si>
  <si>
    <t>ARL15</t>
  </si>
  <si>
    <t>KCTD5</t>
  </si>
  <si>
    <t>CDKN2AIP</t>
  </si>
  <si>
    <t>ALKBH4</t>
  </si>
  <si>
    <t>PPP4R2</t>
  </si>
  <si>
    <t>DDX56</t>
  </si>
  <si>
    <t>TERF2IP</t>
  </si>
  <si>
    <t>UTP6</t>
  </si>
  <si>
    <t>COA4</t>
  </si>
  <si>
    <t>TAB2</t>
  </si>
  <si>
    <t>MRPL39</t>
  </si>
  <si>
    <t>EURL</t>
  </si>
  <si>
    <t>MLTK</t>
  </si>
  <si>
    <t>TMOD3</t>
  </si>
  <si>
    <t>MIS18A</t>
  </si>
  <si>
    <t>UGGT1</t>
  </si>
  <si>
    <t>FASTKD2</t>
  </si>
  <si>
    <t>GTSE1</t>
  </si>
  <si>
    <t>TECR</t>
  </si>
  <si>
    <t>ERAP1</t>
  </si>
  <si>
    <t>UBAP1</t>
  </si>
  <si>
    <t>ACTR10</t>
  </si>
  <si>
    <t>CISD1</t>
  </si>
  <si>
    <t>PODXL2</t>
  </si>
  <si>
    <t>C9orf78</t>
  </si>
  <si>
    <t>CLIC5</t>
  </si>
  <si>
    <t>MOCS1</t>
  </si>
  <si>
    <t>GDE1</t>
  </si>
  <si>
    <t>WWOX</t>
  </si>
  <si>
    <t>SMARCAL1</t>
  </si>
  <si>
    <t>SPG21</t>
  </si>
  <si>
    <t>IGF2BP1</t>
  </si>
  <si>
    <t>SACS</t>
  </si>
  <si>
    <t>COQ3</t>
  </si>
  <si>
    <t>NUDT4</t>
  </si>
  <si>
    <t>HSPBP1</t>
  </si>
  <si>
    <t>MAT2B</t>
  </si>
  <si>
    <t>EHD3</t>
  </si>
  <si>
    <t>ARHGEF12</t>
  </si>
  <si>
    <t>NCKIPSD</t>
  </si>
  <si>
    <t>OGFR</t>
  </si>
  <si>
    <t>LMCD1</t>
  </si>
  <si>
    <t>MPP6</t>
  </si>
  <si>
    <t>CHMP5</t>
  </si>
  <si>
    <t>COMMD9</t>
  </si>
  <si>
    <t>CWC15</t>
  </si>
  <si>
    <t>THYN1</t>
  </si>
  <si>
    <t>NDUFAF4</t>
  </si>
  <si>
    <t>PTPLAD1</t>
  </si>
  <si>
    <t>PDP1</t>
  </si>
  <si>
    <t>VAPA</t>
  </si>
  <si>
    <t>MARK1</t>
  </si>
  <si>
    <t>TBC1D7</t>
  </si>
  <si>
    <t>RNF181</t>
  </si>
  <si>
    <t>GSKIP</t>
  </si>
  <si>
    <t>SH3BP4</t>
  </si>
  <si>
    <t>SCHIP1</t>
  </si>
  <si>
    <t>ZNRD1</t>
  </si>
  <si>
    <t>CAMSAP3</t>
  </si>
  <si>
    <t>CALCOCO1</t>
  </si>
  <si>
    <t>KIAA1522</t>
  </si>
  <si>
    <t>RCC2</t>
  </si>
  <si>
    <t>KIAA1468</t>
  </si>
  <si>
    <t>DIP2B</t>
  </si>
  <si>
    <t>KIAA1462</t>
  </si>
  <si>
    <t>SLAIN2</t>
  </si>
  <si>
    <t>BCCIP</t>
  </si>
  <si>
    <t>PTGFRN</t>
  </si>
  <si>
    <t>CTTNBP2NL</t>
  </si>
  <si>
    <t>TMEM181</t>
  </si>
  <si>
    <t>CHD7</t>
  </si>
  <si>
    <t>HEATR5B</t>
  </si>
  <si>
    <t>DNAH1</t>
  </si>
  <si>
    <t>RRBP1</t>
  </si>
  <si>
    <t>CPSF2</t>
  </si>
  <si>
    <t>CGN</t>
  </si>
  <si>
    <t>RBM27</t>
  </si>
  <si>
    <t>ANKFY1</t>
  </si>
  <si>
    <t>PSMC3IP</t>
  </si>
  <si>
    <t>DPM3</t>
  </si>
  <si>
    <t>IMPACT</t>
  </si>
  <si>
    <t>ATXN10</t>
  </si>
  <si>
    <t>NCDN</t>
  </si>
  <si>
    <t>TFIP11</t>
  </si>
  <si>
    <t>EPS15L1</t>
  </si>
  <si>
    <t>SAE1</t>
  </si>
  <si>
    <t>COPG2</t>
  </si>
  <si>
    <t>RNF7</t>
  </si>
  <si>
    <t>PI4KB</t>
  </si>
  <si>
    <t>GNG12</t>
  </si>
  <si>
    <t>MTRR</t>
  </si>
  <si>
    <t>CPNE7</t>
  </si>
  <si>
    <t>DHCR7</t>
  </si>
  <si>
    <t>TNFRSF10D</t>
  </si>
  <si>
    <t>SPAST</t>
  </si>
  <si>
    <t>METTL1</t>
  </si>
  <si>
    <t>GULP1</t>
  </si>
  <si>
    <t>VPS29</t>
  </si>
  <si>
    <t>GRHPR</t>
  </si>
  <si>
    <t>RPS6KB2</t>
  </si>
  <si>
    <t>DNAJB11</t>
  </si>
  <si>
    <t>RNF14</t>
  </si>
  <si>
    <t>UBA2</t>
  </si>
  <si>
    <t>CTNNAL1</t>
  </si>
  <si>
    <t>FAM8A1</t>
  </si>
  <si>
    <t>MORF4L1</t>
  </si>
  <si>
    <t>PEF1</t>
  </si>
  <si>
    <t>ZMYM2</t>
  </si>
  <si>
    <t>COPS7A</t>
  </si>
  <si>
    <t>AASS</t>
  </si>
  <si>
    <t>MTFP1</t>
  </si>
  <si>
    <t>TJP2</t>
  </si>
  <si>
    <t>DNAJB4</t>
  </si>
  <si>
    <t>MALT1</t>
  </si>
  <si>
    <t>CFDP1</t>
  </si>
  <si>
    <t>ZNF629</t>
  </si>
  <si>
    <t>DAXX</t>
  </si>
  <si>
    <t>FTSJ1</t>
  </si>
  <si>
    <t>VTI1B</t>
  </si>
  <si>
    <t>STK39</t>
  </si>
  <si>
    <t>ADD3</t>
  </si>
  <si>
    <t>LRWD1</t>
  </si>
  <si>
    <t>C19orf25</t>
  </si>
  <si>
    <t>CGGBP1</t>
  </si>
  <si>
    <t>PISD</t>
  </si>
  <si>
    <t>ABCF2</t>
  </si>
  <si>
    <t>MTRF1L</t>
  </si>
  <si>
    <t>TES</t>
  </si>
  <si>
    <t>LIMD1</t>
  </si>
  <si>
    <t>SEC63</t>
  </si>
  <si>
    <t>TCF20</t>
  </si>
  <si>
    <t>ARMCX3</t>
  </si>
  <si>
    <t>LAMTOR3</t>
  </si>
  <si>
    <t>LIMA1</t>
  </si>
  <si>
    <t>CHORDC1</t>
  </si>
  <si>
    <t>TBK1</t>
  </si>
  <si>
    <t>SEPT9</t>
  </si>
  <si>
    <t>UBQLN2</t>
  </si>
  <si>
    <t>STEAP1</t>
  </si>
  <si>
    <t>PCSK1N</t>
  </si>
  <si>
    <t>PCYOX1</t>
  </si>
  <si>
    <t>DDX20</t>
  </si>
  <si>
    <t>SHPK</t>
  </si>
  <si>
    <t>USP25</t>
  </si>
  <si>
    <t>BCAP29</t>
  </si>
  <si>
    <t>CYB5R1</t>
  </si>
  <si>
    <t>BAIAP2L1</t>
  </si>
  <si>
    <t>PFDN2</t>
  </si>
  <si>
    <t>GPN3</t>
  </si>
  <si>
    <t>PUF60</t>
  </si>
  <si>
    <t>NRBP1</t>
  </si>
  <si>
    <t>ENOPH1</t>
  </si>
  <si>
    <t>EVL</t>
  </si>
  <si>
    <t>ATP6V1H</t>
  </si>
  <si>
    <t>IPO11</t>
  </si>
  <si>
    <t>TRMT112</t>
  </si>
  <si>
    <t>FTSJ2</t>
  </si>
  <si>
    <t>LCMT1</t>
  </si>
  <si>
    <t>VPS51</t>
  </si>
  <si>
    <t>BAZ1B</t>
  </si>
  <si>
    <t>ATPIF1</t>
  </si>
  <si>
    <t>AK3</t>
  </si>
  <si>
    <t>SCOC</t>
  </si>
  <si>
    <t>FKBPL</t>
  </si>
  <si>
    <t>LNPEP</t>
  </si>
  <si>
    <t>RABGEF1</t>
  </si>
  <si>
    <t>NAGK</t>
  </si>
  <si>
    <t>TRMT6</t>
  </si>
  <si>
    <t>SLC25A13</t>
  </si>
  <si>
    <t>DBNL</t>
  </si>
  <si>
    <t>DCTN4</t>
  </si>
  <si>
    <t>CDC23</t>
  </si>
  <si>
    <t>ANAPC7</t>
  </si>
  <si>
    <t>ANAPC4</t>
  </si>
  <si>
    <t>ANAPC2</t>
  </si>
  <si>
    <t>HSPB8</t>
  </si>
  <si>
    <t>GGA2</t>
  </si>
  <si>
    <t>GGA1</t>
  </si>
  <si>
    <t>STOML2</t>
  </si>
  <si>
    <t>NAGPA</t>
  </si>
  <si>
    <t>LSM7</t>
  </si>
  <si>
    <t>DBR1</t>
  </si>
  <si>
    <t>HN1</t>
  </si>
  <si>
    <t>FBXO3</t>
  </si>
  <si>
    <t>DNAJC12</t>
  </si>
  <si>
    <t>CPSF3</t>
  </si>
  <si>
    <t>APPL1</t>
  </si>
  <si>
    <t>TLK1</t>
  </si>
  <si>
    <t>GPATCH8</t>
  </si>
  <si>
    <t>GTF3C4</t>
  </si>
  <si>
    <t>PACSIN3</t>
  </si>
  <si>
    <t>FBXO5</t>
  </si>
  <si>
    <t>ACAD8</t>
  </si>
  <si>
    <t>AMFR</t>
  </si>
  <si>
    <t>NUP50</t>
  </si>
  <si>
    <t>CDV3</t>
  </si>
  <si>
    <t>CNOT11</t>
  </si>
  <si>
    <t>BAG5</t>
  </si>
  <si>
    <t>RAB21</t>
  </si>
  <si>
    <t>RAB22A</t>
  </si>
  <si>
    <t>PNMA2</t>
  </si>
  <si>
    <t>PSME2</t>
  </si>
  <si>
    <t>TAOK2</t>
  </si>
  <si>
    <t>RAB23</t>
  </si>
  <si>
    <t>MCTS1</t>
  </si>
  <si>
    <t>ZNF777</t>
  </si>
  <si>
    <t>PALD1</t>
  </si>
  <si>
    <t>SLC39A10</t>
  </si>
  <si>
    <t>KIDINS220</t>
  </si>
  <si>
    <t>ASAP1</t>
  </si>
  <si>
    <t>MKL2</t>
  </si>
  <si>
    <t>ZBTB21</t>
  </si>
  <si>
    <t>ZMIZ1</t>
  </si>
  <si>
    <t>ANKRD50</t>
  </si>
  <si>
    <t>TBC1D24</t>
  </si>
  <si>
    <t>ISY1</t>
  </si>
  <si>
    <t>HECTD1</t>
  </si>
  <si>
    <t>CORO1C</t>
  </si>
  <si>
    <t>TPX2</t>
  </si>
  <si>
    <t>NOB1</t>
  </si>
  <si>
    <t>ANAPC10</t>
  </si>
  <si>
    <t>WBP7</t>
  </si>
  <si>
    <t>DDX19B</t>
  </si>
  <si>
    <t>NFU1</t>
  </si>
  <si>
    <t>PRPF19</t>
  </si>
  <si>
    <t>UBQLN1</t>
  </si>
  <si>
    <t>SUFU</t>
  </si>
  <si>
    <t>NENF</t>
  </si>
  <si>
    <t>SNX12</t>
  </si>
  <si>
    <t>SYNRG</t>
  </si>
  <si>
    <t>VPS4A</t>
  </si>
  <si>
    <t>G3BP2</t>
  </si>
  <si>
    <t>STUB1</t>
  </si>
  <si>
    <t>PACSIN2</t>
  </si>
  <si>
    <t>MAGED2</t>
  </si>
  <si>
    <t>SNX7</t>
  </si>
  <si>
    <t>SNX6</t>
  </si>
  <si>
    <t>STX8</t>
  </si>
  <si>
    <t>PSMD13</t>
  </si>
  <si>
    <t>FAF1</t>
  </si>
  <si>
    <t>PROCR</t>
  </si>
  <si>
    <t>PPIE</t>
  </si>
  <si>
    <t>TIMELESS</t>
  </si>
  <si>
    <t>COPS3</t>
  </si>
  <si>
    <t>RABL2B</t>
  </si>
  <si>
    <t>MINPP1</t>
  </si>
  <si>
    <t>NOVA2</t>
  </si>
  <si>
    <t>TTF2</t>
  </si>
  <si>
    <t>NSFL1C</t>
  </si>
  <si>
    <t>C19orf53</t>
  </si>
  <si>
    <t>COG5</t>
  </si>
  <si>
    <t>SLC12A4</t>
  </si>
  <si>
    <t>SCAF8</t>
  </si>
  <si>
    <t>PPP6R1</t>
  </si>
  <si>
    <t>TNRC6B</t>
  </si>
  <si>
    <t>PLCL2</t>
  </si>
  <si>
    <t>SMG5</t>
  </si>
  <si>
    <t>EXOC7</t>
  </si>
  <si>
    <t>ZC3H4</t>
  </si>
  <si>
    <t>USP22</t>
  </si>
  <si>
    <t>USP24</t>
  </si>
  <si>
    <t>TBC1D2B</t>
  </si>
  <si>
    <t>AGTPBP1</t>
  </si>
  <si>
    <t>MAPRE3</t>
  </si>
  <si>
    <t>SHOC2</t>
  </si>
  <si>
    <t>SRRM2</t>
  </si>
  <si>
    <t>MGAT4B</t>
  </si>
  <si>
    <t>PA2G4</t>
  </si>
  <si>
    <t>EXO1</t>
  </si>
  <si>
    <t>SPG7</t>
  </si>
  <si>
    <t>SMC3</t>
  </si>
  <si>
    <t>CHMP2B</t>
  </si>
  <si>
    <t>SCML2</t>
  </si>
  <si>
    <t>MTMR6</t>
  </si>
  <si>
    <t>JAG2</t>
  </si>
  <si>
    <t>C14orf166</t>
  </si>
  <si>
    <t>RUVBL2</t>
  </si>
  <si>
    <t>PDE10A</t>
  </si>
  <si>
    <t>PIN4</t>
  </si>
  <si>
    <t>TCF19</t>
  </si>
  <si>
    <t>AKT3</t>
  </si>
  <si>
    <t>GINS2</t>
  </si>
  <si>
    <t>PRELID1</t>
  </si>
  <si>
    <t>CHKB</t>
  </si>
  <si>
    <t>PLAA</t>
  </si>
  <si>
    <t>RUVBL1</t>
  </si>
  <si>
    <t>NUDC</t>
  </si>
  <si>
    <t>BCS1L</t>
  </si>
  <si>
    <t>VDAC3</t>
  </si>
  <si>
    <t>CFL2</t>
  </si>
  <si>
    <t>SLC5A6</t>
  </si>
  <si>
    <t>DRG1</t>
  </si>
  <si>
    <t>CNPY2</t>
  </si>
  <si>
    <t>UST</t>
  </si>
  <si>
    <t>AKAP2</t>
  </si>
  <si>
    <t>CARD8</t>
  </si>
  <si>
    <t>ATP11B</t>
  </si>
  <si>
    <t>POFUT2</t>
  </si>
  <si>
    <t>DLGAP4</t>
  </si>
  <si>
    <t>STK38L</t>
  </si>
  <si>
    <t>FNDC3A</t>
  </si>
  <si>
    <t>EPB41L3</t>
  </si>
  <si>
    <t>KDM2A</t>
  </si>
  <si>
    <t>DIS3</t>
  </si>
  <si>
    <t>ATP8A1</t>
  </si>
  <si>
    <t>LAMTOR2</t>
  </si>
  <si>
    <t>COA3</t>
  </si>
  <si>
    <t>POLR1D</t>
  </si>
  <si>
    <t>TMA7</t>
  </si>
  <si>
    <t>POLDIP2</t>
  </si>
  <si>
    <t>AP3M1</t>
  </si>
  <si>
    <t>PPP2R2C</t>
  </si>
  <si>
    <t>MAP3K2</t>
  </si>
  <si>
    <t>LEMD3</t>
  </si>
  <si>
    <t>CARHSP1</t>
  </si>
  <si>
    <t>COG6</t>
  </si>
  <si>
    <t>THRAP3</t>
  </si>
  <si>
    <t>NOP58</t>
  </si>
  <si>
    <t>GIT1</t>
  </si>
  <si>
    <t>POLR3K</t>
  </si>
  <si>
    <t>SUGT1</t>
  </si>
  <si>
    <t>MTO1</t>
  </si>
  <si>
    <t>YARS2</t>
  </si>
  <si>
    <t>COQ6</t>
  </si>
  <si>
    <t>AMDHD2</t>
  </si>
  <si>
    <t>ACOT9</t>
  </si>
  <si>
    <t>NOSIP</t>
  </si>
  <si>
    <t>MEMO1</t>
  </si>
  <si>
    <t>TMX2</t>
  </si>
  <si>
    <t>LSM2</t>
  </si>
  <si>
    <t>SH3GLB1</t>
  </si>
  <si>
    <t>NDUFAF1</t>
  </si>
  <si>
    <t>CAB39</t>
  </si>
  <si>
    <t>LUC7L2</t>
  </si>
  <si>
    <t>DHRS7</t>
  </si>
  <si>
    <t>MOB4</t>
  </si>
  <si>
    <t>SBDS</t>
  </si>
  <si>
    <t>TMED5</t>
  </si>
  <si>
    <t>TMED7</t>
  </si>
  <si>
    <t>MRPL11</t>
  </si>
  <si>
    <t>RRP15</t>
  </si>
  <si>
    <t>NOP16</t>
  </si>
  <si>
    <t>TPRKB</t>
  </si>
  <si>
    <t>PPIL1</t>
  </si>
  <si>
    <t>UFC1</t>
  </si>
  <si>
    <t>FAM96B</t>
  </si>
  <si>
    <t>MSRB2</t>
  </si>
  <si>
    <t>FIS1</t>
  </si>
  <si>
    <t>BOLA1</t>
  </si>
  <si>
    <t>CHMP3</t>
  </si>
  <si>
    <t>STRAP</t>
  </si>
  <si>
    <t>C22orf28</t>
  </si>
  <si>
    <t>FBXO7</t>
  </si>
  <si>
    <t>RAP2C</t>
  </si>
  <si>
    <t>RABGAP1</t>
  </si>
  <si>
    <t>TSC22D4</t>
  </si>
  <si>
    <t>DOPEY2</t>
  </si>
  <si>
    <t>ZNF330</t>
  </si>
  <si>
    <t>R3HCC1</t>
  </si>
  <si>
    <t>NOC2L</t>
  </si>
  <si>
    <t>CCDC9</t>
  </si>
  <si>
    <t>SAMHD1</t>
  </si>
  <si>
    <t>KNSTRN</t>
  </si>
  <si>
    <t>HBS1L</t>
  </si>
  <si>
    <t>TLN1</t>
  </si>
  <si>
    <t>KDM3A</t>
  </si>
  <si>
    <t>FAM115A</t>
  </si>
  <si>
    <t>FAM21C</t>
  </si>
  <si>
    <t>USP15</t>
  </si>
  <si>
    <t>FARP1</t>
  </si>
  <si>
    <t>IRS2</t>
  </si>
  <si>
    <t>TRAF6</t>
  </si>
  <si>
    <t>MAP4K5</t>
  </si>
  <si>
    <t>ATG4B</t>
  </si>
  <si>
    <t>WIPI2</t>
  </si>
  <si>
    <t>TELO2</t>
  </si>
  <si>
    <t>MMACHC</t>
  </si>
  <si>
    <t>AFG3L2</t>
  </si>
  <si>
    <t>ARIH1</t>
  </si>
  <si>
    <t>LSM4</t>
  </si>
  <si>
    <t>RNF114</t>
  </si>
  <si>
    <t>SAMM50</t>
  </si>
  <si>
    <t>LRRC42</t>
  </si>
  <si>
    <t>PPME1</t>
  </si>
  <si>
    <t>TIMM22</t>
  </si>
  <si>
    <t>KCTD3</t>
  </si>
  <si>
    <t>YTHDF2</t>
  </si>
  <si>
    <t>CTDP1</t>
  </si>
  <si>
    <t>NME7</t>
  </si>
  <si>
    <t>PHLDA3</t>
  </si>
  <si>
    <t>TIMM10B</t>
  </si>
  <si>
    <t>TIMM9</t>
  </si>
  <si>
    <t>UCHL5</t>
  </si>
  <si>
    <t>CD2AP</t>
  </si>
  <si>
    <t>ATP6V1D</t>
  </si>
  <si>
    <t>HILPDA</t>
  </si>
  <si>
    <t>TIMM13</t>
  </si>
  <si>
    <t>SRPRB</t>
  </si>
  <si>
    <t>N6AMT1</t>
  </si>
  <si>
    <t>ORC6</t>
  </si>
  <si>
    <t>COL4A3BP</t>
  </si>
  <si>
    <t>GMPPB</t>
  </si>
  <si>
    <t>GTF3C5</t>
  </si>
  <si>
    <t>GTF3C3</t>
  </si>
  <si>
    <t>CDC42BPB</t>
  </si>
  <si>
    <t>RBM8A</t>
  </si>
  <si>
    <t>USP16</t>
  </si>
  <si>
    <t>TSSC4</t>
  </si>
  <si>
    <t>ZNF706</t>
  </si>
  <si>
    <t>SNX9</t>
  </si>
  <si>
    <t>SNX8</t>
  </si>
  <si>
    <t>SNX5</t>
  </si>
  <si>
    <t>FLVCR1</t>
  </si>
  <si>
    <t>NUBP2</t>
  </si>
  <si>
    <t>HEBP2</t>
  </si>
  <si>
    <t>UBIAD1</t>
  </si>
  <si>
    <t>MRFAP1</t>
  </si>
  <si>
    <t>LRRFIP2</t>
  </si>
  <si>
    <t>FHOD1</t>
  </si>
  <si>
    <t>PSAT1</t>
  </si>
  <si>
    <t>SLC25A15</t>
  </si>
  <si>
    <t>NPTN</t>
  </si>
  <si>
    <t>SPIN1</t>
  </si>
  <si>
    <t>ALG5</t>
  </si>
  <si>
    <t>COPG1</t>
  </si>
  <si>
    <t>AUP1</t>
  </si>
  <si>
    <t>FKBP7</t>
  </si>
  <si>
    <t>CLIC4</t>
  </si>
  <si>
    <t>NFS1</t>
  </si>
  <si>
    <t>C16orf80</t>
  </si>
  <si>
    <t>TACC3</t>
  </si>
  <si>
    <t>SAR1B</t>
  </si>
  <si>
    <t>ARFGEF2</t>
  </si>
  <si>
    <t>MAD1L1</t>
  </si>
  <si>
    <t>DYNC1LI1</t>
  </si>
  <si>
    <t>CHCHD2</t>
  </si>
  <si>
    <t>EPN1</t>
  </si>
  <si>
    <t>TEX264</t>
  </si>
  <si>
    <t>CEPT1</t>
  </si>
  <si>
    <t>SLC30A1</t>
  </si>
  <si>
    <t>ROBO1</t>
  </si>
  <si>
    <t>STON1</t>
  </si>
  <si>
    <t>NCOA3</t>
  </si>
  <si>
    <t>NUMBL</t>
  </si>
  <si>
    <t>CAPN7</t>
  </si>
  <si>
    <t>WASF2</t>
  </si>
  <si>
    <t>ZHX2</t>
  </si>
  <si>
    <t>MOSPD2</t>
  </si>
  <si>
    <t>PSMD8</t>
  </si>
  <si>
    <t>LAMTOR5</t>
  </si>
  <si>
    <t>BMI1</t>
  </si>
  <si>
    <t>FBXO44</t>
  </si>
  <si>
    <t>MAPKAPK5</t>
  </si>
  <si>
    <t>PTP4A2</t>
  </si>
  <si>
    <t>YTHDF3</t>
  </si>
  <si>
    <t>PSMC3</t>
  </si>
  <si>
    <t>A0AVI4</t>
  </si>
  <si>
    <t>A0AVT1</t>
  </si>
  <si>
    <t>A0FGR8-2</t>
  </si>
  <si>
    <t>A0MZ66</t>
  </si>
  <si>
    <t>A0PJW6</t>
  </si>
  <si>
    <t>A1L0T0</t>
  </si>
  <si>
    <t>A1L188</t>
  </si>
  <si>
    <t>A1X283</t>
  </si>
  <si>
    <t>A2A274</t>
  </si>
  <si>
    <t>A2A2V1</t>
  </si>
  <si>
    <t>A2AEA2</t>
  </si>
  <si>
    <t>A2RU67</t>
  </si>
  <si>
    <t>A2RUC4</t>
  </si>
  <si>
    <t>A3KFL4</t>
  </si>
  <si>
    <t>A3KN83-3</t>
  </si>
  <si>
    <t>A4D126-2</t>
  </si>
  <si>
    <t>A4D1E9</t>
  </si>
  <si>
    <t>A4D1S0-2</t>
  </si>
  <si>
    <t>A4D212</t>
  </si>
  <si>
    <t>A4D2B0</t>
  </si>
  <si>
    <t>A4UGR9-2</t>
  </si>
  <si>
    <t>A6H8Z3</t>
  </si>
  <si>
    <t>A6NCL7</t>
  </si>
  <si>
    <t>A6ND99</t>
  </si>
  <si>
    <t>A6NDB9</t>
  </si>
  <si>
    <t>A6NDG6</t>
  </si>
  <si>
    <t>A6NDJ8</t>
  </si>
  <si>
    <t>A6NDU8</t>
  </si>
  <si>
    <t>A6NED2</t>
  </si>
  <si>
    <t>A6NEM2</t>
  </si>
  <si>
    <t>A6NEM5</t>
  </si>
  <si>
    <t>A6NF31</t>
  </si>
  <si>
    <t>A6NF51</t>
  </si>
  <si>
    <t>A6NG32</t>
  </si>
  <si>
    <t>A6NG79</t>
  </si>
  <si>
    <t>A6NGC4</t>
  </si>
  <si>
    <t>A6NGP5</t>
  </si>
  <si>
    <t>A6NHL2-2</t>
  </si>
  <si>
    <t>A6NHR2</t>
  </si>
  <si>
    <t>A6NHR9</t>
  </si>
  <si>
    <t>A6NIH7</t>
  </si>
  <si>
    <t>A6NIZ0</t>
  </si>
  <si>
    <t>A6NJ78</t>
  </si>
  <si>
    <t>A6NJB5</t>
  </si>
  <si>
    <t>A6NKB8</t>
  </si>
  <si>
    <t>A6NKD9</t>
  </si>
  <si>
    <t>A6NL54</t>
  </si>
  <si>
    <t>A6NLP3</t>
  </si>
  <si>
    <t>A6NMH6</t>
  </si>
  <si>
    <t>A6NML8</t>
  </si>
  <si>
    <t>A6NMN0</t>
  </si>
  <si>
    <t>A6NMQ1</t>
  </si>
  <si>
    <t>A6NMY3</t>
  </si>
  <si>
    <t>A6NN80</t>
  </si>
  <si>
    <t>A6NNI4</t>
  </si>
  <si>
    <t>A6PVM9</t>
  </si>
  <si>
    <t>A6ZKI3</t>
  </si>
  <si>
    <t>A8K0B5</t>
  </si>
  <si>
    <t>A8K0M9</t>
  </si>
  <si>
    <t>A8MPS7</t>
  </si>
  <si>
    <t>A8MQ02</t>
  </si>
  <si>
    <t>A8MRB1</t>
  </si>
  <si>
    <t>A8MSH5</t>
  </si>
  <si>
    <t>A8MU44</t>
  </si>
  <si>
    <t>A8MU58</t>
  </si>
  <si>
    <t>A8MUA9</t>
  </si>
  <si>
    <t>A8MUB1</t>
  </si>
  <si>
    <t>A8MUM1</t>
  </si>
  <si>
    <t>A8MVQ8</t>
  </si>
  <si>
    <t>A8MVW0</t>
  </si>
  <si>
    <t>A8MVZ6</t>
  </si>
  <si>
    <t>A8MWY0</t>
  </si>
  <si>
    <t>A8MX75</t>
  </si>
  <si>
    <t>A8MXE8</t>
  </si>
  <si>
    <t>A8MXP9</t>
  </si>
  <si>
    <t>A8MXQ1</t>
  </si>
  <si>
    <t>A8MXV4</t>
  </si>
  <si>
    <t>A8MYQ9</t>
  </si>
  <si>
    <t>A8MYT4</t>
  </si>
  <si>
    <t>A9UHW6</t>
  </si>
  <si>
    <t>A9Z1X7</t>
  </si>
  <si>
    <t>A9Z1Z3</t>
  </si>
  <si>
    <t>B0AZU2</t>
  </si>
  <si>
    <t>B0FLL2</t>
  </si>
  <si>
    <t>B0LM41</t>
  </si>
  <si>
    <t>B0QY89</t>
  </si>
  <si>
    <t>B0QY95</t>
  </si>
  <si>
    <t>B0QYI3</t>
  </si>
  <si>
    <t>B0QYK0</t>
  </si>
  <si>
    <t>B0QZ18</t>
  </si>
  <si>
    <t>B0QZ40</t>
  </si>
  <si>
    <t>B0UX83</t>
  </si>
  <si>
    <t>B0UXB6</t>
  </si>
  <si>
    <t>B0UZY3</t>
  </si>
  <si>
    <t>B0V043</t>
  </si>
  <si>
    <t>B0YIW2</t>
  </si>
  <si>
    <t>B1AH87</t>
  </si>
  <si>
    <t>B1AHD1</t>
  </si>
  <si>
    <t>B1AK13</t>
  </si>
  <si>
    <t>B1AK53</t>
  </si>
  <si>
    <t>B1AKC9</t>
  </si>
  <si>
    <t>B1AKJ5</t>
  </si>
  <si>
    <t>B1AKR6</t>
  </si>
  <si>
    <t>B1AKZ5</t>
  </si>
  <si>
    <t>B1ALH6</t>
  </si>
  <si>
    <t>B1ALM5</t>
  </si>
  <si>
    <t>B1AMU7</t>
  </si>
  <si>
    <t>B1AN99</t>
  </si>
  <si>
    <t>B1ANH0</t>
  </si>
  <si>
    <t>B1AP15</t>
  </si>
  <si>
    <t>B1AUU8</t>
  </si>
  <si>
    <t>B3KS98</t>
  </si>
  <si>
    <t>B3KSH1</t>
  </si>
  <si>
    <t>B3KSI3</t>
  </si>
  <si>
    <t>B3KSI9</t>
  </si>
  <si>
    <t>B3KUK2</t>
  </si>
  <si>
    <t>B3KVH8</t>
  </si>
  <si>
    <t>B3KVZ3</t>
  </si>
  <si>
    <t>B3KWN8</t>
  </si>
  <si>
    <t>B4DDF4</t>
  </si>
  <si>
    <t>B4DDY8</t>
  </si>
  <si>
    <t>B4DE11</t>
  </si>
  <si>
    <t>B4DE60</t>
  </si>
  <si>
    <t>B4DEB8</t>
  </si>
  <si>
    <t>B4DEK4</t>
  </si>
  <si>
    <t>B4DEZ3</t>
  </si>
  <si>
    <t>B4DFF2</t>
  </si>
  <si>
    <t>B4DGU4</t>
  </si>
  <si>
    <t>B4DGX2</t>
  </si>
  <si>
    <t>B4DH53</t>
  </si>
  <si>
    <t>B4DIG7</t>
  </si>
  <si>
    <t>B4DIT7</t>
  </si>
  <si>
    <t>B4DJA5</t>
  </si>
  <si>
    <t>B4DJN2</t>
  </si>
  <si>
    <t>B4DJP7</t>
  </si>
  <si>
    <t>B4DJV2</t>
  </si>
  <si>
    <t>B4DJV5</t>
  </si>
  <si>
    <t>B4DK44</t>
  </si>
  <si>
    <t>B4DK80</t>
  </si>
  <si>
    <t>B4DKB2</t>
  </si>
  <si>
    <t>B4DKF9</t>
  </si>
  <si>
    <t>B4DKL4</t>
  </si>
  <si>
    <t>B4DL54</t>
  </si>
  <si>
    <t>B4DLE8</t>
  </si>
  <si>
    <t>B4DLH2</t>
  </si>
  <si>
    <t>B4DLN1</t>
  </si>
  <si>
    <t>B4DLT4</t>
  </si>
  <si>
    <t>B4DLW8</t>
  </si>
  <si>
    <t>B4DLZ9</t>
  </si>
  <si>
    <t>B4DM89</t>
  </si>
  <si>
    <t>B4DME9</t>
  </si>
  <si>
    <t>B4DMU4</t>
  </si>
  <si>
    <t>B4DMX0</t>
  </si>
  <si>
    <t>B4DP21</t>
  </si>
  <si>
    <t>B4DP38</t>
  </si>
  <si>
    <t>B4DP61</t>
  </si>
  <si>
    <t>B4DPY5</t>
  </si>
  <si>
    <t>B4DPY8</t>
  </si>
  <si>
    <t>B4DQJ8</t>
  </si>
  <si>
    <t>B4DR03</t>
  </si>
  <si>
    <t>B4DR61</t>
  </si>
  <si>
    <t>B4DR80</t>
  </si>
  <si>
    <t>B4DR94</t>
  </si>
  <si>
    <t>B4DRM7</t>
  </si>
  <si>
    <t>B4DS06</t>
  </si>
  <si>
    <t>B4DSD4</t>
  </si>
  <si>
    <t>B4DSH5</t>
  </si>
  <si>
    <t>B4DT77</t>
  </si>
  <si>
    <t>B4DTA3</t>
  </si>
  <si>
    <t>B4DUB9</t>
  </si>
  <si>
    <t>B4DUS9</t>
  </si>
  <si>
    <t>B4DVE7</t>
  </si>
  <si>
    <t>B4DVY1</t>
  </si>
  <si>
    <t>B4DWA1</t>
  </si>
  <si>
    <t>B4DWI1</t>
  </si>
  <si>
    <t>B4DWL9</t>
  </si>
  <si>
    <t>B4DXZ6</t>
  </si>
  <si>
    <t>B4DYB4</t>
  </si>
  <si>
    <t>B4DZG7</t>
  </si>
  <si>
    <t>B4DZH6</t>
  </si>
  <si>
    <t>B4DZP4</t>
  </si>
  <si>
    <t>B4DZW6</t>
  </si>
  <si>
    <t>B4E0G4</t>
  </si>
  <si>
    <t>B4E0G6</t>
  </si>
  <si>
    <t>B4E0T2</t>
  </si>
  <si>
    <t>B4E0V0</t>
  </si>
  <si>
    <t>B4E0Y9</t>
  </si>
  <si>
    <t>B4E1Q4</t>
  </si>
  <si>
    <t>B4E241</t>
  </si>
  <si>
    <t>B4E2V5</t>
  </si>
  <si>
    <t>B4E2W0</t>
  </si>
  <si>
    <t>B4E2X3</t>
  </si>
  <si>
    <t>B4E3E5</t>
  </si>
  <si>
    <t>B5AK60</t>
  </si>
  <si>
    <t>B5MBX5</t>
  </si>
  <si>
    <t>B5MBZ0</t>
  </si>
  <si>
    <t>B5MC15</t>
  </si>
  <si>
    <t>B5MCD7</t>
  </si>
  <si>
    <t>B5MCF9</t>
  </si>
  <si>
    <t>B5MCN7</t>
  </si>
  <si>
    <t>B5MD46</t>
  </si>
  <si>
    <t>B5MDE0</t>
  </si>
  <si>
    <t>B5MDU6</t>
  </si>
  <si>
    <t>B7Z254</t>
  </si>
  <si>
    <t>B7Z291</t>
  </si>
  <si>
    <t>B7Z2B2</t>
  </si>
  <si>
    <t>B7Z382</t>
  </si>
  <si>
    <t>B7Z3P1</t>
  </si>
  <si>
    <t>B7Z456</t>
  </si>
  <si>
    <t>B7Z4K6</t>
  </si>
  <si>
    <t>B7Z4U0</t>
  </si>
  <si>
    <t>B7Z4W5</t>
  </si>
  <si>
    <t>B7Z5G4</t>
  </si>
  <si>
    <t>B7Z5N5</t>
  </si>
  <si>
    <t>B7Z5R6</t>
  </si>
  <si>
    <t>B7Z5W1</t>
  </si>
  <si>
    <t>B7Z5X7</t>
  </si>
  <si>
    <t>B7Z683</t>
  </si>
  <si>
    <t>B7Z6M4</t>
  </si>
  <si>
    <t>B7Z7F3</t>
  </si>
  <si>
    <t>B7Z7X8</t>
  </si>
  <si>
    <t>B7Z815</t>
  </si>
  <si>
    <t>B7Z817</t>
  </si>
  <si>
    <t>B7Z831</t>
  </si>
  <si>
    <t>B7Z860</t>
  </si>
  <si>
    <t>B7Z8H2</t>
  </si>
  <si>
    <t>B7Z9I1</t>
  </si>
  <si>
    <t>B7Z9I3</t>
  </si>
  <si>
    <t>B7Z9J4</t>
  </si>
  <si>
    <t>B7Z9S8</t>
  </si>
  <si>
    <t>B7ZC38</t>
  </si>
  <si>
    <t>B7ZKK9</t>
  </si>
  <si>
    <t>B7ZKM0</t>
  </si>
  <si>
    <t>B7ZKQ9</t>
  </si>
  <si>
    <t>B7ZL88</t>
  </si>
  <si>
    <t>B7ZLZ2</t>
  </si>
  <si>
    <t>B8X2Z3</t>
  </si>
  <si>
    <t>B8ZZB8</t>
  </si>
  <si>
    <t>B8ZZD4</t>
  </si>
  <si>
    <t>B8ZZJ1</t>
  </si>
  <si>
    <t>B8ZZN6</t>
  </si>
  <si>
    <t>B8ZZQ6</t>
  </si>
  <si>
    <t>B8ZZU8</t>
  </si>
  <si>
    <t>B8ZZY2</t>
  </si>
  <si>
    <t>B9A018</t>
  </si>
  <si>
    <t>B9A054</t>
  </si>
  <si>
    <t>B9A067</t>
  </si>
  <si>
    <t>B9EGE7</t>
  </si>
  <si>
    <t>C0H5Y7</t>
  </si>
  <si>
    <t>C1IDX9</t>
  </si>
  <si>
    <t>C4AMC7</t>
  </si>
  <si>
    <t>C6GKU9</t>
  </si>
  <si>
    <t>C9IYZ1</t>
  </si>
  <si>
    <t>C9IZZ8</t>
  </si>
  <si>
    <t>C9J0I9</t>
  </si>
  <si>
    <t>C9J0J7</t>
  </si>
  <si>
    <t>C9J0K6</t>
  </si>
  <si>
    <t>C9J173</t>
  </si>
  <si>
    <t>C9J212</t>
  </si>
  <si>
    <t>C9J2P0</t>
  </si>
  <si>
    <t>C9J2U4</t>
  </si>
  <si>
    <t>C9J2V2</t>
  </si>
  <si>
    <t>C9J3D2</t>
  </si>
  <si>
    <t>C9J3D7</t>
  </si>
  <si>
    <t>C9J3L7</t>
  </si>
  <si>
    <t>C9J3L8</t>
  </si>
  <si>
    <t>C9J4M6</t>
  </si>
  <si>
    <t>C9J4Z3</t>
  </si>
  <si>
    <t>C9J5C3</t>
  </si>
  <si>
    <t>C9J5X1</t>
  </si>
  <si>
    <t>C9J695</t>
  </si>
  <si>
    <t>C9J6W2</t>
  </si>
  <si>
    <t>C9J715</t>
  </si>
  <si>
    <t>C9J7E5</t>
  </si>
  <si>
    <t>C9J7E8</t>
  </si>
  <si>
    <t>C9J7T7</t>
  </si>
  <si>
    <t>C9J8H5</t>
  </si>
  <si>
    <t>C9J8Q5</t>
  </si>
  <si>
    <t>C9J9K3</t>
  </si>
  <si>
    <t>C9JA08</t>
  </si>
  <si>
    <t>C9JA28</t>
  </si>
  <si>
    <t>C9JAB2</t>
  </si>
  <si>
    <t>C9JAW5</t>
  </si>
  <si>
    <t>C9JCC6</t>
  </si>
  <si>
    <t>C9JDS9</t>
  </si>
  <si>
    <t>C9JE12</t>
  </si>
  <si>
    <t>C9JE15</t>
  </si>
  <si>
    <t>C9JEL3</t>
  </si>
  <si>
    <t>C9JFR7</t>
  </si>
  <si>
    <t>C9JG97</t>
  </si>
  <si>
    <t>C9JIF9</t>
  </si>
  <si>
    <t>C9JIM0</t>
  </si>
  <si>
    <t>C9JIY2</t>
  </si>
  <si>
    <t>C9JIZ6</t>
  </si>
  <si>
    <t>C9JJV6</t>
  </si>
  <si>
    <t>C9JK10</t>
  </si>
  <si>
    <t>C9JK89</t>
  </si>
  <si>
    <t>C9JLU1</t>
  </si>
  <si>
    <t>C9JLV4</t>
  </si>
  <si>
    <t>C9JN15</t>
  </si>
  <si>
    <t>C9JNA8</t>
  </si>
  <si>
    <t>C9JNE2</t>
  </si>
  <si>
    <t>C9JP00</t>
  </si>
  <si>
    <t>C9JP16</t>
  </si>
  <si>
    <t>C9JP85</t>
  </si>
  <si>
    <t>C9JPM4</t>
  </si>
  <si>
    <t>C9JQB1</t>
  </si>
  <si>
    <t>C9JQV3</t>
  </si>
  <si>
    <t>C9JRY4</t>
  </si>
  <si>
    <t>C9JRZ6</t>
  </si>
  <si>
    <t>C9JSG1</t>
  </si>
  <si>
    <t>C9JUH5</t>
  </si>
  <si>
    <t>C9JXB8</t>
  </si>
  <si>
    <t>C9JXI1</t>
  </si>
  <si>
    <t>C9JYM0</t>
  </si>
  <si>
    <t>C9JYQ9</t>
  </si>
  <si>
    <t>C9JYY6</t>
  </si>
  <si>
    <t>C9JYY9</t>
  </si>
  <si>
    <t>C9JZB0</t>
  </si>
  <si>
    <t>C9K0J5</t>
  </si>
  <si>
    <t>D3YTA4</t>
  </si>
  <si>
    <t>D3YTB1</t>
  </si>
  <si>
    <t>D3YTB5</t>
  </si>
  <si>
    <t>D6R938</t>
  </si>
  <si>
    <t>D6R9G1</t>
  </si>
  <si>
    <t>D6R9U7</t>
  </si>
  <si>
    <t>D6R9X7</t>
  </si>
  <si>
    <t>D6R9Z7</t>
  </si>
  <si>
    <t>D6RAT0</t>
  </si>
  <si>
    <t>D6RB01</t>
  </si>
  <si>
    <t>D6RBS5</t>
  </si>
  <si>
    <t>D6RBW1</t>
  </si>
  <si>
    <t>D6RCD0</t>
  </si>
  <si>
    <t>D6RCD9</t>
  </si>
  <si>
    <t>D6RDM3</t>
  </si>
  <si>
    <t>D6RDX7</t>
  </si>
  <si>
    <t>D6RE84</t>
  </si>
  <si>
    <t>D6REA0</t>
  </si>
  <si>
    <t>D6REX3</t>
  </si>
  <si>
    <t>D6RF85</t>
  </si>
  <si>
    <t>D6RF92</t>
  </si>
  <si>
    <t>D6RFG8</t>
  </si>
  <si>
    <t>D6RFH4</t>
  </si>
  <si>
    <t>D6RGI3</t>
  </si>
  <si>
    <t>D6RGJ7</t>
  </si>
  <si>
    <t>D6RHD2</t>
  </si>
  <si>
    <t>D6RHD3</t>
  </si>
  <si>
    <t>D6RHI9</t>
  </si>
  <si>
    <t>D6RIE3</t>
  </si>
  <si>
    <t>D6W592</t>
  </si>
  <si>
    <t>E2QRB3</t>
  </si>
  <si>
    <t>E2QRD5</t>
  </si>
  <si>
    <t>E2QRF9</t>
  </si>
  <si>
    <t>E5KLJ5</t>
  </si>
  <si>
    <t>E5RFJ1</t>
  </si>
  <si>
    <t>E5RFQ1</t>
  </si>
  <si>
    <t>E5RG13</t>
  </si>
  <si>
    <t>E5RG17</t>
  </si>
  <si>
    <t>E5RGQ3</t>
  </si>
  <si>
    <t>E5RGX5</t>
  </si>
  <si>
    <t>E5RGY0</t>
  </si>
  <si>
    <t>E5RHG8</t>
  </si>
  <si>
    <t>E5RHT1</t>
  </si>
  <si>
    <t>E5RIH5</t>
  </si>
  <si>
    <t>E5RIJ0</t>
  </si>
  <si>
    <t>E5RJ68</t>
  </si>
  <si>
    <t>E5RJ97</t>
  </si>
  <si>
    <t>E5RJ99</t>
  </si>
  <si>
    <t>E5RJB8</t>
  </si>
  <si>
    <t>E5RJJ3</t>
  </si>
  <si>
    <t>E5RJR5</t>
  </si>
  <si>
    <t>E5RJS5</t>
  </si>
  <si>
    <t>E5RJV7</t>
  </si>
  <si>
    <t>E7EM64</t>
  </si>
  <si>
    <t>E7EM95</t>
  </si>
  <si>
    <t>E7EMB1</t>
  </si>
  <si>
    <t>E7EMD6</t>
  </si>
  <si>
    <t>E7EMM4</t>
  </si>
  <si>
    <t>E7EMX7</t>
  </si>
  <si>
    <t>E7EN68</t>
  </si>
  <si>
    <t>E7EN86</t>
  </si>
  <si>
    <t>E7ENA9</t>
  </si>
  <si>
    <t>E7ENN3</t>
  </si>
  <si>
    <t>E7ENR4</t>
  </si>
  <si>
    <t>E7EP87</t>
  </si>
  <si>
    <t>E7EPB3</t>
  </si>
  <si>
    <t>E7EPC6</t>
  </si>
  <si>
    <t>E7EPD0</t>
  </si>
  <si>
    <t>E7EPL4</t>
  </si>
  <si>
    <t>E7EPN9</t>
  </si>
  <si>
    <t>E7EPT4</t>
  </si>
  <si>
    <t>E7EPV7</t>
  </si>
  <si>
    <t>E7EPY1</t>
  </si>
  <si>
    <t>E7EQ29</t>
  </si>
  <si>
    <t>E7EQ69</t>
  </si>
  <si>
    <t>E7EQ72</t>
  </si>
  <si>
    <t>E7EQA9</t>
  </si>
  <si>
    <t>E7EQI7</t>
  </si>
  <si>
    <t>E7EQN6</t>
  </si>
  <si>
    <t>E7EQR8</t>
  </si>
  <si>
    <t>E7EQR9</t>
  </si>
  <si>
    <t>E7EQT4</t>
  </si>
  <si>
    <t>E7EQX7</t>
  </si>
  <si>
    <t>E7EQY1</t>
  </si>
  <si>
    <t>E7ER60</t>
  </si>
  <si>
    <t>E7ER68</t>
  </si>
  <si>
    <t>E7ER77</t>
  </si>
  <si>
    <t>E7ER89</t>
  </si>
  <si>
    <t>E7ERB7</t>
  </si>
  <si>
    <t>E7ERC6</t>
  </si>
  <si>
    <t>E7ERI8</t>
  </si>
  <si>
    <t>E7ERK9</t>
  </si>
  <si>
    <t>E7ERS3</t>
  </si>
  <si>
    <t>E7ES35</t>
  </si>
  <si>
    <t>E7ES43</t>
  </si>
  <si>
    <t>E7ES96</t>
  </si>
  <si>
    <t>E7ESG2</t>
  </si>
  <si>
    <t>E7ESP9</t>
  </si>
  <si>
    <t>E7EST9</t>
  </si>
  <si>
    <t>E7ESZ7</t>
  </si>
  <si>
    <t>E7ET15</t>
  </si>
  <si>
    <t>E7ET49</t>
  </si>
  <si>
    <t>E7ETB3</t>
  </si>
  <si>
    <t>E7ETE0</t>
  </si>
  <si>
    <t>E7ETU5</t>
  </si>
  <si>
    <t>E7ETU9</t>
  </si>
  <si>
    <t>E7ETY4</t>
  </si>
  <si>
    <t>E7ETY7</t>
  </si>
  <si>
    <t>E7ETZ0</t>
  </si>
  <si>
    <t>E7ETZ4</t>
  </si>
  <si>
    <t>E7EU09</t>
  </si>
  <si>
    <t>E7EU23</t>
  </si>
  <si>
    <t>E7EU96</t>
  </si>
  <si>
    <t>E7EUC7</t>
  </si>
  <si>
    <t>E7EUM5</t>
  </si>
  <si>
    <t>E7EUU4</t>
  </si>
  <si>
    <t>E7EUY3</t>
  </si>
  <si>
    <t>E7EV56</t>
  </si>
  <si>
    <t>E7EV87</t>
  </si>
  <si>
    <t>E7EVA0</t>
  </si>
  <si>
    <t>E7EVC7</t>
  </si>
  <si>
    <t>E7EVD6</t>
  </si>
  <si>
    <t>E7EVH7</t>
  </si>
  <si>
    <t>E7EVH9</t>
  </si>
  <si>
    <t>E7EVJ5</t>
  </si>
  <si>
    <t>E7EVW7</t>
  </si>
  <si>
    <t>E7EVX8</t>
  </si>
  <si>
    <t>E7EW05</t>
  </si>
  <si>
    <t>E7EW20</t>
  </si>
  <si>
    <t>E7EW59</t>
  </si>
  <si>
    <t>E7EW69</t>
  </si>
  <si>
    <t>E7EW77</t>
  </si>
  <si>
    <t>E7EW84</t>
  </si>
  <si>
    <t>E7EWP0</t>
  </si>
  <si>
    <t>E7EX01</t>
  </si>
  <si>
    <t>E7EX53</t>
  </si>
  <si>
    <t>E7EX90</t>
  </si>
  <si>
    <t>E9PAU2</t>
  </si>
  <si>
    <t>E9PAV9</t>
  </si>
  <si>
    <t>E9PB35</t>
  </si>
  <si>
    <t>E9PB61</t>
  </si>
  <si>
    <t>E9PB90</t>
  </si>
  <si>
    <t>E9PC15</t>
  </si>
  <si>
    <t>E9PC26</t>
  </si>
  <si>
    <t>E9PC47</t>
  </si>
  <si>
    <t>E9PC74</t>
  </si>
  <si>
    <t>E9PC84</t>
  </si>
  <si>
    <t>E9PCH4</t>
  </si>
  <si>
    <t>E9PCN2</t>
  </si>
  <si>
    <t>E9PCW1</t>
  </si>
  <si>
    <t>E9PCX3</t>
  </si>
  <si>
    <t>E9PCY7</t>
  </si>
  <si>
    <t>E9PD50</t>
  </si>
  <si>
    <t>E9PD53</t>
  </si>
  <si>
    <t>E9PD90</t>
  </si>
  <si>
    <t>E9PD99</t>
  </si>
  <si>
    <t>E9PDF6</t>
  </si>
  <si>
    <t>E9PDJ1</t>
  </si>
  <si>
    <t>E9PDW2</t>
  </si>
  <si>
    <t>E9PE47</t>
  </si>
  <si>
    <t>E9PE82</t>
  </si>
  <si>
    <t>E9PEE8</t>
  </si>
  <si>
    <t>E9PEH6</t>
  </si>
  <si>
    <t>E9PEK8</t>
  </si>
  <si>
    <t>E9PEN8</t>
  </si>
  <si>
    <t>E9PEP6</t>
  </si>
  <si>
    <t>E9PER6</t>
  </si>
  <si>
    <t>E9PEZ3</t>
  </si>
  <si>
    <t>E9PEZ5</t>
  </si>
  <si>
    <t>E9PF10</t>
  </si>
  <si>
    <t>E9PF16</t>
  </si>
  <si>
    <t>E9PF18</t>
  </si>
  <si>
    <t>E9PF19</t>
  </si>
  <si>
    <t>E9PFB9</t>
  </si>
  <si>
    <t>E9PFD7</t>
  </si>
  <si>
    <t>E9PFN5</t>
  </si>
  <si>
    <t>E9PFR3</t>
  </si>
  <si>
    <t>E9PFW8</t>
  </si>
  <si>
    <t>E9PG19</t>
  </si>
  <si>
    <t>E9PG22</t>
  </si>
  <si>
    <t>E9PG40</t>
  </si>
  <si>
    <t>E9PG71</t>
  </si>
  <si>
    <t>E9PGC0</t>
  </si>
  <si>
    <t>E9PGI3</t>
  </si>
  <si>
    <t>E9PGQ0</t>
  </si>
  <si>
    <t>E9PGT1</t>
  </si>
  <si>
    <t>E9PGT3</t>
  </si>
  <si>
    <t>E9PGT6</t>
  </si>
  <si>
    <t>E9PGW7</t>
  </si>
  <si>
    <t>E9PH29</t>
  </si>
  <si>
    <t>E9PHA2</t>
  </si>
  <si>
    <t>E9PHC0</t>
  </si>
  <si>
    <t>E9PHG5</t>
  </si>
  <si>
    <t>E9PHK9</t>
  </si>
  <si>
    <t>E9PHN7</t>
  </si>
  <si>
    <t>E9PHV4</t>
  </si>
  <si>
    <t>E9PIE4</t>
  </si>
  <si>
    <t>E9PIN3</t>
  </si>
  <si>
    <t>E9PIQ1</t>
  </si>
  <si>
    <t>E9PIR7</t>
  </si>
  <si>
    <t>E9PJ81</t>
  </si>
  <si>
    <t>E9PJB8</t>
  </si>
  <si>
    <t>E9PJD7</t>
  </si>
  <si>
    <t>E9PJH1</t>
  </si>
  <si>
    <t>E9PJK1</t>
  </si>
  <si>
    <t>E9PJW9</t>
  </si>
  <si>
    <t>E9PK01</t>
  </si>
  <si>
    <t>E9PK91</t>
  </si>
  <si>
    <t>E9PKG1</t>
  </si>
  <si>
    <t>E9PKS9</t>
  </si>
  <si>
    <t>E9PKT4</t>
  </si>
  <si>
    <t>E9PKV8</t>
  </si>
  <si>
    <t>E9PKZ0</t>
  </si>
  <si>
    <t>E9PL01</t>
  </si>
  <si>
    <t>E9PL10</t>
  </si>
  <si>
    <t>E9PL17</t>
  </si>
  <si>
    <t>E9PL22</t>
  </si>
  <si>
    <t>E9PL40</t>
  </si>
  <si>
    <t>E9PL57</t>
  </si>
  <si>
    <t>E9PLJ2</t>
  </si>
  <si>
    <t>E9PLK3</t>
  </si>
  <si>
    <t>E9PLL6</t>
  </si>
  <si>
    <t>E9PLY5</t>
  </si>
  <si>
    <t>E9PM46</t>
  </si>
  <si>
    <t>E9PMI6</t>
  </si>
  <si>
    <t>E9PMJ2</t>
  </si>
  <si>
    <t>E9PMM3</t>
  </si>
  <si>
    <t>E9PMQ6</t>
  </si>
  <si>
    <t>E9PND3</t>
  </si>
  <si>
    <t>E9PNK6</t>
  </si>
  <si>
    <t>E9PNN3</t>
  </si>
  <si>
    <t>E9PNP2</t>
  </si>
  <si>
    <t>E9PNP3</t>
  </si>
  <si>
    <t>E9PNT2</t>
  </si>
  <si>
    <t>E9PNW4</t>
  </si>
  <si>
    <t>E9PQ61</t>
  </si>
  <si>
    <t>E9PQN5</t>
  </si>
  <si>
    <t>E9PQR7</t>
  </si>
  <si>
    <t>E9PQY3</t>
  </si>
  <si>
    <t>E9PQZ2</t>
  </si>
  <si>
    <t>E9PR30</t>
  </si>
  <si>
    <t>E9PR76</t>
  </si>
  <si>
    <t>E9PRJ3</t>
  </si>
  <si>
    <t>E9PS17</t>
  </si>
  <si>
    <t>E9PS38</t>
  </si>
  <si>
    <t>E9PS97</t>
  </si>
  <si>
    <t>E9PSI1</t>
  </si>
  <si>
    <t>F2Z2E2</t>
  </si>
  <si>
    <t>F2Z2U8</t>
  </si>
  <si>
    <t>F2Z2W6</t>
  </si>
  <si>
    <t>F2Z2W7</t>
  </si>
  <si>
    <t>F2Z2X4</t>
  </si>
  <si>
    <t>F5GWE5</t>
  </si>
  <si>
    <t>F5GWI9</t>
  </si>
  <si>
    <t>F5GWU7</t>
  </si>
  <si>
    <t>F5GWX5</t>
  </si>
  <si>
    <t>F5GWY5</t>
  </si>
  <si>
    <t>F5GX09</t>
  </si>
  <si>
    <t>F5GX30</t>
  </si>
  <si>
    <t>F5GXC8</t>
  </si>
  <si>
    <t>F5GXC9</t>
  </si>
  <si>
    <t>F5GXE4</t>
  </si>
  <si>
    <t>F5GXI4</t>
  </si>
  <si>
    <t>F5GXX5</t>
  </si>
  <si>
    <t>F5GY92</t>
  </si>
  <si>
    <t>F5GY99</t>
  </si>
  <si>
    <t>F5GYC1</t>
  </si>
  <si>
    <t>F5GYE8</t>
  </si>
  <si>
    <t>F5GYJ5</t>
  </si>
  <si>
    <t>F5GYK2</t>
  </si>
  <si>
    <t>F5GYN4</t>
  </si>
  <si>
    <t>F5GYQ1</t>
  </si>
  <si>
    <t>F5GZ78</t>
  </si>
  <si>
    <t>F5GZ84</t>
  </si>
  <si>
    <t>F5GZN3</t>
  </si>
  <si>
    <t>F5GZP3</t>
  </si>
  <si>
    <t>F5GZS0</t>
  </si>
  <si>
    <t>F5GZS6</t>
  </si>
  <si>
    <t>F5GZU5</t>
  </si>
  <si>
    <t>F5GZX9</t>
  </si>
  <si>
    <t>F5GZZ0</t>
  </si>
  <si>
    <t>F5H0L8</t>
  </si>
  <si>
    <t>F5H0U5</t>
  </si>
  <si>
    <t>F5H1G9</t>
  </si>
  <si>
    <t>F5H1H0</t>
  </si>
  <si>
    <t>F5H1L4</t>
  </si>
  <si>
    <t>F5H1N7</t>
  </si>
  <si>
    <t>F5H1U9</t>
  </si>
  <si>
    <t>F5H1X8</t>
  </si>
  <si>
    <t>F5H2H5</t>
  </si>
  <si>
    <t>F5H2J3</t>
  </si>
  <si>
    <t>F5H2M7</t>
  </si>
  <si>
    <t>F5H2Q7</t>
  </si>
  <si>
    <t>F5H2S7</t>
  </si>
  <si>
    <t>F5H2U7</t>
  </si>
  <si>
    <t>F5H2U8</t>
  </si>
  <si>
    <t>F5H2V5</t>
  </si>
  <si>
    <t>F5H2X3</t>
  </si>
  <si>
    <t>F5H357</t>
  </si>
  <si>
    <t>F5H365</t>
  </si>
  <si>
    <t>F5H3J3</t>
  </si>
  <si>
    <t>F5H450</t>
  </si>
  <si>
    <t>F5H4G7</t>
  </si>
  <si>
    <t>F5H4I5</t>
  </si>
  <si>
    <t>F5H4J2</t>
  </si>
  <si>
    <t>F5H4K0</t>
  </si>
  <si>
    <t>F5H4N6</t>
  </si>
  <si>
    <t>F5H4Q5</t>
  </si>
  <si>
    <t>F5H4R0</t>
  </si>
  <si>
    <t>F5H4V9</t>
  </si>
  <si>
    <t>F5H4Z3</t>
  </si>
  <si>
    <t>F5H527</t>
  </si>
  <si>
    <t>F5H564</t>
  </si>
  <si>
    <t>F5H569</t>
  </si>
  <si>
    <t>F5H577</t>
  </si>
  <si>
    <t>F5H5D3</t>
  </si>
  <si>
    <t>F5H5K6</t>
  </si>
  <si>
    <t>F5H5M9</t>
  </si>
  <si>
    <t>F5H5N1</t>
  </si>
  <si>
    <t>F5H5P2</t>
  </si>
  <si>
    <t>F5H5R8</t>
  </si>
  <si>
    <t>F5H620</t>
  </si>
  <si>
    <t>F5H648</t>
  </si>
  <si>
    <t>F5H685</t>
  </si>
  <si>
    <t>F5H698</t>
  </si>
  <si>
    <t>F5H6I7</t>
  </si>
  <si>
    <t>F5H715</t>
  </si>
  <si>
    <t>F5H721</t>
  </si>
  <si>
    <t>F5H7J5</t>
  </si>
  <si>
    <t>F5H7M3</t>
  </si>
  <si>
    <t>F5H7Q8</t>
  </si>
  <si>
    <t>F5H843</t>
  </si>
  <si>
    <t>F5H860</t>
  </si>
  <si>
    <t>F5H897</t>
  </si>
  <si>
    <t>F5H8D7</t>
  </si>
  <si>
    <t>F5H8F7</t>
  </si>
  <si>
    <t>F5H8G1</t>
  </si>
  <si>
    <t>F5H8J3</t>
  </si>
  <si>
    <t>F5H8L0</t>
  </si>
  <si>
    <t>F6PQP6</t>
  </si>
  <si>
    <t>F6RY50</t>
  </si>
  <si>
    <t>F6S0T5</t>
  </si>
  <si>
    <t>F6T1Q0</t>
  </si>
  <si>
    <t>F6U1T9</t>
  </si>
  <si>
    <t>F6XY72</t>
  </si>
  <si>
    <t>F8VPD4</t>
  </si>
  <si>
    <t>F8VQ10</t>
  </si>
  <si>
    <t>F8VQD4</t>
  </si>
  <si>
    <t>F8VQX6</t>
  </si>
  <si>
    <t>F8VQY2</t>
  </si>
  <si>
    <t>F8VQZ7</t>
  </si>
  <si>
    <t>F8VSL3</t>
  </si>
  <si>
    <t>F8VSZ4</t>
  </si>
  <si>
    <t>F8VUA8</t>
  </si>
  <si>
    <t>F8VUY8</t>
  </si>
  <si>
    <t>F8VV59</t>
  </si>
  <si>
    <t>F8VVA7</t>
  </si>
  <si>
    <t>F8VVB6</t>
  </si>
  <si>
    <t>F8VW96</t>
  </si>
  <si>
    <t>F8VWA5</t>
  </si>
  <si>
    <t>F8VWA9</t>
  </si>
  <si>
    <t>F8VWE0</t>
  </si>
  <si>
    <t>F8VWH9</t>
  </si>
  <si>
    <t>F8VWL0</t>
  </si>
  <si>
    <t>F8VX04</t>
  </si>
  <si>
    <t>F8VXC8</t>
  </si>
  <si>
    <t>F8VXG7</t>
  </si>
  <si>
    <t>F8VXI9</t>
  </si>
  <si>
    <t>F8VYZ4</t>
  </si>
  <si>
    <t>F8VZ44</t>
  </si>
  <si>
    <t>F8VZJ2</t>
  </si>
  <si>
    <t>F8W038</t>
  </si>
  <si>
    <t>F8W052</t>
  </si>
  <si>
    <t>F8W0J4</t>
  </si>
  <si>
    <t>F8W0J6</t>
  </si>
  <si>
    <t>F8W0R1</t>
  </si>
  <si>
    <t>F8W0W8</t>
  </si>
  <si>
    <t>F8W145</t>
  </si>
  <si>
    <t>F8W181</t>
  </si>
  <si>
    <t>F8W1R9</t>
  </si>
  <si>
    <t>F8W681</t>
  </si>
  <si>
    <t>F8W685</t>
  </si>
  <si>
    <t>F8W689</t>
  </si>
  <si>
    <t>F8W6I7</t>
  </si>
  <si>
    <t>F8W6T6</t>
  </si>
  <si>
    <t>F8W717</t>
  </si>
  <si>
    <t>F8W782</t>
  </si>
  <si>
    <t>F8W7D6</t>
  </si>
  <si>
    <t>F8W7Q4</t>
  </si>
  <si>
    <t>F8W8C2</t>
  </si>
  <si>
    <t>F8W8D3</t>
  </si>
  <si>
    <t>F8W8I6</t>
  </si>
  <si>
    <t>F8W8M4</t>
  </si>
  <si>
    <t>F8W8Q9</t>
  </si>
  <si>
    <t>F8W8R3</t>
  </si>
  <si>
    <t>F8W8Z9</t>
  </si>
  <si>
    <t>F8W930</t>
  </si>
  <si>
    <t>F8W943</t>
  </si>
  <si>
    <t>F8W9A8</t>
  </si>
  <si>
    <t>F8W9F9</t>
  </si>
  <si>
    <t>F8W9I8</t>
  </si>
  <si>
    <t>F8W9R9</t>
  </si>
  <si>
    <t>F8W9Z6</t>
  </si>
  <si>
    <t>F8WA11</t>
  </si>
  <si>
    <t>F8WA86</t>
  </si>
  <si>
    <t>F8WAD8</t>
  </si>
  <si>
    <t>F8WAE5</t>
  </si>
  <si>
    <t>F8WAN1</t>
  </si>
  <si>
    <t>F8WBH3</t>
  </si>
  <si>
    <t>F8WBJ6</t>
  </si>
  <si>
    <t>F8WBK5</t>
  </si>
  <si>
    <t>F8WBS5</t>
  </si>
  <si>
    <t>F8WBY6</t>
  </si>
  <si>
    <t>F8WC68</t>
  </si>
  <si>
    <t>F8WCX2</t>
  </si>
  <si>
    <t>F8WE74</t>
  </si>
  <si>
    <t>F8WE91</t>
  </si>
  <si>
    <t>F8WEE4</t>
  </si>
  <si>
    <t>F8WEG4</t>
  </si>
  <si>
    <t>F8WF93</t>
  </si>
  <si>
    <t>G3V0I5</t>
  </si>
  <si>
    <t>G3V0I6</t>
  </si>
  <si>
    <t>G3V130</t>
  </si>
  <si>
    <t>G3V1D3</t>
  </si>
  <si>
    <t>G3V1K3</t>
  </si>
  <si>
    <t>G3V1N2</t>
  </si>
  <si>
    <t>G3V1P3</t>
  </si>
  <si>
    <t>G3V1R3</t>
  </si>
  <si>
    <t>G3V1R9</t>
  </si>
  <si>
    <t>G3V1S6</t>
  </si>
  <si>
    <t>G3V1U0</t>
  </si>
  <si>
    <t>G3V1U5</t>
  </si>
  <si>
    <t>G3V1V4</t>
  </si>
  <si>
    <t>G3V203</t>
  </si>
  <si>
    <t>G3V238</t>
  </si>
  <si>
    <t>G3V2F7</t>
  </si>
  <si>
    <t>G3V2J7</t>
  </si>
  <si>
    <t>G3V325</t>
  </si>
  <si>
    <t>G3V3M6</t>
  </si>
  <si>
    <t>G3V3R7</t>
  </si>
  <si>
    <t>G3V439</t>
  </si>
  <si>
    <t>G3V541</t>
  </si>
  <si>
    <t>G3V578</t>
  </si>
  <si>
    <t>G3V583</t>
  </si>
  <si>
    <t>G3V599</t>
  </si>
  <si>
    <t>G3V5T0</t>
  </si>
  <si>
    <t>G3V5T9</t>
  </si>
  <si>
    <t>G3V5X4</t>
  </si>
  <si>
    <t>G3V5Z7</t>
  </si>
  <si>
    <t>G3XA81</t>
  </si>
  <si>
    <t>G3XAA0</t>
  </si>
  <si>
    <t>G3XAA2</t>
  </si>
  <si>
    <t>G3XAI2</t>
  </si>
  <si>
    <t>G3XAN8</t>
  </si>
  <si>
    <t>G3XAP3</t>
  </si>
  <si>
    <t>G5E979</t>
  </si>
  <si>
    <t>G5E994</t>
  </si>
  <si>
    <t>G5E9A6</t>
  </si>
  <si>
    <t>G5E9A7</t>
  </si>
  <si>
    <t>G5E9C8</t>
  </si>
  <si>
    <t>G5E9E7</t>
  </si>
  <si>
    <t>G5E9T8</t>
  </si>
  <si>
    <t>G5E9V4</t>
  </si>
  <si>
    <t>G5E9Z4</t>
  </si>
  <si>
    <t>G5EA30</t>
  </si>
  <si>
    <t>G5EA42</t>
  </si>
  <si>
    <t>G5EA52</t>
  </si>
  <si>
    <t>G8JL86</t>
  </si>
  <si>
    <t>G8JL98</t>
  </si>
  <si>
    <t>G8JLA2</t>
  </si>
  <si>
    <t>G8JLB3</t>
  </si>
  <si>
    <t>G8JLC6</t>
  </si>
  <si>
    <t>G8JLD3</t>
  </si>
  <si>
    <t>G8JLI5</t>
  </si>
  <si>
    <t>G8JLI6</t>
  </si>
  <si>
    <t>G8JLK4</t>
  </si>
  <si>
    <t>G8JLL2</t>
  </si>
  <si>
    <t>H0UI80</t>
  </si>
  <si>
    <t>H0Y2L5</t>
  </si>
  <si>
    <t>H0Y2P9</t>
  </si>
  <si>
    <t>H0Y2V6</t>
  </si>
  <si>
    <t>H0Y360</t>
  </si>
  <si>
    <t>H0Y384</t>
  </si>
  <si>
    <t>H0Y3A0</t>
  </si>
  <si>
    <t>H0Y3A3</t>
  </si>
  <si>
    <t>H0Y3P2</t>
  </si>
  <si>
    <t>H0Y3X6</t>
  </si>
  <si>
    <t>H0Y494</t>
  </si>
  <si>
    <t>H0Y4M8</t>
  </si>
  <si>
    <t>H0Y4R1</t>
  </si>
  <si>
    <t>H0Y4W2</t>
  </si>
  <si>
    <t>H0Y5C0</t>
  </si>
  <si>
    <t>H0Y5M6</t>
  </si>
  <si>
    <t>H0Y612</t>
  </si>
  <si>
    <t>H0Y614</t>
  </si>
  <si>
    <t>H0Y6A0</t>
  </si>
  <si>
    <t>H0Y6C3</t>
  </si>
  <si>
    <t>H0Y6I0</t>
  </si>
  <si>
    <t>H0Y6J0</t>
  </si>
  <si>
    <t>H0Y6K2</t>
  </si>
  <si>
    <t>H0Y6K5</t>
  </si>
  <si>
    <t>H0Y7L9</t>
  </si>
  <si>
    <t>H0Y860</t>
  </si>
  <si>
    <t>H0Y8C3</t>
  </si>
  <si>
    <t>H0Y8X4</t>
  </si>
  <si>
    <t>H0Y9Q7</t>
  </si>
  <si>
    <t>H0Y9T8</t>
  </si>
  <si>
    <t>H0Y9V2</t>
  </si>
  <si>
    <t>H0Y9X1</t>
  </si>
  <si>
    <t>H0YA20</t>
  </si>
  <si>
    <t>H0YAA8</t>
  </si>
  <si>
    <t>H0YAJ5</t>
  </si>
  <si>
    <t>H0YAN2</t>
  </si>
  <si>
    <t>H0YAT1</t>
  </si>
  <si>
    <t>H0YAT2</t>
  </si>
  <si>
    <t>H0YB09</t>
  </si>
  <si>
    <t>H0YBS1</t>
  </si>
  <si>
    <t>H0YCB3</t>
  </si>
  <si>
    <t>H0YCK3</t>
  </si>
  <si>
    <t>H0YDI1</t>
  </si>
  <si>
    <t>H0YDQ1</t>
  </si>
  <si>
    <t>H0YDU8</t>
  </si>
  <si>
    <t>H0YEB6</t>
  </si>
  <si>
    <t>H0YEF3</t>
  </si>
  <si>
    <t>H0YEN5</t>
  </si>
  <si>
    <t>H0YF29</t>
  </si>
  <si>
    <t>H0YGA7</t>
  </si>
  <si>
    <t>H0YGR4</t>
  </si>
  <si>
    <t>H0YGT9</t>
  </si>
  <si>
    <t>H0YH69</t>
  </si>
  <si>
    <t>H0YH87</t>
  </si>
  <si>
    <t>H0YIE8</t>
  </si>
  <si>
    <t>H0YIE9</t>
  </si>
  <si>
    <t>H0YIV5</t>
  </si>
  <si>
    <t>H0YIV9</t>
  </si>
  <si>
    <t>H0YK48</t>
  </si>
  <si>
    <t>H0YK61</t>
  </si>
  <si>
    <t>H0YKT5</t>
  </si>
  <si>
    <t>H0YL72</t>
  </si>
  <si>
    <t>H0YLB5</t>
  </si>
  <si>
    <t>H0YMB3</t>
  </si>
  <si>
    <t>H0YMF4</t>
  </si>
  <si>
    <t>H0YMW2</t>
  </si>
  <si>
    <t>H0YNA7</t>
  </si>
  <si>
    <t>H0YNG3</t>
  </si>
  <si>
    <t>H3BLU7</t>
  </si>
  <si>
    <t>H3BLW6</t>
  </si>
  <si>
    <t>H3BLW9</t>
  </si>
  <si>
    <t>H3BLZ2</t>
  </si>
  <si>
    <t>H3BLZ8</t>
  </si>
  <si>
    <t>H3BM14</t>
  </si>
  <si>
    <t>H3BMD8</t>
  </si>
  <si>
    <t>H3BMF4</t>
  </si>
  <si>
    <t>H3BMJ2</t>
  </si>
  <si>
    <t>H3BMM5</t>
  </si>
  <si>
    <t>H3BMS0</t>
  </si>
  <si>
    <t>H3BMV2</t>
  </si>
  <si>
    <t>H3BN87</t>
  </si>
  <si>
    <t>H3BN98</t>
  </si>
  <si>
    <t>H3BNA7</t>
  </si>
  <si>
    <t>H3BNM4</t>
  </si>
  <si>
    <t>H3BP20</t>
  </si>
  <si>
    <t>H3BPC4</t>
  </si>
  <si>
    <t>H3BPE1</t>
  </si>
  <si>
    <t>H3BPF5</t>
  </si>
  <si>
    <t>H3BPK3</t>
  </si>
  <si>
    <t>H3BPL0</t>
  </si>
  <si>
    <t>H3BPQ3</t>
  </si>
  <si>
    <t>H3BPR3</t>
  </si>
  <si>
    <t>H3BPX2</t>
  </si>
  <si>
    <t>H3BQZ7</t>
  </si>
  <si>
    <t>H3BR06</t>
  </si>
  <si>
    <t>H3BR94</t>
  </si>
  <si>
    <t>H3BRB3</t>
  </si>
  <si>
    <t>H3BRB6</t>
  </si>
  <si>
    <t>H3BRD1</t>
  </si>
  <si>
    <t>H3BRD2</t>
  </si>
  <si>
    <t>H3BRF9</t>
  </si>
  <si>
    <t>H3BRL3</t>
  </si>
  <si>
    <t>H3BRS1</t>
  </si>
  <si>
    <t>H3BRU1</t>
  </si>
  <si>
    <t>H3BRV0</t>
  </si>
  <si>
    <t>H3BS42</t>
  </si>
  <si>
    <t>H3BS89</t>
  </si>
  <si>
    <t>H3BSH7</t>
  </si>
  <si>
    <t>H3BSM5</t>
  </si>
  <si>
    <t>H3BSW6</t>
  </si>
  <si>
    <t>H3BT12</t>
  </si>
  <si>
    <t>H3BTL1</t>
  </si>
  <si>
    <t>H3BTX0</t>
  </si>
  <si>
    <t>H3BTX7</t>
  </si>
  <si>
    <t>H3BU23</t>
  </si>
  <si>
    <t>H3BU49</t>
  </si>
  <si>
    <t>H3BU63</t>
  </si>
  <si>
    <t>H3BUF6</t>
  </si>
  <si>
    <t>H3BUQ2</t>
  </si>
  <si>
    <t>H3BV23</t>
  </si>
  <si>
    <t>H7BXD5</t>
  </si>
  <si>
    <t>H7BXF4</t>
  </si>
  <si>
    <t>H7BXG9</t>
  </si>
  <si>
    <t>H7BXH2</t>
  </si>
  <si>
    <t>H7BXH9</t>
  </si>
  <si>
    <t>H7BXI5</t>
  </si>
  <si>
    <t>H7BXT7</t>
  </si>
  <si>
    <t>H7BXW7</t>
  </si>
  <si>
    <t>H7BXY6</t>
  </si>
  <si>
    <t>H7BY58</t>
  </si>
  <si>
    <t>H7BYQ6</t>
  </si>
  <si>
    <t>H7BYT1</t>
  </si>
  <si>
    <t>H7BYY1</t>
  </si>
  <si>
    <t>H7BYY4</t>
  </si>
  <si>
    <t>H7BZJ3</t>
  </si>
  <si>
    <t>H7C0E9</t>
  </si>
  <si>
    <t>H7C0G7</t>
  </si>
  <si>
    <t>H7C0V4</t>
  </si>
  <si>
    <t>H7C107</t>
  </si>
  <si>
    <t>H7C112</t>
  </si>
  <si>
    <t>H7C173</t>
  </si>
  <si>
    <t>H7C189</t>
  </si>
  <si>
    <t>H7C1E4</t>
  </si>
  <si>
    <t>H7C1J4</t>
  </si>
  <si>
    <t>H7C1U3</t>
  </si>
  <si>
    <t>H7C1U8</t>
  </si>
  <si>
    <t>H7C1W4</t>
  </si>
  <si>
    <t>H7C270</t>
  </si>
  <si>
    <t>H7C293</t>
  </si>
  <si>
    <t>H7C2P2</t>
  </si>
  <si>
    <t>H7C3C7</t>
  </si>
  <si>
    <t>H7C3D5</t>
  </si>
  <si>
    <t>H7C3D8</t>
  </si>
  <si>
    <t>H7C3M5</t>
  </si>
  <si>
    <t>H7C3P4</t>
  </si>
  <si>
    <t>H7C484</t>
  </si>
  <si>
    <t>H7C4M4</t>
  </si>
  <si>
    <t>H7C4N1</t>
  </si>
  <si>
    <t>H7C525</t>
  </si>
  <si>
    <t>H7C5G1</t>
  </si>
  <si>
    <t>H7C5J7</t>
  </si>
  <si>
    <t>H9KV59</t>
  </si>
  <si>
    <t>H9KV61</t>
  </si>
  <si>
    <t>H9KVB8</t>
  </si>
  <si>
    <t>H9ZYI9</t>
  </si>
  <si>
    <t>I3L097</t>
  </si>
  <si>
    <t>I3L0A4</t>
  </si>
  <si>
    <t>I3L0C1</t>
  </si>
  <si>
    <t>I3L0K1</t>
  </si>
  <si>
    <t>I3L0K7</t>
  </si>
  <si>
    <t>I3L0L6</t>
  </si>
  <si>
    <t>I3L0N3</t>
  </si>
  <si>
    <t>I3L1H5</t>
  </si>
  <si>
    <t>I3L1P8</t>
  </si>
  <si>
    <t>I3L2B0</t>
  </si>
  <si>
    <t>I3L2C7</t>
  </si>
  <si>
    <t>I3L2L5</t>
  </si>
  <si>
    <t>I3L2N2</t>
  </si>
  <si>
    <t>I3L3A8</t>
  </si>
  <si>
    <t>I3L3B4</t>
  </si>
  <si>
    <t>I3L448</t>
  </si>
  <si>
    <t>I3L4B1</t>
  </si>
  <si>
    <t>I3L4D1</t>
  </si>
  <si>
    <t>I3L4X3</t>
  </si>
  <si>
    <t>I6L894</t>
  </si>
  <si>
    <t>I6L8B7</t>
  </si>
  <si>
    <t>J3KMW8</t>
  </si>
  <si>
    <t>J3KMY5</t>
  </si>
  <si>
    <t>J3KMZ7</t>
  </si>
  <si>
    <t>J3KMZ8</t>
  </si>
  <si>
    <t>J3KMZ9</t>
  </si>
  <si>
    <t>J3KN10</t>
  </si>
  <si>
    <t>J3KN16</t>
  </si>
  <si>
    <t>J3KN27</t>
  </si>
  <si>
    <t>J3KN29</t>
  </si>
  <si>
    <t>J3KN49</t>
  </si>
  <si>
    <t>J3KN59</t>
  </si>
  <si>
    <t>J3KN66</t>
  </si>
  <si>
    <t>J3KN69</t>
  </si>
  <si>
    <t>J3KNA0</t>
  </si>
  <si>
    <t>J3KNC0</t>
  </si>
  <si>
    <t>J3KNF4</t>
  </si>
  <si>
    <t>J3KNI1</t>
  </si>
  <si>
    <t>J3KNL3</t>
  </si>
  <si>
    <t>J3KNL6</t>
  </si>
  <si>
    <t>J3KNL9</t>
  </si>
  <si>
    <t>J3KNN3</t>
  </si>
  <si>
    <t>J3KNN5</t>
  </si>
  <si>
    <t>J3KNN7</t>
  </si>
  <si>
    <t>J3KNQ1</t>
  </si>
  <si>
    <t>J3KNR0</t>
  </si>
  <si>
    <t>J3KNU8</t>
  </si>
  <si>
    <t>J3KNW4</t>
  </si>
  <si>
    <t>J3KP15</t>
  </si>
  <si>
    <t>J3KP22</t>
  </si>
  <si>
    <t>J3KP29</t>
  </si>
  <si>
    <t>J3KP30</t>
  </si>
  <si>
    <t>J3KP68</t>
  </si>
  <si>
    <t>J3KP75</t>
  </si>
  <si>
    <t>J3KP99</t>
  </si>
  <si>
    <t>J3KPF9</t>
  </si>
  <si>
    <t>J3KPH8</t>
  </si>
  <si>
    <t>J3KPJ3</t>
  </si>
  <si>
    <t>J3KPK1</t>
  </si>
  <si>
    <t>J3KPN1</t>
  </si>
  <si>
    <t>J3KPP4</t>
  </si>
  <si>
    <t>J3KPP7</t>
  </si>
  <si>
    <t>J3KPS0</t>
  </si>
  <si>
    <t>J3KPT4</t>
  </si>
  <si>
    <t>J3KPV7</t>
  </si>
  <si>
    <t>J3KPW7</t>
  </si>
  <si>
    <t>J3KPY9</t>
  </si>
  <si>
    <t>J3KPZ8</t>
  </si>
  <si>
    <t>J3KQ32</t>
  </si>
  <si>
    <t>J3KQ48</t>
  </si>
  <si>
    <t>J3KQ88</t>
  </si>
  <si>
    <t>J3KQB0</t>
  </si>
  <si>
    <t>J3KQC7</t>
  </si>
  <si>
    <t>J3KQE0</t>
  </si>
  <si>
    <t>J3KQE5</t>
  </si>
  <si>
    <t>J3KQG4</t>
  </si>
  <si>
    <t>J3KQJ1</t>
  </si>
  <si>
    <t>J3KQL8</t>
  </si>
  <si>
    <t>J3KQU9</t>
  </si>
  <si>
    <t>J3KR35</t>
  </si>
  <si>
    <t>J3KR97</t>
  </si>
  <si>
    <t>J3KRC8</t>
  </si>
  <si>
    <t>J3KRG2</t>
  </si>
  <si>
    <t>J3KRN4</t>
  </si>
  <si>
    <t>J3KRR5</t>
  </si>
  <si>
    <t>J3KS05</t>
  </si>
  <si>
    <t>J3KS81</t>
  </si>
  <si>
    <t>J3KSD8</t>
  </si>
  <si>
    <t>J3KSH1</t>
  </si>
  <si>
    <t>J3KTA1</t>
  </si>
  <si>
    <t>J3KTD6</t>
  </si>
  <si>
    <t>J3KTL2</t>
  </si>
  <si>
    <t>J3QK89</t>
  </si>
  <si>
    <t>J3QKP5</t>
  </si>
  <si>
    <t>J3QKR3</t>
  </si>
  <si>
    <t>J3QKS7</t>
  </si>
  <si>
    <t>J3QL56</t>
  </si>
  <si>
    <t>J3QL71</t>
  </si>
  <si>
    <t>J3QLB2</t>
  </si>
  <si>
    <t>J3QLD9</t>
  </si>
  <si>
    <t>J3QLR8</t>
  </si>
  <si>
    <t>J3QLS3</t>
  </si>
  <si>
    <t>J3QQ66</t>
  </si>
  <si>
    <t>J3QQJ0</t>
  </si>
  <si>
    <t>J3QQT2</t>
  </si>
  <si>
    <t>J3QQX3</t>
  </si>
  <si>
    <t>J3QQY0</t>
  </si>
  <si>
    <t>J3QR07</t>
  </si>
  <si>
    <t>J3QR09</t>
  </si>
  <si>
    <t>J3QRD1</t>
  </si>
  <si>
    <t>J3QRM9</t>
  </si>
  <si>
    <t>J3QRS3</t>
  </si>
  <si>
    <t>J3QRS9</t>
  </si>
  <si>
    <t>J3QRU4</t>
  </si>
  <si>
    <t>J3QS41</t>
  </si>
  <si>
    <t>J3QSD7</t>
  </si>
  <si>
    <t>J3QSR7</t>
  </si>
  <si>
    <t>J3QT73</t>
  </si>
  <si>
    <t>J3QTA6</t>
  </si>
  <si>
    <t>J3QTQ0</t>
  </si>
  <si>
    <t>J9JID7</t>
  </si>
  <si>
    <t>J9JID9</t>
  </si>
  <si>
    <t>J9JIE6</t>
  </si>
  <si>
    <t>J9JIG6</t>
  </si>
  <si>
    <t>K4DI92</t>
  </si>
  <si>
    <t>K4DI93</t>
  </si>
  <si>
    <t>K7EIE8</t>
  </si>
  <si>
    <t>K7EIG1</t>
  </si>
  <si>
    <t>K7EIK7</t>
  </si>
  <si>
    <t>K7EIL6</t>
  </si>
  <si>
    <t>K7EIP7</t>
  </si>
  <si>
    <t>K7EIS0</t>
  </si>
  <si>
    <t>K7EIU8</t>
  </si>
  <si>
    <t>K7EJ08</t>
  </si>
  <si>
    <t>K7EJ78</t>
  </si>
  <si>
    <t>K7EJH0</t>
  </si>
  <si>
    <t>K7EJL1</t>
  </si>
  <si>
    <t>K7EJQ7</t>
  </si>
  <si>
    <t>K7EK07</t>
  </si>
  <si>
    <t>K7EKE6</t>
  </si>
  <si>
    <t>K7EKI4</t>
  </si>
  <si>
    <t>K7EKS3</t>
  </si>
  <si>
    <t>K7EKW3</t>
  </si>
  <si>
    <t>K7EKZ9</t>
  </si>
  <si>
    <t>K7EL68</t>
  </si>
  <si>
    <t>K7EL81</t>
  </si>
  <si>
    <t>K7ELL7</t>
  </si>
  <si>
    <t>K7ELY2</t>
  </si>
  <si>
    <t>K7EM02</t>
  </si>
  <si>
    <t>K7EM09</t>
  </si>
  <si>
    <t>K7EM38</t>
  </si>
  <si>
    <t>K7EN05</t>
  </si>
  <si>
    <t>K7EN78</t>
  </si>
  <si>
    <t>K7EN88</t>
  </si>
  <si>
    <t>K7ENF0</t>
  </si>
  <si>
    <t>K7ENL9</t>
  </si>
  <si>
    <t>K7EP31</t>
  </si>
  <si>
    <t>K7EP32</t>
  </si>
  <si>
    <t>K7EQ34</t>
  </si>
  <si>
    <t>K7EQ77</t>
  </si>
  <si>
    <t>K7EQG1</t>
  </si>
  <si>
    <t>K7EQH5</t>
  </si>
  <si>
    <t>K7EQL6</t>
  </si>
  <si>
    <t>K7EQW8</t>
  </si>
  <si>
    <t>K7ER00</t>
  </si>
  <si>
    <t>K7ERF1</t>
  </si>
  <si>
    <t>K7ERH7</t>
  </si>
  <si>
    <t>K7ERQ0</t>
  </si>
  <si>
    <t>K7ERV3</t>
  </si>
  <si>
    <t>K7ES11</t>
  </si>
  <si>
    <t>K7ESA4</t>
  </si>
  <si>
    <t>K7ESE3</t>
  </si>
  <si>
    <t>K7ESE6</t>
  </si>
  <si>
    <t>K7ESI9</t>
  </si>
  <si>
    <t>K7ESL1</t>
  </si>
  <si>
    <t>K7ESP4</t>
  </si>
  <si>
    <t>M0QWZ7</t>
  </si>
  <si>
    <t>M0QX07</t>
  </si>
  <si>
    <t>M0QXA7</t>
  </si>
  <si>
    <t>M0QXB4</t>
  </si>
  <si>
    <t>M0QXB5</t>
  </si>
  <si>
    <t>M0QXD0</t>
  </si>
  <si>
    <t>M0QXN5</t>
  </si>
  <si>
    <t>M0QXT0</t>
  </si>
  <si>
    <t>M0QXZ5</t>
  </si>
  <si>
    <t>M0QY77</t>
  </si>
  <si>
    <t>M0QYA2</t>
  </si>
  <si>
    <t>M0QYH2</t>
  </si>
  <si>
    <t>M0QYM7</t>
  </si>
  <si>
    <t>M0QYS1</t>
  </si>
  <si>
    <t>M0QYT0</t>
  </si>
  <si>
    <t>M0QYT5</t>
  </si>
  <si>
    <t>M0QZ12</t>
  </si>
  <si>
    <t>M0QZ23</t>
  </si>
  <si>
    <t>M0QZL8</t>
  </si>
  <si>
    <t>M0QZM1</t>
  </si>
  <si>
    <t>M0QZS4</t>
  </si>
  <si>
    <t>M0QZW1</t>
  </si>
  <si>
    <t>M0R042</t>
  </si>
  <si>
    <t>M0R0E9</t>
  </si>
  <si>
    <t>M0R0F0</t>
  </si>
  <si>
    <t>M0R0V1</t>
  </si>
  <si>
    <t>M0R117</t>
  </si>
  <si>
    <t>M0R150</t>
  </si>
  <si>
    <t>M0R226</t>
  </si>
  <si>
    <t>M0R299</t>
  </si>
  <si>
    <t>M0R2B7</t>
  </si>
  <si>
    <t>M0R2D3</t>
  </si>
  <si>
    <t>M0R2G0</t>
  </si>
  <si>
    <t>M0R3D4</t>
  </si>
  <si>
    <t>O00116</t>
  </si>
  <si>
    <t>O00124-3</t>
  </si>
  <si>
    <t>O00139-2</t>
  </si>
  <si>
    <t>O00148</t>
  </si>
  <si>
    <t>O00151</t>
  </si>
  <si>
    <t>O00154-4</t>
  </si>
  <si>
    <t>O00159</t>
  </si>
  <si>
    <t>O00161</t>
  </si>
  <si>
    <t>O00165-5</t>
  </si>
  <si>
    <t>O00170</t>
  </si>
  <si>
    <t>O00178</t>
  </si>
  <si>
    <t>O00186</t>
  </si>
  <si>
    <t>O00193</t>
  </si>
  <si>
    <t>O00213-2</t>
  </si>
  <si>
    <t>O00217</t>
  </si>
  <si>
    <t>O00221</t>
  </si>
  <si>
    <t>O00231</t>
  </si>
  <si>
    <t>O00232</t>
  </si>
  <si>
    <t>O00244</t>
  </si>
  <si>
    <t>O00264</t>
  </si>
  <si>
    <t>O00267-2</t>
  </si>
  <si>
    <t>O00273</t>
  </si>
  <si>
    <t>O00273-2</t>
  </si>
  <si>
    <t>O00287</t>
  </si>
  <si>
    <t>O00291</t>
  </si>
  <si>
    <t>O00299</t>
  </si>
  <si>
    <t>O00330</t>
  </si>
  <si>
    <t>O00399</t>
  </si>
  <si>
    <t>O00400</t>
  </si>
  <si>
    <t>O00401</t>
  </si>
  <si>
    <t>O00410</t>
  </si>
  <si>
    <t>O00418</t>
  </si>
  <si>
    <t>O00425</t>
  </si>
  <si>
    <t>O00429-3</t>
  </si>
  <si>
    <t>O00429-4</t>
  </si>
  <si>
    <t>O00442</t>
  </si>
  <si>
    <t>O00451</t>
  </si>
  <si>
    <t>O00459</t>
  </si>
  <si>
    <t>O00461</t>
  </si>
  <si>
    <t>O00479</t>
  </si>
  <si>
    <t>O00483</t>
  </si>
  <si>
    <t>O00487</t>
  </si>
  <si>
    <t>O00505</t>
  </si>
  <si>
    <t>O00506</t>
  </si>
  <si>
    <t>O00512</t>
  </si>
  <si>
    <t>O00560-3</t>
  </si>
  <si>
    <t>O00566</t>
  </si>
  <si>
    <t>O00567</t>
  </si>
  <si>
    <t>O00571</t>
  </si>
  <si>
    <t>O00625</t>
  </si>
  <si>
    <t>O00629</t>
  </si>
  <si>
    <t>O00635</t>
  </si>
  <si>
    <t>O00716</t>
  </si>
  <si>
    <t>O00743</t>
  </si>
  <si>
    <t>O00754-2</t>
  </si>
  <si>
    <t>O00762</t>
  </si>
  <si>
    <t>O00764</t>
  </si>
  <si>
    <t>O00767</t>
  </si>
  <si>
    <t>O14497-2</t>
  </si>
  <si>
    <t>O14519-2</t>
  </si>
  <si>
    <t>O14523</t>
  </si>
  <si>
    <t>O14524-2</t>
  </si>
  <si>
    <t>O14531</t>
  </si>
  <si>
    <t>O14545</t>
  </si>
  <si>
    <t>O14548</t>
  </si>
  <si>
    <t>O14578</t>
  </si>
  <si>
    <t>O14613</t>
  </si>
  <si>
    <t>O14617-4</t>
  </si>
  <si>
    <t>O14656</t>
  </si>
  <si>
    <t>O14657</t>
  </si>
  <si>
    <t>O14672</t>
  </si>
  <si>
    <t>O14686</t>
  </si>
  <si>
    <t>O14732-2</t>
  </si>
  <si>
    <t>O14733</t>
  </si>
  <si>
    <t>O14734</t>
  </si>
  <si>
    <t>O14737</t>
  </si>
  <si>
    <t>O14744</t>
  </si>
  <si>
    <t>O14745</t>
  </si>
  <si>
    <t>O14757</t>
  </si>
  <si>
    <t>O14763-2</t>
  </si>
  <si>
    <t>O14772</t>
  </si>
  <si>
    <t>O14773-2</t>
  </si>
  <si>
    <t>O14776-2</t>
  </si>
  <si>
    <t>O14777</t>
  </si>
  <si>
    <t>O14787-2</t>
  </si>
  <si>
    <t>O14810</t>
  </si>
  <si>
    <t>O14818</t>
  </si>
  <si>
    <t>O14828</t>
  </si>
  <si>
    <t>O14867</t>
  </si>
  <si>
    <t>O14893-2</t>
  </si>
  <si>
    <t>O14908</t>
  </si>
  <si>
    <t>O14920</t>
  </si>
  <si>
    <t>O14925</t>
  </si>
  <si>
    <t>O14929</t>
  </si>
  <si>
    <t>O14936-3</t>
  </si>
  <si>
    <t>O14964</t>
  </si>
  <si>
    <t>O14965</t>
  </si>
  <si>
    <t>O14967</t>
  </si>
  <si>
    <t>O14974-2</t>
  </si>
  <si>
    <t>O14976</t>
  </si>
  <si>
    <t>O14979-3</t>
  </si>
  <si>
    <t>O14980</t>
  </si>
  <si>
    <t>O14981</t>
  </si>
  <si>
    <t>O15013-4</t>
  </si>
  <si>
    <t>O15014</t>
  </si>
  <si>
    <t>O15020-2</t>
  </si>
  <si>
    <t>O15031</t>
  </si>
  <si>
    <t>O15037</t>
  </si>
  <si>
    <t>O15047</t>
  </si>
  <si>
    <t>O15063</t>
  </si>
  <si>
    <t>O15066</t>
  </si>
  <si>
    <t>O15067</t>
  </si>
  <si>
    <t>O15091-4</t>
  </si>
  <si>
    <t>O15111</t>
  </si>
  <si>
    <t>O15116</t>
  </si>
  <si>
    <t>O15118</t>
  </si>
  <si>
    <t>O15120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</si>
  <si>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</si>
  <si>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</si>
  <si>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</si>
  <si>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</si>
  <si>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</si>
  <si>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</si>
  <si>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</si>
  <si>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</si>
  <si>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O15164-2</t>
  </si>
  <si>
    <t>O15169-2</t>
  </si>
  <si>
    <t>O15173</t>
  </si>
  <si>
    <t>O15212</t>
  </si>
  <si>
    <t>O15228</t>
  </si>
  <si>
    <t>O15234</t>
  </si>
  <si>
    <t>O15258</t>
  </si>
  <si>
    <t>O15269</t>
  </si>
  <si>
    <t>O15270</t>
  </si>
  <si>
    <t>O15294-3</t>
  </si>
  <si>
    <t>O15305</t>
  </si>
  <si>
    <t>O15344</t>
  </si>
  <si>
    <t>O15347</t>
  </si>
  <si>
    <t>O15355</t>
  </si>
  <si>
    <t>O15357</t>
  </si>
  <si>
    <t>O15397</t>
  </si>
  <si>
    <t>O15400-2</t>
  </si>
  <si>
    <t>O15431</t>
  </si>
  <si>
    <t>O15439-2</t>
  </si>
  <si>
    <t>O15446</t>
  </si>
  <si>
    <t>O15460-2</t>
  </si>
  <si>
    <t>O15511</t>
  </si>
  <si>
    <t>O15541</t>
  </si>
  <si>
    <t>O43143</t>
  </si>
  <si>
    <t>O43148</t>
  </si>
  <si>
    <t>O43150-2</t>
  </si>
  <si>
    <t>O43155</t>
  </si>
  <si>
    <t>O43164-2</t>
  </si>
  <si>
    <t>O43172-2</t>
  </si>
  <si>
    <t>O43175</t>
  </si>
  <si>
    <t>O43242</t>
  </si>
  <si>
    <t>O43251-6</t>
  </si>
  <si>
    <t>O43252</t>
  </si>
  <si>
    <t>O43257</t>
  </si>
  <si>
    <t>O43264</t>
  </si>
  <si>
    <t>O43290</t>
  </si>
  <si>
    <t>O43299-2</t>
  </si>
  <si>
    <t>O43301</t>
  </si>
  <si>
    <t>O43310</t>
  </si>
  <si>
    <t>O43314-2</t>
  </si>
  <si>
    <t>O43318-2</t>
  </si>
  <si>
    <t>O43353</t>
  </si>
  <si>
    <t>O43379</t>
  </si>
  <si>
    <t>O43390</t>
  </si>
  <si>
    <t>O43395</t>
  </si>
  <si>
    <t>O43396</t>
  </si>
  <si>
    <t>O43399</t>
  </si>
  <si>
    <t>O43399-2</t>
  </si>
  <si>
    <t>O43402</t>
  </si>
  <si>
    <t>O43447</t>
  </si>
  <si>
    <t>O43464-3</t>
  </si>
  <si>
    <t>O43474-1</t>
  </si>
  <si>
    <t>O43482</t>
  </si>
  <si>
    <t>O43491</t>
  </si>
  <si>
    <t>O43493-2</t>
  </si>
  <si>
    <t>O43502</t>
  </si>
  <si>
    <t>O43505</t>
  </si>
  <si>
    <t>O43513</t>
  </si>
  <si>
    <t>O43516</t>
  </si>
  <si>
    <t>O43521-6</t>
  </si>
  <si>
    <t>O43524</t>
  </si>
  <si>
    <t>O43567</t>
  </si>
  <si>
    <t>O43583</t>
  </si>
  <si>
    <t>O43592</t>
  </si>
  <si>
    <t>O43598</t>
  </si>
  <si>
    <t>O43615</t>
  </si>
  <si>
    <t>O43617</t>
  </si>
  <si>
    <t>O43633</t>
  </si>
  <si>
    <t>O43639</t>
  </si>
  <si>
    <t>O43657</t>
  </si>
  <si>
    <t>O43665-2</t>
  </si>
  <si>
    <t>O43676</t>
  </si>
  <si>
    <t>O43677</t>
  </si>
  <si>
    <t>O43678</t>
  </si>
  <si>
    <t>O43681</t>
  </si>
  <si>
    <t>O43684</t>
  </si>
  <si>
    <t>O43684-2</t>
  </si>
  <si>
    <t>O43707</t>
  </si>
  <si>
    <t>O43709</t>
  </si>
  <si>
    <t>O43715</t>
  </si>
  <si>
    <t>O43719</t>
  </si>
  <si>
    <t>O43752</t>
  </si>
  <si>
    <t>O43765</t>
  </si>
  <si>
    <t>O43766</t>
  </si>
  <si>
    <t>O43768</t>
  </si>
  <si>
    <t>O43772</t>
  </si>
  <si>
    <t>O43776</t>
  </si>
  <si>
    <t>O43805</t>
  </si>
  <si>
    <t>O43809</t>
  </si>
  <si>
    <t>O43813</t>
  </si>
  <si>
    <t>O43815</t>
  </si>
  <si>
    <t>O43818</t>
  </si>
  <si>
    <t>O43819</t>
  </si>
  <si>
    <t>O43820-4</t>
  </si>
  <si>
    <t>O43823</t>
  </si>
  <si>
    <t>O43826</t>
  </si>
  <si>
    <t>O43829</t>
  </si>
  <si>
    <t>O43837</t>
  </si>
  <si>
    <t>O43852</t>
  </si>
  <si>
    <t>O43865</t>
  </si>
  <si>
    <t>O43896</t>
  </si>
  <si>
    <t>O43913-2</t>
  </si>
  <si>
    <t>O43920</t>
  </si>
  <si>
    <t>O43929</t>
  </si>
  <si>
    <t>O43933</t>
  </si>
  <si>
    <t>O60216</t>
  </si>
  <si>
    <t>O60220</t>
  </si>
  <si>
    <t>O60231</t>
  </si>
  <si>
    <t>O60239-2</t>
  </si>
  <si>
    <t>O60256</t>
  </si>
  <si>
    <t>O60262</t>
  </si>
  <si>
    <t>O60264</t>
  </si>
  <si>
    <t>O60271-4</t>
  </si>
  <si>
    <t>O60279</t>
  </si>
  <si>
    <t>O60282</t>
  </si>
  <si>
    <t>O60333-2</t>
  </si>
  <si>
    <t>O60343-2</t>
  </si>
  <si>
    <t>O60344-4</t>
  </si>
  <si>
    <t>O60347</t>
  </si>
  <si>
    <t>O60427</t>
  </si>
  <si>
    <t>O60443</t>
  </si>
  <si>
    <t>O60449-3</t>
  </si>
  <si>
    <t>O60476</t>
  </si>
  <si>
    <t>O60488-2</t>
  </si>
  <si>
    <t>O60493</t>
  </si>
  <si>
    <t>O60502</t>
  </si>
  <si>
    <t>O60504-2</t>
  </si>
  <si>
    <t>O60506-4</t>
  </si>
  <si>
    <t>O60524-4</t>
  </si>
  <si>
    <t>O60547</t>
  </si>
  <si>
    <t>O60563</t>
  </si>
  <si>
    <t>O60566</t>
  </si>
  <si>
    <t>O60568</t>
  </si>
  <si>
    <t>O60613</t>
  </si>
  <si>
    <t>O60645-3</t>
  </si>
  <si>
    <t>O60664</t>
  </si>
  <si>
    <t>O60664-3</t>
  </si>
  <si>
    <t>O60671</t>
  </si>
  <si>
    <t>O60678</t>
  </si>
  <si>
    <t>O60701</t>
  </si>
  <si>
    <t>O60704</t>
  </si>
  <si>
    <t>O60716-5</t>
  </si>
  <si>
    <t>O60725</t>
  </si>
  <si>
    <t>O60749</t>
  </si>
  <si>
    <t>O60763</t>
  </si>
  <si>
    <t>O60826</t>
  </si>
  <si>
    <t>O60828</t>
  </si>
  <si>
    <t>O60830</t>
  </si>
  <si>
    <t>O60831</t>
  </si>
  <si>
    <t>O60832</t>
  </si>
  <si>
    <t>O60841</t>
  </si>
  <si>
    <t>O60869</t>
  </si>
  <si>
    <t>O60870</t>
  </si>
  <si>
    <t>O60884</t>
  </si>
  <si>
    <t>O60885</t>
  </si>
  <si>
    <t>O60888-3</t>
  </si>
  <si>
    <t>O60906</t>
  </si>
  <si>
    <t>O60925</t>
  </si>
  <si>
    <t>O60927</t>
  </si>
  <si>
    <t>O60934</t>
  </si>
  <si>
    <t>O60942</t>
  </si>
  <si>
    <t>O75027</t>
  </si>
  <si>
    <t>O75044</t>
  </si>
  <si>
    <t>O75051</t>
  </si>
  <si>
    <t>O75054</t>
  </si>
  <si>
    <t>O75061-4</t>
  </si>
  <si>
    <t>O75063</t>
  </si>
  <si>
    <t>O75083</t>
  </si>
  <si>
    <t>O75084</t>
  </si>
  <si>
    <t>O75110</t>
  </si>
  <si>
    <t>O75113</t>
  </si>
  <si>
    <t>O75116</t>
  </si>
  <si>
    <t>O75131</t>
  </si>
  <si>
    <t>O75143-2</t>
  </si>
  <si>
    <t>O75146</t>
  </si>
  <si>
    <t>O75150</t>
  </si>
  <si>
    <t>O75155</t>
  </si>
  <si>
    <t>O75157-2</t>
  </si>
  <si>
    <t>O75164</t>
  </si>
  <si>
    <t>O75170-6</t>
  </si>
  <si>
    <t>O75175</t>
  </si>
  <si>
    <t>O75179-2</t>
  </si>
  <si>
    <t>O75191</t>
  </si>
  <si>
    <t>O75208</t>
  </si>
  <si>
    <t>O75223</t>
  </si>
  <si>
    <t>O75306-2</t>
  </si>
  <si>
    <t>O75312</t>
  </si>
  <si>
    <t>O75323</t>
  </si>
  <si>
    <t>O75330-2</t>
  </si>
  <si>
    <t>O75340</t>
  </si>
  <si>
    <t>O75347</t>
  </si>
  <si>
    <t>O75348</t>
  </si>
  <si>
    <t>O75351</t>
  </si>
  <si>
    <t>O75368</t>
  </si>
  <si>
    <t>O75369-8</t>
  </si>
  <si>
    <t>O75376</t>
  </si>
  <si>
    <t>O75379</t>
  </si>
  <si>
    <t>O75380</t>
  </si>
  <si>
    <t>O75387</t>
  </si>
  <si>
    <t>O75391</t>
  </si>
  <si>
    <t>O75396</t>
  </si>
  <si>
    <t>O75400-2</t>
  </si>
  <si>
    <t>O75419-2</t>
  </si>
  <si>
    <t>O75420</t>
  </si>
  <si>
    <t>O75427</t>
  </si>
  <si>
    <t>O75436</t>
  </si>
  <si>
    <t>O75438</t>
  </si>
  <si>
    <t>O75439</t>
  </si>
  <si>
    <t>O75449</t>
  </si>
  <si>
    <t>O75475</t>
  </si>
  <si>
    <t>O75489</t>
  </si>
  <si>
    <t>O75506</t>
  </si>
  <si>
    <t>O75521-2</t>
  </si>
  <si>
    <t>O75526</t>
  </si>
  <si>
    <t>O75531</t>
  </si>
  <si>
    <t>O75533</t>
  </si>
  <si>
    <t>O75534-2</t>
  </si>
  <si>
    <t>O75554</t>
  </si>
  <si>
    <t>O75570</t>
  </si>
  <si>
    <t>O75582</t>
  </si>
  <si>
    <t>O75600</t>
  </si>
  <si>
    <t>O75607</t>
  </si>
  <si>
    <t>O75608-2</t>
  </si>
  <si>
    <t>O75616</t>
  </si>
  <si>
    <t>O75629</t>
  </si>
  <si>
    <t>O75648</t>
  </si>
  <si>
    <t>O75663</t>
  </si>
  <si>
    <t>O75688</t>
  </si>
  <si>
    <t>O75689</t>
  </si>
  <si>
    <t>O75695</t>
  </si>
  <si>
    <t>O75717</t>
  </si>
  <si>
    <t>O75746</t>
  </si>
  <si>
    <t>O75781</t>
  </si>
  <si>
    <t>O75792</t>
  </si>
  <si>
    <t>O75794</t>
  </si>
  <si>
    <t>O75808</t>
  </si>
  <si>
    <t>O75821</t>
  </si>
  <si>
    <t>O75822</t>
  </si>
  <si>
    <t>O75828</t>
  </si>
  <si>
    <t>O75832</t>
  </si>
  <si>
    <t>O75844</t>
  </si>
  <si>
    <t>O75874</t>
  </si>
  <si>
    <t>O75882-3</t>
  </si>
  <si>
    <t>O75884</t>
  </si>
  <si>
    <t>O75886</t>
  </si>
  <si>
    <t>O75915</t>
  </si>
  <si>
    <t>O75928-3</t>
  </si>
  <si>
    <t>O75934</t>
  </si>
  <si>
    <t>O75937</t>
  </si>
  <si>
    <t>O75940</t>
  </si>
  <si>
    <t>O75947</t>
  </si>
  <si>
    <t>O75964</t>
  </si>
  <si>
    <t>O75976</t>
  </si>
  <si>
    <t>O76003</t>
  </si>
  <si>
    <t>O76024</t>
  </si>
  <si>
    <t>O76031</t>
  </si>
  <si>
    <t>O76041-2</t>
  </si>
  <si>
    <t>O76070</t>
  </si>
  <si>
    <t>O76071</t>
  </si>
  <si>
    <t>O76075-2</t>
  </si>
  <si>
    <t>O76080</t>
  </si>
  <si>
    <t>O76095-2</t>
  </si>
  <si>
    <t>O94760</t>
  </si>
  <si>
    <t>O94761</t>
  </si>
  <si>
    <t>O94763</t>
  </si>
  <si>
    <t>O94766</t>
  </si>
  <si>
    <t>O94776</t>
  </si>
  <si>
    <t>O94782</t>
  </si>
  <si>
    <t>O94788-2</t>
  </si>
  <si>
    <t>O94804</t>
  </si>
  <si>
    <t>O94811</t>
  </si>
  <si>
    <t>O94819</t>
  </si>
  <si>
    <t>O94822</t>
  </si>
  <si>
    <t>O94826</t>
  </si>
  <si>
    <t>O94829</t>
  </si>
  <si>
    <t>O94830</t>
  </si>
  <si>
    <t>O94832</t>
  </si>
  <si>
    <t>O94851-5</t>
  </si>
  <si>
    <t>O94855</t>
  </si>
  <si>
    <t>O94864-2</t>
  </si>
  <si>
    <t>O94874</t>
  </si>
  <si>
    <t>O94880</t>
  </si>
  <si>
    <t>O94885</t>
  </si>
  <si>
    <t>O94888</t>
  </si>
  <si>
    <t>O94903</t>
  </si>
  <si>
    <t>O94913</t>
  </si>
  <si>
    <t>O94919</t>
  </si>
  <si>
    <t>O94925-3</t>
  </si>
  <si>
    <t>O94927</t>
  </si>
  <si>
    <t>O94967-2</t>
  </si>
  <si>
    <t>O94973</t>
  </si>
  <si>
    <t>O94992</t>
  </si>
  <si>
    <t>O95057</t>
  </si>
  <si>
    <t>O95067</t>
  </si>
  <si>
    <t>O95081</t>
  </si>
  <si>
    <t>O95104-3</t>
  </si>
  <si>
    <t>O95136</t>
  </si>
  <si>
    <t>O95139</t>
  </si>
  <si>
    <t>O95140</t>
  </si>
  <si>
    <t>O95155-2</t>
  </si>
  <si>
    <t>O95159</t>
  </si>
  <si>
    <t>O95163</t>
  </si>
  <si>
    <t>O95167</t>
  </si>
  <si>
    <t>O95168</t>
  </si>
  <si>
    <t>O95197-7</t>
  </si>
  <si>
    <t>O95202</t>
  </si>
  <si>
    <t>O95218-2</t>
  </si>
  <si>
    <t>O95219</t>
  </si>
  <si>
    <t>O95229</t>
  </si>
  <si>
    <t>O95239</t>
  </si>
  <si>
    <t>O95251-4</t>
  </si>
  <si>
    <t>O95273</t>
  </si>
  <si>
    <t>O95292</t>
  </si>
  <si>
    <t>O95295</t>
  </si>
  <si>
    <t>O95297-2</t>
  </si>
  <si>
    <t>O95298-2</t>
  </si>
  <si>
    <t>O95302</t>
  </si>
  <si>
    <t>O95336</t>
  </si>
  <si>
    <t>O95347</t>
  </si>
  <si>
    <t>O95352</t>
  </si>
  <si>
    <t>O95363</t>
  </si>
  <si>
    <t>O95372</t>
  </si>
  <si>
    <t>O95373</t>
  </si>
  <si>
    <t>O95376</t>
  </si>
  <si>
    <t>O95391</t>
  </si>
  <si>
    <t>O95394</t>
  </si>
  <si>
    <t>O95396</t>
  </si>
  <si>
    <t>O95400</t>
  </si>
  <si>
    <t>O95405</t>
  </si>
  <si>
    <t>O95429-2</t>
  </si>
  <si>
    <t>O95433</t>
  </si>
  <si>
    <t>O95453-2</t>
  </si>
  <si>
    <t>O95456</t>
  </si>
  <si>
    <t>O95470</t>
  </si>
  <si>
    <t>O95486</t>
  </si>
  <si>
    <t>O95487-2</t>
  </si>
  <si>
    <t>O95551</t>
  </si>
  <si>
    <t>O95573</t>
  </si>
  <si>
    <t>O95613-2</t>
  </si>
  <si>
    <t>O95620</t>
  </si>
  <si>
    <t>O95628-5</t>
  </si>
  <si>
    <t>O95630</t>
  </si>
  <si>
    <t>O95671-2</t>
  </si>
  <si>
    <t>O95684</t>
  </si>
  <si>
    <t>O95685</t>
  </si>
  <si>
    <t>O95716</t>
  </si>
  <si>
    <t>O95721</t>
  </si>
  <si>
    <t>O95747</t>
  </si>
  <si>
    <t>O95751</t>
  </si>
  <si>
    <t>O95755-2</t>
  </si>
  <si>
    <t>O95758-1</t>
  </si>
  <si>
    <t>O95777</t>
  </si>
  <si>
    <t>O95782-2</t>
  </si>
  <si>
    <t>O95816</t>
  </si>
  <si>
    <t>O95817</t>
  </si>
  <si>
    <t>O95822</t>
  </si>
  <si>
    <t>O95825</t>
  </si>
  <si>
    <t>O95831-3</t>
  </si>
  <si>
    <t>O95835</t>
  </si>
  <si>
    <t>O95857</t>
  </si>
  <si>
    <t>O95865</t>
  </si>
  <si>
    <t>O95873</t>
  </si>
  <si>
    <t>O95881</t>
  </si>
  <si>
    <t>O95905</t>
  </si>
  <si>
    <t>O95926</t>
  </si>
  <si>
    <t>O95989</t>
  </si>
  <si>
    <t>O95997</t>
  </si>
  <si>
    <t>O95999</t>
  </si>
  <si>
    <t>O96000</t>
  </si>
  <si>
    <t>O96006</t>
  </si>
  <si>
    <t>O96007</t>
  </si>
  <si>
    <t>O96008</t>
  </si>
  <si>
    <t>O96011</t>
  </si>
  <si>
    <t>O96013</t>
  </si>
  <si>
    <t>O96017</t>
  </si>
  <si>
    <t>O96018</t>
  </si>
  <si>
    <t>O96019</t>
  </si>
  <si>
    <t>O96033</t>
  </si>
  <si>
    <t>P00167-2</t>
  </si>
  <si>
    <t>P00338</t>
  </si>
  <si>
    <t>P00367</t>
  </si>
  <si>
    <t>P00374</t>
  </si>
  <si>
    <t>P00387-2</t>
  </si>
  <si>
    <t>P00390-2</t>
  </si>
  <si>
    <t>P00403</t>
  </si>
  <si>
    <t>P00441</t>
  </si>
  <si>
    <t>P00491</t>
  </si>
  <si>
    <t>P00492</t>
  </si>
  <si>
    <t>P00505</t>
  </si>
  <si>
    <t>P00519-2</t>
  </si>
  <si>
    <t>P00558</t>
  </si>
  <si>
    <t>P00813</t>
  </si>
  <si>
    <t>P00918</t>
  </si>
  <si>
    <t>P01034</t>
  </si>
  <si>
    <t>P01111</t>
  </si>
  <si>
    <t>P01112</t>
  </si>
  <si>
    <t>P01116-2</t>
  </si>
  <si>
    <t>P01814</t>
  </si>
  <si>
    <t>P01889</t>
  </si>
  <si>
    <t>P02008</t>
  </si>
  <si>
    <t>P02100</t>
  </si>
  <si>
    <t>P02545</t>
  </si>
  <si>
    <t>P02786</t>
  </si>
  <si>
    <t>P02794</t>
  </si>
  <si>
    <t>P02795</t>
  </si>
  <si>
    <t>P03928</t>
  </si>
  <si>
    <t>P04040</t>
  </si>
  <si>
    <t>P04066</t>
  </si>
  <si>
    <t>P04075</t>
  </si>
  <si>
    <t>P04080</t>
  </si>
  <si>
    <t>P04083</t>
  </si>
  <si>
    <t>P04150-9</t>
  </si>
  <si>
    <t>P04181</t>
  </si>
  <si>
    <t>P04183</t>
  </si>
  <si>
    <t>P04350</t>
  </si>
  <si>
    <t>P04406</t>
  </si>
  <si>
    <t>P04626-4</t>
  </si>
  <si>
    <t>P04632</t>
  </si>
  <si>
    <t>P04792</t>
  </si>
  <si>
    <t>P04818</t>
  </si>
  <si>
    <t>P04843</t>
  </si>
  <si>
    <t>P04844-2</t>
  </si>
  <si>
    <t>P04899</t>
  </si>
  <si>
    <t>P04920-2</t>
  </si>
  <si>
    <t>P05023-4</t>
  </si>
  <si>
    <t>P05091</t>
  </si>
  <si>
    <t>P05141</t>
  </si>
  <si>
    <t>P05198</t>
  </si>
  <si>
    <t>P05204</t>
  </si>
  <si>
    <t>P05386</t>
  </si>
  <si>
    <t>P05387</t>
  </si>
  <si>
    <t>P05388</t>
  </si>
  <si>
    <t>P05412</t>
  </si>
  <si>
    <t>P05455</t>
  </si>
  <si>
    <t>P05556</t>
  </si>
  <si>
    <t>P05771-2</t>
  </si>
  <si>
    <t>P05783</t>
  </si>
  <si>
    <t>P06132</t>
  </si>
  <si>
    <t>P06241</t>
  </si>
  <si>
    <t>P06280</t>
  </si>
  <si>
    <t>P06493</t>
  </si>
  <si>
    <t>P06576</t>
  </si>
  <si>
    <t>P06733</t>
  </si>
  <si>
    <t>P06737-2</t>
  </si>
  <si>
    <t>P06744</t>
  </si>
  <si>
    <t>P06748</t>
  </si>
  <si>
    <t>P06748-3</t>
  </si>
  <si>
    <t>P06753-2</t>
  </si>
  <si>
    <t>P06756-3</t>
  </si>
  <si>
    <t>P07099</t>
  </si>
  <si>
    <t>P07108</t>
  </si>
  <si>
    <t>P07195</t>
  </si>
  <si>
    <t>P07196</t>
  </si>
  <si>
    <t>P07203</t>
  </si>
  <si>
    <t>P07205</t>
  </si>
  <si>
    <t>P07237</t>
  </si>
  <si>
    <t>P07339</t>
  </si>
  <si>
    <t>P07355</t>
  </si>
  <si>
    <t>P07384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</si>
  <si>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</si>
  <si>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</si>
  <si>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</si>
  <si>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</si>
  <si>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</si>
  <si>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</si>
  <si>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</si>
  <si>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</si>
  <si>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</si>
  <si>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</si>
  <si>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P07948</t>
  </si>
  <si>
    <t>P07954-2</t>
  </si>
  <si>
    <t>P07992</t>
  </si>
  <si>
    <t>P08047</t>
  </si>
  <si>
    <t>P08107</t>
  </si>
  <si>
    <t>P08133</t>
  </si>
  <si>
    <t>P08237</t>
  </si>
  <si>
    <t>P08238</t>
  </si>
  <si>
    <t>P08240</t>
  </si>
  <si>
    <t>P08243-2</t>
  </si>
  <si>
    <t>P08397-2</t>
  </si>
  <si>
    <t>P08559-3</t>
  </si>
  <si>
    <t>P08574</t>
  </si>
  <si>
    <t>P08581</t>
  </si>
  <si>
    <t>P08582</t>
  </si>
  <si>
    <t>P08621-2</t>
  </si>
  <si>
    <t>P08648</t>
  </si>
  <si>
    <t>P08670</t>
  </si>
  <si>
    <t>P08754</t>
  </si>
  <si>
    <t>P08758</t>
  </si>
  <si>
    <t>P09104</t>
  </si>
  <si>
    <t>P09110</t>
  </si>
  <si>
    <t>P09132</t>
  </si>
  <si>
    <t>P09211</t>
  </si>
  <si>
    <t>P09234</t>
  </si>
  <si>
    <t>P09382</t>
  </si>
  <si>
    <t>P09417</t>
  </si>
  <si>
    <t>P09429</t>
  </si>
  <si>
    <t>P09486</t>
  </si>
  <si>
    <t>P09493-4</t>
  </si>
  <si>
    <t>P09496-2</t>
  </si>
  <si>
    <t>P09497-2</t>
  </si>
  <si>
    <t>P09525</t>
  </si>
  <si>
    <t>P09543-2</t>
  </si>
  <si>
    <t>P09601</t>
  </si>
  <si>
    <t>P09622</t>
  </si>
  <si>
    <t>P09661</t>
  </si>
  <si>
    <t>P09669</t>
  </si>
  <si>
    <t>P09874</t>
  </si>
  <si>
    <t>P09936</t>
  </si>
  <si>
    <t>P09960</t>
  </si>
  <si>
    <t>P09972</t>
  </si>
  <si>
    <t>P0C7P0</t>
  </si>
  <si>
    <t>P0C7T5</t>
  </si>
  <si>
    <t>P0CAP2-2</t>
  </si>
  <si>
    <t>P0CG12</t>
  </si>
  <si>
    <t>P0CG35</t>
  </si>
  <si>
    <t>P0CW22</t>
  </si>
  <si>
    <t>P0DI83</t>
  </si>
  <si>
    <t>P0DJ93</t>
  </si>
  <si>
    <t>P10109</t>
  </si>
  <si>
    <t>P10155-3</t>
  </si>
  <si>
    <t>P10176</t>
  </si>
  <si>
    <t>P10253</t>
  </si>
  <si>
    <t>P10301</t>
  </si>
  <si>
    <t>P10398</t>
  </si>
  <si>
    <t>P10586-2</t>
  </si>
  <si>
    <t>P10588</t>
  </si>
  <si>
    <t>P10599</t>
  </si>
  <si>
    <t>P10606</t>
  </si>
  <si>
    <t>P10619</t>
  </si>
  <si>
    <t>P10636</t>
  </si>
  <si>
    <t>P10644</t>
  </si>
  <si>
    <t>P10746</t>
  </si>
  <si>
    <t>P10768</t>
  </si>
  <si>
    <t>P10809</t>
  </si>
  <si>
    <t>P10909-4</t>
  </si>
  <si>
    <t>P11021</t>
  </si>
  <si>
    <t>P11047</t>
  </si>
  <si>
    <t>P11137-3</t>
  </si>
  <si>
    <t>P11142</t>
  </si>
  <si>
    <t>P11166</t>
  </si>
  <si>
    <t>P11171</t>
  </si>
  <si>
    <t>P11171-2</t>
  </si>
  <si>
    <t>P11172</t>
  </si>
  <si>
    <t>P11177-2</t>
  </si>
  <si>
    <t>P11216</t>
  </si>
  <si>
    <t>P11233</t>
  </si>
  <si>
    <t>P11234</t>
  </si>
  <si>
    <t>P11274-2</t>
  </si>
  <si>
    <t>P11279</t>
  </si>
  <si>
    <t>P11387</t>
  </si>
  <si>
    <t>P11413</t>
  </si>
  <si>
    <t>P11441</t>
  </si>
  <si>
    <t>P11498</t>
  </si>
  <si>
    <t>P11586</t>
  </si>
  <si>
    <t>P11717</t>
  </si>
  <si>
    <t>P11766</t>
  </si>
  <si>
    <t>P11802</t>
  </si>
  <si>
    <t>P11908</t>
  </si>
  <si>
    <t>P11940</t>
  </si>
  <si>
    <t>P12004</t>
  </si>
  <si>
    <t>P12081</t>
  </si>
  <si>
    <t>P12109</t>
  </si>
  <si>
    <t>P12235</t>
  </si>
  <si>
    <t>P12236</t>
  </si>
  <si>
    <t>P12270</t>
  </si>
  <si>
    <t>P12277</t>
  </si>
  <si>
    <t>P12429</t>
  </si>
  <si>
    <t>P12532</t>
  </si>
  <si>
    <t>P12814-2</t>
  </si>
  <si>
    <t>P12882</t>
  </si>
  <si>
    <t>P12931</t>
  </si>
  <si>
    <t>P12955-3</t>
  </si>
  <si>
    <t>P12956</t>
  </si>
  <si>
    <t>P13010</t>
  </si>
  <si>
    <t>P13051</t>
  </si>
  <si>
    <t>P13056</t>
  </si>
  <si>
    <t>P13073</t>
  </si>
  <si>
    <t>P13196</t>
  </si>
  <si>
    <t>P13489</t>
  </si>
  <si>
    <t>P13498</t>
  </si>
  <si>
    <t>P13591-1</t>
  </si>
  <si>
    <t>P13612</t>
  </si>
  <si>
    <t>P13639</t>
  </si>
  <si>
    <t>P13667</t>
  </si>
  <si>
    <t>P13674-2</t>
  </si>
  <si>
    <t>P13693</t>
  </si>
  <si>
    <t>P13797</t>
  </si>
  <si>
    <t>P13804</t>
  </si>
  <si>
    <t>P13861</t>
  </si>
  <si>
    <t>P13984</t>
  </si>
  <si>
    <t>P13995</t>
  </si>
  <si>
    <t>P14174</t>
  </si>
  <si>
    <t>P14209-3</t>
  </si>
  <si>
    <t>P14324-2</t>
  </si>
  <si>
    <t>P14550</t>
  </si>
  <si>
    <t>P14618</t>
  </si>
  <si>
    <t>P14618-2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</si>
  <si>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</si>
  <si>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</si>
  <si>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</si>
  <si>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</si>
  <si>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</si>
  <si>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</si>
  <si>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</si>
  <si>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</si>
  <si>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P14923</t>
  </si>
  <si>
    <t>P14927</t>
  </si>
  <si>
    <t>P15104</t>
  </si>
  <si>
    <t>P15121</t>
  </si>
  <si>
    <t>P15151-3</t>
  </si>
  <si>
    <t>P15170-2</t>
  </si>
  <si>
    <t>P15289</t>
  </si>
  <si>
    <t>P15311</t>
  </si>
  <si>
    <t>P15374</t>
  </si>
  <si>
    <t>P15529-16</t>
  </si>
  <si>
    <t>P15531</t>
  </si>
  <si>
    <t>P15848</t>
  </si>
  <si>
    <t>P15882</t>
  </si>
  <si>
    <t>P15923</t>
  </si>
  <si>
    <t>P15923-2</t>
  </si>
  <si>
    <t>P15924</t>
  </si>
  <si>
    <t>P15927</t>
  </si>
  <si>
    <t>P16035</t>
  </si>
  <si>
    <t>P16152</t>
  </si>
  <si>
    <t>P16298</t>
  </si>
  <si>
    <t>P16333</t>
  </si>
  <si>
    <t>P16383</t>
  </si>
  <si>
    <t>P16403</t>
  </si>
  <si>
    <t>P16435</t>
  </si>
  <si>
    <t>P16591-3</t>
  </si>
  <si>
    <t>P16615</t>
  </si>
  <si>
    <t>P16885</t>
  </si>
  <si>
    <t>P16930</t>
  </si>
  <si>
    <t>P16949</t>
  </si>
  <si>
    <t>P16989</t>
  </si>
  <si>
    <t>P16989-2</t>
  </si>
  <si>
    <t>P17028</t>
  </si>
  <si>
    <t>P17050</t>
  </si>
  <si>
    <t>P17066</t>
  </si>
  <si>
    <t>P17096-2</t>
  </si>
  <si>
    <t>P17152</t>
  </si>
  <si>
    <t>P17174</t>
  </si>
  <si>
    <t>P17252</t>
  </si>
  <si>
    <t>P17482</t>
  </si>
  <si>
    <t>P17509</t>
  </si>
  <si>
    <t>P17568</t>
  </si>
  <si>
    <t>P17612</t>
  </si>
  <si>
    <t>P17655</t>
  </si>
  <si>
    <t>P17677</t>
  </si>
  <si>
    <t>P17706-2</t>
  </si>
  <si>
    <t>P17812</t>
  </si>
  <si>
    <t>P17858</t>
  </si>
  <si>
    <t>P17987</t>
  </si>
  <si>
    <t>P18031</t>
  </si>
  <si>
    <t>P18084</t>
  </si>
  <si>
    <t>P18124</t>
  </si>
  <si>
    <t>P18206-2</t>
  </si>
  <si>
    <t>P18583-6</t>
  </si>
  <si>
    <t>P18615</t>
  </si>
  <si>
    <t>P18669</t>
  </si>
  <si>
    <t>P18754</t>
  </si>
  <si>
    <t>P18846</t>
  </si>
  <si>
    <t>P18858</t>
  </si>
  <si>
    <t>P18859</t>
  </si>
  <si>
    <t>P19022</t>
  </si>
  <si>
    <t>P19174-2</t>
  </si>
  <si>
    <t>P19338</t>
  </si>
  <si>
    <t>P19387</t>
  </si>
  <si>
    <t>P19388</t>
  </si>
  <si>
    <t>P19525-2</t>
  </si>
  <si>
    <t>P19623</t>
  </si>
  <si>
    <t>P19784</t>
  </si>
  <si>
    <t>P19838</t>
  </si>
  <si>
    <t>P20020-6</t>
  </si>
  <si>
    <t>P20042</t>
  </si>
  <si>
    <t>P20248</t>
  </si>
  <si>
    <t>P20290</t>
  </si>
  <si>
    <t>P20290-2</t>
  </si>
  <si>
    <t>P20336</t>
  </si>
  <si>
    <t>P20338</t>
  </si>
  <si>
    <t>P20340</t>
  </si>
  <si>
    <t>P20585</t>
  </si>
  <si>
    <t>P20618</t>
  </si>
  <si>
    <t>P20645</t>
  </si>
  <si>
    <t>P20674</t>
  </si>
  <si>
    <t>P20700</t>
  </si>
  <si>
    <t>P20810-5</t>
  </si>
  <si>
    <t>P20962</t>
  </si>
  <si>
    <t>P21266</t>
  </si>
  <si>
    <t>P21281</t>
  </si>
  <si>
    <t>P21283</t>
  </si>
  <si>
    <t>P21399</t>
  </si>
  <si>
    <t>P21580</t>
  </si>
  <si>
    <t>P21796</t>
  </si>
  <si>
    <t>P21912</t>
  </si>
  <si>
    <t>P21964-2</t>
  </si>
  <si>
    <t>P22033</t>
  </si>
  <si>
    <t>P22059</t>
  </si>
  <si>
    <t>P22102</t>
  </si>
  <si>
    <t>P22234</t>
  </si>
  <si>
    <t>P22307-7</t>
  </si>
  <si>
    <t>P22314</t>
  </si>
  <si>
    <t>P22413</t>
  </si>
  <si>
    <t>P22466</t>
  </si>
  <si>
    <t>P22570</t>
  </si>
  <si>
    <t>P22626</t>
  </si>
  <si>
    <t>P22670</t>
  </si>
  <si>
    <t>P22681</t>
  </si>
  <si>
    <t>P22695</t>
  </si>
  <si>
    <t>P22830</t>
  </si>
  <si>
    <t>P23025</t>
  </si>
  <si>
    <t>P23193</t>
  </si>
  <si>
    <t>P23246</t>
  </si>
  <si>
    <t>P23284</t>
  </si>
  <si>
    <t>P23368</t>
  </si>
  <si>
    <t>P23378</t>
  </si>
  <si>
    <t>P23381</t>
  </si>
  <si>
    <t>P23396</t>
  </si>
  <si>
    <t>P23434</t>
  </si>
  <si>
    <t>P23470-2</t>
  </si>
  <si>
    <t>P23497</t>
  </si>
  <si>
    <t>P23508</t>
  </si>
  <si>
    <t>P23511-2</t>
  </si>
  <si>
    <t>P23526</t>
  </si>
  <si>
    <t>P23527</t>
  </si>
  <si>
    <t>P23528</t>
  </si>
  <si>
    <t>P23588</t>
  </si>
  <si>
    <t>P23634-6</t>
  </si>
  <si>
    <t>P23786</t>
  </si>
  <si>
    <t>P23919</t>
  </si>
  <si>
    <t>P23921</t>
  </si>
  <si>
    <t>P24534</t>
  </si>
  <si>
    <t>P24666</t>
  </si>
  <si>
    <t>P24752</t>
  </si>
  <si>
    <t>P24928</t>
  </si>
  <si>
    <t>P25054-2</t>
  </si>
  <si>
    <t>P25098</t>
  </si>
  <si>
    <t>P25205</t>
  </si>
  <si>
    <t>P25398</t>
  </si>
  <si>
    <t>P25445-6</t>
  </si>
  <si>
    <t>P25490</t>
  </si>
  <si>
    <t>P25685</t>
  </si>
  <si>
    <t>P25705</t>
  </si>
  <si>
    <t>P25786</t>
  </si>
  <si>
    <t>P25787</t>
  </si>
  <si>
    <t>P25788-2</t>
  </si>
  <si>
    <t>P25789</t>
  </si>
  <si>
    <t>P25815</t>
  </si>
  <si>
    <t>P26006</t>
  </si>
  <si>
    <t>P26038</t>
  </si>
  <si>
    <t>P26196</t>
  </si>
  <si>
    <t>P26358</t>
  </si>
  <si>
    <t>P26368-2</t>
  </si>
  <si>
    <t>P26373</t>
  </si>
  <si>
    <t>P26374</t>
  </si>
  <si>
    <t>P26440</t>
  </si>
  <si>
    <t>P26572</t>
  </si>
  <si>
    <t>P26583</t>
  </si>
  <si>
    <t>P26599</t>
  </si>
  <si>
    <t>P26639</t>
  </si>
  <si>
    <t>P26641</t>
  </si>
  <si>
    <t>P26885</t>
  </si>
  <si>
    <t>P27144</t>
  </si>
  <si>
    <t>P27348</t>
  </si>
  <si>
    <t>P27361</t>
  </si>
  <si>
    <t>P27540-3</t>
  </si>
  <si>
    <t>P27635</t>
  </si>
  <si>
    <t>P27694</t>
  </si>
  <si>
    <t>P27797</t>
  </si>
  <si>
    <t>P27824</t>
  </si>
  <si>
    <t>P28066</t>
  </si>
  <si>
    <t>P28070</t>
  </si>
  <si>
    <t>P28072</t>
  </si>
  <si>
    <t>P28074</t>
  </si>
  <si>
    <t>P28289</t>
  </si>
  <si>
    <t>P28331-4</t>
  </si>
  <si>
    <t>P28482</t>
  </si>
  <si>
    <t>P28715</t>
  </si>
  <si>
    <t>P28799</t>
  </si>
  <si>
    <t>P28838-2</t>
  </si>
  <si>
    <t>P29084</t>
  </si>
  <si>
    <t>P29218</t>
  </si>
  <si>
    <t>P29317</t>
  </si>
  <si>
    <t>P29353-7</t>
  </si>
  <si>
    <t>P29372-5</t>
  </si>
  <si>
    <t>P29373</t>
  </si>
  <si>
    <t>P29401</t>
  </si>
  <si>
    <t>P29590</t>
  </si>
  <si>
    <t>P29966</t>
  </si>
  <si>
    <t>P29992</t>
  </si>
  <si>
    <t>P30038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</si>
  <si>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</si>
  <si>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</si>
  <si>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</si>
  <si>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</si>
  <si>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</si>
  <si>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</si>
  <si>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</si>
  <si>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</si>
  <si>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</si>
  <si>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</si>
  <si>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</si>
  <si>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</si>
  <si>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</t>
  </si>
  <si>
    <t>P30291</t>
  </si>
  <si>
    <t>P30307-2</t>
  </si>
  <si>
    <t>P30405</t>
  </si>
  <si>
    <t>P30419</t>
  </si>
  <si>
    <t>P30519</t>
  </si>
  <si>
    <t>P30520</t>
  </si>
  <si>
    <t>P30533</t>
  </si>
  <si>
    <t>P30566</t>
  </si>
  <si>
    <t>P30613-2</t>
  </si>
  <si>
    <t>P30622-1</t>
  </si>
  <si>
    <t>P30740</t>
  </si>
  <si>
    <t>P30825</t>
  </si>
  <si>
    <t>P30837</t>
  </si>
  <si>
    <t>P31040</t>
  </si>
  <si>
    <t>P31146</t>
  </si>
  <si>
    <t>P31150</t>
  </si>
  <si>
    <t>P31153</t>
  </si>
  <si>
    <t>P31323</t>
  </si>
  <si>
    <t>P31327</t>
  </si>
  <si>
    <t>P31350</t>
  </si>
  <si>
    <t>P31689</t>
  </si>
  <si>
    <t>P31749</t>
  </si>
  <si>
    <t>P31751</t>
  </si>
  <si>
    <t>P31930</t>
  </si>
  <si>
    <t>P31937</t>
  </si>
  <si>
    <t>P31939</t>
  </si>
  <si>
    <t>P31942-2</t>
  </si>
  <si>
    <t>P31946</t>
  </si>
  <si>
    <t>P31947-2</t>
  </si>
  <si>
    <t>P31948</t>
  </si>
  <si>
    <t>P31949</t>
  </si>
  <si>
    <t>P32019-3</t>
  </si>
  <si>
    <t>P32119</t>
  </si>
  <si>
    <t>P32121-5</t>
  </si>
  <si>
    <t>P32321-2</t>
  </si>
  <si>
    <t>P32519-2</t>
  </si>
  <si>
    <t>P32929</t>
  </si>
  <si>
    <t>P33121-2</t>
  </si>
  <si>
    <t>P33176</t>
  </si>
  <si>
    <t>P33240-2</t>
  </si>
  <si>
    <t>P33316</t>
  </si>
  <si>
    <t>P33316-2</t>
  </si>
  <si>
    <t>P33527-7</t>
  </si>
  <si>
    <t>P33552</t>
  </si>
  <si>
    <t>P33908</t>
  </si>
  <si>
    <t>P33981-2</t>
  </si>
  <si>
    <t>P33991</t>
  </si>
  <si>
    <t>P33992</t>
  </si>
  <si>
    <t>P33993</t>
  </si>
  <si>
    <t>P34896-2</t>
  </si>
  <si>
    <t>P34897-3</t>
  </si>
  <si>
    <t>P34931</t>
  </si>
  <si>
    <t>P34932</t>
  </si>
  <si>
    <t>P34949</t>
  </si>
  <si>
    <t>P35219</t>
  </si>
  <si>
    <t>P35221</t>
  </si>
  <si>
    <t>P35232</t>
  </si>
  <si>
    <t>P35237</t>
  </si>
  <si>
    <t>P35240-5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</si>
  <si>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</si>
  <si>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</si>
  <si>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</si>
  <si>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</si>
  <si>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</si>
  <si>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</si>
  <si>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</si>
  <si>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</si>
  <si>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P35520</t>
  </si>
  <si>
    <t>P35573</t>
  </si>
  <si>
    <t>P35579</t>
  </si>
  <si>
    <t>P35580</t>
  </si>
  <si>
    <t>P35606</t>
  </si>
  <si>
    <t>P35611-2</t>
  </si>
  <si>
    <t>P35612</t>
  </si>
  <si>
    <t>P35613-2</t>
  </si>
  <si>
    <t>P35637-2</t>
  </si>
  <si>
    <t>P35658-2</t>
  </si>
  <si>
    <t>P35659</t>
  </si>
  <si>
    <t>P35754</t>
  </si>
  <si>
    <t>P35790-2</t>
  </si>
  <si>
    <t>P35813</t>
  </si>
  <si>
    <t>P35998</t>
  </si>
  <si>
    <t>P36404</t>
  </si>
  <si>
    <t>P36405</t>
  </si>
  <si>
    <t>P36406-3</t>
  </si>
  <si>
    <t>P36507</t>
  </si>
  <si>
    <t>P36542</t>
  </si>
  <si>
    <t>P36543</t>
  </si>
  <si>
    <t>P36551</t>
  </si>
  <si>
    <t>P36578</t>
  </si>
  <si>
    <t>P36639-4</t>
  </si>
  <si>
    <t>P36871</t>
  </si>
  <si>
    <t>P36915</t>
  </si>
  <si>
    <t>P36954</t>
  </si>
  <si>
    <t>P36957</t>
  </si>
  <si>
    <t>P36969-2</t>
  </si>
  <si>
    <t>P37108</t>
  </si>
  <si>
    <t>P37268</t>
  </si>
  <si>
    <t>P37287-3</t>
  </si>
  <si>
    <t>P37802</t>
  </si>
  <si>
    <t>P37837</t>
  </si>
  <si>
    <t>P38117</t>
  </si>
  <si>
    <t>P38432</t>
  </si>
  <si>
    <t>P38435</t>
  </si>
  <si>
    <t>P38606</t>
  </si>
  <si>
    <t>P38646</t>
  </si>
  <si>
    <t>P38919</t>
  </si>
  <si>
    <t>P39019</t>
  </si>
  <si>
    <t>P39656</t>
  </si>
  <si>
    <t>P39687</t>
  </si>
  <si>
    <t>P39748</t>
  </si>
  <si>
    <t>P39880-3</t>
  </si>
  <si>
    <t>P40121-2</t>
  </si>
  <si>
    <t>P40189-3</t>
  </si>
  <si>
    <t>P40222</t>
  </si>
  <si>
    <t>P40227</t>
  </si>
  <si>
    <t>P40337-3</t>
  </si>
  <si>
    <t>P40763</t>
  </si>
  <si>
    <t>P40818</t>
  </si>
  <si>
    <t>P40925</t>
  </si>
  <si>
    <t>P40926</t>
  </si>
  <si>
    <t>P40937</t>
  </si>
  <si>
    <t>P40938-2</t>
  </si>
  <si>
    <t>P40939</t>
  </si>
  <si>
    <t>P41091</t>
  </si>
  <si>
    <t>P41208</t>
  </si>
  <si>
    <t>P41219</t>
  </si>
  <si>
    <t>P41223</t>
  </si>
  <si>
    <t>P41227-2</t>
  </si>
  <si>
    <t>P41229-2</t>
  </si>
  <si>
    <t>P41236</t>
  </si>
  <si>
    <t>P41240</t>
  </si>
  <si>
    <t>P41250</t>
  </si>
  <si>
    <t>P41440</t>
  </si>
  <si>
    <t>P41567</t>
  </si>
  <si>
    <t>P41743</t>
  </si>
  <si>
    <t>P42025</t>
  </si>
  <si>
    <t>P42126-2</t>
  </si>
  <si>
    <t>P42166</t>
  </si>
  <si>
    <t>P42167</t>
  </si>
  <si>
    <t>P42167-2</t>
  </si>
  <si>
    <t>P42224</t>
  </si>
  <si>
    <t>P42226</t>
  </si>
  <si>
    <t>P42285</t>
  </si>
  <si>
    <t>P42330</t>
  </si>
  <si>
    <t>P42345</t>
  </si>
  <si>
    <t>P42574</t>
  </si>
  <si>
    <t>P42575</t>
  </si>
  <si>
    <t>P42677</t>
  </si>
  <si>
    <t>P42684-6</t>
  </si>
  <si>
    <t>P42702</t>
  </si>
  <si>
    <t>P42704</t>
  </si>
  <si>
    <t>P42765</t>
  </si>
  <si>
    <t>P42771</t>
  </si>
  <si>
    <t>P42773</t>
  </si>
  <si>
    <t>P42785</t>
  </si>
  <si>
    <t>P43003-2</t>
  </si>
  <si>
    <t>P43007</t>
  </si>
  <si>
    <t>P43034</t>
  </si>
  <si>
    <t>P43121</t>
  </si>
  <si>
    <t>P43155-2</t>
  </si>
  <si>
    <t>P43246</t>
  </si>
  <si>
    <t>P43250-2</t>
  </si>
  <si>
    <t>P43304</t>
  </si>
  <si>
    <t>P43378</t>
  </si>
  <si>
    <t>P43405-2</t>
  </si>
  <si>
    <t>P43487</t>
  </si>
  <si>
    <t>P43490</t>
  </si>
  <si>
    <t>P43686</t>
  </si>
  <si>
    <t>P43897</t>
  </si>
  <si>
    <t>P45880</t>
  </si>
  <si>
    <t>P45880-2</t>
  </si>
  <si>
    <t>P45954</t>
  </si>
  <si>
    <t>P45973</t>
  </si>
  <si>
    <t>P45974-2</t>
  </si>
  <si>
    <t>P45983-3</t>
  </si>
  <si>
    <t>P45984-3</t>
  </si>
  <si>
    <t>P45985</t>
  </si>
  <si>
    <t>P46013</t>
  </si>
  <si>
    <t>P46013-2</t>
  </si>
  <si>
    <t>P46019</t>
  </si>
  <si>
    <t>P46060</t>
  </si>
  <si>
    <t>P46063</t>
  </si>
  <si>
    <t>P46087-2</t>
  </si>
  <si>
    <t>P46108</t>
  </si>
  <si>
    <t>P46109</t>
  </si>
  <si>
    <t>P46199</t>
  </si>
  <si>
    <t>P46531</t>
  </si>
  <si>
    <t>P46734</t>
  </si>
  <si>
    <t>P46736-2</t>
  </si>
  <si>
    <t>P46777</t>
  </si>
  <si>
    <t>P46778</t>
  </si>
  <si>
    <t>P46781</t>
  </si>
  <si>
    <t>P46783</t>
  </si>
  <si>
    <t>P46821</t>
  </si>
  <si>
    <t>P46926</t>
  </si>
  <si>
    <t>P46937</t>
  </si>
  <si>
    <t>P46937-2</t>
  </si>
  <si>
    <t>P46939</t>
  </si>
  <si>
    <t>P46940</t>
  </si>
  <si>
    <t>P46976-2</t>
  </si>
  <si>
    <t>P46977</t>
  </si>
  <si>
    <t>P47224</t>
  </si>
  <si>
    <t>P47712</t>
  </si>
  <si>
    <t>P47755</t>
  </si>
  <si>
    <t>P47756-2</t>
  </si>
  <si>
    <t>P47813</t>
  </si>
  <si>
    <t>P47914</t>
  </si>
  <si>
    <t>P47928</t>
  </si>
  <si>
    <t>P47974</t>
  </si>
  <si>
    <t>P47985</t>
  </si>
  <si>
    <t>P48029-3</t>
  </si>
  <si>
    <t>P48047</t>
  </si>
  <si>
    <t>P48050</t>
  </si>
  <si>
    <t>P48059</t>
  </si>
  <si>
    <t>P48147</t>
  </si>
  <si>
    <t>P48163</t>
  </si>
  <si>
    <t>P48200</t>
  </si>
  <si>
    <t>P48444</t>
  </si>
  <si>
    <t>P48449-3</t>
  </si>
  <si>
    <t>P48454-2</t>
  </si>
  <si>
    <t>P48506</t>
  </si>
  <si>
    <t>P48507</t>
  </si>
  <si>
    <t>P48634</t>
  </si>
  <si>
    <t>P48637</t>
  </si>
  <si>
    <t>P48643</t>
  </si>
  <si>
    <t>P48681</t>
  </si>
  <si>
    <t>P48723</t>
  </si>
  <si>
    <t>P48729</t>
  </si>
  <si>
    <t>P48735</t>
  </si>
  <si>
    <t>P48739</t>
  </si>
  <si>
    <t>P48745</t>
  </si>
  <si>
    <t>P48960-2</t>
  </si>
  <si>
    <t>P49006</t>
  </si>
  <si>
    <t>P49069</t>
  </si>
  <si>
    <t>P49137</t>
  </si>
  <si>
    <t>P49189</t>
  </si>
  <si>
    <t>P49207</t>
  </si>
  <si>
    <t>P49247</t>
  </si>
  <si>
    <t>P49257</t>
  </si>
  <si>
    <t>P49321</t>
  </si>
  <si>
    <t>P49327</t>
  </si>
  <si>
    <t>P49354</t>
  </si>
  <si>
    <t>P49356</t>
  </si>
  <si>
    <t>P49366</t>
  </si>
  <si>
    <t>P49368</t>
  </si>
  <si>
    <t>P49411</t>
  </si>
  <si>
    <t>P49419-2</t>
  </si>
  <si>
    <t>P49427</t>
  </si>
  <si>
    <t>P49454</t>
  </si>
  <si>
    <t>P49458</t>
  </si>
  <si>
    <t>P49459</t>
  </si>
  <si>
    <t>P49585</t>
  </si>
  <si>
    <t>P49588</t>
  </si>
  <si>
    <t>P49589-3</t>
  </si>
  <si>
    <t>P49593</t>
  </si>
  <si>
    <t>P49642</t>
  </si>
  <si>
    <t>P49643</t>
  </si>
  <si>
    <t>P49674</t>
  </si>
  <si>
    <t>P49721</t>
  </si>
  <si>
    <t>P49736</t>
  </si>
  <si>
    <t>P49748-2</t>
  </si>
  <si>
    <t>P49750-3</t>
  </si>
  <si>
    <t>P49755</t>
  </si>
  <si>
    <t>P49756</t>
  </si>
  <si>
    <t>P49757-4</t>
  </si>
  <si>
    <t>P49770</t>
  </si>
  <si>
    <t>P49773</t>
  </si>
  <si>
    <t>P49790</t>
  </si>
  <si>
    <t>P49792</t>
  </si>
  <si>
    <t>P49840</t>
  </si>
  <si>
    <t>P49841</t>
  </si>
  <si>
    <t>P49903</t>
  </si>
  <si>
    <t>P49914</t>
  </si>
  <si>
    <t>P49915</t>
  </si>
  <si>
    <t>P49916</t>
  </si>
  <si>
    <t>P49959</t>
  </si>
  <si>
    <t>P50053</t>
  </si>
  <si>
    <t>P50148</t>
  </si>
  <si>
    <t>P50151</t>
  </si>
  <si>
    <t>P50219</t>
  </si>
  <si>
    <t>P50224</t>
  </si>
  <si>
    <t>P50225</t>
  </si>
  <si>
    <t>P50336</t>
  </si>
  <si>
    <t>P50402</t>
  </si>
  <si>
    <t>P50416-2</t>
  </si>
  <si>
    <t>P50452</t>
  </si>
  <si>
    <t>P50454</t>
  </si>
  <si>
    <t>P50502</t>
  </si>
  <si>
    <t>P50552</t>
  </si>
  <si>
    <t>P50579</t>
  </si>
  <si>
    <t>P50583</t>
  </si>
  <si>
    <t>P50747</t>
  </si>
  <si>
    <t>P50748</t>
  </si>
  <si>
    <t>P50749</t>
  </si>
  <si>
    <t>P50897</t>
  </si>
  <si>
    <t>P50990</t>
  </si>
  <si>
    <t>P50991</t>
  </si>
  <si>
    <t>P51003</t>
  </si>
  <si>
    <t>P51116</t>
  </si>
  <si>
    <t>P51148</t>
  </si>
  <si>
    <t>P51149</t>
  </si>
  <si>
    <t>P51151</t>
  </si>
  <si>
    <t>P51153</t>
  </si>
  <si>
    <t>P51157</t>
  </si>
  <si>
    <t>P51159-2</t>
  </si>
  <si>
    <t>P51397</t>
  </si>
  <si>
    <t>P51398-2</t>
  </si>
  <si>
    <t>P51452</t>
  </si>
  <si>
    <t>P51511</t>
  </si>
  <si>
    <t>P51513-4</t>
  </si>
  <si>
    <t>P51531-2</t>
  </si>
  <si>
    <t>P51553</t>
  </si>
  <si>
    <t>P51570</t>
  </si>
  <si>
    <t>P51571</t>
  </si>
  <si>
    <t>P51572</t>
  </si>
  <si>
    <t>P51580</t>
  </si>
  <si>
    <t>P51659</t>
  </si>
  <si>
    <t>P51665</t>
  </si>
  <si>
    <t>P51668</t>
  </si>
  <si>
    <t>P51687</t>
  </si>
  <si>
    <t>P51692</t>
  </si>
  <si>
    <t>P51790-4</t>
  </si>
  <si>
    <t>P51795</t>
  </si>
  <si>
    <t>P51798-2</t>
  </si>
  <si>
    <t>P51809</t>
  </si>
  <si>
    <t>P51812</t>
  </si>
  <si>
    <t>P51858</t>
  </si>
  <si>
    <t>P51946</t>
  </si>
  <si>
    <t>P51948</t>
  </si>
  <si>
    <t>P51970</t>
  </si>
  <si>
    <t>P51991</t>
  </si>
  <si>
    <t>P52272-2</t>
  </si>
  <si>
    <t>P52292</t>
  </si>
  <si>
    <t>P52294</t>
  </si>
  <si>
    <t>P52298</t>
  </si>
  <si>
    <t>P52306</t>
  </si>
  <si>
    <t>P52435</t>
  </si>
  <si>
    <t>P52565</t>
  </si>
  <si>
    <t>P52569</t>
  </si>
  <si>
    <t>P52597</t>
  </si>
  <si>
    <t>P52630-4</t>
  </si>
  <si>
    <t>P52657</t>
  </si>
  <si>
    <t>P52701</t>
  </si>
  <si>
    <t>P52732</t>
  </si>
  <si>
    <t>P52735-3</t>
  </si>
  <si>
    <t>P52758</t>
  </si>
  <si>
    <t>P52788</t>
  </si>
  <si>
    <t>P52799</t>
  </si>
  <si>
    <t>P52815</t>
  </si>
  <si>
    <t>P52888</t>
  </si>
  <si>
    <t>P52907</t>
  </si>
  <si>
    <t>P52943</t>
  </si>
  <si>
    <t>P53004</t>
  </si>
  <si>
    <t>P53007</t>
  </si>
  <si>
    <t>P53350</t>
  </si>
  <si>
    <t>P53365</t>
  </si>
  <si>
    <t>P53367</t>
  </si>
  <si>
    <t>P53367-2</t>
  </si>
  <si>
    <t>P53384-2</t>
  </si>
  <si>
    <t>P53396</t>
  </si>
  <si>
    <t>P53582</t>
  </si>
  <si>
    <t>P53597</t>
  </si>
  <si>
    <t>P53602</t>
  </si>
  <si>
    <t>P53609</t>
  </si>
  <si>
    <t>P53618</t>
  </si>
  <si>
    <t>P53621</t>
  </si>
  <si>
    <t>P53634</t>
  </si>
  <si>
    <t>P53701</t>
  </si>
  <si>
    <t>P53778</t>
  </si>
  <si>
    <t>P53794</t>
  </si>
  <si>
    <t>P53803</t>
  </si>
  <si>
    <t>P53814-5</t>
  </si>
  <si>
    <t>P53985</t>
  </si>
  <si>
    <t>P53990-2</t>
  </si>
  <si>
    <t>P53992</t>
  </si>
  <si>
    <t>P53999</t>
  </si>
  <si>
    <t>P54136</t>
  </si>
  <si>
    <t>P54259</t>
  </si>
  <si>
    <t>P54289-4</t>
  </si>
  <si>
    <t>P54296</t>
  </si>
  <si>
    <t>P54577</t>
  </si>
  <si>
    <t>P54578-2</t>
  </si>
  <si>
    <t>P54619-2</t>
  </si>
  <si>
    <t>P54646</t>
  </si>
  <si>
    <t>P54652</t>
  </si>
  <si>
    <t>P54687</t>
  </si>
  <si>
    <t>P54707</t>
  </si>
  <si>
    <t>P54709</t>
  </si>
  <si>
    <t>P54727</t>
  </si>
  <si>
    <t>P54802</t>
  </si>
  <si>
    <t>P54819</t>
  </si>
  <si>
    <t>P54826</t>
  </si>
  <si>
    <t>P54886-2</t>
  </si>
  <si>
    <t>P54920</t>
  </si>
  <si>
    <t>P55010</t>
  </si>
  <si>
    <t>P55011-3</t>
  </si>
  <si>
    <t>P55036</t>
  </si>
  <si>
    <t>P55039</t>
  </si>
  <si>
    <t>P55060-3</t>
  </si>
  <si>
    <t>P55072</t>
  </si>
  <si>
    <t>P55081</t>
  </si>
  <si>
    <t>P55082-2</t>
  </si>
  <si>
    <t>P55145</t>
  </si>
  <si>
    <t>P55199</t>
  </si>
  <si>
    <t>P55210-4</t>
  </si>
  <si>
    <t>P55212</t>
  </si>
  <si>
    <t>P55263-2</t>
  </si>
  <si>
    <t>P55268</t>
  </si>
  <si>
    <t>P55327-2</t>
  </si>
  <si>
    <t>P55735</t>
  </si>
  <si>
    <t>P55795</t>
  </si>
  <si>
    <t>P55884</t>
  </si>
  <si>
    <t>P55957</t>
  </si>
  <si>
    <t>P56181</t>
  </si>
  <si>
    <t>P56181-2</t>
  </si>
  <si>
    <t>P56182</t>
  </si>
  <si>
    <t>P56192</t>
  </si>
  <si>
    <t>P56270-2</t>
  </si>
  <si>
    <t>P56277</t>
  </si>
  <si>
    <t>P56378</t>
  </si>
  <si>
    <t>P56385</t>
  </si>
  <si>
    <t>P56524</t>
  </si>
  <si>
    <t>P56537</t>
  </si>
  <si>
    <t>P56589</t>
  </si>
  <si>
    <t>P56749</t>
  </si>
  <si>
    <t>P56937-3</t>
  </si>
  <si>
    <t>P56945-4</t>
  </si>
  <si>
    <t>P56962</t>
  </si>
  <si>
    <t>P57054-3</t>
  </si>
  <si>
    <t>P57060</t>
  </si>
  <si>
    <t>P57076</t>
  </si>
  <si>
    <t>P57081-2</t>
  </si>
  <si>
    <t>P57088</t>
  </si>
  <si>
    <t>P57105</t>
  </si>
  <si>
    <t>P57737-3</t>
  </si>
  <si>
    <t>P57740</t>
  </si>
  <si>
    <t>P57768-2</t>
  </si>
  <si>
    <t>P57772</t>
  </si>
  <si>
    <t>P58004</t>
  </si>
  <si>
    <t>P58005</t>
  </si>
  <si>
    <t>P58107</t>
  </si>
  <si>
    <t>P58546</t>
  </si>
  <si>
    <t>P58557</t>
  </si>
  <si>
    <t>P59998</t>
  </si>
  <si>
    <t>P60059</t>
  </si>
  <si>
    <t>P60174-1</t>
  </si>
  <si>
    <t>P60228</t>
  </si>
  <si>
    <t>P60468</t>
  </si>
  <si>
    <t>P60510</t>
  </si>
  <si>
    <t>P60602</t>
  </si>
  <si>
    <t>P60604-2</t>
  </si>
  <si>
    <t>P60709</t>
  </si>
  <si>
    <t>P60763</t>
  </si>
  <si>
    <t>P60842</t>
  </si>
  <si>
    <t>P60866</t>
  </si>
  <si>
    <t>P60891</t>
  </si>
  <si>
    <t>P60896</t>
  </si>
  <si>
    <t>P60903</t>
  </si>
  <si>
    <t>P60953</t>
  </si>
  <si>
    <t>P60953-1</t>
  </si>
  <si>
    <t>P60981</t>
  </si>
  <si>
    <t>P60983</t>
  </si>
  <si>
    <t>P61006</t>
  </si>
  <si>
    <t>P61009</t>
  </si>
  <si>
    <t>P61011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</si>
  <si>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</si>
  <si>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</si>
  <si>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</si>
  <si>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</si>
  <si>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</si>
  <si>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</si>
  <si>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</si>
  <si>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</si>
  <si>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</si>
  <si>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</si>
  <si>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</si>
  <si>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</si>
  <si>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</si>
  <si>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</si>
  <si>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</si>
  <si>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</si>
  <si>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</si>
  <si>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P61244-2</t>
  </si>
  <si>
    <t>P61254</t>
  </si>
  <si>
    <t>P61289</t>
  </si>
  <si>
    <t>P61326</t>
  </si>
  <si>
    <t>P61457</t>
  </si>
  <si>
    <t>P61586</t>
  </si>
  <si>
    <t>P61587</t>
  </si>
  <si>
    <t>P61599</t>
  </si>
  <si>
    <t>P61604</t>
  </si>
  <si>
    <t>P61758</t>
  </si>
  <si>
    <t>P61764</t>
  </si>
  <si>
    <t>P61925</t>
  </si>
  <si>
    <t>P61927</t>
  </si>
  <si>
    <t>P61956</t>
  </si>
  <si>
    <t>P61960-2</t>
  </si>
  <si>
    <t>P61962</t>
  </si>
  <si>
    <t>P61964</t>
  </si>
  <si>
    <t>P61970</t>
  </si>
  <si>
    <t>P61978-2</t>
  </si>
  <si>
    <t>P61981</t>
  </si>
  <si>
    <t>P62070</t>
  </si>
  <si>
    <t>P62072</t>
  </si>
  <si>
    <t>P62081</t>
  </si>
  <si>
    <t>P62136</t>
  </si>
  <si>
    <t>P62140</t>
  </si>
  <si>
    <t>P62191</t>
  </si>
  <si>
    <t>P62195-2</t>
  </si>
  <si>
    <t>P62249</t>
  </si>
  <si>
    <t>P62258</t>
  </si>
  <si>
    <t>P62263</t>
  </si>
  <si>
    <t>P62266</t>
  </si>
  <si>
    <t>P62269</t>
  </si>
  <si>
    <t>P62273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</si>
  <si>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</si>
  <si>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</si>
  <si>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</si>
  <si>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</si>
  <si>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</si>
  <si>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</si>
  <si>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</si>
  <si>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</si>
  <si>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</si>
  <si>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</si>
  <si>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</si>
  <si>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</si>
  <si>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</si>
  <si>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</si>
  <si>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</si>
  <si>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P62633-2</t>
  </si>
  <si>
    <t>P62633-4</t>
  </si>
  <si>
    <t>P62701</t>
  </si>
  <si>
    <t>P62714</t>
  </si>
  <si>
    <t>P62745</t>
  </si>
  <si>
    <t>P62750</t>
  </si>
  <si>
    <t>P62753</t>
  </si>
  <si>
    <t>P62805</t>
  </si>
  <si>
    <t>P62807</t>
  </si>
  <si>
    <t>P62820</t>
  </si>
  <si>
    <t>P62829</t>
  </si>
  <si>
    <t>P62834</t>
  </si>
  <si>
    <t>P62837</t>
  </si>
  <si>
    <t>P62851</t>
  </si>
  <si>
    <t>P62854</t>
  </si>
  <si>
    <t>P62857</t>
  </si>
  <si>
    <t>P62873</t>
  </si>
  <si>
    <t>P62879</t>
  </si>
  <si>
    <t>P62888</t>
  </si>
  <si>
    <t>P62899</t>
  </si>
  <si>
    <t>P62906</t>
  </si>
  <si>
    <t>P62913-2</t>
  </si>
  <si>
    <t>P62937</t>
  </si>
  <si>
    <t>P62942</t>
  </si>
  <si>
    <t>P62979</t>
  </si>
  <si>
    <t>P62987</t>
  </si>
  <si>
    <t>P62993</t>
  </si>
  <si>
    <t>P62995-3</t>
  </si>
  <si>
    <t>P63000</t>
  </si>
  <si>
    <t>P63010</t>
  </si>
  <si>
    <t>P63092</t>
  </si>
  <si>
    <t>P63096</t>
  </si>
  <si>
    <t>P63104</t>
  </si>
  <si>
    <t>P63151</t>
  </si>
  <si>
    <t>P63167</t>
  </si>
  <si>
    <t>P63173</t>
  </si>
  <si>
    <t>P63218</t>
  </si>
  <si>
    <t>P63220</t>
  </si>
  <si>
    <t>P63241</t>
  </si>
  <si>
    <t>P63244</t>
  </si>
  <si>
    <t>P63272</t>
  </si>
  <si>
    <t>P67775</t>
  </si>
  <si>
    <t>P67809</t>
  </si>
  <si>
    <t>P67936</t>
  </si>
  <si>
    <t>P68032</t>
  </si>
  <si>
    <t>P68036</t>
  </si>
  <si>
    <t>P68104</t>
  </si>
  <si>
    <t>P68106</t>
  </si>
  <si>
    <t>P68133</t>
  </si>
  <si>
    <t>P68363</t>
  </si>
  <si>
    <t>P68371</t>
  </si>
  <si>
    <t>P68402</t>
  </si>
  <si>
    <t>P68871</t>
  </si>
  <si>
    <t>P69892</t>
  </si>
  <si>
    <t>P78310</t>
  </si>
  <si>
    <t>P78318</t>
  </si>
  <si>
    <t>P78330</t>
  </si>
  <si>
    <t>P78346</t>
  </si>
  <si>
    <t>P78347-2</t>
  </si>
  <si>
    <t>P78371</t>
  </si>
  <si>
    <t>P78406</t>
  </si>
  <si>
    <t>P78417</t>
  </si>
  <si>
    <t>P78527</t>
  </si>
  <si>
    <t>P78536</t>
  </si>
  <si>
    <t>P78537</t>
  </si>
  <si>
    <t>P78540</t>
  </si>
  <si>
    <t>P80217</t>
  </si>
  <si>
    <t>P80297</t>
  </si>
  <si>
    <t>P80303</t>
  </si>
  <si>
    <t>P80723</t>
  </si>
  <si>
    <t>P81274</t>
  </si>
  <si>
    <t>P82094</t>
  </si>
  <si>
    <t>P82664</t>
  </si>
  <si>
    <t>P82909</t>
  </si>
  <si>
    <t>P82930</t>
  </si>
  <si>
    <t>P82932</t>
  </si>
  <si>
    <t>P82979</t>
  </si>
  <si>
    <t>P83436</t>
  </si>
  <si>
    <t>P84074</t>
  </si>
  <si>
    <t>P84077</t>
  </si>
  <si>
    <t>P84085</t>
  </si>
  <si>
    <t>P84090</t>
  </si>
  <si>
    <t>P84095</t>
  </si>
  <si>
    <t>P84101</t>
  </si>
  <si>
    <t>P84157</t>
  </si>
  <si>
    <t>P84157-2</t>
  </si>
  <si>
    <t>P84157-3</t>
  </si>
  <si>
    <t>P85037</t>
  </si>
  <si>
    <t>P86397</t>
  </si>
  <si>
    <t>P86791</t>
  </si>
  <si>
    <t>P98082-3</t>
  </si>
  <si>
    <t>P98170</t>
  </si>
  <si>
    <t>P98172</t>
  </si>
  <si>
    <t>P98173-3</t>
  </si>
  <si>
    <t>P98175-2</t>
  </si>
  <si>
    <t>P98179</t>
  </si>
  <si>
    <t>Q00013-2</t>
  </si>
  <si>
    <t>Q00059</t>
  </si>
  <si>
    <t>Q00325-2</t>
  </si>
  <si>
    <t>Q00341</t>
  </si>
  <si>
    <t>Q00403</t>
  </si>
  <si>
    <t>Q00534</t>
  </si>
  <si>
    <t>Q00535</t>
  </si>
  <si>
    <t>Q00536</t>
  </si>
  <si>
    <t>Q00587-2</t>
  </si>
  <si>
    <t>Q00610-2</t>
  </si>
  <si>
    <t>Q00653-4</t>
  </si>
  <si>
    <t>Q00688</t>
  </si>
  <si>
    <t>Q00765</t>
  </si>
  <si>
    <t>Q00796</t>
  </si>
  <si>
    <t>Q00839-2</t>
  </si>
  <si>
    <t>Q01081</t>
  </si>
  <si>
    <t>Q01082</t>
  </si>
  <si>
    <t>Q01085-2</t>
  </si>
  <si>
    <t>Q01105</t>
  </si>
  <si>
    <t>Q01167</t>
  </si>
  <si>
    <t>Q01415</t>
  </si>
  <si>
    <t>Q01469</t>
  </si>
  <si>
    <t>Q01518-2</t>
  </si>
  <si>
    <t>Q01543-2</t>
  </si>
  <si>
    <t>Q01581</t>
  </si>
  <si>
    <t>Q01650</t>
  </si>
  <si>
    <t>Q01658</t>
  </si>
  <si>
    <t>Q01813</t>
  </si>
  <si>
    <t>Q01968</t>
  </si>
  <si>
    <t>Q01970</t>
  </si>
  <si>
    <t>Q02078-3</t>
  </si>
  <si>
    <t>Q02083-2</t>
  </si>
  <si>
    <t>Q02086-2</t>
  </si>
  <si>
    <t>Q02127</t>
  </si>
  <si>
    <t>Q02156</t>
  </si>
  <si>
    <t>Q02241</t>
  </si>
  <si>
    <t>Q02446</t>
  </si>
  <si>
    <t>Q02750</t>
  </si>
  <si>
    <t>Q02763-2</t>
  </si>
  <si>
    <t>Q02790</t>
  </si>
  <si>
    <t>Q02809</t>
  </si>
  <si>
    <t>Q02818</t>
  </si>
  <si>
    <t>Q02833-3</t>
  </si>
  <si>
    <t>Q02952-3</t>
  </si>
  <si>
    <t>Q03154</t>
  </si>
  <si>
    <t>Q04446</t>
  </si>
  <si>
    <t>Q04637-3</t>
  </si>
  <si>
    <t>Q04721</t>
  </si>
  <si>
    <t>Q04724</t>
  </si>
  <si>
    <t>Q04726-3</t>
  </si>
  <si>
    <t>Q04759-2</t>
  </si>
  <si>
    <t>Q04760</t>
  </si>
  <si>
    <t>Q04828</t>
  </si>
  <si>
    <t>Q04837</t>
  </si>
  <si>
    <t>Q04917</t>
  </si>
  <si>
    <t>Q04941</t>
  </si>
  <si>
    <t>Q05048</t>
  </si>
  <si>
    <t>Q05086-3</t>
  </si>
  <si>
    <t>Q05209</t>
  </si>
  <si>
    <t>Q05469-2</t>
  </si>
  <si>
    <t>Q05519-2</t>
  </si>
  <si>
    <t>Q05639</t>
  </si>
  <si>
    <t>Q05655</t>
  </si>
  <si>
    <t>Q05682-4</t>
  </si>
  <si>
    <t>Q05682-5</t>
  </si>
  <si>
    <t>Q06124</t>
  </si>
  <si>
    <t>Q06203</t>
  </si>
  <si>
    <t>Q06210-2</t>
  </si>
  <si>
    <t>Q06265</t>
  </si>
  <si>
    <t>Q06323</t>
  </si>
  <si>
    <t>Q06330-5</t>
  </si>
  <si>
    <t>Q06481</t>
  </si>
  <si>
    <t>Q06546</t>
  </si>
  <si>
    <t>Q06547-2</t>
  </si>
  <si>
    <t>Q06587</t>
  </si>
  <si>
    <t>Q06609-3</t>
  </si>
  <si>
    <t>Q06830</t>
  </si>
  <si>
    <t>Q07021</t>
  </si>
  <si>
    <t>Q07065</t>
  </si>
  <si>
    <t>Q07075</t>
  </si>
  <si>
    <t>Q07666</t>
  </si>
  <si>
    <t>Q07812-5</t>
  </si>
  <si>
    <t>Q07820-2</t>
  </si>
  <si>
    <t>Q07866-6</t>
  </si>
  <si>
    <t>Q07954</t>
  </si>
  <si>
    <t>Q07960</t>
  </si>
  <si>
    <t>Q08170</t>
  </si>
  <si>
    <t>Q08209-2</t>
  </si>
  <si>
    <t>Q08211</t>
  </si>
  <si>
    <t>Q08257</t>
  </si>
  <si>
    <t>Q08289-6</t>
  </si>
  <si>
    <t>Q08357</t>
  </si>
  <si>
    <t>Q08378-2</t>
  </si>
  <si>
    <t>Q08379</t>
  </si>
  <si>
    <t>Q08426</t>
  </si>
  <si>
    <t>Q08722-2</t>
  </si>
  <si>
    <t>Q08752</t>
  </si>
  <si>
    <t>Q08945</t>
  </si>
  <si>
    <t>Q08AD1-2</t>
  </si>
  <si>
    <t>Q08AG7</t>
  </si>
  <si>
    <t>Q08AM6</t>
  </si>
  <si>
    <t>Q08E86</t>
  </si>
  <si>
    <t>Q08J23</t>
  </si>
  <si>
    <t>Q09028-3</t>
  </si>
  <si>
    <t>Q09161</t>
  </si>
  <si>
    <t>Q09472</t>
  </si>
  <si>
    <t>Q09666</t>
  </si>
  <si>
    <t>Q0VDF9</t>
  </si>
  <si>
    <t>Q0VDG4</t>
  </si>
  <si>
    <t>Q10469</t>
  </si>
  <si>
    <t>Q10567-2</t>
  </si>
  <si>
    <t>Q10713</t>
  </si>
  <si>
    <t>Q12765</t>
  </si>
  <si>
    <t>Q12769</t>
  </si>
  <si>
    <t>Q12788</t>
  </si>
  <si>
    <t>Q12792</t>
  </si>
  <si>
    <t>Q12797-10</t>
  </si>
  <si>
    <t>Q12834</t>
  </si>
  <si>
    <t>Q12841</t>
  </si>
  <si>
    <t>Q12846</t>
  </si>
  <si>
    <t>Q12849</t>
  </si>
  <si>
    <t>Q12872</t>
  </si>
  <si>
    <t>Q12874</t>
  </si>
  <si>
    <t>Q12888</t>
  </si>
  <si>
    <t>Q12893</t>
  </si>
  <si>
    <t>Q12904</t>
  </si>
  <si>
    <t>Q12905</t>
  </si>
  <si>
    <t>Q12906</t>
  </si>
  <si>
    <t>Q12907</t>
  </si>
  <si>
    <t>Q12929</t>
  </si>
  <si>
    <t>Q12933-3</t>
  </si>
  <si>
    <t>Q12948</t>
  </si>
  <si>
    <t>Q12955-6</t>
  </si>
  <si>
    <t>Q12959-5</t>
  </si>
  <si>
    <t>Q12962</t>
  </si>
  <si>
    <t>Q12965</t>
  </si>
  <si>
    <t>Q12972</t>
  </si>
  <si>
    <t>Q12972-2</t>
  </si>
  <si>
    <t>Q12981</t>
  </si>
  <si>
    <t>Q12996</t>
  </si>
  <si>
    <t>Q13011</t>
  </si>
  <si>
    <t>Q13015</t>
  </si>
  <si>
    <t>Q13017-2</t>
  </si>
  <si>
    <t>Q13033-2</t>
  </si>
  <si>
    <t>Q13043</t>
  </si>
  <si>
    <t>Q13045-2</t>
  </si>
  <si>
    <t>Q13049</t>
  </si>
  <si>
    <t>Q13057</t>
  </si>
  <si>
    <t>Q13098</t>
  </si>
  <si>
    <t>Q13111-2</t>
  </si>
  <si>
    <t>Q13112</t>
  </si>
  <si>
    <t>Q13115-2</t>
  </si>
  <si>
    <t>Q13123</t>
  </si>
  <si>
    <t>Q13126</t>
  </si>
  <si>
    <t>Q13131</t>
  </si>
  <si>
    <t>Q13136-2</t>
  </si>
  <si>
    <t>Q13137-4</t>
  </si>
  <si>
    <t>Q13148</t>
  </si>
  <si>
    <t>Q13151</t>
  </si>
  <si>
    <t>Q13153</t>
  </si>
  <si>
    <t>Q13158</t>
  </si>
  <si>
    <t>Q13162</t>
  </si>
  <si>
    <t>Q13164-2</t>
  </si>
  <si>
    <t>Q13177</t>
  </si>
  <si>
    <t>Q13185</t>
  </si>
  <si>
    <t>Q13188</t>
  </si>
  <si>
    <t>Q13200</t>
  </si>
  <si>
    <t>Q13206</t>
  </si>
  <si>
    <t>Q13217</t>
  </si>
  <si>
    <t>Q13228-2</t>
  </si>
  <si>
    <t>Q13232</t>
  </si>
  <si>
    <t>Q13243-3</t>
  </si>
  <si>
    <t>Q13247-3</t>
  </si>
  <si>
    <t>Q13257</t>
  </si>
  <si>
    <t>Q13263</t>
  </si>
  <si>
    <t>Q13277-2</t>
  </si>
  <si>
    <t>Q13283</t>
  </si>
  <si>
    <t>Q13308</t>
  </si>
  <si>
    <t>Q13309</t>
  </si>
  <si>
    <t>Q13310-3</t>
  </si>
  <si>
    <t>Q13322-2</t>
  </si>
  <si>
    <t>Q13325</t>
  </si>
  <si>
    <t>Q13347</t>
  </si>
  <si>
    <t>Q13356</t>
  </si>
  <si>
    <t>Q13362-4</t>
  </si>
  <si>
    <t>Q13363</t>
  </si>
  <si>
    <t>Q13371</t>
  </si>
  <si>
    <t>Q13395</t>
  </si>
  <si>
    <t>Q13405</t>
  </si>
  <si>
    <t>Q13409-6</t>
  </si>
  <si>
    <t>Q13416</t>
  </si>
  <si>
    <t>Q13418</t>
  </si>
  <si>
    <t>Q13423</t>
  </si>
  <si>
    <t>Q13424</t>
  </si>
  <si>
    <t>Q13425</t>
  </si>
  <si>
    <t>Q13426</t>
  </si>
  <si>
    <t>Q13432-2</t>
  </si>
  <si>
    <t>Q13435</t>
  </si>
  <si>
    <t>Q13438-5</t>
  </si>
  <si>
    <t>Q13442</t>
  </si>
  <si>
    <t>Q13443</t>
  </si>
  <si>
    <t>Q13444-8</t>
  </si>
  <si>
    <t>Q13445</t>
  </si>
  <si>
    <t>Q13451</t>
  </si>
  <si>
    <t>Q13464</t>
  </si>
  <si>
    <t>Q13480-2</t>
  </si>
  <si>
    <t>Q13492-3</t>
  </si>
  <si>
    <t>Q13503</t>
  </si>
  <si>
    <t>Q13505-3</t>
  </si>
  <si>
    <t>Q13509</t>
  </si>
  <si>
    <t>Q13526</t>
  </si>
  <si>
    <t>Q13541</t>
  </si>
  <si>
    <t>Q13542</t>
  </si>
  <si>
    <t>Q13546-2</t>
  </si>
  <si>
    <t>Q13564-2</t>
  </si>
  <si>
    <t>Q13572</t>
  </si>
  <si>
    <t>Q13573</t>
  </si>
  <si>
    <t>Q13576</t>
  </si>
  <si>
    <t>Q13586</t>
  </si>
  <si>
    <t>Q13596-2</t>
  </si>
  <si>
    <t>Q13614</t>
  </si>
  <si>
    <t>Q13616</t>
  </si>
  <si>
    <t>Q13617</t>
  </si>
  <si>
    <t>Q13618-2</t>
  </si>
  <si>
    <t>Q13625</t>
  </si>
  <si>
    <t>Q13630</t>
  </si>
  <si>
    <t>Q13636</t>
  </si>
  <si>
    <t>Q13637</t>
  </si>
  <si>
    <t>Q13641</t>
  </si>
  <si>
    <t>Q13642-5</t>
  </si>
  <si>
    <t>Q13643</t>
  </si>
  <si>
    <t>Q13686</t>
  </si>
  <si>
    <t>Q13724</t>
  </si>
  <si>
    <t>Q13740-2</t>
  </si>
  <si>
    <t>Q13796</t>
  </si>
  <si>
    <t>Q13813-3</t>
  </si>
  <si>
    <t>Q13825</t>
  </si>
  <si>
    <t>Q13884</t>
  </si>
  <si>
    <t>Q13885</t>
  </si>
  <si>
    <t>Q13895</t>
  </si>
  <si>
    <t>Q13907</t>
  </si>
  <si>
    <t>Q13951-2</t>
  </si>
  <si>
    <t>Q13952-3</t>
  </si>
  <si>
    <t>Q14008-2</t>
  </si>
  <si>
    <t>Q14011</t>
  </si>
  <si>
    <t>Q14012</t>
  </si>
  <si>
    <t>Q14019</t>
  </si>
  <si>
    <t>Q14050</t>
  </si>
  <si>
    <t>Q14061</t>
  </si>
  <si>
    <t>Q14103-3</t>
  </si>
  <si>
    <t>Q14108</t>
  </si>
  <si>
    <t>Q14114-2</t>
  </si>
  <si>
    <t>Q14118</t>
  </si>
  <si>
    <t>Q14126</t>
  </si>
  <si>
    <t>Q14129</t>
  </si>
  <si>
    <t>Q14135</t>
  </si>
  <si>
    <t>Q14137</t>
  </si>
  <si>
    <t>Q14139</t>
  </si>
  <si>
    <t>Q14145</t>
  </si>
  <si>
    <t>Q14151</t>
  </si>
  <si>
    <t>Q14152</t>
  </si>
  <si>
    <t>Q14157</t>
  </si>
  <si>
    <t>Q14157-1</t>
  </si>
  <si>
    <t>Q14160</t>
  </si>
  <si>
    <t>Q14165</t>
  </si>
  <si>
    <t>Q14166</t>
  </si>
  <si>
    <t>Q14181</t>
  </si>
  <si>
    <t>Q14195-2</t>
  </si>
  <si>
    <t>Q14204</t>
  </si>
  <si>
    <t>Q14232</t>
  </si>
  <si>
    <t>Q14240</t>
  </si>
  <si>
    <t>Q14241</t>
  </si>
  <si>
    <t>Q14244</t>
  </si>
  <si>
    <t>Q14247</t>
  </si>
  <si>
    <t>Q14249</t>
  </si>
  <si>
    <t>Q14257</t>
  </si>
  <si>
    <t>Q14315-2</t>
  </si>
  <si>
    <t>Q14318-2</t>
  </si>
  <si>
    <t>Q14320</t>
  </si>
  <si>
    <t>Q14331</t>
  </si>
  <si>
    <t>Q14344</t>
  </si>
  <si>
    <t>Q14353</t>
  </si>
  <si>
    <t>Q14376</t>
  </si>
  <si>
    <t>Q14444-2</t>
  </si>
  <si>
    <t>Q14469</t>
  </si>
  <si>
    <t>Q14498-2</t>
  </si>
  <si>
    <t>Q14520-2</t>
  </si>
  <si>
    <t>Q14534</t>
  </si>
  <si>
    <t>Q14554</t>
  </si>
  <si>
    <t>Q14566</t>
  </si>
  <si>
    <t>Q14651</t>
  </si>
  <si>
    <t>Q14653</t>
  </si>
  <si>
    <t>Q14657</t>
  </si>
  <si>
    <t>Q14669-2</t>
  </si>
  <si>
    <t>Q14671</t>
  </si>
  <si>
    <t>Q14674</t>
  </si>
  <si>
    <t>Q14676-3</t>
  </si>
  <si>
    <t>Q14677</t>
  </si>
  <si>
    <t>Q14681</t>
  </si>
  <si>
    <t>Q14683</t>
  </si>
  <si>
    <t>Q14684-2</t>
  </si>
  <si>
    <t>Q14686</t>
  </si>
  <si>
    <t>Q14687-2</t>
  </si>
  <si>
    <t>Q14691</t>
  </si>
  <si>
    <t>Q14694</t>
  </si>
  <si>
    <t>Q14696</t>
  </si>
  <si>
    <t>Q14697</t>
  </si>
  <si>
    <t>Q14699</t>
  </si>
  <si>
    <t>Q14739</t>
  </si>
  <si>
    <t>Q14789</t>
  </si>
  <si>
    <t>Q14790</t>
  </si>
  <si>
    <t>Q147X3</t>
  </si>
  <si>
    <t>Q14814-4</t>
  </si>
  <si>
    <t>Q14847</t>
  </si>
  <si>
    <t>Q14872</t>
  </si>
  <si>
    <t>Q14964</t>
  </si>
  <si>
    <t>Q14966</t>
  </si>
  <si>
    <t>Q14974</t>
  </si>
  <si>
    <t>Q14978</t>
  </si>
  <si>
    <t>Q14980-2</t>
  </si>
  <si>
    <t>Q14BN4-2</t>
  </si>
  <si>
    <t>Q14C86-6</t>
  </si>
  <si>
    <t>Q14CS0</t>
  </si>
  <si>
    <t>Q14CX7-2</t>
  </si>
  <si>
    <t>Q14CZ7</t>
  </si>
  <si>
    <t>Q15004</t>
  </si>
  <si>
    <t>Q15006</t>
  </si>
  <si>
    <t>Q15007</t>
  </si>
  <si>
    <t>Q15008</t>
  </si>
  <si>
    <t>Q15012</t>
  </si>
  <si>
    <t>Q15013</t>
  </si>
  <si>
    <t>Q15018</t>
  </si>
  <si>
    <t>Q15019</t>
  </si>
  <si>
    <t>Q15021</t>
  </si>
  <si>
    <t>Q15024</t>
  </si>
  <si>
    <t>Q15029-2</t>
  </si>
  <si>
    <t>Q15032-2</t>
  </si>
  <si>
    <t>Q15036-2</t>
  </si>
  <si>
    <t>Q15038-2</t>
  </si>
  <si>
    <t>Q15043-2</t>
  </si>
  <si>
    <t>Q15046</t>
  </si>
  <si>
    <t>Q15047-3</t>
  </si>
  <si>
    <t>Q15051</t>
  </si>
  <si>
    <t>Q15056</t>
  </si>
  <si>
    <t>Q15056-2</t>
  </si>
  <si>
    <t>Q15057</t>
  </si>
  <si>
    <t>Q15059</t>
  </si>
  <si>
    <t>Q15061</t>
  </si>
  <si>
    <t>Q15067-2</t>
  </si>
  <si>
    <t>Q15075</t>
  </si>
  <si>
    <t>Q15102</t>
  </si>
  <si>
    <t>Q15111</t>
  </si>
  <si>
    <t>Q15118</t>
  </si>
  <si>
    <t>Q15120</t>
  </si>
  <si>
    <t>Q15125</t>
  </si>
  <si>
    <t>Q15126</t>
  </si>
  <si>
    <t>Q15149-4</t>
  </si>
  <si>
    <t>Q15155</t>
  </si>
  <si>
    <t>Q15170-2</t>
  </si>
  <si>
    <t>Q15172</t>
  </si>
  <si>
    <t>Q15173-2</t>
  </si>
  <si>
    <t>Q15181</t>
  </si>
  <si>
    <t>Q15208</t>
  </si>
  <si>
    <t>Q15233</t>
  </si>
  <si>
    <t>Q15257</t>
  </si>
  <si>
    <t>Q15276</t>
  </si>
  <si>
    <t>Q15286</t>
  </si>
  <si>
    <t>Q15291</t>
  </si>
  <si>
    <t>Q15293</t>
  </si>
  <si>
    <t>Q15311</t>
  </si>
  <si>
    <t>Q15334</t>
  </si>
  <si>
    <t>Q15345</t>
  </si>
  <si>
    <t>Q15365</t>
  </si>
  <si>
    <t>Q15366-3</t>
  </si>
  <si>
    <t>Q15375</t>
  </si>
  <si>
    <t>Q15382</t>
  </si>
  <si>
    <t>Q15388</t>
  </si>
  <si>
    <t>Q15393</t>
  </si>
  <si>
    <t>Q15398-3</t>
  </si>
  <si>
    <t>Q15404</t>
  </si>
  <si>
    <t>Q15424-2</t>
  </si>
  <si>
    <t>Q15428</t>
  </si>
  <si>
    <t>Q15435</t>
  </si>
  <si>
    <t>Q15437</t>
  </si>
  <si>
    <t>Q15438-2</t>
  </si>
  <si>
    <t>Q15459</t>
  </si>
  <si>
    <t>Q15464</t>
  </si>
  <si>
    <t>Q15477</t>
  </si>
  <si>
    <t>Q15506</t>
  </si>
  <si>
    <t>Q15526-2</t>
  </si>
  <si>
    <t>Q15527</t>
  </si>
  <si>
    <t>Q15545</t>
  </si>
  <si>
    <t>Q15555</t>
  </si>
  <si>
    <t>Q15596</t>
  </si>
  <si>
    <t>Q15599-2</t>
  </si>
  <si>
    <t>Q15633-2</t>
  </si>
  <si>
    <t>Q15637-5</t>
  </si>
  <si>
    <t>Q15642</t>
  </si>
  <si>
    <t>Q15642-2</t>
  </si>
  <si>
    <t>Q15643</t>
  </si>
  <si>
    <t>Q15645</t>
  </si>
  <si>
    <t>Q15649</t>
  </si>
  <si>
    <t>Q15652-2</t>
  </si>
  <si>
    <t>Q15654</t>
  </si>
  <si>
    <t>Q15691</t>
  </si>
  <si>
    <t>Q15714</t>
  </si>
  <si>
    <t>Q15738</t>
  </si>
  <si>
    <t>Q15750</t>
  </si>
  <si>
    <t>Q15758</t>
  </si>
  <si>
    <t>Q15759</t>
  </si>
  <si>
    <t>Q15768</t>
  </si>
  <si>
    <t>Q15785</t>
  </si>
  <si>
    <t>Q15800-2</t>
  </si>
  <si>
    <t>Q15814</t>
  </si>
  <si>
    <t>Q15818</t>
  </si>
  <si>
    <t>Q15819</t>
  </si>
  <si>
    <t>Q15831</t>
  </si>
  <si>
    <t>Q15833-2</t>
  </si>
  <si>
    <t>Q15836</t>
  </si>
  <si>
    <t>Q15907</t>
  </si>
  <si>
    <t>Q15942</t>
  </si>
  <si>
    <t>Q16134</t>
  </si>
  <si>
    <t>Q16143</t>
  </si>
  <si>
    <t>Q16181</t>
  </si>
  <si>
    <t>Q16186</t>
  </si>
  <si>
    <t>Q16204</t>
  </si>
  <si>
    <t>Q16222-2</t>
  </si>
  <si>
    <t>Q16254</t>
  </si>
  <si>
    <t>Q16401-2</t>
  </si>
  <si>
    <t>Q16512</t>
  </si>
  <si>
    <t>Q16513</t>
  </si>
  <si>
    <t>Q16514-2</t>
  </si>
  <si>
    <t>Q16531</t>
  </si>
  <si>
    <t>Q16539</t>
  </si>
  <si>
    <t>Q16543</t>
  </si>
  <si>
    <t>Q16555</t>
  </si>
  <si>
    <t>Q16566</t>
  </si>
  <si>
    <t>Q16576</t>
  </si>
  <si>
    <t>Q16576-2</t>
  </si>
  <si>
    <t>Q16587-5</t>
  </si>
  <si>
    <t>Q16594</t>
  </si>
  <si>
    <t>Q16625-4</t>
  </si>
  <si>
    <t>Q16626</t>
  </si>
  <si>
    <t>Q16630</t>
  </si>
  <si>
    <t>Q16643</t>
  </si>
  <si>
    <t>Q16644</t>
  </si>
  <si>
    <t>Q16658</t>
  </si>
  <si>
    <t>Q16718</t>
  </si>
  <si>
    <t>Q16720-8</t>
  </si>
  <si>
    <t>Q16740</t>
  </si>
  <si>
    <t>Q16762</t>
  </si>
  <si>
    <t>Q16763</t>
  </si>
  <si>
    <t>Q16799</t>
  </si>
  <si>
    <t>Q16822</t>
  </si>
  <si>
    <t>Q16831</t>
  </si>
  <si>
    <t>Q16850</t>
  </si>
  <si>
    <t>Q16854</t>
  </si>
  <si>
    <t>Q16864</t>
  </si>
  <si>
    <t>Q17R31-2</t>
  </si>
  <si>
    <t>Q17RS7</t>
  </si>
  <si>
    <t>Q17RU2</t>
  </si>
  <si>
    <t>Q1MSJ5-2</t>
  </si>
  <si>
    <t>Q27J81-2</t>
  </si>
  <si>
    <t>Q29RF7</t>
  </si>
  <si>
    <t>Q2KHR3</t>
  </si>
  <si>
    <t>Q2M2I8-2</t>
  </si>
  <si>
    <t>Q2M2Z5-5</t>
  </si>
  <si>
    <t>Q2NKX8</t>
  </si>
  <si>
    <t>Q2NL82</t>
  </si>
  <si>
    <t>Q2T9J0</t>
  </si>
  <si>
    <t>Q2TAA5</t>
  </si>
  <si>
    <t>Q2TAL8</t>
  </si>
  <si>
    <t>Q2TAM5</t>
  </si>
  <si>
    <t>Q2TAY7</t>
  </si>
  <si>
    <t>Q2TBE0</t>
  </si>
  <si>
    <t>Q2YD98</t>
  </si>
  <si>
    <t>Q32MZ4</t>
  </si>
  <si>
    <t>Q32MZ4-2</t>
  </si>
  <si>
    <t>Q32MZ4-3</t>
  </si>
  <si>
    <t>Q32MZ4-4</t>
  </si>
  <si>
    <t>Q32N00</t>
  </si>
  <si>
    <t>Q32NB8</t>
  </si>
  <si>
    <t>Q32P28</t>
  </si>
  <si>
    <t>Q32P28-3</t>
  </si>
  <si>
    <t>Q32P41</t>
  </si>
  <si>
    <t>Q32Q12</t>
  </si>
  <si>
    <t>Q3B726</t>
  </si>
  <si>
    <t>Q3KQU3-2</t>
  </si>
  <si>
    <t>Q3KQV9</t>
  </si>
  <si>
    <t>Q3KRA6</t>
  </si>
  <si>
    <t>Q3KRA9</t>
  </si>
  <si>
    <t>Q3LXA3</t>
  </si>
  <si>
    <t>Q3MHD2</t>
  </si>
  <si>
    <t>Q3MII6</t>
  </si>
  <si>
    <t>Q3MIT2</t>
  </si>
  <si>
    <t>Q3SXM5</t>
  </si>
  <si>
    <t>Q3V6T2-2</t>
  </si>
  <si>
    <t>Q3YEC7</t>
  </si>
  <si>
    <t>Q3ZCM7</t>
  </si>
  <si>
    <t>Q3ZCQ8</t>
  </si>
  <si>
    <t>Q3ZCW2</t>
  </si>
  <si>
    <t>Q495W5-2</t>
  </si>
  <si>
    <t>Q49AH0-2</t>
  </si>
  <si>
    <t>Q49AR2</t>
  </si>
  <si>
    <t>Q49B96</t>
  </si>
  <si>
    <t>Q4G0A6</t>
  </si>
  <si>
    <t>Q4G0F5</t>
  </si>
  <si>
    <t>Q4G0I0</t>
  </si>
  <si>
    <t>Q4G0J3</t>
  </si>
  <si>
    <t>Q4G0N4</t>
  </si>
  <si>
    <t>Q4G148-2</t>
  </si>
  <si>
    <t>Q4G176</t>
  </si>
  <si>
    <t>Q4J6C6-4</t>
  </si>
  <si>
    <t>Q4KMP7</t>
  </si>
  <si>
    <t>Q4KMQ2-3</t>
  </si>
  <si>
    <t>Q4LDG9</t>
  </si>
  <si>
    <t>Q4V328</t>
  </si>
  <si>
    <t>Q4VC05</t>
  </si>
  <si>
    <t>Q4ZIN3-2</t>
  </si>
  <si>
    <t>Q504Q3-2</t>
  </si>
  <si>
    <t>Q504U0</t>
  </si>
  <si>
    <t>Q52LJ0-2</t>
  </si>
  <si>
    <t>Q52LW3</t>
  </si>
  <si>
    <t>Q53EL6-2</t>
  </si>
  <si>
    <t>Q53ET0</t>
  </si>
  <si>
    <t>Q53EZ4</t>
  </si>
  <si>
    <t>Q53F19</t>
  </si>
  <si>
    <t>Q53GG5-2</t>
  </si>
  <si>
    <t>Q53GQ0</t>
  </si>
  <si>
    <t>Q53H80</t>
  </si>
  <si>
    <t>Q53H82</t>
  </si>
  <si>
    <t>Q53H96</t>
  </si>
  <si>
    <t>Q53HV7</t>
  </si>
  <si>
    <t>Q53S33</t>
  </si>
  <si>
    <t>Q53S58</t>
  </si>
  <si>
    <t>Q53T59</t>
  </si>
  <si>
    <t>Q562R1</t>
  </si>
  <si>
    <t>Q567Q0</t>
  </si>
  <si>
    <t>Q567V2-2</t>
  </si>
  <si>
    <t>Q587I9</t>
  </si>
  <si>
    <t>Q58A45-4</t>
  </si>
  <si>
    <t>Q58FF8</t>
  </si>
  <si>
    <t>Q58WW2</t>
  </si>
  <si>
    <t>Q5BKX5</t>
  </si>
  <si>
    <t>Q5C9Z4</t>
  </si>
  <si>
    <t>Q5EBL4</t>
  </si>
  <si>
    <t>Q5EBL8</t>
  </si>
  <si>
    <t>Q5F1R6</t>
  </si>
  <si>
    <t>Q5GLZ8-3</t>
  </si>
  <si>
    <t>Q5H937</t>
  </si>
  <si>
    <t>Q5H9A7</t>
  </si>
  <si>
    <t>Q5HY54</t>
  </si>
  <si>
    <t>Q5HY92</t>
  </si>
  <si>
    <t>Q5HYI7</t>
  </si>
  <si>
    <t>Q5HYI8</t>
  </si>
  <si>
    <t>Q5HYK3</t>
  </si>
  <si>
    <t>Q5HYK7-2</t>
  </si>
  <si>
    <t>Q5JP53</t>
  </si>
  <si>
    <t>Q5JPE7-2</t>
  </si>
  <si>
    <t>Q5JPH6</t>
  </si>
  <si>
    <t>Q5JR01</t>
  </si>
  <si>
    <t>Q5JR08</t>
  </si>
  <si>
    <t>Q5JR95</t>
  </si>
  <si>
    <t>Q5JRG1</t>
  </si>
  <si>
    <t>Q5JRX3</t>
  </si>
  <si>
    <t>Q5JS54</t>
  </si>
  <si>
    <t>Q5JSH3-2</t>
  </si>
  <si>
    <t>Q5JSK7</t>
  </si>
  <si>
    <t>Q5JSZ5</t>
  </si>
  <si>
    <t>Q5JTC6-2</t>
  </si>
  <si>
    <t>Q5JTD0-2</t>
  </si>
  <si>
    <t>Q5JTH9-2</t>
  </si>
  <si>
    <t>Q5JTJ3-3</t>
  </si>
  <si>
    <t>Q5JTV1</t>
  </si>
  <si>
    <t>Q5JTV8</t>
  </si>
  <si>
    <t>Q5JTZ9</t>
  </si>
  <si>
    <t>Q5JU69</t>
  </si>
  <si>
    <t>Q5JUA8</t>
  </si>
  <si>
    <t>Q5JUE6</t>
  </si>
  <si>
    <t>Q5JUW8</t>
  </si>
  <si>
    <t>Q5JV61</t>
  </si>
  <si>
    <t>Q5JV73</t>
  </si>
  <si>
    <t>Q5JVD1</t>
  </si>
  <si>
    <t>Q5JVF3-3</t>
  </si>
  <si>
    <t>Q5JVS0</t>
  </si>
  <si>
    <t>Q5JVZ5</t>
  </si>
  <si>
    <t>Q5JW30</t>
  </si>
  <si>
    <t>Q5JWB9</t>
  </si>
  <si>
    <t>Q5JXC2</t>
  </si>
  <si>
    <t>Q5JXX2</t>
  </si>
  <si>
    <t>Q5JY65</t>
  </si>
  <si>
    <t>Q5K4L6</t>
  </si>
  <si>
    <t>Q5M775</t>
  </si>
  <si>
    <t>Q5MIZ7-3</t>
  </si>
  <si>
    <t>Q5MNZ6</t>
  </si>
  <si>
    <t>Q5NDL2</t>
  </si>
  <si>
    <t>Q5QJ74</t>
  </si>
  <si>
    <t>Q5QNY5</t>
  </si>
  <si>
    <t>Q5QNZ2</t>
  </si>
  <si>
    <t>Q5QP82</t>
  </si>
  <si>
    <t>Q5QPK2</t>
  </si>
  <si>
    <t>Q5R363</t>
  </si>
  <si>
    <t>Q5R372-4</t>
  </si>
  <si>
    <t>Q5RGS4</t>
  </si>
  <si>
    <t>Q5RI15</t>
  </si>
  <si>
    <t>Q5RKV6</t>
  </si>
  <si>
    <t>Q5SPY9</t>
  </si>
  <si>
    <t>Q5SQI0-5</t>
  </si>
  <si>
    <t>Q5SQP8</t>
  </si>
  <si>
    <t>Q5SQU3</t>
  </si>
  <si>
    <t>Q5SRE7-2</t>
  </si>
  <si>
    <t>Q5SRQ6</t>
  </si>
  <si>
    <t>Q5SSJ5</t>
  </si>
  <si>
    <t>Q5ST30</t>
  </si>
  <si>
    <t>Q5SVK8</t>
  </si>
  <si>
    <t>Q5SWX8</t>
  </si>
  <si>
    <t>Q5SXM8</t>
  </si>
  <si>
    <t>Q5SYE7-2</t>
  </si>
  <si>
    <t>Q5SYW2</t>
  </si>
  <si>
    <t>Q5SZR4</t>
  </si>
  <si>
    <t>Q5T0D9</t>
  </si>
  <si>
    <t>Q5T0N5-3</t>
  </si>
  <si>
    <t>Q5T0Z6</t>
  </si>
  <si>
    <t>Q5T123</t>
  </si>
  <si>
    <t>Q5T160</t>
  </si>
  <si>
    <t>Q5T171</t>
  </si>
  <si>
    <t>Q5T1B5</t>
  </si>
  <si>
    <t>Q5T1C6</t>
  </si>
  <si>
    <t>Q5T1M5</t>
  </si>
  <si>
    <t>Q5T1V6</t>
  </si>
  <si>
    <t>Q5T1Z0</t>
  </si>
  <si>
    <t>Q5T2D3</t>
  </si>
  <si>
    <t>Q5T2E6-2</t>
  </si>
  <si>
    <t>Q5T2R2-3</t>
  </si>
  <si>
    <t>Q5T370</t>
  </si>
  <si>
    <t>Q5T3Q7</t>
  </si>
  <si>
    <t>Q5T440</t>
  </si>
  <si>
    <t>Q5T481</t>
  </si>
  <si>
    <t>Q5T4S7-3</t>
  </si>
  <si>
    <t>Q5T4U8</t>
  </si>
  <si>
    <t>Q5T5C0-3</t>
  </si>
  <si>
    <t>Q5T5C7</t>
  </si>
  <si>
    <t>Q5T5P2-3</t>
  </si>
  <si>
    <t>Q5T5U3</t>
  </si>
  <si>
    <t>Q5T5Y3-2</t>
  </si>
  <si>
    <t>Q5T6F2</t>
  </si>
  <si>
    <t>Q5T6V5</t>
  </si>
  <si>
    <t>Q5T7M9</t>
  </si>
  <si>
    <t>Q5T7V8</t>
  </si>
  <si>
    <t>Q5T8D3-2</t>
  </si>
  <si>
    <t>Q5T8P6-2</t>
  </si>
  <si>
    <t>Q5T8U5</t>
  </si>
  <si>
    <t>Q5T9B7</t>
  </si>
  <si>
    <t>Q5TA45-2</t>
  </si>
  <si>
    <t>Q5TA50</t>
  </si>
  <si>
    <t>Q5TA58</t>
  </si>
  <si>
    <t>Q5TA95</t>
  </si>
  <si>
    <t>Q5TAX3</t>
  </si>
  <si>
    <t>Q5TBB1</t>
  </si>
  <si>
    <t>Q5TCM7</t>
  </si>
  <si>
    <t>Q5TCQ9-3</t>
  </si>
  <si>
    <t>Q5TCX8</t>
  </si>
  <si>
    <t>Q5TD07</t>
  </si>
  <si>
    <t>Q5TDC5</t>
  </si>
  <si>
    <t>Q5TDH0</t>
  </si>
  <si>
    <t>Q5TEU4-2</t>
  </si>
  <si>
    <t>Q5TFE4</t>
  </si>
  <si>
    <t>Q5TH30</t>
  </si>
  <si>
    <t>Q5THK1-3</t>
  </si>
  <si>
    <t>Q5TIE1</t>
  </si>
  <si>
    <t>Q5TZA2</t>
  </si>
  <si>
    <t>Q5U5X0</t>
  </si>
  <si>
    <t>Q5UIP0-2</t>
  </si>
  <si>
    <t>Q5VIR6-4</t>
  </si>
  <si>
    <t>Q5VSG8-3</t>
  </si>
  <si>
    <t>Q5VSL9</t>
  </si>
  <si>
    <t>Q5VST6</t>
  </si>
  <si>
    <t>Q5VT52</t>
  </si>
  <si>
    <t>Q5VT66</t>
  </si>
  <si>
    <t>Q5VT94</t>
  </si>
  <si>
    <t>Q5VTR2</t>
  </si>
  <si>
    <t>Q5VU58</t>
  </si>
  <si>
    <t>Q5VUA4</t>
  </si>
  <si>
    <t>Q5VV17</t>
  </si>
  <si>
    <t>Q5VV41</t>
  </si>
  <si>
    <t>Q5VV42</t>
  </si>
  <si>
    <t>Q5VV50</t>
  </si>
  <si>
    <t>Q5VVD7</t>
  </si>
  <si>
    <t>Q5VVQ6</t>
  </si>
  <si>
    <t>Q5VW27</t>
  </si>
  <si>
    <t>Q5VW32</t>
  </si>
  <si>
    <t>Q5VW52</t>
  </si>
  <si>
    <t>Q5VWJ9</t>
  </si>
  <si>
    <t>Q5VWP2</t>
  </si>
  <si>
    <t>Q5VWZ2</t>
  </si>
  <si>
    <t>Q5VZR0</t>
  </si>
  <si>
    <t>Q5VZU9</t>
  </si>
  <si>
    <t>Q5W015</t>
  </si>
  <si>
    <t>Q5W0V3-2</t>
  </si>
  <si>
    <t>Q5W0Z9-3</t>
  </si>
  <si>
    <t>Q5W111</t>
  </si>
  <si>
    <t>Q5W145</t>
  </si>
  <si>
    <t>Q5XKP0</t>
  </si>
  <si>
    <t>Q5XUX1-3</t>
  </si>
  <si>
    <t>Q5ZPR3</t>
  </si>
  <si>
    <t>Q641Q2-2</t>
  </si>
  <si>
    <t>Q643R3</t>
  </si>
  <si>
    <t>Q658P3-3</t>
  </si>
  <si>
    <t>Q66GS9</t>
  </si>
  <si>
    <t>Q66K14-2</t>
  </si>
  <si>
    <t>Q66K64</t>
  </si>
  <si>
    <t>Q66LE6</t>
  </si>
  <si>
    <t>Q66PJ3</t>
  </si>
  <si>
    <t>Q68CQ4</t>
  </si>
  <si>
    <t>Q68CQ7</t>
  </si>
  <si>
    <t>Q68D85</t>
  </si>
  <si>
    <t>Q68D91</t>
  </si>
  <si>
    <t>Q68DH5</t>
  </si>
  <si>
    <t>Q68E01-2</t>
  </si>
  <si>
    <t>Q68EM7</t>
  </si>
  <si>
    <t>Q69YL0</t>
  </si>
  <si>
    <t>Q69YN2</t>
  </si>
  <si>
    <t>Q69YU5</t>
  </si>
  <si>
    <t>Q6AI08</t>
  </si>
  <si>
    <t>Q6DD87</t>
  </si>
  <si>
    <t>Q6DKI1</t>
  </si>
  <si>
    <t>Q6DKJ4</t>
  </si>
  <si>
    <t>Q6DKK2</t>
  </si>
  <si>
    <t>Q6EEV4-2</t>
  </si>
  <si>
    <t>Q6EMK4</t>
  </si>
  <si>
    <t>Q6FI81-3</t>
  </si>
  <si>
    <t>Q6FIF0-2</t>
  </si>
  <si>
    <t>Q6GMV2</t>
  </si>
  <si>
    <t>Q6GMV3</t>
  </si>
  <si>
    <t>Q6GQQ9</t>
  </si>
  <si>
    <t>Q6I9Y2</t>
  </si>
  <si>
    <t>Q6IA69</t>
  </si>
  <si>
    <t>Q6IAA8</t>
  </si>
  <si>
    <t>Q6IAN0</t>
  </si>
  <si>
    <t>Q6IBS0</t>
  </si>
  <si>
    <t>Q6ICH7</t>
  </si>
  <si>
    <t>Q6IEE7</t>
  </si>
  <si>
    <t>Q6IN85-2</t>
  </si>
  <si>
    <t>Q6IPR3</t>
  </si>
  <si>
    <t>Q6IQ22</t>
  </si>
  <si>
    <t>Q6IQ49-2</t>
  </si>
  <si>
    <t>Q6IS14</t>
  </si>
  <si>
    <t>Q6JHV3</t>
  </si>
  <si>
    <t>Q6JQN1</t>
  </si>
  <si>
    <t>Q6KC79-2</t>
  </si>
  <si>
    <t>Q6KCM7</t>
  </si>
  <si>
    <t>Q6MZP7</t>
  </si>
  <si>
    <t>Q6N069</t>
  </si>
  <si>
    <t>Q6NSI4-4</t>
  </si>
  <si>
    <t>Q6NSJ2-2</t>
  </si>
  <si>
    <t>Q6NT16</t>
  </si>
  <si>
    <t>Q6NUK1</t>
  </si>
  <si>
    <t>Q6NUM9</t>
  </si>
  <si>
    <t>Q6NUQ1</t>
  </si>
  <si>
    <t>Q6NUQ4-2</t>
  </si>
  <si>
    <t>Q6NUS6-3</t>
  </si>
  <si>
    <t>Q6NVH7</t>
  </si>
  <si>
    <t>Q6NVY1</t>
  </si>
  <si>
    <t>Q6NXE6</t>
  </si>
  <si>
    <t>Q6NXT1</t>
  </si>
  <si>
    <t>Q6NYC1</t>
  </si>
  <si>
    <t>Q6NYC8</t>
  </si>
  <si>
    <t>Q6NZI2</t>
  </si>
  <si>
    <t>Q6NZY4</t>
  </si>
  <si>
    <t>Q6P087-2</t>
  </si>
  <si>
    <t>Q6P161</t>
  </si>
  <si>
    <t>Q6P1J9</t>
  </si>
  <si>
    <t>Q6P1K2-4</t>
  </si>
  <si>
    <t>Q6P1L5</t>
  </si>
  <si>
    <t>Q6P1L8</t>
  </si>
  <si>
    <t>Q6P1M0</t>
  </si>
  <si>
    <t>Q6P1N0</t>
  </si>
  <si>
    <t>Q6P1Q9</t>
  </si>
  <si>
    <t>Q6P1R4</t>
  </si>
  <si>
    <t>Q6P2C8-2</t>
  </si>
  <si>
    <t>Q6P2E9</t>
  </si>
  <si>
    <t>Q6P2H3-2</t>
  </si>
  <si>
    <t>Q6P2P2</t>
  </si>
  <si>
    <t>Q6P3S6</t>
  </si>
  <si>
    <t>Q6P3W7</t>
  </si>
  <si>
    <t>Q6P3X3</t>
  </si>
  <si>
    <t>Q6P444</t>
  </si>
  <si>
    <t>Q6P4A7</t>
  </si>
  <si>
    <t>Q6P4E1</t>
  </si>
  <si>
    <t>Q6P4F2</t>
  </si>
  <si>
    <t>Q6P4I2</t>
  </si>
  <si>
    <t>Q6P4R8-3</t>
  </si>
  <si>
    <t>Q6P582</t>
  </si>
  <si>
    <t>Q6P587</t>
  </si>
  <si>
    <t>Q6P6C2</t>
  </si>
  <si>
    <t>Q6P9B6</t>
  </si>
  <si>
    <t>Q6PCB5</t>
  </si>
  <si>
    <t>Q6PCE3</t>
  </si>
  <si>
    <t>Q6PD62</t>
  </si>
  <si>
    <t>Q6PD74</t>
  </si>
  <si>
    <t>Q6PGP7</t>
  </si>
  <si>
    <t>Q6PH81</t>
  </si>
  <si>
    <t>Q6PHR2-3</t>
  </si>
  <si>
    <t>Q6PI48</t>
  </si>
  <si>
    <t>Q6PI78</t>
  </si>
  <si>
    <t>Q6PID6</t>
  </si>
  <si>
    <t>Q6PII3</t>
  </si>
  <si>
    <t>Q6PII5-2</t>
  </si>
  <si>
    <t>Q6PIW4-2</t>
  </si>
  <si>
    <t>Q6PJ61</t>
  </si>
  <si>
    <t>Q6PJ69</t>
  </si>
  <si>
    <t>Q6PJG6</t>
  </si>
  <si>
    <t>Q6PJT7-5</t>
  </si>
  <si>
    <t>Q6PJW8</t>
  </si>
  <si>
    <t>Q6PKG0</t>
  </si>
  <si>
    <t>Q6PL24</t>
  </si>
  <si>
    <t>Q6PML9</t>
  </si>
  <si>
    <t>Q6QNY0</t>
  </si>
  <si>
    <t>Q6QNY1</t>
  </si>
  <si>
    <t>Q6RW13-2</t>
  </si>
  <si>
    <t>Q6UB28</t>
  </si>
  <si>
    <t>Q6UB35</t>
  </si>
  <si>
    <t>Q6ULP2-3</t>
  </si>
  <si>
    <t>Q6UN15-3</t>
  </si>
  <si>
    <t>Q6UVJ0</t>
  </si>
  <si>
    <t>Q6UVY6-2</t>
  </si>
  <si>
    <t>Q6UW63</t>
  </si>
  <si>
    <t>Q6UWE0</t>
  </si>
  <si>
    <t>Q6UWI4</t>
  </si>
  <si>
    <t>Q6UWP2</t>
  </si>
  <si>
    <t>Q6UWP7-3</t>
  </si>
  <si>
    <t>Q6UWS5</t>
  </si>
  <si>
    <t>Q6UX04</t>
  </si>
  <si>
    <t>Q6UX07</t>
  </si>
  <si>
    <t>Q6UX53</t>
  </si>
  <si>
    <t>Q6UX71</t>
  </si>
  <si>
    <t>Q6UXD5-6</t>
  </si>
  <si>
    <t>Q6UXH1-4</t>
  </si>
  <si>
    <t>Q6UXN9</t>
  </si>
  <si>
    <t>Q6UXV4</t>
  </si>
  <si>
    <t>Q6VY07</t>
  </si>
  <si>
    <t>Q6W2J9-4</t>
  </si>
  <si>
    <t>Q6WCQ1</t>
  </si>
  <si>
    <t>Q6WKZ4</t>
  </si>
  <si>
    <t>Q6XQN6</t>
  </si>
  <si>
    <t>Q6Y1H2</t>
  </si>
  <si>
    <t>Q6Y7W6-4</t>
  </si>
  <si>
    <t>Q6YHU6-3</t>
  </si>
  <si>
    <t>Q6YN16</t>
  </si>
  <si>
    <t>Q6YP21-3</t>
  </si>
  <si>
    <t>Q6ZMG9</t>
  </si>
  <si>
    <t>Q6ZMR3</t>
  </si>
  <si>
    <t>Q6ZN17</t>
  </si>
  <si>
    <t>Q6ZN55</t>
  </si>
  <si>
    <t>Q6ZNB6</t>
  </si>
  <si>
    <t>Q6ZNW5</t>
  </si>
  <si>
    <t>Q6ZPD9</t>
  </si>
  <si>
    <t>Q6ZRP7</t>
  </si>
  <si>
    <t>Q6ZS17-2</t>
  </si>
  <si>
    <t>Q6ZSJ8</t>
  </si>
  <si>
    <t>Q6ZT21-2</t>
  </si>
  <si>
    <t>Q6ZT62</t>
  </si>
  <si>
    <t>Q6ZVM7-2</t>
  </si>
  <si>
    <t>Q6ZW49-4</t>
  </si>
  <si>
    <t>Q6ZWJ1</t>
  </si>
  <si>
    <t>Q6ZXV5-2</t>
  </si>
  <si>
    <t>Q709C8-3</t>
  </si>
  <si>
    <t>Q709F0</t>
  </si>
  <si>
    <t>Q70IA6</t>
  </si>
  <si>
    <t>Q70J99</t>
  </si>
  <si>
    <t>Q70UQ0</t>
  </si>
  <si>
    <t>Q70UQ0-4</t>
  </si>
  <si>
    <t>Q70Z53-3</t>
  </si>
  <si>
    <t>Q712K3</t>
  </si>
  <si>
    <t>Q71SY5-5</t>
  </si>
  <si>
    <t>Q71UI9</t>
  </si>
  <si>
    <t>Q7KYR7</t>
  </si>
  <si>
    <t>Q7KZ85</t>
  </si>
  <si>
    <t>Q7KZ85-2</t>
  </si>
  <si>
    <t>Q7KZF4</t>
  </si>
  <si>
    <t>Q7KZN9-2</t>
  </si>
  <si>
    <t>Q7L014</t>
  </si>
  <si>
    <t>Q7L099-4</t>
  </si>
  <si>
    <t>Q7L0J3-2</t>
  </si>
  <si>
    <t>Q7L0Y3</t>
  </si>
  <si>
    <t>Q7L1Q6</t>
  </si>
  <si>
    <t>Q7L1T6</t>
  </si>
  <si>
    <t>Q7L266</t>
  </si>
  <si>
    <t>Q7L273</t>
  </si>
  <si>
    <t>Q7L2H7</t>
  </si>
  <si>
    <t>Q7L2J0</t>
  </si>
  <si>
    <t>Q7L3S4</t>
  </si>
  <si>
    <t>Q7L4I2</t>
  </si>
  <si>
    <t>Q7L523</t>
  </si>
  <si>
    <t>Q7L592</t>
  </si>
  <si>
    <t>Q7L5N7</t>
  </si>
  <si>
    <t>Q7L5Y1</t>
  </si>
  <si>
    <t>Q7L7V1-2</t>
  </si>
  <si>
    <t>Q7L7X3</t>
  </si>
  <si>
    <t>Q7L8W6</t>
  </si>
  <si>
    <t>Q7L985</t>
  </si>
  <si>
    <t>Q7LBC6</t>
  </si>
  <si>
    <t>Q7LBR1</t>
  </si>
  <si>
    <t>Q7LG56</t>
  </si>
  <si>
    <t>Q7RTP0</t>
  </si>
  <si>
    <t>Q7RTP6</t>
  </si>
  <si>
    <t>Q7RTV0</t>
  </si>
  <si>
    <t>Q7Z2K8</t>
  </si>
  <si>
    <t>Q7Z2W4</t>
  </si>
  <si>
    <t>Q7Z2Z2</t>
  </si>
  <si>
    <t>Q7Z309-5</t>
  </si>
  <si>
    <t>Q7Z3C6-2</t>
  </si>
  <si>
    <t>Q7Z3D4</t>
  </si>
  <si>
    <t>Q7Z3E2</t>
  </si>
  <si>
    <t>Q7Z3K3-5</t>
  </si>
  <si>
    <t>Q7Z3K6-4</t>
  </si>
  <si>
    <t>Q7Z3T8</t>
  </si>
  <si>
    <t>Q7Z417</t>
  </si>
  <si>
    <t>Q7Z422-2</t>
  </si>
  <si>
    <t>Q7Z434</t>
  </si>
  <si>
    <t>Q7Z4G4-2</t>
  </si>
  <si>
    <t>Q7Z4H3</t>
  </si>
  <si>
    <t>Q7Z4H7-3</t>
  </si>
  <si>
    <t>Q7Z4H8</t>
  </si>
  <si>
    <t>Q7Z4K8-4</t>
  </si>
  <si>
    <t>Q7Z4Q2</t>
  </si>
  <si>
    <t>Q7Z4V5</t>
  </si>
  <si>
    <t>Q7Z4W1</t>
  </si>
  <si>
    <t>Q7Z5G4-3</t>
  </si>
  <si>
    <t>Q7Z5K2</t>
  </si>
  <si>
    <t>Q7Z5L2-2</t>
  </si>
  <si>
    <t>Q7Z5L9</t>
  </si>
  <si>
    <t>Q7Z5W3</t>
  </si>
  <si>
    <t>Q7Z5Y7</t>
  </si>
  <si>
    <t>Q7Z624</t>
  </si>
  <si>
    <t>Q7Z6B7-2</t>
  </si>
  <si>
    <t>Q7Z6E9-2</t>
  </si>
  <si>
    <t>Q7Z6I8</t>
  </si>
  <si>
    <t>Q7Z6J0</t>
  </si>
  <si>
    <t>Q7Z6J8</t>
  </si>
  <si>
    <t>Q7Z6J9</t>
  </si>
  <si>
    <t>Q7Z6K3</t>
  </si>
  <si>
    <t>Q7Z6L1</t>
  </si>
  <si>
    <t>Q7Z6M1</t>
  </si>
  <si>
    <t>Q7Z6M4</t>
  </si>
  <si>
    <t>Q7Z6V5-2</t>
  </si>
  <si>
    <t>Q7Z6Z7-2</t>
  </si>
  <si>
    <t>Q7Z7A3</t>
  </si>
  <si>
    <t>Q7Z7C8</t>
  </si>
  <si>
    <t>Q7Z7E8</t>
  </si>
  <si>
    <t>Q7Z7F0-2</t>
  </si>
  <si>
    <t>Q7Z7H5-3</t>
  </si>
  <si>
    <t>Q7Z7L1</t>
  </si>
  <si>
    <t>Q7Z7L8</t>
  </si>
  <si>
    <t>Q7Z7M9</t>
  </si>
  <si>
    <t>Q7Z7N9</t>
  </si>
  <si>
    <t>Q86SF2</t>
  </si>
  <si>
    <t>Q86SK9-2</t>
  </si>
  <si>
    <t>Q86SQ7</t>
  </si>
  <si>
    <t>Q86SQ9-3</t>
  </si>
  <si>
    <t>Q86SX6</t>
  </si>
  <si>
    <t>Q86T03</t>
  </si>
  <si>
    <t>Q86TA1</t>
  </si>
  <si>
    <t>Q86TB9-4</t>
  </si>
  <si>
    <t>Q86TG7-2</t>
  </si>
  <si>
    <t>Q86TI2</t>
  </si>
  <si>
    <t>Q86TN4</t>
  </si>
  <si>
    <t>Q86TP1</t>
  </si>
  <si>
    <t>Q86TU7</t>
  </si>
  <si>
    <t>Q86TV3</t>
  </si>
  <si>
    <t>Q86TW2-3</t>
  </si>
  <si>
    <t>Q86U28</t>
  </si>
  <si>
    <t>Q86U44</t>
  </si>
  <si>
    <t>Q86U70-3</t>
  </si>
  <si>
    <t>Q86U90</t>
  </si>
  <si>
    <t>Q86UA1</t>
  </si>
  <si>
    <t>Q86UD0</t>
  </si>
  <si>
    <t>Q86UE4</t>
  </si>
  <si>
    <t>Q86UE8-2</t>
  </si>
  <si>
    <t>Q86UK7-3</t>
  </si>
  <si>
    <t>Q86UL3</t>
  </si>
  <si>
    <t>Q86UN3</t>
  </si>
  <si>
    <t>Q86UP2</t>
  </si>
  <si>
    <t>Q86US8</t>
  </si>
  <si>
    <t>Q86UU0-4</t>
  </si>
  <si>
    <t>Q86UU1-2</t>
  </si>
  <si>
    <t>Q86UV5</t>
  </si>
  <si>
    <t>Q86UX7-2</t>
  </si>
  <si>
    <t>Q86UY0</t>
  </si>
  <si>
    <t>Q86UY8-2</t>
  </si>
  <si>
    <t>Q86V21</t>
  </si>
  <si>
    <t>Q86V24</t>
  </si>
  <si>
    <t>Q86V48</t>
  </si>
  <si>
    <t>Q86V85</t>
  </si>
  <si>
    <t>Q86V87</t>
  </si>
  <si>
    <t>Q86VG3</t>
  </si>
  <si>
    <t>Q86VN1-2</t>
  </si>
  <si>
    <t>Q86VP6</t>
  </si>
  <si>
    <t>Q86VQ1</t>
  </si>
  <si>
    <t>Q86VQ2</t>
  </si>
  <si>
    <t>Q86VR2</t>
  </si>
  <si>
    <t>Q86VS8</t>
  </si>
  <si>
    <t>Q86VU5</t>
  </si>
  <si>
    <t>Q86W33</t>
  </si>
  <si>
    <t>Q86W42</t>
  </si>
  <si>
    <t>Q86W50</t>
  </si>
  <si>
    <t>Q86W56</t>
  </si>
  <si>
    <t>Q86W92-4</t>
  </si>
  <si>
    <t>Q86WA6-2</t>
  </si>
  <si>
    <t>Q86WJ1-2</t>
  </si>
  <si>
    <t>Q86WQ0</t>
  </si>
  <si>
    <t>Q86WR0</t>
  </si>
  <si>
    <t>Q86WR7</t>
  </si>
  <si>
    <t>Q86WV6</t>
  </si>
  <si>
    <t>Q86WV7</t>
  </si>
  <si>
    <t>Q86X02</t>
  </si>
  <si>
    <t>Q86X27</t>
  </si>
  <si>
    <t>Q86X53</t>
  </si>
  <si>
    <t>Q86X55-1</t>
  </si>
  <si>
    <t>Q86X76-2</t>
  </si>
  <si>
    <t>Q86X83</t>
  </si>
  <si>
    <t>Q86XK3-3</t>
  </si>
  <si>
    <t>Q86XP3</t>
  </si>
  <si>
    <t>Q86Y37</t>
  </si>
  <si>
    <t>Q86Y56</t>
  </si>
  <si>
    <t>Q86Y82</t>
  </si>
  <si>
    <t>Q86YB8</t>
  </si>
  <si>
    <t>Q86YH6</t>
  </si>
  <si>
    <t>Q86YL5</t>
  </si>
  <si>
    <t>Q86YR5-4</t>
  </si>
  <si>
    <t>Q86YS3-2</t>
  </si>
  <si>
    <t>Q86YV5</t>
  </si>
  <si>
    <t>Q86YV9</t>
  </si>
  <si>
    <t>Q8IU81</t>
  </si>
  <si>
    <t>Q8IU85-2</t>
  </si>
  <si>
    <t>Q8IUC8-2</t>
  </si>
  <si>
    <t>Q8IUF8-2</t>
  </si>
  <si>
    <t>Q8IUH4</t>
  </si>
  <si>
    <t>Q8IUI8</t>
  </si>
  <si>
    <t>Q8IUR0</t>
  </si>
  <si>
    <t>Q8IUW5</t>
  </si>
  <si>
    <t>Q8IUX1-4</t>
  </si>
  <si>
    <t>Q8IV04</t>
  </si>
  <si>
    <t>Q8IV08</t>
  </si>
  <si>
    <t>Q8IV38</t>
  </si>
  <si>
    <t>Q8IV63-3</t>
  </si>
  <si>
    <t>Q8IVB5</t>
  </si>
  <si>
    <t>Q8IVD9</t>
  </si>
  <si>
    <t>Q8IVF2-3</t>
  </si>
  <si>
    <t>Q8IVF6</t>
  </si>
  <si>
    <t>Q8IVH8-3</t>
  </si>
  <si>
    <t>Q8IVM0</t>
  </si>
  <si>
    <t>Q8IVM0-2</t>
  </si>
  <si>
    <t>Q8IVS2</t>
  </si>
  <si>
    <t>Q8IVW6-4</t>
  </si>
  <si>
    <t>Q8IW45</t>
  </si>
  <si>
    <t>Q8IWA4</t>
  </si>
  <si>
    <t>Q8IWB1</t>
  </si>
  <si>
    <t>Q8IWB7</t>
  </si>
  <si>
    <t>Q8IWB9</t>
  </si>
  <si>
    <t>Q8IWC1-2</t>
  </si>
  <si>
    <t>Q8IWE4</t>
  </si>
  <si>
    <t>Q8IWF6</t>
  </si>
  <si>
    <t>Q8IWI9</t>
  </si>
  <si>
    <t>Q8IWJ2</t>
  </si>
  <si>
    <t>Q8IWL3</t>
  </si>
  <si>
    <t>Q8IWP9</t>
  </si>
  <si>
    <t>Q8IWU2</t>
  </si>
  <si>
    <t>Q8IWV8-4</t>
  </si>
  <si>
    <t>Q8IWW6-4</t>
  </si>
  <si>
    <t>Q8IWZ3-6</t>
  </si>
  <si>
    <t>Q8IWZ8</t>
  </si>
  <si>
    <t>Q8IX12-2</t>
  </si>
  <si>
    <t>Q8IX18-3</t>
  </si>
  <si>
    <t>Q8IX90</t>
  </si>
  <si>
    <t>Q8IXB1-2</t>
  </si>
  <si>
    <t>Q8IXI1</t>
  </si>
  <si>
    <t>Q8IXI2-4</t>
  </si>
  <si>
    <t>Q8IXJ6-2</t>
  </si>
  <si>
    <t>Q8IXQ3</t>
  </si>
  <si>
    <t>Q8IXQ4</t>
  </si>
  <si>
    <t>Q8IXQ9</t>
  </si>
  <si>
    <t>Q8IXW5-2</t>
  </si>
  <si>
    <t>Q8IY26</t>
  </si>
  <si>
    <t>Q8IY37</t>
  </si>
  <si>
    <t>Q8IY95-2</t>
  </si>
  <si>
    <t>Q8IYB1</t>
  </si>
  <si>
    <t>Q8IYB5-3</t>
  </si>
  <si>
    <t>Q8IYB7</t>
  </si>
  <si>
    <t>Q8IYB8</t>
  </si>
  <si>
    <t>Q8IYB9</t>
  </si>
  <si>
    <t>Q8IYD1</t>
  </si>
  <si>
    <t>Q8IYH5-4</t>
  </si>
  <si>
    <t>Q8IYI6</t>
  </si>
  <si>
    <t>Q8IYL3</t>
  </si>
  <si>
    <t>Q8IYN2</t>
  </si>
  <si>
    <t>Q8IYQ7</t>
  </si>
  <si>
    <t>Q8IYR2</t>
  </si>
  <si>
    <t>Q8IYS1</t>
  </si>
  <si>
    <t>Q8IYS2</t>
  </si>
  <si>
    <t>Q8IYU2-4</t>
  </si>
  <si>
    <t>Q8IZ07</t>
  </si>
  <si>
    <t>Q8IZ13</t>
  </si>
  <si>
    <t>Q8IZ21-3</t>
  </si>
  <si>
    <t>Q8IZ41</t>
  </si>
  <si>
    <t>Q8IZ68</t>
  </si>
  <si>
    <t>Q8IZ73</t>
  </si>
  <si>
    <t>Q8IZA0</t>
  </si>
  <si>
    <t>Q8IZD4</t>
  </si>
  <si>
    <t>Q8IZJ1-2</t>
  </si>
  <si>
    <t>Q8IZN3-2</t>
  </si>
  <si>
    <t>Q8IZR5-3</t>
  </si>
  <si>
    <t>Q8IZV5</t>
  </si>
  <si>
    <t>Q8N0T1</t>
  </si>
  <si>
    <t>Q8N0U8</t>
  </si>
  <si>
    <t>Q8N0W3</t>
  </si>
  <si>
    <t>Q8N0X4-2</t>
  </si>
  <si>
    <t>Q8N0X7</t>
  </si>
  <si>
    <t>Q8N0Z3</t>
  </si>
  <si>
    <t>Q8N0Z6</t>
  </si>
  <si>
    <t>Q8N108-17</t>
  </si>
  <si>
    <t>Q8N129</t>
  </si>
  <si>
    <t>Q8N183</t>
  </si>
  <si>
    <t>Q8N1B4</t>
  </si>
  <si>
    <t>Q8N1F7</t>
  </si>
  <si>
    <t>Q8N1G2</t>
  </si>
  <si>
    <t>Q8N1G4</t>
  </si>
  <si>
    <t>Q8N1Q1</t>
  </si>
  <si>
    <t>Q8N2F6-3</t>
  </si>
  <si>
    <t>Q8N2G8-3</t>
  </si>
  <si>
    <t>Q8N2K0</t>
  </si>
  <si>
    <t>Q8N2W9</t>
  </si>
  <si>
    <t>Q8N2Z9</t>
  </si>
  <si>
    <t>Q8N300</t>
  </si>
  <si>
    <t>Q8N335</t>
  </si>
  <si>
    <t>Q8N344</t>
  </si>
  <si>
    <t>Q8N371</t>
  </si>
  <si>
    <t>Q8N392-2</t>
  </si>
  <si>
    <t>Q8N3D4</t>
  </si>
  <si>
    <t>Q8N3F8</t>
  </si>
  <si>
    <t>Q8N3R9</t>
  </si>
  <si>
    <t>Q8N3X1</t>
  </si>
  <si>
    <t>Q8N465</t>
  </si>
  <si>
    <t>Q8N488</t>
  </si>
  <si>
    <t>Q8N490-2</t>
  </si>
  <si>
    <t>Q8N490-4</t>
  </si>
  <si>
    <t>Q8N4C8-2</t>
  </si>
  <si>
    <t>Q8N4P3</t>
  </si>
  <si>
    <t>Q8N4Q0</t>
  </si>
  <si>
    <t>Q8N4Q1</t>
  </si>
  <si>
    <t>Q8N4V1</t>
  </si>
  <si>
    <t>Q8N556</t>
  </si>
  <si>
    <t>Q8N573-2</t>
  </si>
  <si>
    <t>Q8N573-8</t>
  </si>
  <si>
    <t>Q8N584</t>
  </si>
  <si>
    <t>Q8N5A5-3</t>
  </si>
  <si>
    <t>Q8N5C7</t>
  </si>
  <si>
    <t>Q8N5G0-2</t>
  </si>
  <si>
    <t>Q8N5I9</t>
  </si>
  <si>
    <t>Q8N5K1</t>
  </si>
  <si>
    <t>Q8N5M9</t>
  </si>
  <si>
    <t>Q8N5N7</t>
  </si>
  <si>
    <t>Q8N5X7</t>
  </si>
  <si>
    <t>Q8N612</t>
  </si>
  <si>
    <t>Q8N655</t>
  </si>
  <si>
    <t>Q8N684-2</t>
  </si>
  <si>
    <t>Q8N697</t>
  </si>
  <si>
    <t>Q8N6H7</t>
  </si>
  <si>
    <t>Q8N6M0</t>
  </si>
  <si>
    <t>Q8N6N3</t>
  </si>
  <si>
    <t>Q8N6N7</t>
  </si>
  <si>
    <t>Q8N749</t>
  </si>
  <si>
    <t>Q8N766-3</t>
  </si>
  <si>
    <t>Q8N7H5</t>
  </si>
  <si>
    <t>Q8N7R7-3</t>
  </si>
  <si>
    <t>Q8N806</t>
  </si>
  <si>
    <t>Q8N8J7</t>
  </si>
  <si>
    <t>Q8N8N7</t>
  </si>
  <si>
    <t>Q8N8R5</t>
  </si>
  <si>
    <t>Q8N8R7</t>
  </si>
  <si>
    <t>Q8N8S7</t>
  </si>
  <si>
    <t>Q8N8Z6</t>
  </si>
  <si>
    <t>Q8N954</t>
  </si>
  <si>
    <t>Q8N983-4</t>
  </si>
  <si>
    <t>Q8N999</t>
  </si>
  <si>
    <t>Q8N9B5-2</t>
  </si>
  <si>
    <t>Q8N9D7</t>
  </si>
  <si>
    <t>Q8N9F7</t>
  </si>
  <si>
    <t>Q8N9N7</t>
  </si>
  <si>
    <t>Q8N9N8</t>
  </si>
  <si>
    <t>Q8N9U0-2</t>
  </si>
  <si>
    <t>Q8N9V3-2</t>
  </si>
  <si>
    <t>Q8NAF0</t>
  </si>
  <si>
    <t>Q8NAV1</t>
  </si>
  <si>
    <t>Q8NB15-2</t>
  </si>
  <si>
    <t>Q8NB37</t>
  </si>
  <si>
    <t>Q8NB49</t>
  </si>
  <si>
    <t>Q8NBA8</t>
  </si>
  <si>
    <t>Q8NBF2</t>
  </si>
  <si>
    <t>Q8NBF6</t>
  </si>
  <si>
    <t>Q8NBI6</t>
  </si>
  <si>
    <t>Q8NBJ4-2</t>
  </si>
  <si>
    <t>Q8NBJ5</t>
  </si>
  <si>
    <t>Q8NBK3-4</t>
  </si>
  <si>
    <t>Q8NBL1</t>
  </si>
  <si>
    <t>Q8NBM4-2</t>
  </si>
  <si>
    <t>Q8NBN3</t>
  </si>
  <si>
    <t>Q8NBN7</t>
  </si>
  <si>
    <t>Q8NBU5</t>
  </si>
  <si>
    <t>Q8NBX0</t>
  </si>
  <si>
    <t>Q8NC51-2</t>
  </si>
  <si>
    <t>Q8NC54</t>
  </si>
  <si>
    <t>Q8NC56</t>
  </si>
  <si>
    <t>Q8NCC3</t>
  </si>
  <si>
    <t>Q8NCE0-4</t>
  </si>
  <si>
    <t>Q8NCE2-2</t>
  </si>
  <si>
    <t>Q8NCF5</t>
  </si>
  <si>
    <t>Q8NCH0</t>
  </si>
  <si>
    <t>Q8NCM8</t>
  </si>
  <si>
    <t>Q8NCN5</t>
  </si>
  <si>
    <t>Q8NCW5</t>
  </si>
  <si>
    <t>Q8ND04-3</t>
  </si>
  <si>
    <t>Q8ND24</t>
  </si>
  <si>
    <t>Q8ND56-2</t>
  </si>
  <si>
    <t>Q8ND76-3</t>
  </si>
  <si>
    <t>Q8NDC0</t>
  </si>
  <si>
    <t>Q8NDH3-5</t>
  </si>
  <si>
    <t>Q8NDI1-3</t>
  </si>
  <si>
    <t>Q8NDZ4</t>
  </si>
  <si>
    <t>Q8NE01</t>
  </si>
  <si>
    <t>Q8NE62</t>
  </si>
  <si>
    <t>Q8NE71-2</t>
  </si>
  <si>
    <t>Q8NE86-3</t>
  </si>
  <si>
    <t>Q8NEC7</t>
  </si>
  <si>
    <t>Q8NEF9</t>
  </si>
  <si>
    <t>Q8NEN9</t>
  </si>
  <si>
    <t>Q8NEU8</t>
  </si>
  <si>
    <t>Q8NEY1-5</t>
  </si>
  <si>
    <t>Q8NEZ5</t>
  </si>
  <si>
    <t>Q8NF37</t>
  </si>
  <si>
    <t>Q8NF67</t>
  </si>
  <si>
    <t>Q8NFC6</t>
  </si>
  <si>
    <t>Q8NFF5-2</t>
  </si>
  <si>
    <t>Q8NFG4</t>
  </si>
  <si>
    <t>Q8NFH3</t>
  </si>
  <si>
    <t>Q8NFH4</t>
  </si>
  <si>
    <t>Q8NFP7</t>
  </si>
  <si>
    <t>Q8NFQ8</t>
  </si>
  <si>
    <t>Q8NFU5</t>
  </si>
  <si>
    <t>Q8NFV4</t>
  </si>
  <si>
    <t>Q8NFX7-2</t>
  </si>
  <si>
    <t>Q8NFZ4</t>
  </si>
  <si>
    <t>Q8NFZ8</t>
  </si>
  <si>
    <t>Q8NG08</t>
  </si>
  <si>
    <t>Q8NG68</t>
  </si>
  <si>
    <t>Q8NHG7</t>
  </si>
  <si>
    <t>Q8NHG8</t>
  </si>
  <si>
    <t>Q8NHP8</t>
  </si>
  <si>
    <t>Q8NHU6</t>
  </si>
  <si>
    <t>Q8NHV4</t>
  </si>
  <si>
    <t>Q8NHZ8</t>
  </si>
  <si>
    <t>Q8NI08-2</t>
  </si>
  <si>
    <t>Q8NI22-2</t>
  </si>
  <si>
    <t>Q8NI27</t>
  </si>
  <si>
    <t>Q8NI36</t>
  </si>
  <si>
    <t>Q8NI37</t>
  </si>
  <si>
    <t>Q8NI60</t>
  </si>
  <si>
    <t>Q8TA86</t>
  </si>
  <si>
    <t>Q8TAA5</t>
  </si>
  <si>
    <t>Q8TAA9-2</t>
  </si>
  <si>
    <t>Q8TAE6</t>
  </si>
  <si>
    <t>Q8TAE8</t>
  </si>
  <si>
    <t>Q8TAF3-3</t>
  </si>
  <si>
    <t>Q8TAP8</t>
  </si>
  <si>
    <t>Q8TAT6</t>
  </si>
  <si>
    <t>Q8TAY7</t>
  </si>
  <si>
    <t>Q8TB03</t>
  </si>
  <si>
    <t>Q8TB36</t>
  </si>
  <si>
    <t>Q8TB37</t>
  </si>
  <si>
    <t>Q8TB52</t>
  </si>
  <si>
    <t>Q8TB61-3</t>
  </si>
  <si>
    <t>Q8TBA6-2</t>
  </si>
  <si>
    <t>Q8TBB5-3</t>
  </si>
  <si>
    <t>Q8TBC4</t>
  </si>
  <si>
    <t>Q8TBE9</t>
  </si>
  <si>
    <t>Q8TBP6</t>
  </si>
  <si>
    <t>Q8TBX8</t>
  </si>
  <si>
    <t>Q8TBZ6</t>
  </si>
  <si>
    <t>Q8TC07-2</t>
  </si>
  <si>
    <t>Q8TC12</t>
  </si>
  <si>
    <t>Q8TC26</t>
  </si>
  <si>
    <t>Q8TC71-2</t>
  </si>
  <si>
    <t>Q8TCD1</t>
  </si>
  <si>
    <t>Q8TCD5</t>
  </si>
  <si>
    <t>Q8TCG1</t>
  </si>
  <si>
    <t>Q8TCS8</t>
  </si>
  <si>
    <t>Q8TCT9-5</t>
  </si>
  <si>
    <t>Q8TD16</t>
  </si>
  <si>
    <t>Q8TD19</t>
  </si>
  <si>
    <t>Q8TD30</t>
  </si>
  <si>
    <t>Q8TDD1</t>
  </si>
  <si>
    <t>Q8TDH9</t>
  </si>
  <si>
    <t>Q8TDQ7</t>
  </si>
  <si>
    <t>Q8TDX7</t>
  </si>
  <si>
    <t>Q8TDY2-2</t>
  </si>
  <si>
    <t>Q8TDZ2</t>
  </si>
  <si>
    <t>Q8TE04-2</t>
  </si>
  <si>
    <t>Q8TE77</t>
  </si>
  <si>
    <t>Q8TEA1</t>
  </si>
  <si>
    <t>Q8TEA8</t>
  </si>
  <si>
    <t>Q8TEB1-2</t>
  </si>
  <si>
    <t>Q8TEH3</t>
  </si>
  <si>
    <t>Q8TEM1</t>
  </si>
  <si>
    <t>Q8TEQ6</t>
  </si>
  <si>
    <t>Q8TEQ8-2</t>
  </si>
  <si>
    <t>Q8TEV9</t>
  </si>
  <si>
    <t>Q8TEW0-4</t>
  </si>
  <si>
    <t>Q8TEX9</t>
  </si>
  <si>
    <t>Q8TEY7-2</t>
  </si>
  <si>
    <t>Q8TF01</t>
  </si>
  <si>
    <t>Q8TF05-2</t>
  </si>
  <si>
    <t>Q8TF74</t>
  </si>
  <si>
    <t>Q8WTS6</t>
  </si>
  <si>
    <t>Q8WU58</t>
  </si>
  <si>
    <t>Q8WU79-2</t>
  </si>
  <si>
    <t>Q8WU90</t>
  </si>
  <si>
    <t>Q8WUA2</t>
  </si>
  <si>
    <t>Q8WUB8-3</t>
  </si>
  <si>
    <t>Q8WUD1</t>
  </si>
  <si>
    <t>Q8WUD6</t>
  </si>
  <si>
    <t>Q8WUF5</t>
  </si>
  <si>
    <t>Q8WUF8-2</t>
  </si>
  <si>
    <t>Q8WUH6</t>
  </si>
  <si>
    <t>Q8WUJ1</t>
  </si>
  <si>
    <t>Q8WUK0</t>
  </si>
  <si>
    <t>Q8WUM4</t>
  </si>
  <si>
    <t>Q8WUP2</t>
  </si>
  <si>
    <t>Q8WUR7</t>
  </si>
  <si>
    <t>Q8WUX2</t>
  </si>
  <si>
    <t>Q8WUX9</t>
  </si>
  <si>
    <t>Q8WUY1</t>
  </si>
  <si>
    <t>Q8WUY8</t>
  </si>
  <si>
    <t>Q8WV22</t>
  </si>
  <si>
    <t>Q8WV74</t>
  </si>
  <si>
    <t>Q8WV92</t>
  </si>
  <si>
    <t>Q8WVC0</t>
  </si>
  <si>
    <t>Q8WVD3</t>
  </si>
  <si>
    <t>Q8WVE0</t>
  </si>
  <si>
    <t>Q8WVJ2</t>
  </si>
  <si>
    <t>Q8WVK2</t>
  </si>
  <si>
    <t>Q8WVK7</t>
  </si>
  <si>
    <t>Q8WVL7</t>
  </si>
  <si>
    <t>Q8WVM0</t>
  </si>
  <si>
    <t>Q8WVM8</t>
  </si>
  <si>
    <t>Q8WVX9</t>
  </si>
  <si>
    <t>Q8WVY7</t>
  </si>
  <si>
    <t>Q8WW01</t>
  </si>
  <si>
    <t>Q8WW12</t>
  </si>
  <si>
    <t>Q8WW59</t>
  </si>
  <si>
    <t>Q8WWC4</t>
  </si>
  <si>
    <t>Q8WWH5</t>
  </si>
  <si>
    <t>Q8WWM7</t>
  </si>
  <si>
    <t>Q8WWV3</t>
  </si>
  <si>
    <t>Q8WWX9</t>
  </si>
  <si>
    <t>Q8WX92</t>
  </si>
  <si>
    <t>Q8WX93-3</t>
  </si>
  <si>
    <t>Q8WXA3</t>
  </si>
  <si>
    <t>Q8WXA9-2</t>
  </si>
  <si>
    <t>Q8WXD5</t>
  </si>
  <si>
    <t>Q8WXE0</t>
  </si>
  <si>
    <t>Q8WXF1</t>
  </si>
  <si>
    <t>Q8WXI9</t>
  </si>
  <si>
    <t>Q8WXX5</t>
  </si>
  <si>
    <t>Q8WXX7-2</t>
  </si>
  <si>
    <t>Q8WY22</t>
  </si>
  <si>
    <t>Q8WY54-2</t>
  </si>
  <si>
    <t>Q8WY91</t>
  </si>
  <si>
    <t>Q8WYA6-3</t>
  </si>
  <si>
    <t>Q8WZ82</t>
  </si>
  <si>
    <t>Q8WZA9</t>
  </si>
  <si>
    <t>Q92466-4</t>
  </si>
  <si>
    <t>Q92499</t>
  </si>
  <si>
    <t>Q92506</t>
  </si>
  <si>
    <t>Q92520</t>
  </si>
  <si>
    <t>Q92522</t>
  </si>
  <si>
    <t>Q92526-3</t>
  </si>
  <si>
    <t>Q92538</t>
  </si>
  <si>
    <t>Q92541</t>
  </si>
  <si>
    <t>Q92544</t>
  </si>
  <si>
    <t>Q92547</t>
  </si>
  <si>
    <t>Q92552</t>
  </si>
  <si>
    <t>Q92558</t>
  </si>
  <si>
    <t>Q92575</t>
  </si>
  <si>
    <t>Q92576-2</t>
  </si>
  <si>
    <t>Q92585</t>
  </si>
  <si>
    <t>Q92597</t>
  </si>
  <si>
    <t>Q92598-2</t>
  </si>
  <si>
    <t>Q92604</t>
  </si>
  <si>
    <t>Q92616</t>
  </si>
  <si>
    <t>Q92620</t>
  </si>
  <si>
    <t>Q92621</t>
  </si>
  <si>
    <t>Q92623</t>
  </si>
  <si>
    <t>Q92625</t>
  </si>
  <si>
    <t>Q92665</t>
  </si>
  <si>
    <t>Q92667</t>
  </si>
  <si>
    <t>Q92686</t>
  </si>
  <si>
    <t>Q92688</t>
  </si>
  <si>
    <t>Q92692</t>
  </si>
  <si>
    <t>Q92692-2</t>
  </si>
  <si>
    <t>Q92696</t>
  </si>
  <si>
    <t>Q92734-2</t>
  </si>
  <si>
    <t>Q92747</t>
  </si>
  <si>
    <t>Q92783-2</t>
  </si>
  <si>
    <t>Q92791</t>
  </si>
  <si>
    <t>Q92793-2</t>
  </si>
  <si>
    <t>Q92797</t>
  </si>
  <si>
    <t>Q92804-2</t>
  </si>
  <si>
    <t>Q92805</t>
  </si>
  <si>
    <t>Q92820</t>
  </si>
  <si>
    <t>Q92834-4</t>
  </si>
  <si>
    <t>Q92843-2</t>
  </si>
  <si>
    <t>Q92845-4</t>
  </si>
  <si>
    <t>Q92871</t>
  </si>
  <si>
    <t>Q92878</t>
  </si>
  <si>
    <t>Q92882</t>
  </si>
  <si>
    <t>Q92888-3</t>
  </si>
  <si>
    <t>Q92889</t>
  </si>
  <si>
    <t>Q92890</t>
  </si>
  <si>
    <t>Q92896</t>
  </si>
  <si>
    <t>Q92900-2</t>
  </si>
  <si>
    <t>Q92905</t>
  </si>
  <si>
    <t>Q92917</t>
  </si>
  <si>
    <t>Q92922</t>
  </si>
  <si>
    <t>Q92930</t>
  </si>
  <si>
    <t>Q92934</t>
  </si>
  <si>
    <t>Q92945</t>
  </si>
  <si>
    <t>Q92947</t>
  </si>
  <si>
    <t>Q92968</t>
  </si>
  <si>
    <t>Q92973-2</t>
  </si>
  <si>
    <t>Q92979</t>
  </si>
  <si>
    <t>Q92990</t>
  </si>
  <si>
    <t>Q92995</t>
  </si>
  <si>
    <t>Q93008-1</t>
  </si>
  <si>
    <t>Q93034</t>
  </si>
  <si>
    <t>Q93052</t>
  </si>
  <si>
    <t>Q93077</t>
  </si>
  <si>
    <t>Q93079</t>
  </si>
  <si>
    <t>Q969E2-2</t>
  </si>
  <si>
    <t>Q969E8</t>
  </si>
  <si>
    <t>Q969F2-2</t>
  </si>
  <si>
    <t>Q969G6</t>
  </si>
  <si>
    <t>Q969H8</t>
  </si>
  <si>
    <t>Q969K3</t>
  </si>
  <si>
    <t>Q969M3</t>
  </si>
  <si>
    <t>Q969N2-4</t>
  </si>
  <si>
    <t>Q969P0-3</t>
  </si>
  <si>
    <t>Q969Q0</t>
  </si>
  <si>
    <t>Q969Q5</t>
  </si>
  <si>
    <t>Q969S2-3</t>
  </si>
  <si>
    <t>Q969S3</t>
  </si>
  <si>
    <t>Q969S9-2</t>
  </si>
  <si>
    <t>Q969T7-2</t>
  </si>
  <si>
    <t>Q969U7</t>
  </si>
  <si>
    <t>Q969V3-2</t>
  </si>
  <si>
    <t>Q969X5-2</t>
  </si>
  <si>
    <t>Q969Y2-3</t>
  </si>
  <si>
    <t>Q969Z0</t>
  </si>
  <si>
    <t>Q969Z3</t>
  </si>
  <si>
    <t>Q96A19</t>
  </si>
  <si>
    <t>Q96A33</t>
  </si>
  <si>
    <t>Q96A46</t>
  </si>
  <si>
    <t>Q96A49</t>
  </si>
  <si>
    <t>Q96A65</t>
  </si>
  <si>
    <t>Q96A73</t>
  </si>
  <si>
    <t>Q96AB3</t>
  </si>
  <si>
    <t>Q96AB6</t>
  </si>
  <si>
    <t>Q96AC1</t>
  </si>
  <si>
    <t>Q96AD5</t>
  </si>
  <si>
    <t>Q96AE4</t>
  </si>
  <si>
    <t>Q96AE4-2</t>
  </si>
  <si>
    <t>Q96AG4</t>
  </si>
  <si>
    <t>Q96AJ9-1</t>
  </si>
  <si>
    <t>Q96AQ8</t>
  </si>
  <si>
    <t>Q96AT1</t>
  </si>
  <si>
    <t>Q96AT9</t>
  </si>
  <si>
    <t>Q96AY3</t>
  </si>
  <si>
    <t>Q96B01-2</t>
  </si>
  <si>
    <t>Q96B23-2</t>
  </si>
  <si>
    <t>Q96B26</t>
  </si>
  <si>
    <t>Q96B36</t>
  </si>
  <si>
    <t>Q96B45</t>
  </si>
  <si>
    <t>Q96B49</t>
  </si>
  <si>
    <t>Q96B70</t>
  </si>
  <si>
    <t>Q96B97</t>
  </si>
  <si>
    <t>Q96BD5-2</t>
  </si>
  <si>
    <t>Q96BD8-2</t>
  </si>
  <si>
    <t>Q96BH1</t>
  </si>
  <si>
    <t>Q96BK5</t>
  </si>
  <si>
    <t>Q96BM9</t>
  </si>
  <si>
    <t>Q96BN8</t>
  </si>
  <si>
    <t>Q96BP2</t>
  </si>
  <si>
    <t>Q96BP3</t>
  </si>
  <si>
    <t>Q96BR5</t>
  </si>
  <si>
    <t>Q96BT7</t>
  </si>
  <si>
    <t>Q96BW5-2</t>
  </si>
  <si>
    <t>Q96BY7</t>
  </si>
  <si>
    <t>Q96BZ8</t>
  </si>
  <si>
    <t>Q96BZ9</t>
  </si>
  <si>
    <t>Q96C19</t>
  </si>
  <si>
    <t>Q96C23</t>
  </si>
  <si>
    <t>Q96C34-2</t>
  </si>
  <si>
    <t>Q96C36</t>
  </si>
  <si>
    <t>Q96C57</t>
  </si>
  <si>
    <t>Q96C86</t>
  </si>
  <si>
    <t>Q96C90</t>
  </si>
  <si>
    <t>Q96C92-4</t>
  </si>
  <si>
    <t>Q96CB9-4</t>
  </si>
  <si>
    <t>Q96CF2</t>
  </si>
  <si>
    <t>Q96CG3</t>
  </si>
  <si>
    <t>Q96CN7</t>
  </si>
  <si>
    <t>Q96CN9</t>
  </si>
  <si>
    <t>Q96CP2</t>
  </si>
  <si>
    <t>Q96CS2</t>
  </si>
  <si>
    <t>Q96CS3</t>
  </si>
  <si>
    <t>Q96CT7</t>
  </si>
  <si>
    <t>Q96CU9-3</t>
  </si>
  <si>
    <t>Q96CV9-3</t>
  </si>
  <si>
    <t>Q96CW1-2</t>
  </si>
  <si>
    <t>Q96CW5-2</t>
  </si>
  <si>
    <t>Q96CW6</t>
  </si>
  <si>
    <t>Q96CX2</t>
  </si>
  <si>
    <t>Q96CX6</t>
  </si>
  <si>
    <t>Q96D05</t>
  </si>
  <si>
    <t>Q96D53</t>
  </si>
  <si>
    <t>Q96D71-3</t>
  </si>
  <si>
    <t>Q96DA6-2</t>
  </si>
  <si>
    <t>Q96DE0</t>
  </si>
  <si>
    <t>Q96DE5</t>
  </si>
  <si>
    <t>Q96DF8</t>
  </si>
  <si>
    <t>Q96DG6</t>
  </si>
  <si>
    <t>Q96DR7</t>
  </si>
  <si>
    <t>Q96DT6</t>
  </si>
  <si>
    <t>Q96DT7-2</t>
  </si>
  <si>
    <t>Q96DZ1-2</t>
  </si>
  <si>
    <t>Q96E09</t>
  </si>
  <si>
    <t>Q96E11-3</t>
  </si>
  <si>
    <t>Q96E14</t>
  </si>
  <si>
    <t>Q96E22</t>
  </si>
  <si>
    <t>Q96E52</t>
  </si>
  <si>
    <t>Q96EA4</t>
  </si>
  <si>
    <t>Q96EB1</t>
  </si>
  <si>
    <t>Q96EB6</t>
  </si>
  <si>
    <t>Q96EC8</t>
  </si>
  <si>
    <t>Q96EE3</t>
  </si>
  <si>
    <t>Q96EI5</t>
  </si>
  <si>
    <t>Q96EK5</t>
  </si>
  <si>
    <t>Q96EK6</t>
  </si>
  <si>
    <t>Q96EK9</t>
  </si>
  <si>
    <t>Q96EL3</t>
  </si>
  <si>
    <t>Q96EM0</t>
  </si>
  <si>
    <t>Q96EP5</t>
  </si>
  <si>
    <t>Q96EQ0</t>
  </si>
  <si>
    <t>Q96ER3</t>
  </si>
  <si>
    <t>Q96ER9</t>
  </si>
  <si>
    <t>Q96EU6</t>
  </si>
  <si>
    <t>Q96EV2</t>
  </si>
  <si>
    <t>Q96EV8</t>
  </si>
  <si>
    <t>Q96EX3</t>
  </si>
  <si>
    <t>Q96EY1</t>
  </si>
  <si>
    <t>Q96EY5</t>
  </si>
  <si>
    <t>Q96EY8</t>
  </si>
  <si>
    <t>Q96EY9</t>
  </si>
  <si>
    <t>Q96F10</t>
  </si>
  <si>
    <t>Q96F24-2</t>
  </si>
  <si>
    <t>Q96F44-3</t>
  </si>
  <si>
    <t>Q96F45</t>
  </si>
  <si>
    <t>Q96F46</t>
  </si>
  <si>
    <t>Q96F86</t>
  </si>
  <si>
    <t>Q96FC9-4</t>
  </si>
  <si>
    <t>Q96FH0-2</t>
  </si>
  <si>
    <t>Q96FK6</t>
  </si>
  <si>
    <t>Q96FV9</t>
  </si>
  <si>
    <t>Q96FX7</t>
  </si>
  <si>
    <t>Q96FZ2</t>
  </si>
  <si>
    <t>Q96FZ7</t>
  </si>
  <si>
    <t>Q96G03</t>
  </si>
  <si>
    <t>Q96G23</t>
  </si>
  <si>
    <t>Q96G25</t>
  </si>
  <si>
    <t>Q96G28</t>
  </si>
  <si>
    <t>Q96G46</t>
  </si>
  <si>
    <t>Q96G61</t>
  </si>
  <si>
    <t>Q96G74-3</t>
  </si>
  <si>
    <t>Q96GA3</t>
  </si>
  <si>
    <t>Q96GA7</t>
  </si>
  <si>
    <t>Q96GD0</t>
  </si>
  <si>
    <t>Q96GF1</t>
  </si>
  <si>
    <t>Q96GG9</t>
  </si>
  <si>
    <t>Q96GJ1-3</t>
  </si>
  <si>
    <t>Q96GK7</t>
  </si>
  <si>
    <t>Q96GP6-2</t>
  </si>
  <si>
    <t>Q96GS4</t>
  </si>
  <si>
    <t>Q96GS6</t>
  </si>
  <si>
    <t>Q96GV9</t>
  </si>
  <si>
    <t>Q96GW9</t>
  </si>
  <si>
    <t>Q96GX2</t>
  </si>
  <si>
    <t>Q96GX5-2</t>
  </si>
  <si>
    <t>Q96GX9</t>
  </si>
  <si>
    <t>Q96GY0</t>
  </si>
  <si>
    <t>Q96H20</t>
  </si>
  <si>
    <t>Q96H79</t>
  </si>
  <si>
    <t>Q96HA1-2</t>
  </si>
  <si>
    <t>Q96HA4-4</t>
  </si>
  <si>
    <t>Q96HA7-2</t>
  </si>
  <si>
    <t>Q96HB5-2</t>
  </si>
  <si>
    <t>Q96HC4</t>
  </si>
  <si>
    <t>Q96HD1</t>
  </si>
  <si>
    <t>Q96HE7</t>
  </si>
  <si>
    <t>Q96HN2-2</t>
  </si>
  <si>
    <t>Q96HR9</t>
  </si>
  <si>
    <t>Q96HS1</t>
  </si>
  <si>
    <t>Q96HW7-2</t>
  </si>
  <si>
    <t>Q96HY6</t>
  </si>
  <si>
    <t>Q96I15</t>
  </si>
  <si>
    <t>Q96I24</t>
  </si>
  <si>
    <t>Q96I25</t>
  </si>
  <si>
    <t>Q96I36</t>
  </si>
  <si>
    <t>Q96I51</t>
  </si>
  <si>
    <t>Q96I59</t>
  </si>
  <si>
    <t>Q96I82-2</t>
  </si>
  <si>
    <t>Q96I99</t>
  </si>
  <si>
    <t>Q96IF1</t>
  </si>
  <si>
    <t>Q96IJ6</t>
  </si>
  <si>
    <t>Q96IK1</t>
  </si>
  <si>
    <t>Q96IQ9-2</t>
  </si>
  <si>
    <t>Q96IU4</t>
  </si>
  <si>
    <t>Q96IV0-3</t>
  </si>
  <si>
    <t>Q96IX5</t>
  </si>
  <si>
    <t>Q96IZ0</t>
  </si>
  <si>
    <t>Q96IZ7-2</t>
  </si>
  <si>
    <t>Q96J01</t>
  </si>
  <si>
    <t>Q96J02-2</t>
  </si>
  <si>
    <t>Q96J84</t>
  </si>
  <si>
    <t>Q96JA1</t>
  </si>
  <si>
    <t>Q96JB5-2</t>
  </si>
  <si>
    <t>Q96JC1-2</t>
  </si>
  <si>
    <t>Q96JG6-3</t>
  </si>
  <si>
    <t>Q96JH7</t>
  </si>
  <si>
    <t>Q96JJ7</t>
  </si>
  <si>
    <t>Q96JM3</t>
  </si>
  <si>
    <t>Q96JP5</t>
  </si>
  <si>
    <t>Q96JQ2</t>
  </si>
  <si>
    <t>Q96JY6</t>
  </si>
  <si>
    <t>Q96K12</t>
  </si>
  <si>
    <t>Q96K19-2</t>
  </si>
  <si>
    <t>Q96KA5-2</t>
  </si>
  <si>
    <t>Q96KB5</t>
  </si>
  <si>
    <t>Q96KC2</t>
  </si>
  <si>
    <t>Q96KC8</t>
  </si>
  <si>
    <t>Q96KN1</t>
  </si>
  <si>
    <t>Q96KP1</t>
  </si>
  <si>
    <t>Q96KP4</t>
  </si>
  <si>
    <t>Q96KQ4</t>
  </si>
  <si>
    <t>Q96KR1</t>
  </si>
  <si>
    <t>Q96L35</t>
  </si>
  <si>
    <t>Q96L92-3</t>
  </si>
  <si>
    <t>Q96LA8-2</t>
  </si>
  <si>
    <t>Q96LB3</t>
  </si>
  <si>
    <t>Q96LR5</t>
  </si>
  <si>
    <t>Q96M27</t>
  </si>
  <si>
    <t>Q96ME1-4</t>
  </si>
  <si>
    <t>Q96MH6</t>
  </si>
  <si>
    <t>Q96N21-2</t>
  </si>
  <si>
    <t>Q96N66-2</t>
  </si>
  <si>
    <t>Q96NB1</t>
  </si>
  <si>
    <t>Q96NB2</t>
  </si>
  <si>
    <t>Q96NB3</t>
  </si>
  <si>
    <t>Q96NC0</t>
  </si>
  <si>
    <t>Q96NL1</t>
  </si>
  <si>
    <t>Q96P11-2</t>
  </si>
  <si>
    <t>Q96P16-3</t>
  </si>
  <si>
    <t>Q96P47</t>
  </si>
  <si>
    <t>Q96P48-3</t>
  </si>
  <si>
    <t>Q96P50</t>
  </si>
  <si>
    <t>Q96P70</t>
  </si>
  <si>
    <t>Q96PD2</t>
  </si>
  <si>
    <t>Q96PE7</t>
  </si>
  <si>
    <t>Q96PG8</t>
  </si>
  <si>
    <t>Q96PK6</t>
  </si>
  <si>
    <t>Q96PM5</t>
  </si>
  <si>
    <t>Q96PU5-2</t>
  </si>
  <si>
    <t>Q96PU8</t>
  </si>
  <si>
    <t>Q96PZ0</t>
  </si>
  <si>
    <t>Q96Q11-2</t>
  </si>
  <si>
    <t>Q96Q45-2</t>
  </si>
  <si>
    <t>Q96Q83</t>
  </si>
  <si>
    <t>Q96QC0</t>
  </si>
  <si>
    <t>Q96QD5-2</t>
  </si>
  <si>
    <t>Q96QK1</t>
  </si>
  <si>
    <t>Q96QR8</t>
  </si>
  <si>
    <t>Q96QU8</t>
  </si>
  <si>
    <t>Q96R06</t>
  </si>
  <si>
    <t>Q96RE7</t>
  </si>
  <si>
    <t>Q96RF0-3</t>
  </si>
  <si>
    <t>Q96RG2</t>
  </si>
  <si>
    <t>Q96RL7-4</t>
  </si>
  <si>
    <t>Q96RP9</t>
  </si>
  <si>
    <t>Q96RR1</t>
  </si>
  <si>
    <t>Q96RR4-2</t>
  </si>
  <si>
    <t>Q96RS6</t>
  </si>
  <si>
    <t>Q96RT1-7</t>
  </si>
  <si>
    <t>Q96RU2-2</t>
  </si>
  <si>
    <t>Q96RU3-4</t>
  </si>
  <si>
    <t>Q96S19</t>
  </si>
  <si>
    <t>Q96S44</t>
  </si>
  <si>
    <t>Q96S52</t>
  </si>
  <si>
    <t>Q96S55-2</t>
  </si>
  <si>
    <t>Q96S59</t>
  </si>
  <si>
    <t>Q96S66</t>
  </si>
  <si>
    <t>Q96S90-2</t>
  </si>
  <si>
    <t>Q96S94-3</t>
  </si>
  <si>
    <t>Q96S99</t>
  </si>
  <si>
    <t>Q96SB3</t>
  </si>
  <si>
    <t>Q96SB8</t>
  </si>
  <si>
    <t>Q96SI1</t>
  </si>
  <si>
    <t>Q96SK2-2</t>
  </si>
  <si>
    <t>Q96ST2</t>
  </si>
  <si>
    <t>Q96ST3</t>
  </si>
  <si>
    <t>Q96SZ5</t>
  </si>
  <si>
    <t>Q96SZ6-2</t>
  </si>
  <si>
    <t>Q96T37-2</t>
  </si>
  <si>
    <t>Q96T51</t>
  </si>
  <si>
    <t>Q96T52-2</t>
  </si>
  <si>
    <t>Q96T58</t>
  </si>
  <si>
    <t>Q96T76-9</t>
  </si>
  <si>
    <t>Q96T88</t>
  </si>
  <si>
    <t>Q96TA1-2</t>
  </si>
  <si>
    <t>Q96TA2-3</t>
  </si>
  <si>
    <t>Q99081</t>
  </si>
  <si>
    <t>Q99417</t>
  </si>
  <si>
    <t>Q99426</t>
  </si>
  <si>
    <t>Q99436</t>
  </si>
  <si>
    <t>Q99442</t>
  </si>
  <si>
    <t>Q99447</t>
  </si>
  <si>
    <t>Q99459</t>
  </si>
  <si>
    <t>Q99460</t>
  </si>
  <si>
    <t>Q99471</t>
  </si>
  <si>
    <t>Q99487</t>
  </si>
  <si>
    <t>Q99496</t>
  </si>
  <si>
    <t>Q99497</t>
  </si>
  <si>
    <t>Q99504-2</t>
  </si>
  <si>
    <t>Q99519</t>
  </si>
  <si>
    <t>Q99523</t>
  </si>
  <si>
    <t>Q99536</t>
  </si>
  <si>
    <t>Q99543</t>
  </si>
  <si>
    <t>Q99567</t>
  </si>
  <si>
    <t>Q99569-2</t>
  </si>
  <si>
    <t>Q99574</t>
  </si>
  <si>
    <t>Q99575</t>
  </si>
  <si>
    <t>Q99584</t>
  </si>
  <si>
    <t>Q99598</t>
  </si>
  <si>
    <t>Q99611</t>
  </si>
  <si>
    <t>Q99614</t>
  </si>
  <si>
    <t>Q99615</t>
  </si>
  <si>
    <t>Q99618</t>
  </si>
  <si>
    <t>Q99622</t>
  </si>
  <si>
    <t>Q99623</t>
  </si>
  <si>
    <t>Q99633</t>
  </si>
  <si>
    <t>Q99640-3</t>
  </si>
  <si>
    <t>Q99653</t>
  </si>
  <si>
    <t>Q99661</t>
  </si>
  <si>
    <t>Q99704</t>
  </si>
  <si>
    <t>Q99707</t>
  </si>
  <si>
    <t>Q99714</t>
  </si>
  <si>
    <t>Q99720-4</t>
  </si>
  <si>
    <t>Q99729-3</t>
  </si>
  <si>
    <t>Q99733</t>
  </si>
  <si>
    <t>Q99735-2</t>
  </si>
  <si>
    <t>Q99747</t>
  </si>
  <si>
    <t>Q99757</t>
  </si>
  <si>
    <t>Q99766</t>
  </si>
  <si>
    <t>Q99767-2</t>
  </si>
  <si>
    <t>Q99797</t>
  </si>
  <si>
    <t>Q99805</t>
  </si>
  <si>
    <t>Q99807</t>
  </si>
  <si>
    <t>Q99816</t>
  </si>
  <si>
    <t>Q99832</t>
  </si>
  <si>
    <t>Q99856</t>
  </si>
  <si>
    <t>Q99878</t>
  </si>
  <si>
    <t>Q99952-2</t>
  </si>
  <si>
    <t>Q99956</t>
  </si>
  <si>
    <t>Q99961</t>
  </si>
  <si>
    <t>Q99963-4</t>
  </si>
  <si>
    <t>Q9BPU6</t>
  </si>
  <si>
    <t>Q9BPW8</t>
  </si>
  <si>
    <t>Q9BPX3</t>
  </si>
  <si>
    <t>Q9BPX5</t>
  </si>
  <si>
    <t>Q9BPX7</t>
  </si>
  <si>
    <t>Q9BPZ3</t>
  </si>
  <si>
    <t>Q9BQ52</t>
  </si>
  <si>
    <t>Q9BQ61</t>
  </si>
  <si>
    <t>Q9BQ67</t>
  </si>
  <si>
    <t>Q9BQ69</t>
  </si>
  <si>
    <t>Q9BQ70</t>
  </si>
  <si>
    <t>Q9BQ95</t>
  </si>
  <si>
    <t>Q9BQC3</t>
  </si>
  <si>
    <t>Q9BQG0</t>
  </si>
  <si>
    <t>Q9BQP7</t>
  </si>
  <si>
    <t>Q9BQS8</t>
  </si>
  <si>
    <t>Q9BQT8-2</t>
  </si>
  <si>
    <t>Q9BR61</t>
  </si>
  <si>
    <t>Q9BR76</t>
  </si>
  <si>
    <t>Q9BRA2</t>
  </si>
  <si>
    <t>Q9BRD0-2</t>
  </si>
  <si>
    <t>Q9BRF8</t>
  </si>
  <si>
    <t>Q9BRJ2</t>
  </si>
  <si>
    <t>Q9BRK4</t>
  </si>
  <si>
    <t>Q9BRK5</t>
  </si>
  <si>
    <t>Q9BRP1</t>
  </si>
  <si>
    <t>Q9BRP4</t>
  </si>
  <si>
    <t>Q9BRP8-2</t>
  </si>
  <si>
    <t>Q9BRR6-2</t>
  </si>
  <si>
    <t>Q9BRS2</t>
  </si>
  <si>
    <t>Q9BRT2</t>
  </si>
  <si>
    <t>Q9BRT9</t>
  </si>
  <si>
    <t>Q9BRV8</t>
  </si>
  <si>
    <t>Q9BRX2</t>
  </si>
  <si>
    <t>Q9BRX5</t>
  </si>
  <si>
    <t>Q9BS26</t>
  </si>
  <si>
    <t>Q9BS40</t>
  </si>
  <si>
    <t>Q9BSB4</t>
  </si>
  <si>
    <t>Q9BSD7</t>
  </si>
  <si>
    <t>Q9BSF4</t>
  </si>
  <si>
    <t>Q9BSH4</t>
  </si>
  <si>
    <t>Q9BSH5</t>
  </si>
  <si>
    <t>Q9BSJ2</t>
  </si>
  <si>
    <t>Q9BSJ5-3</t>
  </si>
  <si>
    <t>Q9BSJ8</t>
  </si>
  <si>
    <t>Q9BSK4</t>
  </si>
  <si>
    <t>Q9BSL1</t>
  </si>
  <si>
    <t>Q9BSR8</t>
  </si>
  <si>
    <t>Q9BST9-2</t>
  </si>
  <si>
    <t>Q9BSU1</t>
  </si>
  <si>
    <t>Q9BSV6</t>
  </si>
  <si>
    <t>Q9BSY4</t>
  </si>
  <si>
    <t>Q9BT09</t>
  </si>
  <si>
    <t>Q9BT17</t>
  </si>
  <si>
    <t>Q9BT22</t>
  </si>
  <si>
    <t>Q9BT23</t>
  </si>
  <si>
    <t>Q9BT25-2</t>
  </si>
  <si>
    <t>Q9BT30</t>
  </si>
  <si>
    <t>Q9BT73</t>
  </si>
  <si>
    <t>Q9BT78</t>
  </si>
  <si>
    <t>Q9BT92</t>
  </si>
  <si>
    <t>Q9BTA9-5</t>
  </si>
  <si>
    <t>Q9BTC0</t>
  </si>
  <si>
    <t>Q9BTE3-2</t>
  </si>
  <si>
    <t>Q9BTE6</t>
  </si>
  <si>
    <t>Q9BTE7</t>
  </si>
  <si>
    <t>Q9BTF0-2</t>
  </si>
  <si>
    <t>Q9BTL3</t>
  </si>
  <si>
    <t>Q9BTT0</t>
  </si>
  <si>
    <t>Q9BTT6</t>
  </si>
  <si>
    <t>Q9BTU6</t>
  </si>
  <si>
    <t>Q9BTV5</t>
  </si>
  <si>
    <t>Q9BTV6</t>
  </si>
  <si>
    <t>Q9BTY2</t>
  </si>
  <si>
    <t>Q9BTY7</t>
  </si>
  <si>
    <t>Q9BTZ2-8</t>
  </si>
  <si>
    <t>Q9BU02</t>
  </si>
  <si>
    <t>Q9BU23-3</t>
  </si>
  <si>
    <t>Q9BU61</t>
  </si>
  <si>
    <t>Q9BU89</t>
  </si>
  <si>
    <t>Q9BUA3</t>
  </si>
  <si>
    <t>Q9BUB7-2</t>
  </si>
  <si>
    <t>Q9BUE0</t>
  </si>
  <si>
    <t>Q9BUE6</t>
  </si>
  <si>
    <t>Q9BUF5</t>
  </si>
  <si>
    <t>Q9BUH6</t>
  </si>
  <si>
    <t>Q9BUI4</t>
  </si>
  <si>
    <t>Q9BUJ2-2</t>
  </si>
  <si>
    <t>Q9BUK6-3</t>
  </si>
  <si>
    <t>Q9BUN5</t>
  </si>
  <si>
    <t>Q9BUP3-3</t>
  </si>
  <si>
    <t>Q9BUR4</t>
  </si>
  <si>
    <t>Q9BUT1</t>
  </si>
  <si>
    <t>Q9BUT9</t>
  </si>
  <si>
    <t>Q9BUW7</t>
  </si>
  <si>
    <t>Q9BV10</t>
  </si>
  <si>
    <t>Q9BV19</t>
  </si>
  <si>
    <t>Q9BV20</t>
  </si>
  <si>
    <t>Q9BV23</t>
  </si>
  <si>
    <t>Q9BV38</t>
  </si>
  <si>
    <t>Q9BV40</t>
  </si>
  <si>
    <t>Q9BV44</t>
  </si>
  <si>
    <t>Q9BV57</t>
  </si>
  <si>
    <t>Q9BV68-2</t>
  </si>
  <si>
    <t>Q9BV73-2</t>
  </si>
  <si>
    <t>Q9BV79</t>
  </si>
  <si>
    <t>Q9BV86</t>
  </si>
  <si>
    <t>Q9BVA0</t>
  </si>
  <si>
    <t>Q9BVA1</t>
  </si>
  <si>
    <t>Q9BVC3</t>
  </si>
  <si>
    <t>Q9BVC4</t>
  </si>
  <si>
    <t>Q9BVC6</t>
  </si>
  <si>
    <t>Q9BVG4</t>
  </si>
  <si>
    <t>Q9BVG9</t>
  </si>
  <si>
    <t>Q9BVJ6-3</t>
  </si>
  <si>
    <t>Q9BVK6</t>
  </si>
  <si>
    <t>Q9BVL4</t>
  </si>
  <si>
    <t>Q9BVM2</t>
  </si>
  <si>
    <t>Q9BVM4</t>
  </si>
  <si>
    <t>Q9BVR6</t>
  </si>
  <si>
    <t>Q9BVS5</t>
  </si>
  <si>
    <t>Q9BVV7</t>
  </si>
  <si>
    <t>Q9BVW5</t>
  </si>
  <si>
    <t>Q9BW19</t>
  </si>
  <si>
    <t>Q9BW27</t>
  </si>
  <si>
    <t>Q9BW30</t>
  </si>
  <si>
    <t>Q9BW60</t>
  </si>
  <si>
    <t>Q9BW61</t>
  </si>
  <si>
    <t>Q9BW71</t>
  </si>
  <si>
    <t>Q9BW83</t>
  </si>
  <si>
    <t>Q9BW85</t>
  </si>
  <si>
    <t>Q9BW91-2</t>
  </si>
  <si>
    <t>Q9BW92</t>
  </si>
  <si>
    <t>Q9BWD1</t>
  </si>
  <si>
    <t>Q9BWD3</t>
  </si>
  <si>
    <t>Q9BWF3</t>
  </si>
  <si>
    <t>Q9BWG6-2</t>
  </si>
  <si>
    <t>Q9BWH2</t>
  </si>
  <si>
    <t>Q9BWH6-2</t>
  </si>
  <si>
    <t>Q9BWJ5</t>
  </si>
  <si>
    <t>Q9BWM7</t>
  </si>
  <si>
    <t>Q9BWT3</t>
  </si>
  <si>
    <t>Q9BWT7</t>
  </si>
  <si>
    <t>Q9BWU0</t>
  </si>
  <si>
    <t>Q9BX40</t>
  </si>
  <si>
    <t>Q9BX63</t>
  </si>
  <si>
    <t>Q9BX66-9</t>
  </si>
  <si>
    <t>Q9BX67</t>
  </si>
  <si>
    <t>Q9BX68</t>
  </si>
  <si>
    <t>Q9BX95</t>
  </si>
  <si>
    <t>Q9BXB4</t>
  </si>
  <si>
    <t>Q9BXF6</t>
  </si>
  <si>
    <t>Q9BXH1</t>
  </si>
  <si>
    <t>Q9BXJ9</t>
  </si>
  <si>
    <t>Q9BXP2</t>
  </si>
  <si>
    <t>Q9BXP5-4</t>
  </si>
  <si>
    <t>Q9BXR0</t>
  </si>
  <si>
    <t>Q9BXV9</t>
  </si>
  <si>
    <t>Q9BXW6</t>
  </si>
  <si>
    <t>Q9BXW7-2</t>
  </si>
  <si>
    <t>Q9BXW9-2</t>
  </si>
  <si>
    <t>Q9BY32</t>
  </si>
  <si>
    <t>Q9BY43</t>
  </si>
  <si>
    <t>Q9BY77</t>
  </si>
  <si>
    <t>Q9BYB4</t>
  </si>
  <si>
    <t>Q9BYG5</t>
  </si>
  <si>
    <t>Q9BYN0</t>
  </si>
  <si>
    <t>Q9BYT3</t>
  </si>
  <si>
    <t>Q9BYT8</t>
  </si>
  <si>
    <t>Q9BYV8</t>
  </si>
  <si>
    <t>Q9BYW2</t>
  </si>
  <si>
    <t>Q9BZ23-3</t>
  </si>
  <si>
    <t>Q9BZ67-2</t>
  </si>
  <si>
    <t>Q9BZD4</t>
  </si>
  <si>
    <t>Q9BZE2</t>
  </si>
  <si>
    <t>Q9BZE9</t>
  </si>
  <si>
    <t>Q9BZL1</t>
  </si>
  <si>
    <t>Q9BZM1</t>
  </si>
  <si>
    <t>Q9BZM4</t>
  </si>
  <si>
    <t>Q9BZM5</t>
  </si>
  <si>
    <t>Q9BZX2</t>
  </si>
  <si>
    <t>Q9BZZ5-2</t>
  </si>
  <si>
    <t>Q9C005</t>
  </si>
  <si>
    <t>Q9C026-5</t>
  </si>
  <si>
    <t>Q9C037-2</t>
  </si>
  <si>
    <t>Q9C040</t>
  </si>
  <si>
    <t>Q9C0B0</t>
  </si>
  <si>
    <t>Q9C0B1</t>
  </si>
  <si>
    <t>Q9C0B5-2</t>
  </si>
  <si>
    <t>Q9C0B7</t>
  </si>
  <si>
    <t>Q9C0C2</t>
  </si>
  <si>
    <t>Q9C0C4</t>
  </si>
  <si>
    <t>Q9C0C7-4</t>
  </si>
  <si>
    <t>Q9C0C9</t>
  </si>
  <si>
    <t>Q9C0D3</t>
  </si>
  <si>
    <t>Q9C0D5-2</t>
  </si>
  <si>
    <t>Q9C0F1</t>
  </si>
  <si>
    <t>Q9C0H2-2</t>
  </si>
  <si>
    <t>Q9C0I1-3</t>
  </si>
  <si>
    <t>Q9GZL7</t>
  </si>
  <si>
    <t>Q9GZN1</t>
  </si>
  <si>
    <t>Q9GZN8-2</t>
  </si>
  <si>
    <t>Q9GZP4</t>
  </si>
  <si>
    <t>Q9GZP9</t>
  </si>
  <si>
    <t>Q9GZS3</t>
  </si>
  <si>
    <t>Q9GZT3</t>
  </si>
  <si>
    <t>Q9GZT4</t>
  </si>
  <si>
    <t>Q9GZT6-2</t>
  </si>
  <si>
    <t>Q9GZT8-2</t>
  </si>
  <si>
    <t>Q9GZT9</t>
  </si>
  <si>
    <t>Q9GZU8</t>
  </si>
  <si>
    <t>Q9GZX9</t>
  </si>
  <si>
    <t>Q9GZY8</t>
  </si>
  <si>
    <t>Q9GZY8-2</t>
  </si>
  <si>
    <t>Q9GZZ9</t>
  </si>
  <si>
    <t>Q9H019-3</t>
  </si>
  <si>
    <t>Q9H061</t>
  </si>
  <si>
    <t>Q9H074</t>
  </si>
  <si>
    <t>Q9H078-2</t>
  </si>
  <si>
    <t>Q9H082</t>
  </si>
  <si>
    <t>Q9H098</t>
  </si>
  <si>
    <t>Q9H0B6</t>
  </si>
  <si>
    <t>Q9H0C8</t>
  </si>
  <si>
    <t>Q9H0D6</t>
  </si>
  <si>
    <t>Q9H0E2</t>
  </si>
  <si>
    <t>Q9H0E9-2</t>
  </si>
  <si>
    <t>Q9H0F6-2</t>
  </si>
  <si>
    <t>Q9H0G5</t>
  </si>
  <si>
    <t>Q9H0H5</t>
  </si>
  <si>
    <t>Q9H0I2</t>
  </si>
  <si>
    <t>Q9H0L4</t>
  </si>
  <si>
    <t>Q9H0P0</t>
  </si>
  <si>
    <t>Q9H0R4</t>
  </si>
  <si>
    <t>Q9H0R6</t>
  </si>
  <si>
    <t>Q9H0U3</t>
  </si>
  <si>
    <t>Q9H0U4</t>
  </si>
  <si>
    <t>Q9H0V1</t>
  </si>
  <si>
    <t>Q9H0V9</t>
  </si>
  <si>
    <t>Q9H0W9</t>
  </si>
  <si>
    <t>Q9H0X4</t>
  </si>
  <si>
    <t>Q9H173</t>
  </si>
  <si>
    <t>Q9H1B7</t>
  </si>
  <si>
    <t>Q9H1C3</t>
  </si>
  <si>
    <t>Q9H1E3</t>
  </si>
  <si>
    <t>Q9H1K0</t>
  </si>
  <si>
    <t>Q9H1K1</t>
  </si>
  <si>
    <t>Q9H1P3-2</t>
  </si>
  <si>
    <t>Q9H1X3</t>
  </si>
  <si>
    <t>Q9H1Y0</t>
  </si>
  <si>
    <t>Q9H1Z4</t>
  </si>
  <si>
    <t>Q9H223</t>
  </si>
  <si>
    <t>Q9H246</t>
  </si>
  <si>
    <t>Q9H267</t>
  </si>
  <si>
    <t>Q9H270</t>
  </si>
  <si>
    <t>Q9H2C0</t>
  </si>
  <si>
    <t>Q9H2D1</t>
  </si>
  <si>
    <t>Q9H2D6-5</t>
  </si>
  <si>
    <t>Q9H2G2-2</t>
  </si>
  <si>
    <t>Q9H2G9</t>
  </si>
  <si>
    <t>Q9H2H8</t>
  </si>
  <si>
    <t>Q9H2J7</t>
  </si>
  <si>
    <t>Q9H2M9</t>
  </si>
  <si>
    <t>Q9H2P0</t>
  </si>
  <si>
    <t>Q9H2P9-3</t>
  </si>
  <si>
    <t>Q9H2U2</t>
  </si>
  <si>
    <t>Q9H2W6</t>
  </si>
  <si>
    <t>Q9H300</t>
  </si>
  <si>
    <t>Q9H307</t>
  </si>
  <si>
    <t>Q9H330-2</t>
  </si>
  <si>
    <t>Q9H3C7</t>
  </si>
  <si>
    <t>Q9H3G5</t>
  </si>
  <si>
    <t>Q9H3H1-4</t>
  </si>
  <si>
    <t>Q9H3H3</t>
  </si>
  <si>
    <t>Q9H3K6</t>
  </si>
  <si>
    <t>Q9H3N1</t>
  </si>
  <si>
    <t>Q9H3P7</t>
  </si>
  <si>
    <t>Q9H3Q1</t>
  </si>
  <si>
    <t>Q9H3S7</t>
  </si>
  <si>
    <t>Q9H3U1</t>
  </si>
  <si>
    <t>Q9H3U5-4</t>
  </si>
  <si>
    <t>Q9H3Y8</t>
  </si>
  <si>
    <t>Q9H3Z4-2</t>
  </si>
  <si>
    <t>Q9H410</t>
  </si>
  <si>
    <t>Q9H425</t>
  </si>
  <si>
    <t>Q9H444</t>
  </si>
  <si>
    <t>Q9H467</t>
  </si>
  <si>
    <t>Q9H488</t>
  </si>
  <si>
    <t>Q9H496</t>
  </si>
  <si>
    <t>Q9H497</t>
  </si>
  <si>
    <t>Q9H4A5</t>
  </si>
  <si>
    <t>Q9H4A6</t>
  </si>
  <si>
    <t>Q9H4B0</t>
  </si>
  <si>
    <t>Q9H4H8</t>
  </si>
  <si>
    <t>Q9H4K7</t>
  </si>
  <si>
    <t>Q9H4L5-2</t>
  </si>
  <si>
    <t>Q9H4L7</t>
  </si>
  <si>
    <t>Q9H4M9</t>
  </si>
  <si>
    <t>Q9H4Z3</t>
  </si>
  <si>
    <t>Q9H553</t>
  </si>
  <si>
    <t>Q9H582-2</t>
  </si>
  <si>
    <t>Q9H5K3</t>
  </si>
  <si>
    <t>Q9H5N1</t>
  </si>
  <si>
    <t>Q9H5Q4</t>
  </si>
  <si>
    <t>Q9H5V9-2</t>
  </si>
  <si>
    <t>Q9H5X1</t>
  </si>
  <si>
    <t>Q9H609</t>
  </si>
  <si>
    <t>Q9H6E4</t>
  </si>
  <si>
    <t>Q9H6F5</t>
  </si>
  <si>
    <t>Q9H6H4</t>
  </si>
  <si>
    <t>Q9H6K1-2</t>
  </si>
  <si>
    <t>Q9H6L5</t>
  </si>
  <si>
    <t>Q9H6Q4</t>
  </si>
  <si>
    <t>Q9H6T3-2</t>
  </si>
  <si>
    <t>Q9H6U6-7</t>
  </si>
  <si>
    <t>Q9H6U8</t>
  </si>
  <si>
    <t>Q9H6X2</t>
  </si>
  <si>
    <t>Q9H6Y2</t>
  </si>
  <si>
    <t>Q9H773</t>
  </si>
  <si>
    <t>Q9H7B4</t>
  </si>
  <si>
    <t>Q9H7D7-2</t>
  </si>
  <si>
    <t>Q9H7F0</t>
  </si>
  <si>
    <t>Q9H7F4</t>
  </si>
  <si>
    <t>Q9H7J1</t>
  </si>
  <si>
    <t>Q9H7N4</t>
  </si>
  <si>
    <t>Q9H7S9</t>
  </si>
  <si>
    <t>Q9H7X3</t>
  </si>
  <si>
    <t>Q9H7X7-2</t>
  </si>
  <si>
    <t>Q9H7Z6</t>
  </si>
  <si>
    <t>Q9H7Z7</t>
  </si>
  <si>
    <t>Q9H814</t>
  </si>
  <si>
    <t>Q9H832</t>
  </si>
  <si>
    <t>Q9H840</t>
  </si>
  <si>
    <t>Q9H845</t>
  </si>
  <si>
    <t>Q9H857-2</t>
  </si>
  <si>
    <t>Q9H8G2</t>
  </si>
  <si>
    <t>Q9H8H0</t>
  </si>
  <si>
    <t>Q9H8M7</t>
  </si>
  <si>
    <t>Q9H8S9</t>
  </si>
  <si>
    <t>Q9H8U3</t>
  </si>
  <si>
    <t>Q9H8W4</t>
  </si>
  <si>
    <t>Q9H8Y5</t>
  </si>
  <si>
    <t>Q9H8Y8</t>
  </si>
  <si>
    <t>Q9H900</t>
  </si>
  <si>
    <t>Q9H910-2</t>
  </si>
  <si>
    <t>Q9H936</t>
  </si>
  <si>
    <t>Q9H939</t>
  </si>
  <si>
    <t>Q9H944</t>
  </si>
  <si>
    <t>Q9H974-4</t>
  </si>
  <si>
    <t>Q9H977</t>
  </si>
  <si>
    <t>Q9H981</t>
  </si>
  <si>
    <t>Q9H993</t>
  </si>
  <si>
    <t>Q9H9A6</t>
  </si>
  <si>
    <t>Q9H9B1-3</t>
  </si>
  <si>
    <t>Q9H9B4</t>
  </si>
  <si>
    <t>Q9H9F9</t>
  </si>
  <si>
    <t>Q9H9H4</t>
  </si>
  <si>
    <t>Q9H9P8</t>
  </si>
  <si>
    <t>Q9H9S5</t>
  </si>
  <si>
    <t>Q9H9V9-2</t>
  </si>
  <si>
    <t>Q9HA47-3</t>
  </si>
  <si>
    <t>Q9HA64</t>
  </si>
  <si>
    <t>Q9HA77</t>
  </si>
  <si>
    <t>Q9HAB8</t>
  </si>
  <si>
    <t>Q9HAD4</t>
  </si>
  <si>
    <t>Q9HAF1-2</t>
  </si>
  <si>
    <t>Q9HAT8</t>
  </si>
  <si>
    <t>Q9HAV0</t>
  </si>
  <si>
    <t>Q9HAV4</t>
  </si>
  <si>
    <t>Q9HAV5</t>
  </si>
  <si>
    <t>Q9HAV7</t>
  </si>
  <si>
    <t>Q9HB07</t>
  </si>
  <si>
    <t>Q9HB09</t>
  </si>
  <si>
    <t>Q9HB20</t>
  </si>
  <si>
    <t>Q9HB40</t>
  </si>
  <si>
    <t>Q9HB71</t>
  </si>
  <si>
    <t>Q9HB90</t>
  </si>
  <si>
    <t>Q9HBD4</t>
  </si>
  <si>
    <t>Q9HBH1</t>
  </si>
  <si>
    <t>Q9HBH5</t>
  </si>
  <si>
    <t>Q9HBI1-3</t>
  </si>
  <si>
    <t>Q9HBK9</t>
  </si>
  <si>
    <t>Q9HBL7</t>
  </si>
  <si>
    <t>Q9HBL8</t>
  </si>
  <si>
    <t>Q9HBM1</t>
  </si>
  <si>
    <t>Q9HBM6</t>
  </si>
  <si>
    <t>Q9HBM8</t>
  </si>
  <si>
    <t>Q9HBR0</t>
  </si>
  <si>
    <t>Q9HC21</t>
  </si>
  <si>
    <t>Q9HC38-2</t>
  </si>
  <si>
    <t>Q9HC44</t>
  </si>
  <si>
    <t>Q9HCC0</t>
  </si>
  <si>
    <t>Q9HCC9-5</t>
  </si>
  <si>
    <t>Q9HCD6</t>
  </si>
  <si>
    <t>Q9HCE5</t>
  </si>
  <si>
    <t>Q9HCJ3-2</t>
  </si>
  <si>
    <t>Q9HCK1</t>
  </si>
  <si>
    <t>Q9HCM4-4</t>
  </si>
  <si>
    <t>Q9HCN4-3</t>
  </si>
  <si>
    <t>Q9HCN8</t>
  </si>
  <si>
    <t>Q9HCU5</t>
  </si>
  <si>
    <t>Q9HD15</t>
  </si>
  <si>
    <t>Q9HD20-2</t>
  </si>
  <si>
    <t>Q9HD26-2</t>
  </si>
  <si>
    <t>Q9HD42</t>
  </si>
  <si>
    <t>Q9HD45</t>
  </si>
  <si>
    <t>Q9HD47-2</t>
  </si>
  <si>
    <t>Q9HDC9</t>
  </si>
  <si>
    <t>Q9NNW7-2</t>
  </si>
  <si>
    <t>Q9NNX1-2</t>
  </si>
  <si>
    <t>Q9NP58-4</t>
  </si>
  <si>
    <t>Q9NP61</t>
  </si>
  <si>
    <t>Q9NP66</t>
  </si>
  <si>
    <t>Q9NP72</t>
  </si>
  <si>
    <t>Q9NP77</t>
  </si>
  <si>
    <t>Q9NP79</t>
  </si>
  <si>
    <t>Q9NPA3</t>
  </si>
  <si>
    <t>Q9NPA8-2</t>
  </si>
  <si>
    <t>Q9NPB8</t>
  </si>
  <si>
    <t>Q9NPD3</t>
  </si>
  <si>
    <t>Q9NPD8</t>
  </si>
  <si>
    <t>Q9NPE3</t>
  </si>
  <si>
    <t>Q9NPF0</t>
  </si>
  <si>
    <t>Q9NPF4</t>
  </si>
  <si>
    <t>Q9NPG8</t>
  </si>
  <si>
    <t>Q9NPH0</t>
  </si>
  <si>
    <t>Q9NPI6</t>
  </si>
  <si>
    <t>Q9NPJ3</t>
  </si>
  <si>
    <t>Q9NPJ6</t>
  </si>
  <si>
    <t>Q9NPL8</t>
  </si>
  <si>
    <t>Q9NPQ8-4</t>
  </si>
  <si>
    <t>Q9NPR9</t>
  </si>
  <si>
    <t>Q9NQ11-3</t>
  </si>
  <si>
    <t>Q9NQ29</t>
  </si>
  <si>
    <t>Q9NQ88</t>
  </si>
  <si>
    <t>Q9NQC3</t>
  </si>
  <si>
    <t>Q9NQE9</t>
  </si>
  <si>
    <t>Q9NQG1</t>
  </si>
  <si>
    <t>Q9NQG5</t>
  </si>
  <si>
    <t>Q9NQH7-2</t>
  </si>
  <si>
    <t>Q9NQL2</t>
  </si>
  <si>
    <t>Q9NQP4</t>
  </si>
  <si>
    <t>Q9NQR4</t>
  </si>
  <si>
    <t>Q9NQS1</t>
  </si>
  <si>
    <t>Q9NQT4</t>
  </si>
  <si>
    <t>Q9NQT8</t>
  </si>
  <si>
    <t>Q9NQW6</t>
  </si>
  <si>
    <t>Q9NQW7-3</t>
  </si>
  <si>
    <t>Q9NQZ5</t>
  </si>
  <si>
    <t>Q9NR12</t>
  </si>
  <si>
    <t>Q9NR19</t>
  </si>
  <si>
    <t>Q9NR28-2</t>
  </si>
  <si>
    <t>Q9NR30</t>
  </si>
  <si>
    <t>Q9NR31</t>
  </si>
  <si>
    <t>Q9NR33</t>
  </si>
  <si>
    <t>Q9NR45</t>
  </si>
  <si>
    <t>Q9NR50</t>
  </si>
  <si>
    <t>Q9NRA8</t>
  </si>
  <si>
    <t>Q9NRB3</t>
  </si>
  <si>
    <t>Q9NRC6</t>
  </si>
  <si>
    <t>Q9NRD5</t>
  </si>
  <si>
    <t>Q9NRF2-3</t>
  </si>
  <si>
    <t>Q9NRF8</t>
  </si>
  <si>
    <t>Q9NRF9</t>
  </si>
  <si>
    <t>Q9NRG0</t>
  </si>
  <si>
    <t>Q9NRG4</t>
  </si>
  <si>
    <t>Q9NRG7-2</t>
  </si>
  <si>
    <t>Q9NRH1</t>
  </si>
  <si>
    <t>Q9NRK6</t>
  </si>
  <si>
    <t>Q9NRN7</t>
  </si>
  <si>
    <t>Q9NRN9</t>
  </si>
  <si>
    <t>Q9NRP0</t>
  </si>
  <si>
    <t>Q9NRP2</t>
  </si>
  <si>
    <t>Q9NRP4</t>
  </si>
  <si>
    <t>Q9NRR5</t>
  </si>
  <si>
    <t>Q9NRR6-2</t>
  </si>
  <si>
    <t>Q9NRR8</t>
  </si>
  <si>
    <t>Q9NRS6-2</t>
  </si>
  <si>
    <t>Q9NRV9</t>
  </si>
  <si>
    <t>Q9NRW1</t>
  </si>
  <si>
    <t>Q9NRW4</t>
  </si>
  <si>
    <t>Q9NRW7</t>
  </si>
  <si>
    <t>Q9NRX4</t>
  </si>
  <si>
    <t>Q9NRX5</t>
  </si>
  <si>
    <t>Q9NRY4</t>
  </si>
  <si>
    <t>Q9NRY5</t>
  </si>
  <si>
    <t>Q9NRY6</t>
  </si>
  <si>
    <t>Q9NRZ5</t>
  </si>
  <si>
    <t>Q9NRZ7-2</t>
  </si>
  <si>
    <t>Q9NRZ9-3</t>
  </si>
  <si>
    <t>Q9NS69</t>
  </si>
  <si>
    <t>Q9NS86</t>
  </si>
  <si>
    <t>Q9NS87-4</t>
  </si>
  <si>
    <t>Q9NS91</t>
  </si>
  <si>
    <t>Q9NS93</t>
  </si>
  <si>
    <t>Q9NSA3</t>
  </si>
  <si>
    <t>Q9NSB8-2</t>
  </si>
  <si>
    <t>Q9NSD9</t>
  </si>
  <si>
    <t>Q9NSE4</t>
  </si>
  <si>
    <t>Q9NSG2-3</t>
  </si>
  <si>
    <t>Q9NSI2-2</t>
  </si>
  <si>
    <t>Q9NT62</t>
  </si>
  <si>
    <t>Q9NTJ5</t>
  </si>
  <si>
    <t>Q9NTK5-2</t>
  </si>
  <si>
    <t>Q9NTM9</t>
  </si>
  <si>
    <t>Q9NTN9</t>
  </si>
  <si>
    <t>Q9NTW7-2</t>
  </si>
  <si>
    <t>Q9NTX5-3</t>
  </si>
  <si>
    <t>Q9NTX7-2</t>
  </si>
  <si>
    <t>Q9NTZ6</t>
  </si>
  <si>
    <t>Q9NU19</t>
  </si>
  <si>
    <t>Q9NU23</t>
  </si>
  <si>
    <t>Q9NUB1-2</t>
  </si>
  <si>
    <t>Q9NUE0</t>
  </si>
  <si>
    <t>Q9NUG6</t>
  </si>
  <si>
    <t>Q9NUJ1</t>
  </si>
  <si>
    <t>Q9NUM4</t>
  </si>
  <si>
    <t>Q9NUN5-3</t>
  </si>
  <si>
    <t>Q9NUP1</t>
  </si>
  <si>
    <t>Q9NUP7</t>
  </si>
  <si>
    <t>Q9NUP9</t>
  </si>
  <si>
    <t>Q9NUQ2</t>
  </si>
  <si>
    <t>Q9NUQ3</t>
  </si>
  <si>
    <t>Q9NUQ7</t>
  </si>
  <si>
    <t>Q9NUQ8</t>
  </si>
  <si>
    <t>Q9NUQ9</t>
  </si>
  <si>
    <t>Q9NUS5</t>
  </si>
  <si>
    <t>Q9NUU7</t>
  </si>
  <si>
    <t>Q9NUW8</t>
  </si>
  <si>
    <t>Q9NUY8-2</t>
  </si>
  <si>
    <t>Q9NV06</t>
  </si>
  <si>
    <t>Q9NV29</t>
  </si>
  <si>
    <t>Q9NV56</t>
  </si>
  <si>
    <t>Q9NV70-2</t>
  </si>
  <si>
    <t>Q9NV96-3</t>
  </si>
  <si>
    <t>Q9NVA4</t>
  </si>
  <si>
    <t>Q9NVC6</t>
  </si>
  <si>
    <t>Q9NVE7</t>
  </si>
  <si>
    <t>Q9NVG8</t>
  </si>
  <si>
    <t>Q9NVH0</t>
  </si>
  <si>
    <t>Q9NVH1-3</t>
  </si>
  <si>
    <t>Q9NVH2-4</t>
  </si>
  <si>
    <t>Q9NVI1</t>
  </si>
  <si>
    <t>Q9NVI7-2</t>
  </si>
  <si>
    <t>Q9NVJ2</t>
  </si>
  <si>
    <t>Q9NVM4</t>
  </si>
  <si>
    <t>Q9NVM6</t>
  </si>
  <si>
    <t>Q9NVM9</t>
  </si>
  <si>
    <t>Q9NVP2</t>
  </si>
  <si>
    <t>Q9NVQ4</t>
  </si>
  <si>
    <t>Q9NVR0</t>
  </si>
  <si>
    <t>Q9NVR5</t>
  </si>
  <si>
    <t>Q9NVT9</t>
  </si>
  <si>
    <t>Q9NVV0</t>
  </si>
  <si>
    <t>Q9NVV4-2</t>
  </si>
  <si>
    <t>Q9NVX2</t>
  </si>
  <si>
    <t>Q9NVZ3</t>
  </si>
  <si>
    <t>Q9NW64</t>
  </si>
  <si>
    <t>Q9NW82</t>
  </si>
  <si>
    <t>Q9NWB6</t>
  </si>
  <si>
    <t>Q9NWH9</t>
  </si>
  <si>
    <t>Q9NWM8</t>
  </si>
  <si>
    <t>Q9NWQ8</t>
  </si>
  <si>
    <t>Q9NWR8</t>
  </si>
  <si>
    <t>Q9NWS6</t>
  </si>
  <si>
    <t>Q9NWT6</t>
  </si>
  <si>
    <t>Q9NWU1</t>
  </si>
  <si>
    <t>Q9NWV4</t>
  </si>
  <si>
    <t>Q9NWX5</t>
  </si>
  <si>
    <t>Q9NWX6</t>
  </si>
  <si>
    <t>Q9NWY4</t>
  </si>
  <si>
    <t>Q9NWZ3</t>
  </si>
  <si>
    <t>Q9NX01</t>
  </si>
  <si>
    <t>Q9NX07-2</t>
  </si>
  <si>
    <t>Q9NX08</t>
  </si>
  <si>
    <t>Q9NX14</t>
  </si>
  <si>
    <t>Q9NX24</t>
  </si>
  <si>
    <t>Q9NX38</t>
  </si>
  <si>
    <t>Q9NX40</t>
  </si>
  <si>
    <t>Q9NX46</t>
  </si>
  <si>
    <t>Q9NX47</t>
  </si>
  <si>
    <t>Q9NX55</t>
  </si>
  <si>
    <t>Q9NX62</t>
  </si>
  <si>
    <t>Q9NX70</t>
  </si>
  <si>
    <t>Q9NX74</t>
  </si>
  <si>
    <t>Q9NXA8</t>
  </si>
  <si>
    <t>Q9NXF7</t>
  </si>
  <si>
    <t>Q9NXH9</t>
  </si>
  <si>
    <t>Q9NXN4-2</t>
  </si>
  <si>
    <t>Q9NXR1-2</t>
  </si>
  <si>
    <t>Q9NXR7</t>
  </si>
  <si>
    <t>Q9NXU5</t>
  </si>
  <si>
    <t>Q9NXV2</t>
  </si>
  <si>
    <t>Q9NXV6</t>
  </si>
  <si>
    <t>Q9NXW9</t>
  </si>
  <si>
    <t>Q9NY27</t>
  </si>
  <si>
    <t>Q9NY93-2</t>
  </si>
  <si>
    <t>Q9NYB0</t>
  </si>
  <si>
    <t>Q9NYH9</t>
  </si>
  <si>
    <t>Q9NYJ1</t>
  </si>
  <si>
    <t>Q9NYJ8</t>
  </si>
  <si>
    <t>Q9NYK5</t>
  </si>
  <si>
    <t>Q9NYK6-3</t>
  </si>
  <si>
    <t>Q9NYL2-2</t>
  </si>
  <si>
    <t>Q9NYL9</t>
  </si>
  <si>
    <t>Q9NYP9</t>
  </si>
  <si>
    <t>Q9NYU2-2</t>
  </si>
  <si>
    <t>Q9NYY8</t>
  </si>
  <si>
    <t>Q9NYZ3</t>
  </si>
  <si>
    <t>Q9NZ01</t>
  </si>
  <si>
    <t>Q9NZ08</t>
  </si>
  <si>
    <t>Q9NZ09-2</t>
  </si>
  <si>
    <t>Q9NZ32</t>
  </si>
  <si>
    <t>Q9NZ45</t>
  </si>
  <si>
    <t>Q9NZ53</t>
  </si>
  <si>
    <t>Q9NZ63</t>
  </si>
  <si>
    <t>Q9NZA1-3</t>
  </si>
  <si>
    <t>Q9NZB8-2</t>
  </si>
  <si>
    <t>Q9NZC3</t>
  </si>
  <si>
    <t>Q9NZC7</t>
  </si>
  <si>
    <t>Q9NZC9</t>
  </si>
  <si>
    <t>Q9NZD8-2</t>
  </si>
  <si>
    <t>Q9NZI8</t>
  </si>
  <si>
    <t>Q9NZJ4-2</t>
  </si>
  <si>
    <t>Q9NZJ6</t>
  </si>
  <si>
    <t>Q9NZJ9</t>
  </si>
  <si>
    <t>Q9NZL4</t>
  </si>
  <si>
    <t>Q9NZL9</t>
  </si>
  <si>
    <t>Q9NZL9-2</t>
  </si>
  <si>
    <t>Q9NZN3</t>
  </si>
  <si>
    <t>Q9NZN5</t>
  </si>
  <si>
    <t>Q9NZQ3-3</t>
  </si>
  <si>
    <t>Q9NZT2-2</t>
  </si>
  <si>
    <t>Q9NZU5</t>
  </si>
  <si>
    <t>Q9NZW5</t>
  </si>
  <si>
    <t>Q9NZZ3</t>
  </si>
  <si>
    <t>Q9P000</t>
  </si>
  <si>
    <t>Q9P013</t>
  </si>
  <si>
    <t>Q9P016</t>
  </si>
  <si>
    <t>Q9P032</t>
  </si>
  <si>
    <t>Q9P035</t>
  </si>
  <si>
    <t>Q9P0J1</t>
  </si>
  <si>
    <t>Q9P0L0</t>
  </si>
  <si>
    <t>Q9P0L2</t>
  </si>
  <si>
    <t>Q9P0N9-3</t>
  </si>
  <si>
    <t>Q9P0P0</t>
  </si>
  <si>
    <t>Q9P0R6</t>
  </si>
  <si>
    <t>Q9P0V3</t>
  </si>
  <si>
    <t>Q9P0W5</t>
  </si>
  <si>
    <t>Q9P1U0</t>
  </si>
  <si>
    <t>Q9P1Y5</t>
  </si>
  <si>
    <t>Q9P1Z2-2</t>
  </si>
  <si>
    <t>Q9P206</t>
  </si>
  <si>
    <t>Q9P258</t>
  </si>
  <si>
    <t>Q9P260-2</t>
  </si>
  <si>
    <t>Q9P265</t>
  </si>
  <si>
    <t>Q9P266</t>
  </si>
  <si>
    <t>Q9P270</t>
  </si>
  <si>
    <t>Q9P287-2</t>
  </si>
  <si>
    <t>Q9P2B2</t>
  </si>
  <si>
    <t>Q9P2B4</t>
  </si>
  <si>
    <t>Q9P2C4</t>
  </si>
  <si>
    <t>Q9P2D1-4</t>
  </si>
  <si>
    <t>Q9P2D3-3</t>
  </si>
  <si>
    <t>Q9P2D7-5</t>
  </si>
  <si>
    <t>Q9P2E9</t>
  </si>
  <si>
    <t>Q9P2I0</t>
  </si>
  <si>
    <t>Q9P2M7</t>
  </si>
  <si>
    <t>Q9P2N5</t>
  </si>
  <si>
    <t>Q9P2R3</t>
  </si>
  <si>
    <t>Q9P2W1-2</t>
  </si>
  <si>
    <t>Q9P2X0</t>
  </si>
  <si>
    <t>Q9P2X3</t>
  </si>
  <si>
    <t>Q9UBB4</t>
  </si>
  <si>
    <t>Q9UBB6</t>
  </si>
  <si>
    <t>Q9UBB9</t>
  </si>
  <si>
    <t>Q9UBC2-2</t>
  </si>
  <si>
    <t>Q9UBE0</t>
  </si>
  <si>
    <t>Q9UBF2</t>
  </si>
  <si>
    <t>Q9UBF6</t>
  </si>
  <si>
    <t>Q9UBF8-2</t>
  </si>
  <si>
    <t>Q9UBI6</t>
  </si>
  <si>
    <t>Q9UBK8-2</t>
  </si>
  <si>
    <t>Q9UBL6-2</t>
  </si>
  <si>
    <t>Q9UBM7</t>
  </si>
  <si>
    <t>Q9UBN6</t>
  </si>
  <si>
    <t>Q9UBP0-3</t>
  </si>
  <si>
    <t>Q9UBP6</t>
  </si>
  <si>
    <t>Q9UBP9-4</t>
  </si>
  <si>
    <t>Q9UBQ0</t>
  </si>
  <si>
    <t>Q9UBQ7</t>
  </si>
  <si>
    <t>Q9UBS0</t>
  </si>
  <si>
    <t>Q9UBS4</t>
  </si>
  <si>
    <t>Q9UBS8-2</t>
  </si>
  <si>
    <t>Q9UBT2</t>
  </si>
  <si>
    <t>Q9UBT7-2</t>
  </si>
  <si>
    <t>Q9UBU6</t>
  </si>
  <si>
    <t>Q9UBU8-2</t>
  </si>
  <si>
    <t>Q9UBV8</t>
  </si>
  <si>
    <t>Q9UBW7</t>
  </si>
  <si>
    <t>Q9UBW8</t>
  </si>
  <si>
    <t>Q9UDR5</t>
  </si>
  <si>
    <t>Q9UDX5</t>
  </si>
  <si>
    <t>Q9UDY2-3</t>
  </si>
  <si>
    <t>Q9UDY4</t>
  </si>
  <si>
    <t>Q9UDY8-2</t>
  </si>
  <si>
    <t>Q9UEE9</t>
  </si>
  <si>
    <t>Q9UEG4</t>
  </si>
  <si>
    <t>Q9UEL6</t>
  </si>
  <si>
    <t>Q9UER7-3</t>
  </si>
  <si>
    <t>Q9UET6-2</t>
  </si>
  <si>
    <t>Q9UEU0</t>
  </si>
  <si>
    <t>Q9UEW8</t>
  </si>
  <si>
    <t>Q9UEY8-2</t>
  </si>
  <si>
    <t>Q9UFC0</t>
  </si>
  <si>
    <t>Q9UFG5</t>
  </si>
  <si>
    <t>Q9UFW8</t>
  </si>
  <si>
    <t>Q9UG56-2</t>
  </si>
  <si>
    <t>Q9UG63</t>
  </si>
  <si>
    <t>Q9UGC7</t>
  </si>
  <si>
    <t>Q9UGI8</t>
  </si>
  <si>
    <t>Q9UGI8-2</t>
  </si>
  <si>
    <t>Q9UGP4</t>
  </si>
  <si>
    <t>Q9UGP8</t>
  </si>
  <si>
    <t>Q9UGU0-2</t>
  </si>
  <si>
    <t>Q9UH62</t>
  </si>
  <si>
    <t>Q9UHA4</t>
  </si>
  <si>
    <t>Q9UHB6</t>
  </si>
  <si>
    <t>Q9UHD1</t>
  </si>
  <si>
    <t>Q9UHD2</t>
  </si>
  <si>
    <t>Q9UHD8-7</t>
  </si>
  <si>
    <t>Q9UHD9</t>
  </si>
  <si>
    <t>Q9UHE8</t>
  </si>
  <si>
    <t>Q9UHG2</t>
  </si>
  <si>
    <t>Q9UHG3</t>
  </si>
  <si>
    <t>Q9UHI6</t>
  </si>
  <si>
    <t>Q9UHJ6</t>
  </si>
  <si>
    <t>Q9UHP3</t>
  </si>
  <si>
    <t>Q9UHQ4</t>
  </si>
  <si>
    <t>Q9UHQ9</t>
  </si>
  <si>
    <t>Q9UHR4</t>
  </si>
  <si>
    <t>Q9UHV9</t>
  </si>
  <si>
    <t>Q9UHW5</t>
  </si>
  <si>
    <t>Q9UHX1-4</t>
  </si>
  <si>
    <t>Q9UHY1</t>
  </si>
  <si>
    <t>Q9UHY7</t>
  </si>
  <si>
    <t>Q9UI08</t>
  </si>
  <si>
    <t>Q9UI12-2</t>
  </si>
  <si>
    <t>Q9UI26</t>
  </si>
  <si>
    <t>Q9UI30</t>
  </si>
  <si>
    <t>Q9UI43</t>
  </si>
  <si>
    <t>Q9UIC8</t>
  </si>
  <si>
    <t>Q9UID3</t>
  </si>
  <si>
    <t>Q9UIG0-2</t>
  </si>
  <si>
    <t>Q9UII2</t>
  </si>
  <si>
    <t>Q9UIJ7</t>
  </si>
  <si>
    <t>Q9UIL1-3</t>
  </si>
  <si>
    <t>Q9UIM3</t>
  </si>
  <si>
    <t>Q9UIQ6-3</t>
  </si>
  <si>
    <t>Q9UJ41</t>
  </si>
  <si>
    <t>Q9UJ70</t>
  </si>
  <si>
    <t>Q9UJA5</t>
  </si>
  <si>
    <t>Q9UJS0</t>
  </si>
  <si>
    <t>Q9UJU6</t>
  </si>
  <si>
    <t>Q9UJU6-2</t>
  </si>
  <si>
    <t>Q9UJW0-2</t>
  </si>
  <si>
    <t>Q9UJX2-3</t>
  </si>
  <si>
    <t>Q9UJX3-2</t>
  </si>
  <si>
    <t>Q9UJX5-2</t>
  </si>
  <si>
    <t>Q9UJX6-2</t>
  </si>
  <si>
    <t>Q9UJY1</t>
  </si>
  <si>
    <t>Q9UJY4</t>
  </si>
  <si>
    <t>Q9UJY5-4</t>
  </si>
  <si>
    <t>Q9UJZ1</t>
  </si>
  <si>
    <t>Q9UK23</t>
  </si>
  <si>
    <t>Q9UK45</t>
  </si>
  <si>
    <t>Q9UK59</t>
  </si>
  <si>
    <t>Q9UK76</t>
  </si>
  <si>
    <t>Q9UK99</t>
  </si>
  <si>
    <t>Q9UKB3</t>
  </si>
  <si>
    <t>Q9UKF6</t>
  </si>
  <si>
    <t>Q9UKG1</t>
  </si>
  <si>
    <t>Q9UKI8</t>
  </si>
  <si>
    <t>Q9UKJ3-2</t>
  </si>
  <si>
    <t>Q9UKK9</t>
  </si>
  <si>
    <t>Q9UKN8</t>
  </si>
  <si>
    <t>Q9UKS6</t>
  </si>
  <si>
    <t>Q9UKT4-2</t>
  </si>
  <si>
    <t>Q9UKU7</t>
  </si>
  <si>
    <t>Q9UKV5</t>
  </si>
  <si>
    <t>Q9UKX7</t>
  </si>
  <si>
    <t>Q9UKY7</t>
  </si>
  <si>
    <t>Q9UKZ1</t>
  </si>
  <si>
    <t>Q9UL15</t>
  </si>
  <si>
    <t>Q9UL25</t>
  </si>
  <si>
    <t>Q9UL26</t>
  </si>
  <si>
    <t>Q9UL42</t>
  </si>
  <si>
    <t>Q9UL46</t>
  </si>
  <si>
    <t>Q9UL54-2</t>
  </si>
  <si>
    <t>Q9ULC3</t>
  </si>
  <si>
    <t>Q9ULC4</t>
  </si>
  <si>
    <t>Q9ULD5</t>
  </si>
  <si>
    <t>Q9ULE6</t>
  </si>
  <si>
    <t>Q9ULF5</t>
  </si>
  <si>
    <t>Q9ULH0-5</t>
  </si>
  <si>
    <t>Q9ULH1</t>
  </si>
  <si>
    <t>Q9ULH7-4</t>
  </si>
  <si>
    <t>Q9ULJ3-2</t>
  </si>
  <si>
    <t>Q9ULJ6</t>
  </si>
  <si>
    <t>Q9ULJ7-2</t>
  </si>
  <si>
    <t>Q9ULP9-2</t>
  </si>
  <si>
    <t>Q9ULR0</t>
  </si>
  <si>
    <t>Q9ULT8</t>
  </si>
  <si>
    <t>Q9ULV4</t>
  </si>
  <si>
    <t>Q9ULW0</t>
  </si>
  <si>
    <t>Q9ULX3</t>
  </si>
  <si>
    <t>Q9UM13</t>
  </si>
  <si>
    <t>Q9UMN6</t>
  </si>
  <si>
    <t>Q9UMR2</t>
  </si>
  <si>
    <t>Q9UMS0-3</t>
  </si>
  <si>
    <t>Q9UMS4</t>
  </si>
  <si>
    <t>Q9UMX0</t>
  </si>
  <si>
    <t>Q9UMX1</t>
  </si>
  <si>
    <t>Q9UMX5</t>
  </si>
  <si>
    <t>Q9UMY4-2</t>
  </si>
  <si>
    <t>Q9UMZ2-6</t>
  </si>
  <si>
    <t>Q9UN37</t>
  </si>
  <si>
    <t>Q9UN86-2</t>
  </si>
  <si>
    <t>Q9UNE7</t>
  </si>
  <si>
    <t>Q9UNF0-2</t>
  </si>
  <si>
    <t>Q9UNF1</t>
  </si>
  <si>
    <t>Q9UNH6</t>
  </si>
  <si>
    <t>Q9UNH7</t>
  </si>
  <si>
    <t>Q9UNK0</t>
  </si>
  <si>
    <t>Q9UNM6</t>
  </si>
  <si>
    <t>Q9UNN5</t>
  </si>
  <si>
    <t>Q9UNN8</t>
  </si>
  <si>
    <t>Q9UNP9</t>
  </si>
  <si>
    <t>Q9UNS1-2</t>
  </si>
  <si>
    <t>Q9UNS2</t>
  </si>
  <si>
    <t>Q9UNT1-2</t>
  </si>
  <si>
    <t>Q9UNW1</t>
  </si>
  <si>
    <t>Q9UNW9</t>
  </si>
  <si>
    <t>Q9UNY4</t>
  </si>
  <si>
    <t>Q9UNZ2-5</t>
  </si>
  <si>
    <t>Q9UNZ5</t>
  </si>
  <si>
    <t>Q9UP83</t>
  </si>
  <si>
    <t>Q9UP95-5</t>
  </si>
  <si>
    <t>Q9UPN6</t>
  </si>
  <si>
    <t>Q9UPN7</t>
  </si>
  <si>
    <t>Q9UPN9-2</t>
  </si>
  <si>
    <t>Q9UPQ9-1</t>
  </si>
  <si>
    <t>Q9UPR0</t>
  </si>
  <si>
    <t>Q9UPR3</t>
  </si>
  <si>
    <t>Q9UPT5-2</t>
  </si>
  <si>
    <t>Q9UPT8</t>
  </si>
  <si>
    <t>Q9UPT9</t>
  </si>
  <si>
    <t>Q9UPU5</t>
  </si>
  <si>
    <t>Q9UPU7-2</t>
  </si>
  <si>
    <t>Q9UPW5</t>
  </si>
  <si>
    <t>Q9UPY8</t>
  </si>
  <si>
    <t>Q9UQ13-2</t>
  </si>
  <si>
    <t>Q9UQ35</t>
  </si>
  <si>
    <t>Q9UQ53-2</t>
  </si>
  <si>
    <t>Q9UQ80</t>
  </si>
  <si>
    <t>Q9UQ84-4</t>
  </si>
  <si>
    <t>Q9UQ90</t>
  </si>
  <si>
    <t>Q9UQE7</t>
  </si>
  <si>
    <t>Q9UQN3</t>
  </si>
  <si>
    <t>Q9UQR0</t>
  </si>
  <si>
    <t>Q9Y217</t>
  </si>
  <si>
    <t>Q9Y219</t>
  </si>
  <si>
    <t>Q9Y224</t>
  </si>
  <si>
    <t>Q9Y230</t>
  </si>
  <si>
    <t>Q9Y233</t>
  </si>
  <si>
    <t>Q9Y237</t>
  </si>
  <si>
    <t>Q9Y242</t>
  </si>
  <si>
    <t>Q9Y243-2</t>
  </si>
  <si>
    <t>Q9Y248</t>
  </si>
  <si>
    <t>Q9Y255</t>
  </si>
  <si>
    <t>Q9Y259</t>
  </si>
  <si>
    <t>Q9Y263</t>
  </si>
  <si>
    <t>Q9Y265</t>
  </si>
  <si>
    <t>Q9Y266</t>
  </si>
  <si>
    <t>Q9Y276</t>
  </si>
  <si>
    <t>Q9Y277</t>
  </si>
  <si>
    <t>Q9Y281</t>
  </si>
  <si>
    <t>Q9Y289</t>
  </si>
  <si>
    <t>Q9Y295</t>
  </si>
  <si>
    <t>Q9Y2B0</t>
  </si>
  <si>
    <t>Q9Y2C2</t>
  </si>
  <si>
    <t>Q9Y2D5-6</t>
  </si>
  <si>
    <t>Q9Y2G2-4</t>
  </si>
  <si>
    <t>Q9Y2G3</t>
  </si>
  <si>
    <t>Q9Y2G5</t>
  </si>
  <si>
    <t>Q9Y2H0-1</t>
  </si>
  <si>
    <t>Q9Y2H1</t>
  </si>
  <si>
    <t>Q9Y2H6-2</t>
  </si>
  <si>
    <t>Q9Y2J2</t>
  </si>
  <si>
    <t>Q9Y2J2-2</t>
  </si>
  <si>
    <t>Q9Y2K7-4</t>
  </si>
  <si>
    <t>Q9Y2L1</t>
  </si>
  <si>
    <t>Q9Y2Q0-3</t>
  </si>
  <si>
    <t>Q9Y2Q5</t>
  </si>
  <si>
    <t>Q9Y2R0</t>
  </si>
  <si>
    <t>Q9Y2S0</t>
  </si>
  <si>
    <t>Q9Y2S6</t>
  </si>
  <si>
    <t>Q9Y2S7</t>
  </si>
  <si>
    <t>Q9Y2T2</t>
  </si>
  <si>
    <t>Q9Y2T4-3</t>
  </si>
  <si>
    <t>Q9Y2U5</t>
  </si>
  <si>
    <t>Q9Y2U8</t>
  </si>
  <si>
    <t>Q9Y2V2</t>
  </si>
  <si>
    <t>Q9Y2V7-2</t>
  </si>
  <si>
    <t>Q9Y2W1</t>
  </si>
  <si>
    <t>Q9Y2X3</t>
  </si>
  <si>
    <t>Q9Y2X7</t>
  </si>
  <si>
    <t>Q9Y2Y1</t>
  </si>
  <si>
    <t>Q9Y2Z0-2</t>
  </si>
  <si>
    <t>Q9Y2Z2-5</t>
  </si>
  <si>
    <t>Q9Y2Z4</t>
  </si>
  <si>
    <t>Q9Y2Z9-3</t>
  </si>
  <si>
    <t>Q9Y303-2</t>
  </si>
  <si>
    <t>Q9Y305</t>
  </si>
  <si>
    <t>Q9Y314</t>
  </si>
  <si>
    <t>Q9Y316</t>
  </si>
  <si>
    <t>Q9Y320-2</t>
  </si>
  <si>
    <t>Q9Y333</t>
  </si>
  <si>
    <t>Q9Y371</t>
  </si>
  <si>
    <t>Q9Y375</t>
  </si>
  <si>
    <t>Q9Y376</t>
  </si>
  <si>
    <t>Q9Y383</t>
  </si>
  <si>
    <t>Q9Y394-2</t>
  </si>
  <si>
    <t>Q9Y3A3</t>
  </si>
  <si>
    <t>Q9Y3A5</t>
  </si>
  <si>
    <t>Q9Y3A6</t>
  </si>
  <si>
    <t>Q9Y3B3-2</t>
  </si>
  <si>
    <t>Q9Y3B7</t>
  </si>
  <si>
    <t>Q9Y3B9</t>
  </si>
  <si>
    <t>Q9Y3C1</t>
  </si>
  <si>
    <t>Q9Y3C4</t>
  </si>
  <si>
    <t>Q9Y3C6</t>
  </si>
  <si>
    <t>Q9Y3C8</t>
  </si>
  <si>
    <t>Q9Y3D0</t>
  </si>
  <si>
    <t>Q9Y3D2</t>
  </si>
  <si>
    <t>Q9Y3D6</t>
  </si>
  <si>
    <t>Q9Y3D8</t>
  </si>
  <si>
    <t>Q9Y3E2</t>
  </si>
  <si>
    <t>Q9Y3E7-4</t>
  </si>
  <si>
    <t>Q9Y3F4</t>
  </si>
  <si>
    <t>Q9Y3I0</t>
  </si>
  <si>
    <t>Q9Y3I1</t>
  </si>
  <si>
    <t>Q9Y3L3</t>
  </si>
  <si>
    <t>Q9Y3L5</t>
  </si>
  <si>
    <t>Q9Y3P9</t>
  </si>
  <si>
    <t>Q9Y3Q8</t>
  </si>
  <si>
    <t>Q9Y3R5-2</t>
  </si>
  <si>
    <t>Q9Y3S2</t>
  </si>
  <si>
    <t>Q9Y3T6</t>
  </si>
  <si>
    <t>Q9Y3T9</t>
  </si>
  <si>
    <t>Q9Y3X0</t>
  </si>
  <si>
    <t>Q9Y3Z3-4</t>
  </si>
  <si>
    <t>Q9Y448</t>
  </si>
  <si>
    <t>Q9Y450-4</t>
  </si>
  <si>
    <t>Q9Y467</t>
  </si>
  <si>
    <t>Q9Y490</t>
  </si>
  <si>
    <t>Q9Y4C1</t>
  </si>
  <si>
    <t>Q9Y4C2-2</t>
  </si>
  <si>
    <t>Q9Y4E1-2</t>
  </si>
  <si>
    <t>Q9Y4E8</t>
  </si>
  <si>
    <t>Q9Y4F1</t>
  </si>
  <si>
    <t>Q9Y4H2</t>
  </si>
  <si>
    <t>Q9Y4K3</t>
  </si>
  <si>
    <t>Q9Y4K4</t>
  </si>
  <si>
    <t>Q9Y4P1-6</t>
  </si>
  <si>
    <t>Q9Y4P8-3</t>
  </si>
  <si>
    <t>Q9Y4R8</t>
  </si>
  <si>
    <t>Q9Y4U1</t>
  </si>
  <si>
    <t>Q9Y4W6</t>
  </si>
  <si>
    <t>Q9Y4X5</t>
  </si>
  <si>
    <t>Q9Y4Z0</t>
  </si>
  <si>
    <t>Q9Y508</t>
  </si>
  <si>
    <t>Q9Y512</t>
  </si>
  <si>
    <t>Q9Y546</t>
  </si>
  <si>
    <t>Q9Y570</t>
  </si>
  <si>
    <t>Q9Y584</t>
  </si>
  <si>
    <t>Q9Y597-3</t>
  </si>
  <si>
    <t>Q9Y5A9</t>
  </si>
  <si>
    <t>Q9Y5B0</t>
  </si>
  <si>
    <t>Q9Y5B8-2</t>
  </si>
  <si>
    <t>Q9Y5J5</t>
  </si>
  <si>
    <t>Q9Y5J6</t>
  </si>
  <si>
    <t>Q9Y5J7</t>
  </si>
  <si>
    <t>Q9Y5K5-2</t>
  </si>
  <si>
    <t>Q9Y5K6</t>
  </si>
  <si>
    <t>Q9Y5K8</t>
  </si>
  <si>
    <t>Q9Y5L2</t>
  </si>
  <si>
    <t>Q9Y5L4</t>
  </si>
  <si>
    <t>Q9Y5M8</t>
  </si>
  <si>
    <t>Q9Y5N5</t>
  </si>
  <si>
    <t>Q9Y5N6</t>
  </si>
  <si>
    <t>Q9Y5P4-2</t>
  </si>
  <si>
    <t>Q9Y5P6</t>
  </si>
  <si>
    <t>Q9Y5Q8</t>
  </si>
  <si>
    <t>Q9Y5Q9</t>
  </si>
  <si>
    <t>Q9Y5S2</t>
  </si>
  <si>
    <t>Q9Y5S9</t>
  </si>
  <si>
    <t>Q9Y5T5-5</t>
  </si>
  <si>
    <t>Q9Y5U2-2</t>
  </si>
  <si>
    <t>Q9Y5V0</t>
  </si>
  <si>
    <t>Q9Y5X1</t>
  </si>
  <si>
    <t>Q9Y5X2</t>
  </si>
  <si>
    <t>Q9Y5X3</t>
  </si>
  <si>
    <t>Q9Y5Y0</t>
  </si>
  <si>
    <t>Q9Y5Y2</t>
  </si>
  <si>
    <t>Q9Y5Z4</t>
  </si>
  <si>
    <t>Q9Y5Z9-2</t>
  </si>
  <si>
    <t>Q9Y605</t>
  </si>
  <si>
    <t>Q9Y608-4</t>
  </si>
  <si>
    <t>Q9Y613</t>
  </si>
  <si>
    <t>Q9Y617</t>
  </si>
  <si>
    <t>Q9Y619</t>
  </si>
  <si>
    <t>Q9Y639-1</t>
  </si>
  <si>
    <t>Q9Y657</t>
  </si>
  <si>
    <t>Q9Y673</t>
  </si>
  <si>
    <t>Q9Y678</t>
  </si>
  <si>
    <t>Q9Y679-2</t>
  </si>
  <si>
    <t>Q9Y680-3</t>
  </si>
  <si>
    <t>Q9Y696</t>
  </si>
  <si>
    <t>Q9Y697-2</t>
  </si>
  <si>
    <t>Q9Y6A4</t>
  </si>
  <si>
    <t>Q9Y6A5</t>
  </si>
  <si>
    <t>Q9Y6B6</t>
  </si>
  <si>
    <t>Q9Y6C9</t>
  </si>
  <si>
    <t>Q9Y6D5</t>
  </si>
  <si>
    <t>Q9Y6D9</t>
  </si>
  <si>
    <t>Q9Y6G9</t>
  </si>
  <si>
    <t>Q9Y6H1</t>
  </si>
  <si>
    <t>Q9Y6I3-3</t>
  </si>
  <si>
    <t>Q9Y6I9</t>
  </si>
  <si>
    <t>Q9Y6K0</t>
  </si>
  <si>
    <t>Q9Y6K9</t>
  </si>
  <si>
    <t>Q9Y6M5</t>
  </si>
  <si>
    <t>Q9Y6N7-6</t>
  </si>
  <si>
    <t>Q9Y6Q2</t>
  </si>
  <si>
    <t>Q9Y6Q9-2</t>
  </si>
  <si>
    <t>Q9Y6R0</t>
  </si>
  <si>
    <t>Q9Y6W3</t>
  </si>
  <si>
    <t>Q9Y6W5</t>
  </si>
  <si>
    <t>Q9Y6X8</t>
  </si>
  <si>
    <t>R4GMN1</t>
  </si>
  <si>
    <t>R4GMR5</t>
  </si>
  <si>
    <t>R4GMU8</t>
  </si>
  <si>
    <t>R4GMX3</t>
  </si>
  <si>
    <t>R4GMZ8</t>
  </si>
  <si>
    <t>R4GN33</t>
  </si>
  <si>
    <t>R4GN50</t>
  </si>
  <si>
    <t>R4GN55</t>
  </si>
  <si>
    <t>R4GNH3</t>
  </si>
  <si>
    <t>norm_FC_TMT126_H.sapiens_HEK293_PP018221</t>
  </si>
  <si>
    <t>norm_FC_TMT127L_H.sapiens_HEK293_PP018221</t>
  </si>
  <si>
    <t>norm_FC_TMT127H_H.sapiens_HEK293_PP018221</t>
  </si>
  <si>
    <t>norm_FC_TMT128L_H.sapiens_HEK293_PP018221</t>
  </si>
  <si>
    <t>norm_FC_TMT128H_H.sapiens_HEK293_PP018221</t>
  </si>
  <si>
    <t>norm_FC_TMT129L_H.sapiens_HEK293_PP018221</t>
  </si>
  <si>
    <t>norm_FC_TMT129H_H.sapiens_HEK293_PP018221</t>
  </si>
  <si>
    <t>norm_FC_TMT130L_H.sapiens_HEK293_PP018221</t>
  </si>
  <si>
    <t>norm_FC_TMT130H_H.sapiens_HEK293_PP018221</t>
  </si>
  <si>
    <t>norm_FC_TMT131L_H.sapiens_HEK293_PP018221</t>
  </si>
  <si>
    <t>a_H.sapiens_HEK293_PP018221</t>
  </si>
  <si>
    <t>b_H.sapiens_HEK293_PP018221</t>
  </si>
  <si>
    <t>meltPoint_H.sapiens_HEK293_PP018221</t>
  </si>
  <si>
    <t>inflPoint_H.sapiens_HEK293_PP018221</t>
  </si>
  <si>
    <t>slope_H.sapiens_HEK293_PP018221</t>
  </si>
  <si>
    <t>plateau_H.sapiens_HEK293_PP018221</t>
  </si>
  <si>
    <t>R_sq_H.sapiens_HEK293_PP018221</t>
  </si>
  <si>
    <t>protein_identified_in_H.sapiens_HEK293_PP018221</t>
  </si>
  <si>
    <t>model_converged_H.sapiens_HEK293_PP018221</t>
  </si>
  <si>
    <t>sufficient_data_for_fit_H.sapiens_HEK293_PP018221</t>
  </si>
  <si>
    <t>Proteinname_H.sapiens_HEK293_PP018221</t>
  </si>
  <si>
    <t>numSpec_H.sapiens_HEK293_PP018221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</si>
</sst>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580"/>
  <sheetViews>
    <sheetView tabSelected="1" workbookViewId="0">
      <selection sqref="A1:XFD1"/>
    </sheetView>
  </sheetViews>
  <sheetFormatPr defaultRowHeight="15" x14ac:dyDescent="0.25"/>
  <sheetData>
    <row r="1" spans="1:28" s="2" customFormat="1" ht="105" x14ac:dyDescent="0.25">
      <c r="A1" s="1" t="s">
        <v>0</v>
      </c>
      <c r="B1" s="1" t="s">
        <v>27731</v>
      </c>
      <c r="C1" s="1" t="s">
        <v>27732</v>
      </c>
      <c r="D1" s="1" t="s">
        <v>27733</v>
      </c>
      <c r="E1" s="1" t="s">
        <v>27734</v>
      </c>
      <c r="F1" s="1" t="s">
        <v>27735</v>
      </c>
      <c r="G1" s="1" t="s">
        <v>27736</v>
      </c>
      <c r="H1" s="1" t="s">
        <v>27737</v>
      </c>
      <c r="I1" s="1" t="s">
        <v>27738</v>
      </c>
      <c r="J1" s="1" t="s">
        <v>27739</v>
      </c>
      <c r="K1" s="1" t="s">
        <v>27740</v>
      </c>
      <c r="L1" s="1" t="s">
        <v>27741</v>
      </c>
      <c r="M1" s="1" t="s">
        <v>27742</v>
      </c>
      <c r="N1" s="1" t="s">
        <v>27743</v>
      </c>
      <c r="O1" s="1" t="s">
        <v>27744</v>
      </c>
      <c r="P1" s="1" t="s">
        <v>27745</v>
      </c>
      <c r="Q1" s="1" t="s">
        <v>27746</v>
      </c>
      <c r="R1" s="1" t="s">
        <v>27747</v>
      </c>
      <c r="S1" s="1" t="s">
        <v>1</v>
      </c>
      <c r="T1" s="1" t="s">
        <v>27748</v>
      </c>
      <c r="U1" s="1" t="s">
        <v>27749</v>
      </c>
      <c r="V1" s="1" t="s">
        <v>27750</v>
      </c>
      <c r="W1" s="1" t="s">
        <v>27751</v>
      </c>
      <c r="X1" s="1" t="s">
        <v>27752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0.99796759195183404</v>
      </c>
      <c r="C2">
        <v>1.2486217508987101</v>
      </c>
      <c r="D2">
        <v>1.16676433235207</v>
      </c>
      <c r="E2">
        <v>1.0028985369848999</v>
      </c>
      <c r="F2">
        <v>1.1529948866112401</v>
      </c>
      <c r="G2">
        <v>0.55503646335068502</v>
      </c>
      <c r="H2">
        <v>0.32409690815919001</v>
      </c>
      <c r="I2">
        <v>0.23836486018233899</v>
      </c>
      <c r="J2">
        <v>7.5835130933968403E-2</v>
      </c>
      <c r="K2">
        <v>0</v>
      </c>
      <c r="L2">
        <v>1613.76318820965</v>
      </c>
      <c r="M2">
        <v>29.467710248910699</v>
      </c>
      <c r="N2">
        <v>55.125479982800002</v>
      </c>
      <c r="O2">
        <v>54.513434968256497</v>
      </c>
      <c r="P2">
        <v>-0.123261347367075</v>
      </c>
      <c r="Q2">
        <v>8.7903057970026705E-2</v>
      </c>
      <c r="R2">
        <v>0.92154603119904499</v>
      </c>
      <c r="S2" t="s">
        <v>5585</v>
      </c>
      <c r="T2" t="s">
        <v>11164</v>
      </c>
      <c r="U2" t="s">
        <v>11164</v>
      </c>
      <c r="V2" t="s">
        <v>11164</v>
      </c>
      <c r="W2" t="s">
        <v>11166</v>
      </c>
      <c r="X2">
        <v>1</v>
      </c>
      <c r="Y2" t="s">
        <v>16697</v>
      </c>
      <c r="Z2" t="s">
        <v>22152</v>
      </c>
      <c r="AA2">
        <v>0.63396644162237192</v>
      </c>
      <c r="AB2" t="str">
        <f>HYPERLINK("Melting_Curves/meltCurve_A0AVI4_TMEM129.pdf", "Melting_Curves/meltCurve_A0AVI4_TMEM129.pdf")</f>
        <v>Melting_Curves/meltCurve_A0AVI4_TMEM129.pdf</v>
      </c>
    </row>
    <row r="3" spans="1:28" x14ac:dyDescent="0.25">
      <c r="A3" t="s">
        <v>7</v>
      </c>
      <c r="B3">
        <v>0.99796759195183404</v>
      </c>
      <c r="C3">
        <v>0.92746768233245402</v>
      </c>
      <c r="D3">
        <v>0.89908368738969302</v>
      </c>
      <c r="E3">
        <v>0.86747170087775705</v>
      </c>
      <c r="F3">
        <v>0.71938186220632705</v>
      </c>
      <c r="G3">
        <v>0.39836241277155199</v>
      </c>
      <c r="H3">
        <v>0.17407992789913301</v>
      </c>
      <c r="I3">
        <v>0.139506181143248</v>
      </c>
      <c r="J3">
        <v>0.109423683274164</v>
      </c>
      <c r="K3">
        <v>9.2358820719967802E-2</v>
      </c>
      <c r="L3">
        <v>896.05399751146194</v>
      </c>
      <c r="M3">
        <v>17.222351551448899</v>
      </c>
      <c r="N3">
        <v>52.436192543129799</v>
      </c>
      <c r="O3">
        <v>51.342280238385101</v>
      </c>
      <c r="P3">
        <v>-7.8610754483936701E-2</v>
      </c>
      <c r="Q3">
        <v>6.2655669230163996E-2</v>
      </c>
      <c r="R3">
        <v>0.98852424973561703</v>
      </c>
      <c r="S3" t="s">
        <v>5586</v>
      </c>
      <c r="T3" t="s">
        <v>11164</v>
      </c>
      <c r="U3" t="s">
        <v>11164</v>
      </c>
      <c r="V3" t="s">
        <v>11164</v>
      </c>
      <c r="W3" t="s">
        <v>11167</v>
      </c>
      <c r="X3">
        <v>16</v>
      </c>
      <c r="Y3" t="s">
        <v>16698</v>
      </c>
      <c r="Z3" t="s">
        <v>22153</v>
      </c>
      <c r="AA3">
        <v>0.54727725143431294</v>
      </c>
      <c r="AB3" t="str">
        <f>HYPERLINK("Melting_Curves/meltCurve_A0AVT1_UBA6.pdf", "Melting_Curves/meltCurve_A0AVT1_UBA6.pdf")</f>
        <v>Melting_Curves/meltCurve_A0AVT1_UBA6.pdf</v>
      </c>
    </row>
    <row r="4" spans="1:28" x14ac:dyDescent="0.25">
      <c r="A4" t="s">
        <v>8</v>
      </c>
      <c r="B4">
        <v>0.99796759195183404</v>
      </c>
      <c r="C4">
        <v>0.95764821829879598</v>
      </c>
      <c r="D4">
        <v>0.948197299283975</v>
      </c>
      <c r="E4">
        <v>0.861370111265639</v>
      </c>
      <c r="F4">
        <v>0.78605620450959501</v>
      </c>
      <c r="G4">
        <v>0.480679306474804</v>
      </c>
      <c r="H4">
        <v>0.25510652495547298</v>
      </c>
      <c r="I4">
        <v>0.20166403602656199</v>
      </c>
      <c r="J4">
        <v>0.16788532502099601</v>
      </c>
      <c r="K4">
        <v>0.12415001398742501</v>
      </c>
      <c r="L4">
        <v>876.66691651892995</v>
      </c>
      <c r="M4">
        <v>16.597202196916999</v>
      </c>
      <c r="N4">
        <v>53.569423381564199</v>
      </c>
      <c r="O4">
        <v>52.071240496541797</v>
      </c>
      <c r="P4">
        <v>-7.1435944645986099E-2</v>
      </c>
      <c r="Q4">
        <v>0.10358264605006801</v>
      </c>
      <c r="R4">
        <v>0.9921280210465</v>
      </c>
      <c r="S4" t="s">
        <v>5587</v>
      </c>
      <c r="T4" t="s">
        <v>11164</v>
      </c>
      <c r="U4" t="s">
        <v>11164</v>
      </c>
      <c r="V4" t="s">
        <v>11164</v>
      </c>
      <c r="W4" t="s">
        <v>11168</v>
      </c>
      <c r="X4">
        <v>12</v>
      </c>
      <c r="Y4" t="s">
        <v>16699</v>
      </c>
      <c r="Z4" t="s">
        <v>22154</v>
      </c>
      <c r="AA4">
        <v>0.59083564081986539</v>
      </c>
      <c r="AB4" t="str">
        <f>HYPERLINK("Melting_Curves/meltCurve_A0FGR8_2_ESYT2.pdf", "Melting_Curves/meltCurve_A0FGR8_2_ESYT2.pdf")</f>
        <v>Melting_Curves/meltCurve_A0FGR8_2_ESYT2.pdf</v>
      </c>
    </row>
    <row r="5" spans="1:28" x14ac:dyDescent="0.25">
      <c r="A5" t="s">
        <v>9</v>
      </c>
      <c r="B5">
        <v>0.99796759195183404</v>
      </c>
      <c r="C5">
        <v>0.99957488919315096</v>
      </c>
      <c r="D5">
        <v>1.01046407477328</v>
      </c>
      <c r="E5">
        <v>0.96195677502827504</v>
      </c>
      <c r="F5">
        <v>0.80123135827485203</v>
      </c>
      <c r="G5">
        <v>0.33453655235504598</v>
      </c>
      <c r="H5">
        <v>0.248393395297343</v>
      </c>
      <c r="I5">
        <v>0.180198512059451</v>
      </c>
      <c r="J5">
        <v>0.156343206135998</v>
      </c>
      <c r="K5">
        <v>0.112798582804732</v>
      </c>
      <c r="L5">
        <v>1671.0411393447901</v>
      </c>
      <c r="M5">
        <v>32.2110457635074</v>
      </c>
      <c r="N5">
        <v>52.498642356011203</v>
      </c>
      <c r="O5">
        <v>51.679166674188899</v>
      </c>
      <c r="P5">
        <v>-0.13114576027910299</v>
      </c>
      <c r="Q5">
        <v>0.15836694104708801</v>
      </c>
      <c r="R5">
        <v>0.99548697335942504</v>
      </c>
      <c r="S5" t="s">
        <v>5588</v>
      </c>
      <c r="T5" t="s">
        <v>11164</v>
      </c>
      <c r="U5" t="s">
        <v>11164</v>
      </c>
      <c r="V5" t="s">
        <v>11164</v>
      </c>
      <c r="W5" t="s">
        <v>11169</v>
      </c>
      <c r="X5">
        <v>22</v>
      </c>
      <c r="Y5" t="s">
        <v>16700</v>
      </c>
      <c r="Z5" t="s">
        <v>22155</v>
      </c>
      <c r="AA5">
        <v>0.58037880368933459</v>
      </c>
      <c r="AB5" t="str">
        <f>HYPERLINK("Melting_Curves/meltCurve_A0MZ66_KIAA1598.pdf", "Melting_Curves/meltCurve_A0MZ66_KIAA1598.pdf")</f>
        <v>Melting_Curves/meltCurve_A0MZ66_KIAA1598.pdf</v>
      </c>
    </row>
    <row r="6" spans="1:28" x14ac:dyDescent="0.25">
      <c r="A6" t="s">
        <v>10</v>
      </c>
      <c r="B6">
        <v>0.99796759195183404</v>
      </c>
      <c r="C6">
        <v>1.05788071233089</v>
      </c>
      <c r="D6">
        <v>1.0027908205431599</v>
      </c>
      <c r="E6">
        <v>0.98977693380241405</v>
      </c>
      <c r="F6">
        <v>0.78371239883838995</v>
      </c>
      <c r="G6">
        <v>0.695190104486484</v>
      </c>
      <c r="H6">
        <v>0.42507421610109197</v>
      </c>
      <c r="I6">
        <v>0.239194438695783</v>
      </c>
      <c r="J6">
        <v>0.20992967026112799</v>
      </c>
      <c r="K6">
        <v>0.165097992750148</v>
      </c>
      <c r="L6">
        <v>872.16290232696895</v>
      </c>
      <c r="M6">
        <v>15.7714931210347</v>
      </c>
      <c r="N6">
        <v>56.135360651455699</v>
      </c>
      <c r="O6">
        <v>54.433798262691802</v>
      </c>
      <c r="P6">
        <v>-6.4863041982399103E-2</v>
      </c>
      <c r="Q6">
        <v>0.104599996328835</v>
      </c>
      <c r="R6">
        <v>0.98936978498526096</v>
      </c>
      <c r="S6" t="s">
        <v>5589</v>
      </c>
      <c r="T6" t="s">
        <v>11164</v>
      </c>
      <c r="U6" t="s">
        <v>11164</v>
      </c>
      <c r="V6" t="s">
        <v>11164</v>
      </c>
      <c r="W6" t="s">
        <v>11170</v>
      </c>
      <c r="X6">
        <v>1</v>
      </c>
      <c r="Y6" t="s">
        <v>16701</v>
      </c>
      <c r="Z6" t="s">
        <v>22156</v>
      </c>
      <c r="AA6">
        <v>0.6625654949106321</v>
      </c>
      <c r="AB6" t="str">
        <f>HYPERLINK("Melting_Curves/meltCurve_A0PJW6_TMEM223.pdf", "Melting_Curves/meltCurve_A0PJW6_TMEM223.pdf")</f>
        <v>Melting_Curves/meltCurve_A0PJW6_TMEM223.pdf</v>
      </c>
    </row>
    <row r="7" spans="1:28" x14ac:dyDescent="0.25">
      <c r="A7" t="s">
        <v>11</v>
      </c>
      <c r="B7">
        <v>0.99796759195183404</v>
      </c>
      <c r="C7">
        <v>1.01873996462858</v>
      </c>
      <c r="D7">
        <v>0.99106019074621798</v>
      </c>
      <c r="E7">
        <v>0.95830498484832105</v>
      </c>
      <c r="F7">
        <v>0.87089863452340099</v>
      </c>
      <c r="G7">
        <v>0.88994447827044298</v>
      </c>
      <c r="H7">
        <v>0.58802908744573101</v>
      </c>
      <c r="I7">
        <v>0.34749113158468398</v>
      </c>
      <c r="J7">
        <v>0.226383783530195</v>
      </c>
      <c r="K7">
        <v>0.15532860604769499</v>
      </c>
      <c r="L7">
        <v>1038.2863070959099</v>
      </c>
      <c r="M7">
        <v>17.800431318501602</v>
      </c>
      <c r="N7">
        <v>58.797978996827297</v>
      </c>
      <c r="O7">
        <v>57.608041329840503</v>
      </c>
      <c r="P7">
        <v>-7.2142304245335395E-2</v>
      </c>
      <c r="Q7">
        <v>6.6143210884793899E-2</v>
      </c>
      <c r="R7">
        <v>0.98899846494158095</v>
      </c>
      <c r="S7" t="s">
        <v>5590</v>
      </c>
      <c r="T7" t="s">
        <v>11164</v>
      </c>
      <c r="U7" t="s">
        <v>11164</v>
      </c>
      <c r="V7" t="s">
        <v>11164</v>
      </c>
      <c r="W7" t="s">
        <v>11171</v>
      </c>
      <c r="X7">
        <v>17</v>
      </c>
      <c r="Y7" t="s">
        <v>16702</v>
      </c>
      <c r="Z7" t="s">
        <v>22157</v>
      </c>
      <c r="AA7">
        <v>0.73489492943398571</v>
      </c>
      <c r="AB7" t="str">
        <f>HYPERLINK("Melting_Curves/meltCurve_A1L0T0_ILVBL.pdf", "Melting_Curves/meltCurve_A1L0T0_ILVBL.pdf")</f>
        <v>Melting_Curves/meltCurve_A1L0T0_ILVBL.pdf</v>
      </c>
    </row>
    <row r="8" spans="1:28" x14ac:dyDescent="0.25">
      <c r="A8" t="s">
        <v>12</v>
      </c>
      <c r="B8">
        <v>0.99796759195183404</v>
      </c>
      <c r="C8">
        <v>0.99935658689173101</v>
      </c>
      <c r="D8">
        <v>0.96056366621332501</v>
      </c>
      <c r="E8">
        <v>0.943454437992022</v>
      </c>
      <c r="F8">
        <v>0.77755924998111003</v>
      </c>
      <c r="G8">
        <v>0.75929013854941396</v>
      </c>
      <c r="H8">
        <v>0.66074984764033096</v>
      </c>
      <c r="I8">
        <v>0.51812391432262095</v>
      </c>
      <c r="J8">
        <v>0.84855253891018401</v>
      </c>
      <c r="K8">
        <v>0.73969748547116398</v>
      </c>
      <c r="L8">
        <v>1341.43207212691</v>
      </c>
      <c r="M8">
        <v>27.547441726357199</v>
      </c>
      <c r="O8">
        <v>48.440899983050997</v>
      </c>
      <c r="P8">
        <v>-4.2910933193872097E-2</v>
      </c>
      <c r="Q8">
        <v>0.69817522279509503</v>
      </c>
      <c r="R8">
        <v>0.72928912773891497</v>
      </c>
      <c r="S8" t="s">
        <v>5591</v>
      </c>
      <c r="T8" t="s">
        <v>11164</v>
      </c>
      <c r="U8" t="s">
        <v>11164</v>
      </c>
      <c r="V8" t="s">
        <v>11164</v>
      </c>
      <c r="W8" t="s">
        <v>11172</v>
      </c>
      <c r="X8">
        <v>3</v>
      </c>
      <c r="Y8" t="s">
        <v>16703</v>
      </c>
      <c r="Z8" t="s">
        <v>22158</v>
      </c>
      <c r="AA8">
        <v>0.81798564365269877</v>
      </c>
      <c r="AB8" t="str">
        <f>HYPERLINK("Melting_Curves/meltCurve_A1L188_C17orf89.pdf", "Melting_Curves/meltCurve_A1L188_C17orf89.pdf")</f>
        <v>Melting_Curves/meltCurve_A1L188_C17orf89.pdf</v>
      </c>
    </row>
    <row r="9" spans="1:28" x14ac:dyDescent="0.25">
      <c r="A9" t="s">
        <v>13</v>
      </c>
      <c r="B9">
        <v>0.99796759195183404</v>
      </c>
      <c r="C9">
        <v>0.95118418104235902</v>
      </c>
      <c r="D9">
        <v>0.92091874796143502</v>
      </c>
      <c r="E9">
        <v>0.87668185632165696</v>
      </c>
      <c r="F9">
        <v>0.84365380680734303</v>
      </c>
      <c r="G9">
        <v>0.37336028512904801</v>
      </c>
      <c r="H9">
        <v>0.25537015758161902</v>
      </c>
      <c r="I9">
        <v>0.17703675244391601</v>
      </c>
      <c r="J9">
        <v>0.15012833484143301</v>
      </c>
      <c r="K9">
        <v>0.105609441687864</v>
      </c>
      <c r="L9">
        <v>1313.69844034631</v>
      </c>
      <c r="M9">
        <v>25.0963703920239</v>
      </c>
      <c r="N9">
        <v>53.010761843137502</v>
      </c>
      <c r="O9">
        <v>52.017181984846601</v>
      </c>
      <c r="P9">
        <v>-0.104337401847571</v>
      </c>
      <c r="Q9">
        <v>0.134972003320464</v>
      </c>
      <c r="R9">
        <v>0.98084947039699699</v>
      </c>
      <c r="S9" t="s">
        <v>5592</v>
      </c>
      <c r="T9" t="s">
        <v>11164</v>
      </c>
      <c r="U9" t="s">
        <v>11164</v>
      </c>
      <c r="V9" t="s">
        <v>11164</v>
      </c>
      <c r="W9" t="s">
        <v>11173</v>
      </c>
      <c r="X9">
        <v>6</v>
      </c>
      <c r="Y9" t="s">
        <v>16704</v>
      </c>
      <c r="Z9" t="s">
        <v>22159</v>
      </c>
      <c r="AA9">
        <v>0.58507850613847689</v>
      </c>
      <c r="AB9" t="str">
        <f>HYPERLINK("Melting_Curves/meltCurve_A1X283_SH3PXD2B.pdf", "Melting_Curves/meltCurve_A1X283_SH3PXD2B.pdf")</f>
        <v>Melting_Curves/meltCurve_A1X283_SH3PXD2B.pdf</v>
      </c>
    </row>
    <row r="10" spans="1:28" x14ac:dyDescent="0.25">
      <c r="A10" t="s">
        <v>14</v>
      </c>
      <c r="B10">
        <v>0.99796759195183404</v>
      </c>
      <c r="C10">
        <v>0.98317691177570099</v>
      </c>
      <c r="D10">
        <v>0.98021233119898399</v>
      </c>
      <c r="E10">
        <v>0.93125362925739197</v>
      </c>
      <c r="F10">
        <v>0.81074924908544899</v>
      </c>
      <c r="G10">
        <v>0.39108375720398703</v>
      </c>
      <c r="H10">
        <v>0.19015276209231199</v>
      </c>
      <c r="I10">
        <v>0.14501964734762299</v>
      </c>
      <c r="J10">
        <v>0.119483153490876</v>
      </c>
      <c r="K10">
        <v>9.0018142201487503E-2</v>
      </c>
      <c r="L10">
        <v>1404.88046025991</v>
      </c>
      <c r="M10">
        <v>26.806730620786301</v>
      </c>
      <c r="N10">
        <v>52.885322123629003</v>
      </c>
      <c r="O10">
        <v>52.1186864045319</v>
      </c>
      <c r="P10">
        <v>-0.114763213317154</v>
      </c>
      <c r="Q10">
        <v>0.107500354223899</v>
      </c>
      <c r="R10">
        <v>0.99772703896078496</v>
      </c>
      <c r="S10" t="s">
        <v>5593</v>
      </c>
      <c r="T10" t="s">
        <v>11164</v>
      </c>
      <c r="U10" t="s">
        <v>11164</v>
      </c>
      <c r="V10" t="s">
        <v>11164</v>
      </c>
      <c r="W10" t="s">
        <v>11174</v>
      </c>
      <c r="X10">
        <v>38</v>
      </c>
      <c r="Y10" t="s">
        <v>16705</v>
      </c>
      <c r="Z10" t="s">
        <v>22160</v>
      </c>
      <c r="AA10">
        <v>0.57285514225656986</v>
      </c>
      <c r="AB10" t="str">
        <f>HYPERLINK("Melting_Curves/meltCurve_A2A274_ACO2.pdf", "Melting_Curves/meltCurve_A2A274_ACO2.pdf")</f>
        <v>Melting_Curves/meltCurve_A2A274_ACO2.pdf</v>
      </c>
    </row>
    <row r="11" spans="1:28" x14ac:dyDescent="0.25">
      <c r="A11" t="s">
        <v>15</v>
      </c>
      <c r="B11">
        <v>0.99796759195183404</v>
      </c>
      <c r="C11">
        <v>0.86484351767118295</v>
      </c>
      <c r="D11">
        <v>0.79169624133576399</v>
      </c>
      <c r="E11">
        <v>0.67746930206189804</v>
      </c>
      <c r="F11">
        <v>0.77632391367656695</v>
      </c>
      <c r="G11">
        <v>0.58678936051594599</v>
      </c>
      <c r="H11">
        <v>0.62587456610316905</v>
      </c>
      <c r="I11">
        <v>0.60980510906612895</v>
      </c>
      <c r="J11">
        <v>0.55374277127431104</v>
      </c>
      <c r="K11">
        <v>0.59393311214932998</v>
      </c>
      <c r="L11">
        <v>436.41149203444098</v>
      </c>
      <c r="M11">
        <v>9.9339851941794493</v>
      </c>
      <c r="O11">
        <v>42.262131013850897</v>
      </c>
      <c r="P11">
        <v>-2.50763915634875E-2</v>
      </c>
      <c r="Q11">
        <v>0.57348302259656303</v>
      </c>
      <c r="R11">
        <v>0.88502191048746104</v>
      </c>
      <c r="S11" t="s">
        <v>5594</v>
      </c>
      <c r="T11" t="s">
        <v>11164</v>
      </c>
      <c r="U11" t="s">
        <v>11164</v>
      </c>
      <c r="V11" t="s">
        <v>11164</v>
      </c>
      <c r="W11" t="s">
        <v>11175</v>
      </c>
      <c r="X11">
        <v>1</v>
      </c>
      <c r="Y11" t="s">
        <v>16706</v>
      </c>
      <c r="Z11" t="s">
        <v>22161</v>
      </c>
      <c r="AA11">
        <v>0.6951503494835084</v>
      </c>
      <c r="AB11" t="str">
        <f>HYPERLINK("Melting_Curves/meltCurve_A2A2V1_PRNP.pdf", "Melting_Curves/meltCurve_A2A2V1_PRNP.pdf")</f>
        <v>Melting_Curves/meltCurve_A2A2V1_PRNP.pdf</v>
      </c>
    </row>
    <row r="12" spans="1:28" x14ac:dyDescent="0.25">
      <c r="A12" t="s">
        <v>16</v>
      </c>
      <c r="B12">
        <v>0.99796759195183404</v>
      </c>
      <c r="C12">
        <v>1.04234346150809</v>
      </c>
      <c r="D12">
        <v>1.04967157575851</v>
      </c>
      <c r="E12">
        <v>0.95323436808736495</v>
      </c>
      <c r="F12">
        <v>0.82222120806695098</v>
      </c>
      <c r="G12">
        <v>0.511419501060698</v>
      </c>
      <c r="H12">
        <v>0.42622606980550898</v>
      </c>
      <c r="I12">
        <v>0.36466423367443102</v>
      </c>
      <c r="J12">
        <v>0.34462664028655599</v>
      </c>
      <c r="K12">
        <v>0.28119583646857299</v>
      </c>
      <c r="L12">
        <v>1249.4060677622199</v>
      </c>
      <c r="M12">
        <v>23.972603675332198</v>
      </c>
      <c r="N12">
        <v>54.500822314967898</v>
      </c>
      <c r="O12">
        <v>51.759473669109099</v>
      </c>
      <c r="P12">
        <v>-7.8193837755495599E-2</v>
      </c>
      <c r="Q12">
        <v>0.32469453016889799</v>
      </c>
      <c r="R12">
        <v>0.98934390187404397</v>
      </c>
      <c r="S12" t="s">
        <v>5595</v>
      </c>
      <c r="T12" t="s">
        <v>11164</v>
      </c>
      <c r="U12" t="s">
        <v>11164</v>
      </c>
      <c r="V12" t="s">
        <v>11164</v>
      </c>
      <c r="W12" t="s">
        <v>11176</v>
      </c>
      <c r="X12">
        <v>13</v>
      </c>
      <c r="Y12" t="s">
        <v>16707</v>
      </c>
      <c r="Z12" t="s">
        <v>22162</v>
      </c>
      <c r="AA12">
        <v>0.67145000882348294</v>
      </c>
      <c r="AB12" t="str">
        <f>HYPERLINK("Melting_Curves/meltCurve_A2AEA2_HLA_C.pdf", "Melting_Curves/meltCurve_A2AEA2_HLA_C.pdf")</f>
        <v>Melting_Curves/meltCurve_A2AEA2_HLA_C.pdf</v>
      </c>
    </row>
    <row r="13" spans="1:28" x14ac:dyDescent="0.25">
      <c r="A13" t="s">
        <v>17</v>
      </c>
      <c r="B13">
        <v>0.99796759195183404</v>
      </c>
      <c r="C13">
        <v>0.98877810416997103</v>
      </c>
      <c r="D13">
        <v>0.92469141853829995</v>
      </c>
      <c r="E13">
        <v>0.91351038019412401</v>
      </c>
      <c r="F13">
        <v>0.82515711367926503</v>
      </c>
      <c r="G13">
        <v>0.61579872946776204</v>
      </c>
      <c r="H13">
        <v>0.55237770316086499</v>
      </c>
      <c r="I13">
        <v>0.57380279096289499</v>
      </c>
      <c r="J13">
        <v>0.71795338284578503</v>
      </c>
      <c r="K13">
        <v>0.62021609610955197</v>
      </c>
      <c r="L13">
        <v>1360.5479396370399</v>
      </c>
      <c r="M13">
        <v>27.327241393426899</v>
      </c>
      <c r="O13">
        <v>49.522919332600999</v>
      </c>
      <c r="P13">
        <v>-5.3928411676012297E-2</v>
      </c>
      <c r="Q13">
        <v>0.60908353220631395</v>
      </c>
      <c r="R13">
        <v>0.90368515058809396</v>
      </c>
      <c r="S13" t="s">
        <v>5596</v>
      </c>
      <c r="T13" t="s">
        <v>11164</v>
      </c>
      <c r="U13" t="s">
        <v>11164</v>
      </c>
      <c r="V13" t="s">
        <v>11164</v>
      </c>
      <c r="W13" t="s">
        <v>11177</v>
      </c>
      <c r="X13">
        <v>4</v>
      </c>
      <c r="Y13" t="s">
        <v>16708</v>
      </c>
      <c r="Z13" t="s">
        <v>22163</v>
      </c>
      <c r="AA13">
        <v>0.7785797209806451</v>
      </c>
      <c r="AB13" t="str">
        <f>HYPERLINK("Melting_Curves/meltCurve_A2RU67_KIAA1467.pdf", "Melting_Curves/meltCurve_A2RU67_KIAA1467.pdf")</f>
        <v>Melting_Curves/meltCurve_A2RU67_KIAA1467.pdf</v>
      </c>
    </row>
    <row r="14" spans="1:28" x14ac:dyDescent="0.25">
      <c r="A14" t="s">
        <v>18</v>
      </c>
      <c r="B14">
        <v>0.99796759195183404</v>
      </c>
      <c r="C14">
        <v>1.12867037808754</v>
      </c>
      <c r="D14">
        <v>1.0471455917276</v>
      </c>
      <c r="E14">
        <v>1.05044497007316</v>
      </c>
      <c r="F14">
        <v>0.89995348648884299</v>
      </c>
      <c r="G14">
        <v>0.69292816887199704</v>
      </c>
      <c r="H14">
        <v>0.52398886894889596</v>
      </c>
      <c r="I14">
        <v>0.310565661538105</v>
      </c>
      <c r="J14">
        <v>0.19814788778467299</v>
      </c>
      <c r="K14">
        <v>0.112886008507476</v>
      </c>
      <c r="L14">
        <v>894.38341702551998</v>
      </c>
      <c r="M14">
        <v>15.647559357892</v>
      </c>
      <c r="N14">
        <v>57.470694721204701</v>
      </c>
      <c r="O14">
        <v>56.248887994136403</v>
      </c>
      <c r="P14">
        <v>-6.6713962649739E-2</v>
      </c>
      <c r="Q14">
        <v>4.0805027703729901E-2</v>
      </c>
      <c r="R14">
        <v>0.97874878132045395</v>
      </c>
      <c r="S14" t="s">
        <v>5597</v>
      </c>
      <c r="T14" t="s">
        <v>11164</v>
      </c>
      <c r="U14" t="s">
        <v>11164</v>
      </c>
      <c r="V14" t="s">
        <v>11164</v>
      </c>
      <c r="W14" t="s">
        <v>11178</v>
      </c>
      <c r="X14">
        <v>3</v>
      </c>
      <c r="Y14" t="s">
        <v>16709</v>
      </c>
      <c r="Z14" t="s">
        <v>22164</v>
      </c>
      <c r="AA14">
        <v>0.69298157467609012</v>
      </c>
      <c r="AB14" t="str">
        <f>HYPERLINK("Melting_Curves/meltCurve_A2RUC4_TYW5.pdf", "Melting_Curves/meltCurve_A2RUC4_TYW5.pdf")</f>
        <v>Melting_Curves/meltCurve_A2RUC4_TYW5.pdf</v>
      </c>
    </row>
    <row r="15" spans="1:28" x14ac:dyDescent="0.25">
      <c r="A15" t="s">
        <v>19</v>
      </c>
      <c r="B15">
        <v>0.99796759195183404</v>
      </c>
      <c r="C15">
        <v>0.98341354786504198</v>
      </c>
      <c r="D15">
        <v>0.84913109222498995</v>
      </c>
      <c r="E15">
        <v>0.84598340702044195</v>
      </c>
      <c r="F15">
        <v>0.82130676500114796</v>
      </c>
      <c r="G15">
        <v>2.4103049778702199</v>
      </c>
      <c r="H15">
        <v>2.3561112327189901</v>
      </c>
      <c r="I15">
        <v>1.8375529939658499</v>
      </c>
      <c r="J15">
        <v>1.0579201044311399</v>
      </c>
      <c r="K15">
        <v>0.31698345991874199</v>
      </c>
      <c r="L15">
        <v>15000</v>
      </c>
      <c r="M15">
        <v>224.648160089746</v>
      </c>
      <c r="N15">
        <v>66.771078823844107</v>
      </c>
      <c r="O15">
        <v>66.765787237086798</v>
      </c>
      <c r="P15">
        <v>-0.84117992876730296</v>
      </c>
      <c r="Q15">
        <v>0</v>
      </c>
      <c r="R15">
        <v>-3.29006822536115E-2</v>
      </c>
      <c r="S15" t="s">
        <v>5598</v>
      </c>
      <c r="T15" t="s">
        <v>11164</v>
      </c>
      <c r="U15" t="s">
        <v>11164</v>
      </c>
      <c r="V15" t="s">
        <v>11164</v>
      </c>
      <c r="W15" t="s">
        <v>11179</v>
      </c>
      <c r="X15">
        <v>6</v>
      </c>
      <c r="Y15" t="s">
        <v>16710</v>
      </c>
      <c r="Z15" t="s">
        <v>22165</v>
      </c>
      <c r="AA15">
        <v>0.9886731564275909</v>
      </c>
      <c r="AB15" t="str">
        <f>HYPERLINK("Melting_Curves/meltCurve_A3KFL4_EXOSC2.pdf", "Melting_Curves/meltCurve_A3KFL4_EXOSC2.pdf")</f>
        <v>Melting_Curves/meltCurve_A3KFL4_EXOSC2.pdf</v>
      </c>
    </row>
    <row r="16" spans="1:28" x14ac:dyDescent="0.25">
      <c r="A16" t="s">
        <v>20</v>
      </c>
      <c r="B16">
        <v>0.99796759195183404</v>
      </c>
      <c r="C16">
        <v>1.0277387556814399</v>
      </c>
      <c r="D16">
        <v>1.0391258521303901</v>
      </c>
      <c r="E16">
        <v>0.99405321590284701</v>
      </c>
      <c r="F16">
        <v>0.84482148727915996</v>
      </c>
      <c r="G16">
        <v>0.71926637842149699</v>
      </c>
      <c r="H16">
        <v>0.17701231360196701</v>
      </c>
      <c r="I16">
        <v>0.16310597081754599</v>
      </c>
      <c r="J16">
        <v>8.8195327400759194E-2</v>
      </c>
      <c r="K16">
        <v>7.8276182217772605E-2</v>
      </c>
      <c r="L16">
        <v>1895.06155241328</v>
      </c>
      <c r="M16">
        <v>34.6555067129718</v>
      </c>
      <c r="N16">
        <v>54.985716702015203</v>
      </c>
      <c r="O16">
        <v>54.501730676984003</v>
      </c>
      <c r="P16">
        <v>-0.14515339936482299</v>
      </c>
      <c r="Q16">
        <v>8.6888996859481704E-2</v>
      </c>
      <c r="R16">
        <v>0.98540968642371596</v>
      </c>
      <c r="S16" t="s">
        <v>5599</v>
      </c>
      <c r="T16" t="s">
        <v>11164</v>
      </c>
      <c r="U16" t="s">
        <v>11164</v>
      </c>
      <c r="V16" t="s">
        <v>11164</v>
      </c>
      <c r="W16" t="s">
        <v>11180</v>
      </c>
      <c r="X16">
        <v>7</v>
      </c>
      <c r="Y16" t="s">
        <v>16711</v>
      </c>
      <c r="Z16" t="s">
        <v>22166</v>
      </c>
      <c r="AA16">
        <v>0.62958226749192858</v>
      </c>
      <c r="AB16" t="str">
        <f>HYPERLINK("Melting_Curves/meltCurve_A3KN83_3_SBNO1.pdf", "Melting_Curves/meltCurve_A3KN83_3_SBNO1.pdf")</f>
        <v>Melting_Curves/meltCurve_A3KN83_3_SBNO1.pdf</v>
      </c>
    </row>
    <row r="17" spans="1:28" x14ac:dyDescent="0.25">
      <c r="A17" t="s">
        <v>21</v>
      </c>
      <c r="B17">
        <v>0.99796759195183404</v>
      </c>
      <c r="C17">
        <v>0.98708328895262898</v>
      </c>
      <c r="D17">
        <v>0.89960843108587396</v>
      </c>
      <c r="E17">
        <v>0.88281754986531102</v>
      </c>
      <c r="F17">
        <v>0.75641710357342595</v>
      </c>
      <c r="G17">
        <v>0.52603041577471699</v>
      </c>
      <c r="H17">
        <v>0.483123788447819</v>
      </c>
      <c r="I17">
        <v>0.39170029779816001</v>
      </c>
      <c r="J17">
        <v>0.444064636686823</v>
      </c>
      <c r="K17">
        <v>0.35565426996571398</v>
      </c>
      <c r="L17">
        <v>715.87459512128703</v>
      </c>
      <c r="M17">
        <v>14.0086309097158</v>
      </c>
      <c r="N17">
        <v>56.111394902824202</v>
      </c>
      <c r="O17">
        <v>50.094837068459597</v>
      </c>
      <c r="P17">
        <v>-4.4970725739989399E-2</v>
      </c>
      <c r="Q17">
        <v>0.356824080091388</v>
      </c>
      <c r="R17">
        <v>0.981723082912626</v>
      </c>
      <c r="S17" t="s">
        <v>5600</v>
      </c>
      <c r="T17" t="s">
        <v>11164</v>
      </c>
      <c r="U17" t="s">
        <v>11164</v>
      </c>
      <c r="V17" t="s">
        <v>11164</v>
      </c>
      <c r="W17" t="s">
        <v>11181</v>
      </c>
      <c r="X17">
        <v>2</v>
      </c>
      <c r="Y17" t="s">
        <v>16712</v>
      </c>
      <c r="Z17" t="s">
        <v>22167</v>
      </c>
      <c r="AA17">
        <v>0.67320451810707604</v>
      </c>
      <c r="AB17" t="str">
        <f>HYPERLINK("Melting_Curves/meltCurve_A4D126_2_ISPD.pdf", "Melting_Curves/meltCurve_A4D126_2_ISPD.pdf")</f>
        <v>Melting_Curves/meltCurve_A4D126_2_ISPD.pdf</v>
      </c>
    </row>
    <row r="18" spans="1:28" x14ac:dyDescent="0.25">
      <c r="A18" t="s">
        <v>22</v>
      </c>
      <c r="B18">
        <v>0.99796759195183404</v>
      </c>
      <c r="C18">
        <v>1.03031828404172</v>
      </c>
      <c r="D18">
        <v>1.0714596952787601</v>
      </c>
      <c r="E18">
        <v>1.06954235227846</v>
      </c>
      <c r="F18">
        <v>0.75720323874686102</v>
      </c>
      <c r="G18">
        <v>0.39751286769043898</v>
      </c>
      <c r="H18">
        <v>0.309692652862947</v>
      </c>
      <c r="I18">
        <v>0.133470548024022</v>
      </c>
      <c r="J18">
        <v>0.120212700856992</v>
      </c>
      <c r="K18">
        <v>8.9994894319407104E-2</v>
      </c>
      <c r="L18">
        <v>1270.3536816496101</v>
      </c>
      <c r="M18">
        <v>24.189947311956601</v>
      </c>
      <c r="N18">
        <v>53.108987711625403</v>
      </c>
      <c r="O18">
        <v>52.160817908111703</v>
      </c>
      <c r="P18">
        <v>-0.10221540316916999</v>
      </c>
      <c r="Q18">
        <v>0.118384631181186</v>
      </c>
      <c r="R18">
        <v>0.98157711621140198</v>
      </c>
      <c r="S18" t="s">
        <v>5601</v>
      </c>
      <c r="T18" t="s">
        <v>11164</v>
      </c>
      <c r="U18" t="s">
        <v>11164</v>
      </c>
      <c r="V18" t="s">
        <v>11164</v>
      </c>
      <c r="W18" t="s">
        <v>11182</v>
      </c>
      <c r="X18">
        <v>2</v>
      </c>
      <c r="Y18" t="s">
        <v>16713</v>
      </c>
      <c r="Z18" t="s">
        <v>22168</v>
      </c>
      <c r="AA18">
        <v>0.5826189325872202</v>
      </c>
      <c r="AB18" t="str">
        <f>HYPERLINK("Melting_Curves/meltCurve_A4D1E9_GTPBP10.pdf", "Melting_Curves/meltCurve_A4D1E9_GTPBP10.pdf")</f>
        <v>Melting_Curves/meltCurve_A4D1E9_GTPBP10.pdf</v>
      </c>
    </row>
    <row r="19" spans="1:28" x14ac:dyDescent="0.25">
      <c r="A19" t="s">
        <v>23</v>
      </c>
      <c r="B19">
        <v>0.99796759195183404</v>
      </c>
      <c r="C19">
        <v>1.02802064328121</v>
      </c>
      <c r="D19">
        <v>1.04786847243868</v>
      </c>
      <c r="E19">
        <v>1.0751790093640301</v>
      </c>
      <c r="F19">
        <v>0.93723110727190395</v>
      </c>
      <c r="G19">
        <v>0.65257358810310395</v>
      </c>
      <c r="H19">
        <v>0.686250520917287</v>
      </c>
      <c r="I19">
        <v>0.54494888074144399</v>
      </c>
      <c r="J19">
        <v>0.73416871867073297</v>
      </c>
      <c r="K19">
        <v>0.77618297338678</v>
      </c>
      <c r="L19">
        <v>12621.036637682801</v>
      </c>
      <c r="M19">
        <v>250</v>
      </c>
      <c r="O19">
        <v>50.480915913003798</v>
      </c>
      <c r="P19">
        <v>-0.39764417531986201</v>
      </c>
      <c r="Q19">
        <v>0.67882492561600105</v>
      </c>
      <c r="R19">
        <v>0.87849755825855103</v>
      </c>
      <c r="S19" t="s">
        <v>5602</v>
      </c>
      <c r="T19" t="s">
        <v>11164</v>
      </c>
      <c r="U19" t="s">
        <v>11164</v>
      </c>
      <c r="V19" t="s">
        <v>11164</v>
      </c>
      <c r="W19" t="s">
        <v>11183</v>
      </c>
      <c r="X19">
        <v>7</v>
      </c>
      <c r="Y19" t="s">
        <v>16714</v>
      </c>
      <c r="Z19" t="s">
        <v>22169</v>
      </c>
      <c r="AA19">
        <v>0.82321244041942687</v>
      </c>
      <c r="AB19" t="str">
        <f>HYPERLINK("Melting_Curves/meltCurve_A4D1S0_2_KLRG2.pdf", "Melting_Curves/meltCurve_A4D1S0_2_KLRG2.pdf")</f>
        <v>Melting_Curves/meltCurve_A4D1S0_2_KLRG2.pdf</v>
      </c>
    </row>
    <row r="20" spans="1:28" x14ac:dyDescent="0.25">
      <c r="A20" t="s">
        <v>24</v>
      </c>
      <c r="B20">
        <v>0.99796759195183404</v>
      </c>
      <c r="C20">
        <v>1.2794415533329</v>
      </c>
      <c r="D20">
        <v>0.994955624558026</v>
      </c>
      <c r="E20">
        <v>0.96255195140037697</v>
      </c>
      <c r="F20">
        <v>0.73714758637495303</v>
      </c>
      <c r="G20">
        <v>0.49861540427046003</v>
      </c>
      <c r="H20">
        <v>0.33069101440826398</v>
      </c>
      <c r="I20">
        <v>0.15240535535886901</v>
      </c>
      <c r="J20">
        <v>0.13036225520112399</v>
      </c>
      <c r="K20">
        <v>0.13435229392946199</v>
      </c>
      <c r="L20">
        <v>958.76260766350697</v>
      </c>
      <c r="M20">
        <v>18.037007819800699</v>
      </c>
      <c r="N20">
        <v>53.832724022065896</v>
      </c>
      <c r="O20">
        <v>52.514838039999397</v>
      </c>
      <c r="P20">
        <v>-7.7152023256267702E-2</v>
      </c>
      <c r="Q20">
        <v>0.101529969164906</v>
      </c>
      <c r="R20">
        <v>0.94877173233334</v>
      </c>
      <c r="S20" t="s">
        <v>5603</v>
      </c>
      <c r="T20" t="s">
        <v>11164</v>
      </c>
      <c r="U20" t="s">
        <v>11164</v>
      </c>
      <c r="V20" t="s">
        <v>11164</v>
      </c>
      <c r="W20" t="s">
        <v>11184</v>
      </c>
      <c r="X20">
        <v>1</v>
      </c>
      <c r="Y20" t="s">
        <v>16715</v>
      </c>
      <c r="Z20" t="s">
        <v>22170</v>
      </c>
      <c r="AA20">
        <v>0.59829702679659258</v>
      </c>
      <c r="AB20" t="str">
        <f>HYPERLINK("Melting_Curves/meltCurve_A4D212_DKFZP586J0619.pdf", "Melting_Curves/meltCurve_A4D212_DKFZP586J0619.pdf")</f>
        <v>Melting_Curves/meltCurve_A4D212_DKFZP586J0619.pdf</v>
      </c>
    </row>
    <row r="21" spans="1:28" x14ac:dyDescent="0.25">
      <c r="A21" t="s">
        <v>25</v>
      </c>
      <c r="B21">
        <v>0.99796759195183404</v>
      </c>
      <c r="C21">
        <v>0.94685827112752596</v>
      </c>
      <c r="D21">
        <v>1.01947365438507</v>
      </c>
      <c r="E21">
        <v>0.99288264807524496</v>
      </c>
      <c r="F21">
        <v>0.81627438972101796</v>
      </c>
      <c r="G21">
        <v>0.58614886783619602</v>
      </c>
      <c r="H21">
        <v>0.55101619546798797</v>
      </c>
      <c r="I21">
        <v>0.62922672134435198</v>
      </c>
      <c r="J21">
        <v>0.57593691783415701</v>
      </c>
      <c r="K21">
        <v>0.51031454252845099</v>
      </c>
      <c r="L21">
        <v>2553.7223898952798</v>
      </c>
      <c r="M21">
        <v>50.564205573610998</v>
      </c>
      <c r="O21">
        <v>50.4257402709177</v>
      </c>
      <c r="P21">
        <v>-0.10865684361254201</v>
      </c>
      <c r="Q21">
        <v>0.56656316416241603</v>
      </c>
      <c r="R21">
        <v>0.97358988187917395</v>
      </c>
      <c r="S21" t="s">
        <v>5604</v>
      </c>
      <c r="T21" t="s">
        <v>11164</v>
      </c>
      <c r="U21" t="s">
        <v>11164</v>
      </c>
      <c r="V21" t="s">
        <v>11164</v>
      </c>
      <c r="W21" t="s">
        <v>11185</v>
      </c>
      <c r="X21">
        <v>4</v>
      </c>
      <c r="Y21" t="s">
        <v>16716</v>
      </c>
      <c r="Z21" t="s">
        <v>22171</v>
      </c>
      <c r="AA21">
        <v>0.76261941074770134</v>
      </c>
      <c r="AB21" t="str">
        <f>HYPERLINK("Melting_Curves/meltCurve_A4D2B0_MBLAC1.pdf", "Melting_Curves/meltCurve_A4D2B0_MBLAC1.pdf")</f>
        <v>Melting_Curves/meltCurve_A4D2B0_MBLAC1.pdf</v>
      </c>
    </row>
    <row r="22" spans="1:28" x14ac:dyDescent="0.25">
      <c r="A22" t="s">
        <v>26</v>
      </c>
      <c r="B22">
        <v>0.99796759195183404</v>
      </c>
      <c r="C22">
        <v>1.0982927906906499</v>
      </c>
      <c r="D22">
        <v>1.0718520696442</v>
      </c>
      <c r="E22">
        <v>0.95425476056117298</v>
      </c>
      <c r="F22">
        <v>0.82085996702100295</v>
      </c>
      <c r="G22">
        <v>0.47573686155926098</v>
      </c>
      <c r="H22">
        <v>0.241671437216637</v>
      </c>
      <c r="I22">
        <v>0.137939768451002</v>
      </c>
      <c r="J22">
        <v>0.142943045970118</v>
      </c>
      <c r="K22">
        <v>0.13813039981047601</v>
      </c>
      <c r="L22">
        <v>1321.6894673664201</v>
      </c>
      <c r="M22">
        <v>24.9741908074676</v>
      </c>
      <c r="N22">
        <v>53.546051467884801</v>
      </c>
      <c r="O22">
        <v>52.586395872913599</v>
      </c>
      <c r="P22">
        <v>-0.10374383856837099</v>
      </c>
      <c r="Q22">
        <v>0.12622741521136099</v>
      </c>
      <c r="R22">
        <v>0.98984609587579697</v>
      </c>
      <c r="S22" t="s">
        <v>5605</v>
      </c>
      <c r="T22" t="s">
        <v>11164</v>
      </c>
      <c r="U22" t="s">
        <v>11164</v>
      </c>
      <c r="V22" t="s">
        <v>11164</v>
      </c>
      <c r="W22" t="s">
        <v>11186</v>
      </c>
      <c r="X22">
        <v>2</v>
      </c>
      <c r="Y22" t="s">
        <v>16717</v>
      </c>
      <c r="Z22" t="s">
        <v>22172</v>
      </c>
      <c r="AA22">
        <v>0.5977129815912392</v>
      </c>
      <c r="AB22" t="str">
        <f>HYPERLINK("Melting_Curves/meltCurve_A4UGR9_2_XIRP2.pdf", "Melting_Curves/meltCurve_A4UGR9_2_XIRP2.pdf")</f>
        <v>Melting_Curves/meltCurve_A4UGR9_2_XIRP2.pdf</v>
      </c>
    </row>
    <row r="23" spans="1:28" x14ac:dyDescent="0.25">
      <c r="A23" t="s">
        <v>27</v>
      </c>
      <c r="B23">
        <v>0.99796759195183404</v>
      </c>
      <c r="C23">
        <v>1.0947146700442201</v>
      </c>
      <c r="D23">
        <v>1.0507203581205999</v>
      </c>
      <c r="E23">
        <v>0.99554014280807401</v>
      </c>
      <c r="F23">
        <v>0.60891184679719201</v>
      </c>
      <c r="G23">
        <v>0.26018724029279799</v>
      </c>
      <c r="H23">
        <v>0.17740473170723201</v>
      </c>
      <c r="I23">
        <v>0.173475057166223</v>
      </c>
      <c r="J23">
        <v>0.11620555708538299</v>
      </c>
      <c r="K23">
        <v>9.1171039122637298E-2</v>
      </c>
      <c r="L23">
        <v>1678.92116169783</v>
      </c>
      <c r="M23">
        <v>33.165474843428399</v>
      </c>
      <c r="N23">
        <v>51.113716694763802</v>
      </c>
      <c r="O23">
        <v>50.439586576146098</v>
      </c>
      <c r="P23">
        <v>-0.14195329061984499</v>
      </c>
      <c r="Q23">
        <v>0.136447477413559</v>
      </c>
      <c r="R23">
        <v>0.98919483940035602</v>
      </c>
      <c r="S23" t="s">
        <v>5606</v>
      </c>
      <c r="T23" t="s">
        <v>11164</v>
      </c>
      <c r="U23" t="s">
        <v>11164</v>
      </c>
      <c r="V23" t="s">
        <v>11164</v>
      </c>
      <c r="W23" t="s">
        <v>11187</v>
      </c>
      <c r="X23">
        <v>12</v>
      </c>
      <c r="Y23" t="s">
        <v>16718</v>
      </c>
      <c r="Z23" t="s">
        <v>22173</v>
      </c>
      <c r="AA23">
        <v>0.53296343726726958</v>
      </c>
      <c r="AB23" t="str">
        <f>HYPERLINK("Melting_Curves/meltCurve_A6H8Z3_RAB3GAP1.pdf", "Melting_Curves/meltCurve_A6H8Z3_RAB3GAP1.pdf")</f>
        <v>Melting_Curves/meltCurve_A6H8Z3_RAB3GAP1.pdf</v>
      </c>
    </row>
    <row r="24" spans="1:28" x14ac:dyDescent="0.25">
      <c r="A24" t="s">
        <v>28</v>
      </c>
      <c r="B24">
        <v>0.99796759195183404</v>
      </c>
      <c r="C24">
        <v>1.39971508004117</v>
      </c>
      <c r="D24">
        <v>1.06094775817583</v>
      </c>
      <c r="E24">
        <v>0.610916572925021</v>
      </c>
      <c r="F24">
        <v>0.69477929892579504</v>
      </c>
      <c r="G24">
        <v>1.11547420227599</v>
      </c>
      <c r="H24">
        <v>0.42886338556668502</v>
      </c>
      <c r="I24">
        <v>0.464542871617243</v>
      </c>
      <c r="J24">
        <v>0.344006117916618</v>
      </c>
      <c r="K24">
        <v>0</v>
      </c>
      <c r="L24">
        <v>798.24727735388603</v>
      </c>
      <c r="M24">
        <v>13.522521231147399</v>
      </c>
      <c r="N24">
        <v>59.030950214354803</v>
      </c>
      <c r="O24">
        <v>57.784867342214</v>
      </c>
      <c r="P24">
        <v>-5.8512619011471402E-2</v>
      </c>
      <c r="Q24">
        <v>0</v>
      </c>
      <c r="R24">
        <v>0.68101202745613298</v>
      </c>
      <c r="S24" t="s">
        <v>5607</v>
      </c>
      <c r="T24" t="s">
        <v>11164</v>
      </c>
      <c r="U24" t="s">
        <v>11164</v>
      </c>
      <c r="V24" t="s">
        <v>11164</v>
      </c>
      <c r="W24" t="s">
        <v>11188</v>
      </c>
      <c r="X24">
        <v>1</v>
      </c>
      <c r="Y24" t="s">
        <v>16719</v>
      </c>
      <c r="Z24" t="s">
        <v>22174</v>
      </c>
      <c r="AA24">
        <v>0.73035279808443554</v>
      </c>
      <c r="AB24" t="str">
        <f>HYPERLINK("Melting_Curves/meltCurve_A6NCL7_ANKRD33B.pdf", "Melting_Curves/meltCurve_A6NCL7_ANKRD33B.pdf")</f>
        <v>Melting_Curves/meltCurve_A6NCL7_ANKRD33B.pdf</v>
      </c>
    </row>
    <row r="25" spans="1:28" x14ac:dyDescent="0.25">
      <c r="A25" t="s">
        <v>29</v>
      </c>
      <c r="B25">
        <v>0.99796759195183404</v>
      </c>
      <c r="C25">
        <v>1.2530074935358499</v>
      </c>
      <c r="D25">
        <v>1.3656185940209</v>
      </c>
      <c r="E25">
        <v>0.93033323388162803</v>
      </c>
      <c r="F25">
        <v>0.67373697388125298</v>
      </c>
      <c r="G25">
        <v>0.72398819552869198</v>
      </c>
      <c r="H25">
        <v>0.60847024016703499</v>
      </c>
      <c r="I25">
        <v>0.51517223585983196</v>
      </c>
      <c r="J25">
        <v>0.56472237354529997</v>
      </c>
      <c r="K25">
        <v>0.56132483778856801</v>
      </c>
      <c r="L25">
        <v>1894.08806348234</v>
      </c>
      <c r="M25">
        <v>38.810633861063003</v>
      </c>
      <c r="O25">
        <v>48.674297030598701</v>
      </c>
      <c r="P25">
        <v>-8.1975648388975794E-2</v>
      </c>
      <c r="Q25">
        <v>0.58876242496811704</v>
      </c>
      <c r="R25">
        <v>0.73180163390182096</v>
      </c>
      <c r="S25" t="s">
        <v>5608</v>
      </c>
      <c r="T25" t="s">
        <v>11164</v>
      </c>
      <c r="U25" t="s">
        <v>11164</v>
      </c>
      <c r="V25" t="s">
        <v>11164</v>
      </c>
      <c r="W25" t="s">
        <v>11189</v>
      </c>
      <c r="X25">
        <v>1</v>
      </c>
      <c r="Y25" t="s">
        <v>16720</v>
      </c>
      <c r="Z25" t="s">
        <v>22175</v>
      </c>
      <c r="AA25">
        <v>0.75203544636871422</v>
      </c>
      <c r="AB25" t="str">
        <f>HYPERLINK("Melting_Curves/meltCurve_A6ND99_HS2ST1.pdf", "Melting_Curves/meltCurve_A6ND99_HS2ST1.pdf")</f>
        <v>Melting_Curves/meltCurve_A6ND99_HS2ST1.pdf</v>
      </c>
    </row>
    <row r="26" spans="1:28" x14ac:dyDescent="0.25">
      <c r="A26" t="s">
        <v>30</v>
      </c>
      <c r="B26">
        <v>0.99796759195183404</v>
      </c>
      <c r="C26">
        <v>1.0781175302269701</v>
      </c>
      <c r="D26">
        <v>1.0728240766472501</v>
      </c>
      <c r="E26">
        <v>1.0586254282635901</v>
      </c>
      <c r="F26">
        <v>1.0527979333808</v>
      </c>
      <c r="G26">
        <v>0.74567033565457996</v>
      </c>
      <c r="H26">
        <v>0.71187541445401403</v>
      </c>
      <c r="I26">
        <v>0.59260780399771296</v>
      </c>
      <c r="J26">
        <v>0.55205886793363801</v>
      </c>
      <c r="K26">
        <v>0.46380686135883098</v>
      </c>
      <c r="L26">
        <v>1146.78817850459</v>
      </c>
      <c r="M26">
        <v>20.543625108828302</v>
      </c>
      <c r="O26">
        <v>55.301234140649001</v>
      </c>
      <c r="P26">
        <v>-4.6970991130013399E-2</v>
      </c>
      <c r="Q26">
        <v>0.49425133892937101</v>
      </c>
      <c r="R26">
        <v>0.927196540639186</v>
      </c>
      <c r="S26" t="s">
        <v>5609</v>
      </c>
      <c r="T26" t="s">
        <v>11164</v>
      </c>
      <c r="U26" t="s">
        <v>11164</v>
      </c>
      <c r="V26" t="s">
        <v>11164</v>
      </c>
      <c r="W26" t="s">
        <v>11190</v>
      </c>
      <c r="X26">
        <v>3</v>
      </c>
      <c r="Y26" t="s">
        <v>16721</v>
      </c>
      <c r="Z26" t="s">
        <v>22176</v>
      </c>
      <c r="AA26">
        <v>0.81674099658827326</v>
      </c>
      <c r="AB26" t="str">
        <f>HYPERLINK("Melting_Curves/meltCurve_A6NDB9_PALM3.pdf", "Melting_Curves/meltCurve_A6NDB9_PALM3.pdf")</f>
        <v>Melting_Curves/meltCurve_A6NDB9_PALM3.pdf</v>
      </c>
    </row>
    <row r="27" spans="1:28" x14ac:dyDescent="0.25">
      <c r="A27" t="s">
        <v>31</v>
      </c>
      <c r="B27">
        <v>0.99796759195183404</v>
      </c>
      <c r="C27">
        <v>0.97606819896950803</v>
      </c>
      <c r="D27">
        <v>0.970491152855679</v>
      </c>
      <c r="E27">
        <v>0.90476754127926895</v>
      </c>
      <c r="F27">
        <v>0.88032809801717804</v>
      </c>
      <c r="G27">
        <v>0.69246143401751004</v>
      </c>
      <c r="H27">
        <v>0.705833263589975</v>
      </c>
      <c r="I27">
        <v>0.62525372387196398</v>
      </c>
      <c r="J27">
        <v>0.76762525902259204</v>
      </c>
      <c r="K27">
        <v>0.31995870501422802</v>
      </c>
      <c r="L27">
        <v>365.49101725956899</v>
      </c>
      <c r="M27">
        <v>5.4969035679452896</v>
      </c>
      <c r="N27">
        <v>66.490347144814606</v>
      </c>
      <c r="O27">
        <v>59.241464229678101</v>
      </c>
      <c r="P27">
        <v>-2.3299408153905399E-2</v>
      </c>
      <c r="Q27">
        <v>0</v>
      </c>
      <c r="R27">
        <v>0.78478157432060602</v>
      </c>
      <c r="S27" t="s">
        <v>5610</v>
      </c>
      <c r="T27" t="s">
        <v>11164</v>
      </c>
      <c r="U27" t="s">
        <v>11164</v>
      </c>
      <c r="V27" t="s">
        <v>11164</v>
      </c>
      <c r="W27" t="s">
        <v>11191</v>
      </c>
      <c r="X27">
        <v>14</v>
      </c>
      <c r="Y27" t="s">
        <v>16722</v>
      </c>
      <c r="Z27" t="s">
        <v>22177</v>
      </c>
      <c r="AA27">
        <v>0.79141702357544896</v>
      </c>
      <c r="AB27" t="str">
        <f>HYPERLINK("Melting_Curves/meltCurve_A6NDG6_PGP.pdf", "Melting_Curves/meltCurve_A6NDG6_PGP.pdf")</f>
        <v>Melting_Curves/meltCurve_A6NDG6_PGP.pdf</v>
      </c>
    </row>
    <row r="28" spans="1:28" x14ac:dyDescent="0.25">
      <c r="A28" t="s">
        <v>32</v>
      </c>
      <c r="B28">
        <v>0.99796759195183404</v>
      </c>
      <c r="C28">
        <v>0.89025086440069001</v>
      </c>
      <c r="D28">
        <v>0.95035034584435396</v>
      </c>
      <c r="E28">
        <v>0.91844964251481898</v>
      </c>
      <c r="F28">
        <v>0.75305517318368698</v>
      </c>
      <c r="G28">
        <v>0.64131880211771697</v>
      </c>
      <c r="H28">
        <v>0.43789253760968699</v>
      </c>
      <c r="I28">
        <v>0.26611497991737498</v>
      </c>
      <c r="J28">
        <v>0.23067576090518499</v>
      </c>
      <c r="K28">
        <v>9.9854514136512196E-2</v>
      </c>
      <c r="L28">
        <v>614.87918096763701</v>
      </c>
      <c r="M28">
        <v>10.985142189755599</v>
      </c>
      <c r="N28">
        <v>55.9737116314408</v>
      </c>
      <c r="O28">
        <v>54.214741015134102</v>
      </c>
      <c r="P28">
        <v>-5.0672892788048797E-2</v>
      </c>
      <c r="Q28">
        <v>0</v>
      </c>
      <c r="R28">
        <v>0.985146886240298</v>
      </c>
      <c r="S28" t="s">
        <v>5611</v>
      </c>
      <c r="T28" t="s">
        <v>11164</v>
      </c>
      <c r="U28" t="s">
        <v>11164</v>
      </c>
      <c r="V28" t="s">
        <v>11164</v>
      </c>
      <c r="W28" t="s">
        <v>11192</v>
      </c>
      <c r="X28">
        <v>2</v>
      </c>
      <c r="Z28" t="s">
        <v>22178</v>
      </c>
      <c r="AA28">
        <v>0.64087268758557836</v>
      </c>
      <c r="AB28" t="str">
        <f>HYPERLINK("Melting_Curves/meltCurve_A6NDJ8_.pdf", "Melting_Curves/meltCurve_A6NDJ8_.pdf")</f>
        <v>Melting_Curves/meltCurve_A6NDJ8_.pdf</v>
      </c>
    </row>
    <row r="29" spans="1:28" x14ac:dyDescent="0.25">
      <c r="A29" t="s">
        <v>33</v>
      </c>
      <c r="B29">
        <v>0.99796759195183404</v>
      </c>
      <c r="C29">
        <v>1.01927033719724</v>
      </c>
      <c r="D29">
        <v>1.1621637871720301</v>
      </c>
      <c r="E29">
        <v>1.0234751486837601</v>
      </c>
      <c r="F29">
        <v>0.75815592135782695</v>
      </c>
      <c r="G29">
        <v>0.344576556647476</v>
      </c>
      <c r="H29">
        <v>0.146868150602389</v>
      </c>
      <c r="I29">
        <v>7.7035699106994204E-2</v>
      </c>
      <c r="J29">
        <v>6.5611639355644305E-2</v>
      </c>
      <c r="K29">
        <v>3.4878554288573602E-2</v>
      </c>
      <c r="L29">
        <v>1493.0005142793</v>
      </c>
      <c r="M29">
        <v>28.574824611929198</v>
      </c>
      <c r="N29">
        <v>52.474091831708201</v>
      </c>
      <c r="O29">
        <v>51.994896817863399</v>
      </c>
      <c r="P29">
        <v>-0.129462283380326</v>
      </c>
      <c r="Q29">
        <v>5.77261070625689E-2</v>
      </c>
      <c r="R29">
        <v>0.98418085606855199</v>
      </c>
      <c r="S29" t="s">
        <v>5612</v>
      </c>
      <c r="T29" t="s">
        <v>11164</v>
      </c>
      <c r="U29" t="s">
        <v>11164</v>
      </c>
      <c r="V29" t="s">
        <v>11164</v>
      </c>
      <c r="W29" t="s">
        <v>11193</v>
      </c>
      <c r="X29">
        <v>3</v>
      </c>
      <c r="Y29" t="s">
        <v>16723</v>
      </c>
      <c r="Z29" t="s">
        <v>22179</v>
      </c>
      <c r="AA29">
        <v>0.54321367984971092</v>
      </c>
      <c r="AB29" t="str">
        <f>HYPERLINK("Melting_Curves/meltCurve_A6NDU8_C5orf51.pdf", "Melting_Curves/meltCurve_A6NDU8_C5orf51.pdf")</f>
        <v>Melting_Curves/meltCurve_A6NDU8_C5orf51.pdf</v>
      </c>
    </row>
    <row r="30" spans="1:28" x14ac:dyDescent="0.25">
      <c r="A30" t="s">
        <v>34</v>
      </c>
      <c r="B30">
        <v>0.99796759195183404</v>
      </c>
      <c r="C30">
        <v>1.0059488916310599</v>
      </c>
      <c r="D30">
        <v>1.0244390831983601</v>
      </c>
      <c r="E30">
        <v>0.990397692444554</v>
      </c>
      <c r="F30">
        <v>0.86895856624220003</v>
      </c>
      <c r="G30">
        <v>0.74663845846728805</v>
      </c>
      <c r="H30">
        <v>0.52087062565189002</v>
      </c>
      <c r="I30">
        <v>0.33116815184330101</v>
      </c>
      <c r="J30">
        <v>0.18215493622231099</v>
      </c>
      <c r="K30">
        <v>0.12048543404522701</v>
      </c>
      <c r="L30">
        <v>827.22434881790298</v>
      </c>
      <c r="M30">
        <v>14.324386694904399</v>
      </c>
      <c r="N30">
        <v>57.749372989453299</v>
      </c>
      <c r="O30">
        <v>56.658849404212397</v>
      </c>
      <c r="P30">
        <v>-6.3212190504592106E-2</v>
      </c>
      <c r="Q30">
        <v>0</v>
      </c>
      <c r="R30">
        <v>0.99773771878764905</v>
      </c>
      <c r="S30" t="s">
        <v>5613</v>
      </c>
      <c r="T30" t="s">
        <v>11164</v>
      </c>
      <c r="U30" t="s">
        <v>11164</v>
      </c>
      <c r="V30" t="s">
        <v>11164</v>
      </c>
      <c r="W30" t="s">
        <v>11194</v>
      </c>
      <c r="X30">
        <v>6</v>
      </c>
      <c r="Y30" t="s">
        <v>16724</v>
      </c>
      <c r="Z30" t="s">
        <v>22180</v>
      </c>
      <c r="AA30">
        <v>0.69613214428150294</v>
      </c>
      <c r="AB30" t="str">
        <f>HYPERLINK("Melting_Curves/meltCurve_A6NED2_RCCD1.pdf", "Melting_Curves/meltCurve_A6NED2_RCCD1.pdf")</f>
        <v>Melting_Curves/meltCurve_A6NED2_RCCD1.pdf</v>
      </c>
    </row>
    <row r="31" spans="1:28" x14ac:dyDescent="0.25">
      <c r="A31" t="s">
        <v>35</v>
      </c>
      <c r="B31">
        <v>0.99796759195183404</v>
      </c>
      <c r="C31">
        <v>0.97060223115086597</v>
      </c>
      <c r="D31">
        <v>0.997649555949772</v>
      </c>
      <c r="E31">
        <v>0.95698317077027495</v>
      </c>
      <c r="F31">
        <v>0.87250740518590197</v>
      </c>
      <c r="G31">
        <v>0.69049796502191296</v>
      </c>
      <c r="H31">
        <v>0.52576403474105204</v>
      </c>
      <c r="I31">
        <v>0.35976952077257701</v>
      </c>
      <c r="J31">
        <v>0.34441493382830002</v>
      </c>
      <c r="K31">
        <v>0.29705794416460901</v>
      </c>
      <c r="L31">
        <v>886.09957076390299</v>
      </c>
      <c r="M31">
        <v>16.1089186951579</v>
      </c>
      <c r="N31">
        <v>57.627344376596803</v>
      </c>
      <c r="O31">
        <v>54.180029760609898</v>
      </c>
      <c r="P31">
        <v>-5.5034209071002399E-2</v>
      </c>
      <c r="Q31">
        <v>0.25965797193876999</v>
      </c>
      <c r="R31">
        <v>0.99735646150338797</v>
      </c>
      <c r="S31" t="s">
        <v>5614</v>
      </c>
      <c r="T31" t="s">
        <v>11164</v>
      </c>
      <c r="U31" t="s">
        <v>11164</v>
      </c>
      <c r="V31" t="s">
        <v>11164</v>
      </c>
      <c r="W31" t="s">
        <v>11195</v>
      </c>
      <c r="X31">
        <v>30</v>
      </c>
      <c r="Y31" t="s">
        <v>16725</v>
      </c>
      <c r="Z31" t="s">
        <v>22181</v>
      </c>
      <c r="AA31">
        <v>0.71410411895886527</v>
      </c>
      <c r="AB31" t="str">
        <f>HYPERLINK("Melting_Curves/meltCurve_A6NEM2_HCFC1.pdf", "Melting_Curves/meltCurve_A6NEM2_HCFC1.pdf")</f>
        <v>Melting_Curves/meltCurve_A6NEM2_HCFC1.pdf</v>
      </c>
    </row>
    <row r="32" spans="1:28" x14ac:dyDescent="0.25">
      <c r="A32" t="s">
        <v>36</v>
      </c>
      <c r="B32">
        <v>0.99796759195183404</v>
      </c>
      <c r="C32">
        <v>1.1257469594648899</v>
      </c>
      <c r="D32">
        <v>1.2146596541538499</v>
      </c>
      <c r="E32">
        <v>0.92783121399247304</v>
      </c>
      <c r="F32">
        <v>0.96609968791090195</v>
      </c>
      <c r="G32">
        <v>1.1543382122896899</v>
      </c>
      <c r="H32">
        <v>0.61119170262674505</v>
      </c>
      <c r="I32">
        <v>0.45709880436258099</v>
      </c>
      <c r="J32">
        <v>0.57365524930583001</v>
      </c>
      <c r="K32">
        <v>0.103638065961218</v>
      </c>
      <c r="L32">
        <v>994.578816479956</v>
      </c>
      <c r="M32">
        <v>16.1253563196302</v>
      </c>
      <c r="N32">
        <v>61.677943791431403</v>
      </c>
      <c r="O32">
        <v>60.752769651200701</v>
      </c>
      <c r="P32">
        <v>-6.6361501833216804E-2</v>
      </c>
      <c r="Q32">
        <v>0</v>
      </c>
      <c r="R32">
        <v>0.81332779639285702</v>
      </c>
      <c r="S32" t="s">
        <v>5615</v>
      </c>
      <c r="T32" t="s">
        <v>11164</v>
      </c>
      <c r="U32" t="s">
        <v>11164</v>
      </c>
      <c r="V32" t="s">
        <v>11164</v>
      </c>
      <c r="W32" t="s">
        <v>11196</v>
      </c>
      <c r="X32">
        <v>1</v>
      </c>
      <c r="Y32" t="s">
        <v>16726</v>
      </c>
      <c r="Z32" t="s">
        <v>22182</v>
      </c>
      <c r="AA32">
        <v>0.80646063592361039</v>
      </c>
      <c r="AB32" t="str">
        <f>HYPERLINK("Melting_Curves/meltCurve_A6NEM5_PIGK.pdf", "Melting_Curves/meltCurve_A6NEM5_PIGK.pdf")</f>
        <v>Melting_Curves/meltCurve_A6NEM5_PIGK.pdf</v>
      </c>
    </row>
    <row r="33" spans="1:28" x14ac:dyDescent="0.25">
      <c r="A33" t="s">
        <v>37</v>
      </c>
      <c r="B33">
        <v>0.99796759195183404</v>
      </c>
      <c r="C33">
        <v>1.0812695678731199</v>
      </c>
      <c r="D33">
        <v>0.92931032451595996</v>
      </c>
      <c r="E33">
        <v>0.61075020964402804</v>
      </c>
      <c r="F33">
        <v>0.32383768940879498</v>
      </c>
      <c r="G33">
        <v>0.18565100558830699</v>
      </c>
      <c r="H33">
        <v>0.20263841402358801</v>
      </c>
      <c r="I33">
        <v>0.19299421286936599</v>
      </c>
      <c r="J33">
        <v>7.4936069246341802E-2</v>
      </c>
      <c r="K33">
        <v>3.7466065446153399E-2</v>
      </c>
      <c r="L33">
        <v>1027.3767805341199</v>
      </c>
      <c r="M33">
        <v>21.6977252300616</v>
      </c>
      <c r="N33">
        <v>47.953251689714897</v>
      </c>
      <c r="O33">
        <v>46.9528246428115</v>
      </c>
      <c r="P33">
        <v>-0.101723987594942</v>
      </c>
      <c r="Q33">
        <v>0.119517684786295</v>
      </c>
      <c r="R33">
        <v>0.98100409984738002</v>
      </c>
      <c r="S33" t="s">
        <v>5616</v>
      </c>
      <c r="T33" t="s">
        <v>11164</v>
      </c>
      <c r="U33" t="s">
        <v>11164</v>
      </c>
      <c r="V33" t="s">
        <v>11164</v>
      </c>
      <c r="W33" t="s">
        <v>11197</v>
      </c>
      <c r="X33">
        <v>4</v>
      </c>
      <c r="Y33" t="s">
        <v>16727</v>
      </c>
      <c r="Z33" t="s">
        <v>22183</v>
      </c>
      <c r="AA33">
        <v>0.43311464980561842</v>
      </c>
      <c r="AB33" t="str">
        <f>HYPERLINK("Melting_Curves/meltCurve_A6NF31_OFD1.pdf", "Melting_Curves/meltCurve_A6NF31_OFD1.pdf")</f>
        <v>Melting_Curves/meltCurve_A6NF31_OFD1.pdf</v>
      </c>
    </row>
    <row r="34" spans="1:28" x14ac:dyDescent="0.25">
      <c r="A34" t="s">
        <v>38</v>
      </c>
      <c r="B34">
        <v>0.99796759195183404</v>
      </c>
      <c r="C34">
        <v>0.92123100566095795</v>
      </c>
      <c r="D34">
        <v>0.88342145330802202</v>
      </c>
      <c r="E34">
        <v>0.92854429133915295</v>
      </c>
      <c r="F34">
        <v>0.77662774638661003</v>
      </c>
      <c r="G34">
        <v>0.59351668747912301</v>
      </c>
      <c r="H34">
        <v>0.61635453352145297</v>
      </c>
      <c r="I34">
        <v>0.50512506784154698</v>
      </c>
      <c r="J34">
        <v>0.36693858449105499</v>
      </c>
      <c r="K34">
        <v>0.172000966724144</v>
      </c>
      <c r="L34">
        <v>445.71627378095502</v>
      </c>
      <c r="M34">
        <v>7.5818389668282098</v>
      </c>
      <c r="N34">
        <v>58.787355767600502</v>
      </c>
      <c r="O34">
        <v>55.1156223734123</v>
      </c>
      <c r="P34">
        <v>-3.4438120242748997E-2</v>
      </c>
      <c r="Q34">
        <v>0</v>
      </c>
      <c r="R34">
        <v>0.94405528896232604</v>
      </c>
      <c r="S34" t="s">
        <v>5617</v>
      </c>
      <c r="T34" t="s">
        <v>11164</v>
      </c>
      <c r="U34" t="s">
        <v>11164</v>
      </c>
      <c r="V34" t="s">
        <v>11164</v>
      </c>
      <c r="W34" t="s">
        <v>11198</v>
      </c>
      <c r="X34">
        <v>19</v>
      </c>
      <c r="Y34" t="s">
        <v>16728</v>
      </c>
      <c r="Z34" t="s">
        <v>22184</v>
      </c>
      <c r="AA34">
        <v>0.69298667153640181</v>
      </c>
      <c r="AB34" t="str">
        <f>HYPERLINK("Melting_Curves/meltCurve_A6NF51_BPNT1.pdf", "Melting_Curves/meltCurve_A6NF51_BPNT1.pdf")</f>
        <v>Melting_Curves/meltCurve_A6NF51_BPNT1.pdf</v>
      </c>
    </row>
    <row r="35" spans="1:28" x14ac:dyDescent="0.25">
      <c r="A35" t="s">
        <v>39</v>
      </c>
      <c r="B35">
        <v>0.99796759195183404</v>
      </c>
      <c r="C35">
        <v>1.0178502692643601</v>
      </c>
      <c r="D35">
        <v>1.0141009771479199</v>
      </c>
      <c r="E35">
        <v>0.99866459445947697</v>
      </c>
      <c r="F35">
        <v>0.99123560559092305</v>
      </c>
      <c r="G35">
        <v>0.59471935783978902</v>
      </c>
      <c r="H35">
        <v>0.77528374508767395</v>
      </c>
      <c r="I35">
        <v>0.76250656893693602</v>
      </c>
      <c r="J35">
        <v>0.75263792070660196</v>
      </c>
      <c r="K35">
        <v>1.0137239389603301</v>
      </c>
      <c r="L35">
        <v>12709.775387006001</v>
      </c>
      <c r="M35">
        <v>250</v>
      </c>
      <c r="O35">
        <v>50.835848033141303</v>
      </c>
      <c r="P35">
        <v>-0.27075586313778</v>
      </c>
      <c r="Q35">
        <v>0.77977433700918797</v>
      </c>
      <c r="R35">
        <v>0.581159793233061</v>
      </c>
      <c r="S35" t="s">
        <v>5618</v>
      </c>
      <c r="T35" t="s">
        <v>11164</v>
      </c>
      <c r="U35" t="s">
        <v>11164</v>
      </c>
      <c r="V35" t="s">
        <v>11164</v>
      </c>
      <c r="W35" t="s">
        <v>11199</v>
      </c>
      <c r="X35">
        <v>4</v>
      </c>
      <c r="Y35" t="s">
        <v>16729</v>
      </c>
      <c r="Z35" t="s">
        <v>22185</v>
      </c>
      <c r="AA35">
        <v>0.88138482973331478</v>
      </c>
      <c r="AB35" t="str">
        <f>HYPERLINK("Melting_Curves/meltCurve_A6NG32_CHMP1A.pdf", "Melting_Curves/meltCurve_A6NG32_CHMP1A.pdf")</f>
        <v>Melting_Curves/meltCurve_A6NG32_CHMP1A.pdf</v>
      </c>
    </row>
    <row r="36" spans="1:28" x14ac:dyDescent="0.25">
      <c r="A36" t="s">
        <v>40</v>
      </c>
      <c r="B36">
        <v>0.99796759195183404</v>
      </c>
      <c r="C36">
        <v>0.99304704803160104</v>
      </c>
      <c r="D36">
        <v>1.0572926828672999</v>
      </c>
      <c r="E36">
        <v>0.96633696662558599</v>
      </c>
      <c r="F36">
        <v>0.83081647970476002</v>
      </c>
      <c r="G36">
        <v>0.612186773343389</v>
      </c>
      <c r="H36">
        <v>0.66545050362449598</v>
      </c>
      <c r="I36">
        <v>0.50571025413627102</v>
      </c>
      <c r="J36">
        <v>0.74941502836622398</v>
      </c>
      <c r="K36">
        <v>0.63820320790247098</v>
      </c>
      <c r="L36">
        <v>12557.545349223001</v>
      </c>
      <c r="M36">
        <v>250</v>
      </c>
      <c r="O36">
        <v>50.226965416754197</v>
      </c>
      <c r="P36">
        <v>-0.45519229095886998</v>
      </c>
      <c r="Q36">
        <v>0.63419314960798101</v>
      </c>
      <c r="R36">
        <v>0.89490393190765805</v>
      </c>
      <c r="S36" t="s">
        <v>5619</v>
      </c>
      <c r="T36" t="s">
        <v>11164</v>
      </c>
      <c r="U36" t="s">
        <v>11164</v>
      </c>
      <c r="V36" t="s">
        <v>11164</v>
      </c>
      <c r="W36" t="s">
        <v>11200</v>
      </c>
      <c r="X36">
        <v>9</v>
      </c>
      <c r="Y36" t="s">
        <v>16730</v>
      </c>
      <c r="Z36" t="s">
        <v>22186</v>
      </c>
      <c r="AA36">
        <v>0.79554842954459393</v>
      </c>
      <c r="AB36" t="str">
        <f>HYPERLINK("Melting_Curves/meltCurve_A6NG79_PRCC.pdf", "Melting_Curves/meltCurve_A6NG79_PRCC.pdf")</f>
        <v>Melting_Curves/meltCurve_A6NG79_PRCC.pdf</v>
      </c>
    </row>
    <row r="37" spans="1:28" x14ac:dyDescent="0.25">
      <c r="A37" t="s">
        <v>41</v>
      </c>
      <c r="B37">
        <v>0.99796759195183404</v>
      </c>
      <c r="C37">
        <v>1.0065040042457001</v>
      </c>
      <c r="D37">
        <v>1.19995192366365</v>
      </c>
      <c r="E37">
        <v>0.98240142747425696</v>
      </c>
      <c r="F37">
        <v>0.99323595987744195</v>
      </c>
      <c r="G37">
        <v>0.87113191255381495</v>
      </c>
      <c r="H37">
        <v>0.64390382595729001</v>
      </c>
      <c r="I37">
        <v>0.55081885019573995</v>
      </c>
      <c r="J37">
        <v>0.70166324260740198</v>
      </c>
      <c r="K37">
        <v>0.41317279015692299</v>
      </c>
      <c r="L37">
        <v>1771.18422397528</v>
      </c>
      <c r="M37">
        <v>32.015898141054699</v>
      </c>
      <c r="O37">
        <v>55.1075305159439</v>
      </c>
      <c r="P37">
        <v>-6.6320330223815005E-2</v>
      </c>
      <c r="Q37">
        <v>0.54338546378726105</v>
      </c>
      <c r="R37">
        <v>0.852022979834966</v>
      </c>
      <c r="S37" t="s">
        <v>5620</v>
      </c>
      <c r="T37" t="s">
        <v>11164</v>
      </c>
      <c r="U37" t="s">
        <v>11164</v>
      </c>
      <c r="V37" t="s">
        <v>11164</v>
      </c>
      <c r="W37" t="s">
        <v>11201</v>
      </c>
      <c r="X37">
        <v>1</v>
      </c>
      <c r="Y37" t="s">
        <v>16731</v>
      </c>
      <c r="Z37" t="s">
        <v>22187</v>
      </c>
      <c r="AA37">
        <v>0.82483798538540398</v>
      </c>
      <c r="AB37" t="str">
        <f>HYPERLINK("Melting_Curves/meltCurve_A6NGC4_TLCD2.pdf", "Melting_Curves/meltCurve_A6NGC4_TLCD2.pdf")</f>
        <v>Melting_Curves/meltCurve_A6NGC4_TLCD2.pdf</v>
      </c>
    </row>
    <row r="38" spans="1:28" x14ac:dyDescent="0.25">
      <c r="A38" t="s">
        <v>42</v>
      </c>
      <c r="B38">
        <v>0.99796759195183404</v>
      </c>
      <c r="C38">
        <v>1.15227095740616</v>
      </c>
      <c r="D38">
        <v>1.2402346253541601</v>
      </c>
      <c r="E38">
        <v>1.18635438988248</v>
      </c>
      <c r="F38">
        <v>0.98348381828550702</v>
      </c>
      <c r="G38">
        <v>0.76985580161512002</v>
      </c>
      <c r="H38">
        <v>0.94958251264777704</v>
      </c>
      <c r="I38">
        <v>0.84429667653908802</v>
      </c>
      <c r="J38">
        <v>1.21577138191642</v>
      </c>
      <c r="K38">
        <v>1.0895229060888101</v>
      </c>
      <c r="L38">
        <v>4580.7437176093699</v>
      </c>
      <c r="M38">
        <v>72.857812098036703</v>
      </c>
      <c r="O38">
        <v>62.825060613521003</v>
      </c>
      <c r="P38">
        <v>4.3784747129051303E-2</v>
      </c>
      <c r="Q38">
        <v>1.1510217599659001</v>
      </c>
      <c r="R38">
        <v>8.1182045139962494E-2</v>
      </c>
      <c r="S38" t="s">
        <v>5621</v>
      </c>
      <c r="T38" t="s">
        <v>11164</v>
      </c>
      <c r="U38" t="s">
        <v>11164</v>
      </c>
      <c r="V38" t="s">
        <v>11164</v>
      </c>
      <c r="W38" t="s">
        <v>11202</v>
      </c>
      <c r="X38">
        <v>24</v>
      </c>
      <c r="Y38" t="s">
        <v>16732</v>
      </c>
      <c r="Z38" t="s">
        <v>22188</v>
      </c>
      <c r="AA38">
        <v>1.02063885373684</v>
      </c>
      <c r="AB38" t="str">
        <f>HYPERLINK("Melting_Curves/meltCurve_A6NGP5_HN1L.pdf", "Melting_Curves/meltCurve_A6NGP5_HN1L.pdf")</f>
        <v>Melting_Curves/meltCurve_A6NGP5_HN1L.pdf</v>
      </c>
    </row>
    <row r="39" spans="1:28" x14ac:dyDescent="0.25">
      <c r="A39" t="s">
        <v>43</v>
      </c>
      <c r="B39">
        <v>0.99796759195183404</v>
      </c>
      <c r="C39">
        <v>0.958812362850746</v>
      </c>
      <c r="D39">
        <v>1.01432770583832</v>
      </c>
      <c r="E39">
        <v>0.88334450966403499</v>
      </c>
      <c r="F39">
        <v>0.96917185118066396</v>
      </c>
      <c r="G39">
        <v>0.88424528838104699</v>
      </c>
      <c r="H39">
        <v>1.0712384546796601</v>
      </c>
      <c r="I39">
        <v>1.1485359108009701</v>
      </c>
      <c r="J39">
        <v>0.36885293524949397</v>
      </c>
      <c r="K39">
        <v>4.6421203837474702E-2</v>
      </c>
      <c r="L39">
        <v>15000</v>
      </c>
      <c r="M39">
        <v>234.68089377475201</v>
      </c>
      <c r="N39">
        <v>63.943116700499502</v>
      </c>
      <c r="O39">
        <v>63.911937946913397</v>
      </c>
      <c r="P39">
        <v>-0.87539281346238595</v>
      </c>
      <c r="Q39">
        <v>4.6397853025710402E-2</v>
      </c>
      <c r="R39">
        <v>0.94770467652413903</v>
      </c>
      <c r="S39" t="s">
        <v>5622</v>
      </c>
      <c r="T39" t="s">
        <v>11164</v>
      </c>
      <c r="U39" t="s">
        <v>11164</v>
      </c>
      <c r="V39" t="s">
        <v>11164</v>
      </c>
      <c r="W39" t="s">
        <v>11203</v>
      </c>
      <c r="X39">
        <v>7</v>
      </c>
      <c r="Y39" t="s">
        <v>16733</v>
      </c>
      <c r="Z39" t="s">
        <v>22189</v>
      </c>
      <c r="AA39">
        <v>0.90210931580708054</v>
      </c>
      <c r="AB39" t="str">
        <f>HYPERLINK("Melting_Curves/meltCurve_A6NHL2_2_TUBAL3.pdf", "Melting_Curves/meltCurve_A6NHL2_2_TUBAL3.pdf")</f>
        <v>Melting_Curves/meltCurve_A6NHL2_2_TUBAL3.pdf</v>
      </c>
    </row>
    <row r="40" spans="1:28" x14ac:dyDescent="0.25">
      <c r="A40" t="s">
        <v>44</v>
      </c>
      <c r="B40">
        <v>0.99796759195183404</v>
      </c>
      <c r="C40">
        <v>0.99629763877583999</v>
      </c>
      <c r="D40">
        <v>1.02466550420103</v>
      </c>
      <c r="E40">
        <v>0.750534394316548</v>
      </c>
      <c r="F40">
        <v>0.51551306023207399</v>
      </c>
      <c r="G40">
        <v>0.19867094699119101</v>
      </c>
      <c r="H40">
        <v>0.214423278498964</v>
      </c>
      <c r="I40">
        <v>0.170212463179931</v>
      </c>
      <c r="J40">
        <v>0.112645637882959</v>
      </c>
      <c r="K40">
        <v>0.12039484834059699</v>
      </c>
      <c r="L40">
        <v>1043.73759069007</v>
      </c>
      <c r="M40">
        <v>21.215519669831899</v>
      </c>
      <c r="N40">
        <v>49.909702368147798</v>
      </c>
      <c r="O40">
        <v>48.766050793904299</v>
      </c>
      <c r="P40">
        <v>-9.4548930645853804E-2</v>
      </c>
      <c r="Q40">
        <v>0.13070076168540401</v>
      </c>
      <c r="R40">
        <v>0.99003055208506896</v>
      </c>
      <c r="S40" t="s">
        <v>5623</v>
      </c>
      <c r="T40" t="s">
        <v>11164</v>
      </c>
      <c r="U40" t="s">
        <v>11164</v>
      </c>
      <c r="V40" t="s">
        <v>11164</v>
      </c>
      <c r="W40" t="s">
        <v>11204</v>
      </c>
      <c r="X40">
        <v>1</v>
      </c>
      <c r="Y40" t="s">
        <v>16734</v>
      </c>
      <c r="Z40" t="s">
        <v>22190</v>
      </c>
      <c r="AA40">
        <v>0.49440821603884</v>
      </c>
      <c r="AB40" t="str">
        <f>HYPERLINK("Melting_Curves/meltCurve_A6NHR2_MRPL37.pdf", "Melting_Curves/meltCurve_A6NHR2_MRPL37.pdf")</f>
        <v>Melting_Curves/meltCurve_A6NHR2_MRPL37.pdf</v>
      </c>
    </row>
    <row r="41" spans="1:28" x14ac:dyDescent="0.25">
      <c r="A41" t="s">
        <v>45</v>
      </c>
      <c r="B41">
        <v>0.99796759195183404</v>
      </c>
      <c r="C41">
        <v>0.90912010621342898</v>
      </c>
      <c r="D41">
        <v>0.88137917912757502</v>
      </c>
      <c r="E41">
        <v>0.84085291660521899</v>
      </c>
      <c r="F41">
        <v>0.54750397047724397</v>
      </c>
      <c r="G41">
        <v>0.25237303416599899</v>
      </c>
      <c r="H41">
        <v>0.147460994842184</v>
      </c>
      <c r="I41">
        <v>0.11030794719286099</v>
      </c>
      <c r="J41">
        <v>5.4515742605609298E-2</v>
      </c>
      <c r="K41">
        <v>0.107399293471343</v>
      </c>
      <c r="L41">
        <v>885.12206665424901</v>
      </c>
      <c r="M41">
        <v>17.636477669916399</v>
      </c>
      <c r="N41">
        <v>50.563771120800702</v>
      </c>
      <c r="O41">
        <v>49.555126750429402</v>
      </c>
      <c r="P41">
        <v>-8.3500180737801702E-2</v>
      </c>
      <c r="Q41">
        <v>6.1572366116584003E-2</v>
      </c>
      <c r="R41">
        <v>0.98827034536921399</v>
      </c>
      <c r="S41" t="s">
        <v>5624</v>
      </c>
      <c r="T41" t="s">
        <v>11164</v>
      </c>
      <c r="U41" t="s">
        <v>11164</v>
      </c>
      <c r="V41" t="s">
        <v>11164</v>
      </c>
      <c r="W41" t="s">
        <v>11205</v>
      </c>
      <c r="X41">
        <v>1</v>
      </c>
      <c r="Y41" t="s">
        <v>16735</v>
      </c>
      <c r="Z41" t="s">
        <v>22191</v>
      </c>
      <c r="AA41">
        <v>0.48931991414971321</v>
      </c>
      <c r="AB41" t="str">
        <f>HYPERLINK("Melting_Curves/meltCurve_A6NHR9_SMCHD1.pdf", "Melting_Curves/meltCurve_A6NHR9_SMCHD1.pdf")</f>
        <v>Melting_Curves/meltCurve_A6NHR9_SMCHD1.pdf</v>
      </c>
    </row>
    <row r="42" spans="1:28" x14ac:dyDescent="0.25">
      <c r="A42" t="s">
        <v>46</v>
      </c>
      <c r="B42">
        <v>0.99796759195183404</v>
      </c>
      <c r="C42">
        <v>0.96925094407955203</v>
      </c>
      <c r="D42">
        <v>1.02627389149336</v>
      </c>
      <c r="E42">
        <v>0.90769462065547901</v>
      </c>
      <c r="F42">
        <v>0.76678114509023598</v>
      </c>
      <c r="G42">
        <v>0.37959879646961803</v>
      </c>
      <c r="H42">
        <v>0.31277872220548703</v>
      </c>
      <c r="I42">
        <v>0.26855137344618502</v>
      </c>
      <c r="J42">
        <v>0.27913609033424902</v>
      </c>
      <c r="K42">
        <v>0.22462675478531299</v>
      </c>
      <c r="L42">
        <v>1470.01878147098</v>
      </c>
      <c r="M42">
        <v>28.668429312517301</v>
      </c>
      <c r="N42">
        <v>52.590730001764101</v>
      </c>
      <c r="O42">
        <v>51.0290215423653</v>
      </c>
      <c r="P42">
        <v>-0.104533243706772</v>
      </c>
      <c r="Q42">
        <v>0.25574055347688102</v>
      </c>
      <c r="R42">
        <v>0.99233021481525296</v>
      </c>
      <c r="S42" t="s">
        <v>5625</v>
      </c>
      <c r="T42" t="s">
        <v>11164</v>
      </c>
      <c r="U42" t="s">
        <v>11164</v>
      </c>
      <c r="V42" t="s">
        <v>11164</v>
      </c>
      <c r="W42" t="s">
        <v>11206</v>
      </c>
      <c r="X42">
        <v>5</v>
      </c>
      <c r="Y42" t="s">
        <v>16736</v>
      </c>
      <c r="Z42" t="s">
        <v>22192</v>
      </c>
      <c r="AA42">
        <v>0.6150042144862532</v>
      </c>
      <c r="AB42" t="str">
        <f>HYPERLINK("Melting_Curves/meltCurve_A6NIH7_UNC119B.pdf", "Melting_Curves/meltCurve_A6NIH7_UNC119B.pdf")</f>
        <v>Melting_Curves/meltCurve_A6NIH7_UNC119B.pdf</v>
      </c>
    </row>
    <row r="43" spans="1:28" x14ac:dyDescent="0.25">
      <c r="A43" t="s">
        <v>47</v>
      </c>
      <c r="B43">
        <v>0.99796759195183404</v>
      </c>
      <c r="C43">
        <v>1.03024217077004</v>
      </c>
      <c r="D43">
        <v>0.92216308977210704</v>
      </c>
      <c r="E43">
        <v>0.79569056157545104</v>
      </c>
      <c r="F43">
        <v>0.81750048676158105</v>
      </c>
      <c r="G43">
        <v>0.516940553045796</v>
      </c>
      <c r="H43">
        <v>0.37579754404700499</v>
      </c>
      <c r="I43">
        <v>0.311287384488594</v>
      </c>
      <c r="J43">
        <v>0.30202156502349398</v>
      </c>
      <c r="K43">
        <v>0.194127706832527</v>
      </c>
      <c r="L43">
        <v>618.058611135874</v>
      </c>
      <c r="M43">
        <v>11.596887230442899</v>
      </c>
      <c r="N43">
        <v>54.965731777821802</v>
      </c>
      <c r="O43">
        <v>51.784449032009803</v>
      </c>
      <c r="P43">
        <v>-4.7684446677164698E-2</v>
      </c>
      <c r="Q43">
        <v>0.14851885649650001</v>
      </c>
      <c r="R43">
        <v>0.97563439192583801</v>
      </c>
      <c r="S43" t="s">
        <v>5626</v>
      </c>
      <c r="T43" t="s">
        <v>11164</v>
      </c>
      <c r="U43" t="s">
        <v>11164</v>
      </c>
      <c r="V43" t="s">
        <v>11164</v>
      </c>
      <c r="W43" t="s">
        <v>11207</v>
      </c>
      <c r="X43">
        <v>5</v>
      </c>
      <c r="Y43" t="s">
        <v>16737</v>
      </c>
      <c r="Z43" t="s">
        <v>22193</v>
      </c>
      <c r="AA43">
        <v>0.62845233037505888</v>
      </c>
      <c r="AB43" t="str">
        <f>HYPERLINK("Melting_Curves/meltCurve_A6NIZ0_NDEL1.pdf", "Melting_Curves/meltCurve_A6NIZ0_NDEL1.pdf")</f>
        <v>Melting_Curves/meltCurve_A6NIZ0_NDEL1.pdf</v>
      </c>
    </row>
    <row r="44" spans="1:28" x14ac:dyDescent="0.25">
      <c r="A44" t="s">
        <v>48</v>
      </c>
      <c r="B44">
        <v>0.99796759195183404</v>
      </c>
      <c r="C44">
        <v>1.2094307023989099</v>
      </c>
      <c r="D44">
        <v>1.1238205210897001</v>
      </c>
      <c r="E44">
        <v>0.92610586034300402</v>
      </c>
      <c r="F44">
        <v>0.67889929277044303</v>
      </c>
      <c r="G44">
        <v>0.131624489609732</v>
      </c>
      <c r="H44">
        <v>0.12229685229128601</v>
      </c>
      <c r="I44">
        <v>6.8586727371737599E-2</v>
      </c>
      <c r="J44">
        <v>5.8218998468928099E-2</v>
      </c>
      <c r="K44">
        <v>3.5156563326085001E-2</v>
      </c>
      <c r="L44">
        <v>2133.9078990548701</v>
      </c>
      <c r="M44">
        <v>41.910695851913196</v>
      </c>
      <c r="N44">
        <v>51.083475940500499</v>
      </c>
      <c r="O44">
        <v>50.800082469202799</v>
      </c>
      <c r="P44">
        <v>-0.19298369111823899</v>
      </c>
      <c r="Q44">
        <v>6.4337113662020606E-2</v>
      </c>
      <c r="R44">
        <v>0.97008738585328602</v>
      </c>
      <c r="S44" t="s">
        <v>5627</v>
      </c>
      <c r="T44" t="s">
        <v>11164</v>
      </c>
      <c r="U44" t="s">
        <v>11164</v>
      </c>
      <c r="V44" t="s">
        <v>11164</v>
      </c>
      <c r="W44" t="s">
        <v>11208</v>
      </c>
      <c r="X44">
        <v>6</v>
      </c>
      <c r="Y44" t="s">
        <v>16738</v>
      </c>
      <c r="Z44" t="s">
        <v>22194</v>
      </c>
      <c r="AA44">
        <v>0.50134230389349399</v>
      </c>
      <c r="AB44" t="str">
        <f>HYPERLINK("Melting_Curves/meltCurve_A6NJ78_METTL15.pdf", "Melting_Curves/meltCurve_A6NJ78_METTL15.pdf")</f>
        <v>Melting_Curves/meltCurve_A6NJ78_METTL15.pdf</v>
      </c>
    </row>
    <row r="45" spans="1:28" x14ac:dyDescent="0.25">
      <c r="A45" t="s">
        <v>49</v>
      </c>
      <c r="B45">
        <v>0.99796759195183404</v>
      </c>
      <c r="C45">
        <v>1.11298972413241</v>
      </c>
      <c r="D45">
        <v>0.95288065136346001</v>
      </c>
      <c r="E45">
        <v>0.93291739200974799</v>
      </c>
      <c r="F45">
        <v>0.81735904325741504</v>
      </c>
      <c r="G45">
        <v>0.64040216222385904</v>
      </c>
      <c r="H45">
        <v>0.40322645318832401</v>
      </c>
      <c r="I45">
        <v>0.30553236884586699</v>
      </c>
      <c r="J45">
        <v>0.13229624231242601</v>
      </c>
      <c r="K45">
        <v>0.14685555731024699</v>
      </c>
      <c r="L45">
        <v>757.28650372798495</v>
      </c>
      <c r="M45">
        <v>13.6082470540132</v>
      </c>
      <c r="N45">
        <v>56.005358060791799</v>
      </c>
      <c r="O45">
        <v>54.488614934555102</v>
      </c>
      <c r="P45">
        <v>-5.9856240910209003E-2</v>
      </c>
      <c r="Q45">
        <v>4.1463153669734097E-2</v>
      </c>
      <c r="R45">
        <v>0.98436620893447802</v>
      </c>
      <c r="S45" t="s">
        <v>5628</v>
      </c>
      <c r="T45" t="s">
        <v>11164</v>
      </c>
      <c r="U45" t="s">
        <v>11164</v>
      </c>
      <c r="V45" t="s">
        <v>11164</v>
      </c>
      <c r="W45" t="s">
        <v>11209</v>
      </c>
      <c r="X45">
        <v>1</v>
      </c>
      <c r="Y45" t="s">
        <v>16739</v>
      </c>
      <c r="Z45" t="s">
        <v>22195</v>
      </c>
      <c r="AA45">
        <v>0.64915019155182718</v>
      </c>
      <c r="AB45" t="str">
        <f>HYPERLINK("Melting_Curves/meltCurve_A6NJB5_CCDC144A.pdf", "Melting_Curves/meltCurve_A6NJB5_CCDC144A.pdf")</f>
        <v>Melting_Curves/meltCurve_A6NJB5_CCDC144A.pdf</v>
      </c>
    </row>
    <row r="46" spans="1:28" x14ac:dyDescent="0.25">
      <c r="A46" t="s">
        <v>50</v>
      </c>
      <c r="B46">
        <v>0.99796759195183404</v>
      </c>
      <c r="C46">
        <v>1.0161204420796901</v>
      </c>
      <c r="D46">
        <v>0.99030898257513</v>
      </c>
      <c r="E46">
        <v>0.90623072771469204</v>
      </c>
      <c r="F46">
        <v>0.77883502160109497</v>
      </c>
      <c r="G46">
        <v>0.39098570737768001</v>
      </c>
      <c r="H46">
        <v>0.19603574528384099</v>
      </c>
      <c r="I46">
        <v>0.149882932818414</v>
      </c>
      <c r="J46">
        <v>0.124250167888646</v>
      </c>
      <c r="K46">
        <v>9.0877244524638398E-2</v>
      </c>
      <c r="L46">
        <v>1224.24806911519</v>
      </c>
      <c r="M46">
        <v>23.429216012340401</v>
      </c>
      <c r="N46">
        <v>52.772046257355299</v>
      </c>
      <c r="O46">
        <v>51.876867361537201</v>
      </c>
      <c r="P46">
        <v>-0.101291607144559</v>
      </c>
      <c r="Q46">
        <v>0.102898184852907</v>
      </c>
      <c r="R46">
        <v>0.99735855837479104</v>
      </c>
      <c r="S46" t="s">
        <v>5629</v>
      </c>
      <c r="T46" t="s">
        <v>11164</v>
      </c>
      <c r="U46" t="s">
        <v>11164</v>
      </c>
      <c r="V46" t="s">
        <v>11164</v>
      </c>
      <c r="W46" t="s">
        <v>11210</v>
      </c>
      <c r="X46">
        <v>26</v>
      </c>
      <c r="Y46" t="s">
        <v>16740</v>
      </c>
      <c r="Z46" t="s">
        <v>22196</v>
      </c>
      <c r="AA46">
        <v>0.56792015568255072</v>
      </c>
      <c r="AB46" t="str">
        <f>HYPERLINK("Melting_Curves/meltCurve_A6NKB8_RNPEP.pdf", "Melting_Curves/meltCurve_A6NKB8_RNPEP.pdf")</f>
        <v>Melting_Curves/meltCurve_A6NKB8_RNPEP.pdf</v>
      </c>
    </row>
    <row r="47" spans="1:28" x14ac:dyDescent="0.25">
      <c r="A47" t="s">
        <v>51</v>
      </c>
      <c r="B47">
        <v>0.99796759195183404</v>
      </c>
      <c r="C47">
        <v>1.0615742179374199</v>
      </c>
      <c r="D47">
        <v>1.0249325097982001</v>
      </c>
      <c r="E47">
        <v>0.97564300232926504</v>
      </c>
      <c r="F47">
        <v>0.80279956054121704</v>
      </c>
      <c r="G47">
        <v>0.48903291709622798</v>
      </c>
      <c r="H47">
        <v>0.356038201291835</v>
      </c>
      <c r="I47">
        <v>0.287251721975398</v>
      </c>
      <c r="J47">
        <v>0.39744752135841399</v>
      </c>
      <c r="K47">
        <v>0.39633979865333202</v>
      </c>
      <c r="L47">
        <v>1723.06921967938</v>
      </c>
      <c r="M47">
        <v>33.478660117867101</v>
      </c>
      <c r="N47">
        <v>53.4486007118781</v>
      </c>
      <c r="O47">
        <v>51.285093511333798</v>
      </c>
      <c r="P47">
        <v>-0.105194888667537</v>
      </c>
      <c r="Q47">
        <v>0.35542138955631303</v>
      </c>
      <c r="R47">
        <v>0.98542510810352602</v>
      </c>
      <c r="S47" t="s">
        <v>5630</v>
      </c>
      <c r="T47" t="s">
        <v>11164</v>
      </c>
      <c r="U47" t="s">
        <v>11164</v>
      </c>
      <c r="V47" t="s">
        <v>11164</v>
      </c>
      <c r="W47" t="s">
        <v>11211</v>
      </c>
      <c r="X47">
        <v>8</v>
      </c>
      <c r="Y47" t="s">
        <v>16741</v>
      </c>
      <c r="Z47" t="s">
        <v>22197</v>
      </c>
      <c r="AA47">
        <v>0.66953460372008189</v>
      </c>
      <c r="AB47" t="str">
        <f>HYPERLINK("Melting_Curves/meltCurve_A6NKD9_CCDC85C.pdf", "Melting_Curves/meltCurve_A6NKD9_CCDC85C.pdf")</f>
        <v>Melting_Curves/meltCurve_A6NKD9_CCDC85C.pdf</v>
      </c>
    </row>
    <row r="48" spans="1:28" x14ac:dyDescent="0.25">
      <c r="A48" t="s">
        <v>52</v>
      </c>
      <c r="B48">
        <v>0.99796759195183404</v>
      </c>
      <c r="C48">
        <v>0.96324525740732103</v>
      </c>
      <c r="D48">
        <v>1.01190089064633</v>
      </c>
      <c r="E48">
        <v>1.08253009844407</v>
      </c>
      <c r="F48">
        <v>0.85568304832611797</v>
      </c>
      <c r="G48">
        <v>0.69923142029200702</v>
      </c>
      <c r="H48">
        <v>0.79962766686688302</v>
      </c>
      <c r="I48">
        <v>0.75919854387518004</v>
      </c>
      <c r="J48">
        <v>1.02747401417761</v>
      </c>
      <c r="K48">
        <v>1.0178744619896101</v>
      </c>
      <c r="L48">
        <v>8824.3665227872407</v>
      </c>
      <c r="M48">
        <v>181.12293310888899</v>
      </c>
      <c r="O48">
        <v>48.714376641081699</v>
      </c>
      <c r="P48">
        <v>-0.130369421240425</v>
      </c>
      <c r="Q48">
        <v>0.85974465083817397</v>
      </c>
      <c r="R48">
        <v>0.35750423592255798</v>
      </c>
      <c r="S48" t="s">
        <v>5631</v>
      </c>
      <c r="T48" t="s">
        <v>11164</v>
      </c>
      <c r="U48" t="s">
        <v>11164</v>
      </c>
      <c r="V48" t="s">
        <v>11164</v>
      </c>
      <c r="W48" t="s">
        <v>11212</v>
      </c>
      <c r="X48">
        <v>3</v>
      </c>
      <c r="Y48" t="s">
        <v>16742</v>
      </c>
      <c r="Z48" t="s">
        <v>22198</v>
      </c>
      <c r="AA48">
        <v>0.91456206952774011</v>
      </c>
      <c r="AB48" t="str">
        <f>HYPERLINK("Melting_Curves/meltCurve_A6NL54_ZMYM3.pdf", "Melting_Curves/meltCurve_A6NL54_ZMYM3.pdf")</f>
        <v>Melting_Curves/meltCurve_A6NL54_ZMYM3.pdf</v>
      </c>
    </row>
    <row r="49" spans="1:28" x14ac:dyDescent="0.25">
      <c r="A49" t="s">
        <v>53</v>
      </c>
      <c r="B49">
        <v>0.99796759195183404</v>
      </c>
      <c r="C49">
        <v>1.20491040464619</v>
      </c>
      <c r="D49">
        <v>1.1355307276557001</v>
      </c>
      <c r="E49">
        <v>1.0148558530452101</v>
      </c>
      <c r="F49">
        <v>0.70803210211777901</v>
      </c>
      <c r="G49">
        <v>0.287573587147054</v>
      </c>
      <c r="H49">
        <v>0.23280288034152299</v>
      </c>
      <c r="I49">
        <v>0.16629413248037</v>
      </c>
      <c r="J49">
        <v>0.15413429927024599</v>
      </c>
      <c r="K49">
        <v>0.14338261262834701</v>
      </c>
      <c r="L49">
        <v>1848.8099430811201</v>
      </c>
      <c r="M49">
        <v>36.163402793703</v>
      </c>
      <c r="N49">
        <v>51.713162762940698</v>
      </c>
      <c r="O49">
        <v>50.968208522595503</v>
      </c>
      <c r="P49">
        <v>-0.147424618296423</v>
      </c>
      <c r="Q49">
        <v>0.16888956052571599</v>
      </c>
      <c r="R49">
        <v>0.96407090309668697</v>
      </c>
      <c r="S49" t="s">
        <v>5632</v>
      </c>
      <c r="T49" t="s">
        <v>11164</v>
      </c>
      <c r="U49" t="s">
        <v>11164</v>
      </c>
      <c r="V49" t="s">
        <v>11164</v>
      </c>
      <c r="W49" t="s">
        <v>11213</v>
      </c>
      <c r="X49">
        <v>4</v>
      </c>
      <c r="Y49" t="s">
        <v>16743</v>
      </c>
      <c r="Z49" t="s">
        <v>22199</v>
      </c>
      <c r="AA49">
        <v>0.56375799621722555</v>
      </c>
      <c r="AB49" t="str">
        <f>HYPERLINK("Melting_Curves/meltCurve_A6NLP3_TRIM5.pdf", "Melting_Curves/meltCurve_A6NLP3_TRIM5.pdf")</f>
        <v>Melting_Curves/meltCurve_A6NLP3_TRIM5.pdf</v>
      </c>
    </row>
    <row r="50" spans="1:28" x14ac:dyDescent="0.25">
      <c r="A50" t="s">
        <v>54</v>
      </c>
      <c r="B50">
        <v>0.99796759195183404</v>
      </c>
      <c r="C50">
        <v>0.99795004146206301</v>
      </c>
      <c r="D50">
        <v>0.90901296073535698</v>
      </c>
      <c r="E50">
        <v>0.92892326466985298</v>
      </c>
      <c r="F50">
        <v>0.80403143218333994</v>
      </c>
      <c r="G50">
        <v>0.96379215331858703</v>
      </c>
      <c r="H50">
        <v>1.0755142721363</v>
      </c>
      <c r="I50">
        <v>1.0785314008256599</v>
      </c>
      <c r="J50">
        <v>0.89824009386143799</v>
      </c>
      <c r="K50">
        <v>0.29136323861396701</v>
      </c>
      <c r="L50">
        <v>15000</v>
      </c>
      <c r="M50">
        <v>232.223364220186</v>
      </c>
      <c r="N50">
        <v>64.836780251492698</v>
      </c>
      <c r="O50">
        <v>64.588193301095302</v>
      </c>
      <c r="P50">
        <v>-0.63711799638301503</v>
      </c>
      <c r="Q50">
        <v>0.29119448653619801</v>
      </c>
      <c r="R50">
        <v>0.86074261271976005</v>
      </c>
      <c r="S50" t="s">
        <v>5633</v>
      </c>
      <c r="T50" t="s">
        <v>11164</v>
      </c>
      <c r="U50" t="s">
        <v>11164</v>
      </c>
      <c r="V50" t="s">
        <v>11164</v>
      </c>
      <c r="W50" t="s">
        <v>11214</v>
      </c>
      <c r="X50">
        <v>14</v>
      </c>
      <c r="Y50" t="s">
        <v>16744</v>
      </c>
      <c r="Z50" t="s">
        <v>22200</v>
      </c>
      <c r="AA50">
        <v>0.9432212148490845</v>
      </c>
      <c r="AB50" t="str">
        <f>HYPERLINK("Melting_Curves/meltCurve_A6NMH6_SEPT8.pdf", "Melting_Curves/meltCurve_A6NMH6_SEPT8.pdf")</f>
        <v>Melting_Curves/meltCurve_A6NMH6_SEPT8.pdf</v>
      </c>
    </row>
    <row r="51" spans="1:28" x14ac:dyDescent="0.25">
      <c r="A51" t="s">
        <v>55</v>
      </c>
      <c r="B51">
        <v>0.99796759195183404</v>
      </c>
      <c r="C51">
        <v>1.0181500548576099</v>
      </c>
      <c r="D51">
        <v>0.99984349326904798</v>
      </c>
      <c r="E51">
        <v>1.0199872218852699</v>
      </c>
      <c r="F51">
        <v>0.81166305610840805</v>
      </c>
      <c r="G51">
        <v>0.32070694498658098</v>
      </c>
      <c r="H51">
        <v>0.27787709341346001</v>
      </c>
      <c r="I51">
        <v>0.221558048107559</v>
      </c>
      <c r="J51">
        <v>0.15188863127543001</v>
      </c>
      <c r="K51">
        <v>0.16183822349680499</v>
      </c>
      <c r="L51">
        <v>2062.8935070283401</v>
      </c>
      <c r="M51">
        <v>39.919476274046502</v>
      </c>
      <c r="N51">
        <v>52.329389703120498</v>
      </c>
      <c r="O51">
        <v>51.547198183890202</v>
      </c>
      <c r="P51">
        <v>-0.155626292541656</v>
      </c>
      <c r="Q51">
        <v>0.19617362136198399</v>
      </c>
      <c r="R51">
        <v>0.99326533424881602</v>
      </c>
      <c r="S51" t="s">
        <v>5634</v>
      </c>
      <c r="T51" t="s">
        <v>11164</v>
      </c>
      <c r="U51" t="s">
        <v>11164</v>
      </c>
      <c r="V51" t="s">
        <v>11164</v>
      </c>
      <c r="W51" t="s">
        <v>11215</v>
      </c>
      <c r="X51">
        <v>4</v>
      </c>
      <c r="Y51" t="s">
        <v>16745</v>
      </c>
      <c r="Z51" t="s">
        <v>22201</v>
      </c>
      <c r="AA51">
        <v>0.5922923606449042</v>
      </c>
      <c r="AB51" t="str">
        <f>HYPERLINK("Melting_Curves/meltCurve_A6NML8_DIAPH2.pdf", "Melting_Curves/meltCurve_A6NML8_DIAPH2.pdf")</f>
        <v>Melting_Curves/meltCurve_A6NML8_DIAPH2.pdf</v>
      </c>
    </row>
    <row r="52" spans="1:28" x14ac:dyDescent="0.25">
      <c r="A52" t="s">
        <v>56</v>
      </c>
      <c r="B52">
        <v>0.99796759195183404</v>
      </c>
      <c r="C52">
        <v>1.3839734276143301</v>
      </c>
      <c r="D52">
        <v>1.0835785261679001</v>
      </c>
      <c r="E52">
        <v>0.91986158527241302</v>
      </c>
      <c r="F52">
        <v>1.0486753447944499</v>
      </c>
      <c r="G52">
        <v>0.57723111010664196</v>
      </c>
      <c r="H52">
        <v>0</v>
      </c>
      <c r="I52">
        <v>0.27392966593009299</v>
      </c>
      <c r="J52">
        <v>6.9977491461172298E-2</v>
      </c>
      <c r="K52">
        <v>0.15472439475330599</v>
      </c>
      <c r="L52">
        <v>13453.6650500126</v>
      </c>
      <c r="M52">
        <v>250</v>
      </c>
      <c r="N52">
        <v>53.876463373353602</v>
      </c>
      <c r="O52">
        <v>53.811222241983401</v>
      </c>
      <c r="P52">
        <v>-1.0166817826052901</v>
      </c>
      <c r="Q52">
        <v>0.124657865942141</v>
      </c>
      <c r="R52">
        <v>0.90812253491878503</v>
      </c>
      <c r="S52" t="s">
        <v>5635</v>
      </c>
      <c r="T52" t="s">
        <v>11164</v>
      </c>
      <c r="U52" t="s">
        <v>11164</v>
      </c>
      <c r="V52" t="s">
        <v>11164</v>
      </c>
      <c r="W52" t="s">
        <v>11216</v>
      </c>
      <c r="X52">
        <v>2</v>
      </c>
      <c r="Y52" t="s">
        <v>16746</v>
      </c>
      <c r="Z52" t="s">
        <v>22202</v>
      </c>
      <c r="AA52">
        <v>0.61535988809166242</v>
      </c>
      <c r="AB52" t="str">
        <f>HYPERLINK("Melting_Curves/meltCurve_A6NMN0_PHKA1.pdf", "Melting_Curves/meltCurve_A6NMN0_PHKA1.pdf")</f>
        <v>Melting_Curves/meltCurve_A6NMN0_PHKA1.pdf</v>
      </c>
    </row>
    <row r="53" spans="1:28" x14ac:dyDescent="0.25">
      <c r="A53" t="s">
        <v>57</v>
      </c>
      <c r="B53">
        <v>0.99796759195183404</v>
      </c>
      <c r="C53">
        <v>1.1066604419953401</v>
      </c>
      <c r="D53">
        <v>0.91786319217790002</v>
      </c>
      <c r="E53">
        <v>0.90345726315644004</v>
      </c>
      <c r="F53">
        <v>0.79633998955691299</v>
      </c>
      <c r="G53">
        <v>0.84261370034433303</v>
      </c>
      <c r="H53">
        <v>0.26436386437486398</v>
      </c>
      <c r="I53">
        <v>0.26800150813373802</v>
      </c>
      <c r="J53">
        <v>0.192633281722319</v>
      </c>
      <c r="K53">
        <v>0.13845840576221399</v>
      </c>
      <c r="L53">
        <v>2809.2966031865499</v>
      </c>
      <c r="M53">
        <v>50.941013520626299</v>
      </c>
      <c r="N53">
        <v>55.6751290776578</v>
      </c>
      <c r="O53">
        <v>55.063243398540003</v>
      </c>
      <c r="P53">
        <v>-0.18703675611892101</v>
      </c>
      <c r="Q53">
        <v>0.19131235825694201</v>
      </c>
      <c r="R53">
        <v>0.94144238486056098</v>
      </c>
      <c r="S53" t="s">
        <v>5636</v>
      </c>
      <c r="T53" t="s">
        <v>11164</v>
      </c>
      <c r="U53" t="s">
        <v>11164</v>
      </c>
      <c r="V53" t="s">
        <v>11164</v>
      </c>
      <c r="W53" t="s">
        <v>11217</v>
      </c>
      <c r="X53">
        <v>5</v>
      </c>
      <c r="Y53" t="s">
        <v>16747</v>
      </c>
      <c r="Z53" t="s">
        <v>22203</v>
      </c>
      <c r="AA53">
        <v>0.68240460154306293</v>
      </c>
      <c r="AB53" t="str">
        <f>HYPERLINK("Melting_Curves/meltCurve_A6NMQ1_POLA1.pdf", "Melting_Curves/meltCurve_A6NMQ1_POLA1.pdf")</f>
        <v>Melting_Curves/meltCurve_A6NMQ1_POLA1.pdf</v>
      </c>
    </row>
    <row r="54" spans="1:28" x14ac:dyDescent="0.25">
      <c r="A54" t="s">
        <v>58</v>
      </c>
      <c r="B54">
        <v>0.99796759195183404</v>
      </c>
      <c r="C54">
        <v>1.1052139784511501</v>
      </c>
      <c r="D54">
        <v>0.98173486290284095</v>
      </c>
      <c r="E54">
        <v>0.98574534695997895</v>
      </c>
      <c r="F54">
        <v>0.86804896510323803</v>
      </c>
      <c r="G54">
        <v>0.59670516690145303</v>
      </c>
      <c r="H54">
        <v>4.7132418674330101E-2</v>
      </c>
      <c r="I54">
        <v>2.7543478417147601E-2</v>
      </c>
      <c r="J54">
        <v>1.70611300469166E-2</v>
      </c>
      <c r="K54">
        <v>8.3593369207248906E-3</v>
      </c>
      <c r="L54">
        <v>2098.8528475578701</v>
      </c>
      <c r="M54">
        <v>38.7595478795768</v>
      </c>
      <c r="N54">
        <v>54.150640696976502</v>
      </c>
      <c r="O54">
        <v>54.007057588022398</v>
      </c>
      <c r="P54">
        <v>-0.17941687635575801</v>
      </c>
      <c r="Q54">
        <v>1.36265533206833E-5</v>
      </c>
      <c r="R54">
        <v>0.988731011131325</v>
      </c>
      <c r="S54" t="s">
        <v>5637</v>
      </c>
      <c r="T54" t="s">
        <v>11164</v>
      </c>
      <c r="U54" t="s">
        <v>11164</v>
      </c>
      <c r="V54" t="s">
        <v>11164</v>
      </c>
      <c r="W54" t="s">
        <v>11218</v>
      </c>
      <c r="X54">
        <v>2</v>
      </c>
      <c r="Y54" t="s">
        <v>16748</v>
      </c>
      <c r="Z54" t="s">
        <v>22204</v>
      </c>
      <c r="AA54">
        <v>0.57563731717696742</v>
      </c>
      <c r="AB54" t="str">
        <f>HYPERLINK("Melting_Curves/meltCurve_A6NMY3_ALMS1.pdf", "Melting_Curves/meltCurve_A6NMY3_ALMS1.pdf")</f>
        <v>Melting_Curves/meltCurve_A6NMY3_ALMS1.pdf</v>
      </c>
    </row>
    <row r="55" spans="1:28" x14ac:dyDescent="0.25">
      <c r="A55" t="s">
        <v>59</v>
      </c>
      <c r="B55">
        <v>0.99796759195183404</v>
      </c>
      <c r="C55">
        <v>0.84521049898949696</v>
      </c>
      <c r="D55">
        <v>0.706025827077574</v>
      </c>
      <c r="E55">
        <v>0.81144064034016194</v>
      </c>
      <c r="F55">
        <v>0.77714188209825497</v>
      </c>
      <c r="G55">
        <v>0.32193061726372202</v>
      </c>
      <c r="H55">
        <v>0.15318535394541699</v>
      </c>
      <c r="I55">
        <v>9.7872645002026595E-2</v>
      </c>
      <c r="J55">
        <v>9.3164518185762796E-2</v>
      </c>
      <c r="K55">
        <v>3.7485295139705103E-2</v>
      </c>
      <c r="L55">
        <v>643.20504430729704</v>
      </c>
      <c r="M55">
        <v>12.4474379184272</v>
      </c>
      <c r="N55">
        <v>51.6736896436297</v>
      </c>
      <c r="O55">
        <v>50.394346844484303</v>
      </c>
      <c r="P55">
        <v>-6.1763086494105099E-2</v>
      </c>
      <c r="Q55">
        <v>0</v>
      </c>
      <c r="R55">
        <v>0.91383543368625497</v>
      </c>
      <c r="S55" t="s">
        <v>5638</v>
      </c>
      <c r="T55" t="s">
        <v>11164</v>
      </c>
      <c r="U55" t="s">
        <v>11164</v>
      </c>
      <c r="V55" t="s">
        <v>11164</v>
      </c>
      <c r="W55" t="s">
        <v>11219</v>
      </c>
      <c r="X55">
        <v>41</v>
      </c>
      <c r="Y55" t="s">
        <v>16749</v>
      </c>
      <c r="Z55" t="s">
        <v>22205</v>
      </c>
      <c r="AA55">
        <v>0.51287909427568046</v>
      </c>
      <c r="AB55" t="str">
        <f>HYPERLINK("Melting_Curves/meltCurve_A6NN80_ANXA6.pdf", "Melting_Curves/meltCurve_A6NN80_ANXA6.pdf")</f>
        <v>Melting_Curves/meltCurve_A6NN80_ANXA6.pdf</v>
      </c>
    </row>
    <row r="56" spans="1:28" x14ac:dyDescent="0.25">
      <c r="A56" t="s">
        <v>60</v>
      </c>
      <c r="B56">
        <v>0.99796759195183404</v>
      </c>
      <c r="C56">
        <v>0.94187371331731196</v>
      </c>
      <c r="D56">
        <v>0.84556828366594905</v>
      </c>
      <c r="E56">
        <v>0.735088928064912</v>
      </c>
      <c r="F56">
        <v>0.56197117498174498</v>
      </c>
      <c r="G56">
        <v>0.45562075408743402</v>
      </c>
      <c r="H56">
        <v>0.44040988274625398</v>
      </c>
      <c r="I56">
        <v>0.42379748460849898</v>
      </c>
      <c r="J56">
        <v>0.51632819133962904</v>
      </c>
      <c r="K56">
        <v>0.50354367122356103</v>
      </c>
      <c r="L56">
        <v>779.54846335428397</v>
      </c>
      <c r="M56">
        <v>16.9695359458341</v>
      </c>
      <c r="N56">
        <v>53.700501983213002</v>
      </c>
      <c r="O56">
        <v>45.314396777732298</v>
      </c>
      <c r="P56">
        <v>-5.0841307703451702E-2</v>
      </c>
      <c r="Q56">
        <v>0.45697989640543102</v>
      </c>
      <c r="R56">
        <v>0.97150541548023395</v>
      </c>
      <c r="S56" t="s">
        <v>5639</v>
      </c>
      <c r="T56" t="s">
        <v>11164</v>
      </c>
      <c r="U56" t="s">
        <v>11164</v>
      </c>
      <c r="V56" t="s">
        <v>11164</v>
      </c>
      <c r="W56" t="s">
        <v>11220</v>
      </c>
      <c r="X56">
        <v>2</v>
      </c>
      <c r="Y56" t="s">
        <v>16750</v>
      </c>
      <c r="Z56" t="s">
        <v>22206</v>
      </c>
      <c r="AA56">
        <v>0.62863954540715072</v>
      </c>
      <c r="AB56" t="str">
        <f>HYPERLINK("Melting_Curves/meltCurve_A6NNI4_CD9.pdf", "Melting_Curves/meltCurve_A6NNI4_CD9.pdf")</f>
        <v>Melting_Curves/meltCurve_A6NNI4_CD9.pdf</v>
      </c>
    </row>
    <row r="57" spans="1:28" x14ac:dyDescent="0.25">
      <c r="A57" t="s">
        <v>61</v>
      </c>
      <c r="B57">
        <v>0.99796759195183404</v>
      </c>
      <c r="C57">
        <v>1.21684133771054</v>
      </c>
      <c r="D57">
        <v>1.1490622018650101</v>
      </c>
      <c r="E57">
        <v>1.1238752521720199</v>
      </c>
      <c r="F57">
        <v>1.1308863526861099</v>
      </c>
      <c r="G57">
        <v>0.39153809132781803</v>
      </c>
      <c r="H57">
        <v>0.64119262791225795</v>
      </c>
      <c r="I57">
        <v>0.46855276222681702</v>
      </c>
      <c r="J57">
        <v>0.39527460748133603</v>
      </c>
      <c r="K57">
        <v>0.293759672273605</v>
      </c>
      <c r="L57">
        <v>8465.0508288594992</v>
      </c>
      <c r="M57">
        <v>162.47662276220001</v>
      </c>
      <c r="N57">
        <v>52.774398375389403</v>
      </c>
      <c r="O57">
        <v>52.092223717303298</v>
      </c>
      <c r="P57">
        <v>-0.43878512951463799</v>
      </c>
      <c r="Q57">
        <v>0.437277994668749</v>
      </c>
      <c r="R57">
        <v>0.86638437108786304</v>
      </c>
      <c r="S57" t="s">
        <v>5640</v>
      </c>
      <c r="T57" t="s">
        <v>11164</v>
      </c>
      <c r="U57" t="s">
        <v>11164</v>
      </c>
      <c r="V57" t="s">
        <v>11164</v>
      </c>
      <c r="W57" t="s">
        <v>11221</v>
      </c>
      <c r="X57">
        <v>1</v>
      </c>
      <c r="Y57" t="s">
        <v>16751</v>
      </c>
      <c r="Z57" t="s">
        <v>22207</v>
      </c>
      <c r="AA57">
        <v>0.72063875860184912</v>
      </c>
      <c r="AB57" t="str">
        <f>HYPERLINK("Melting_Curves/meltCurve_A6PVM9_AIF1L.pdf", "Melting_Curves/meltCurve_A6PVM9_AIF1L.pdf")</f>
        <v>Melting_Curves/meltCurve_A6PVM9_AIF1L.pdf</v>
      </c>
    </row>
    <row r="58" spans="1:28" x14ac:dyDescent="0.25">
      <c r="A58" t="s">
        <v>62</v>
      </c>
      <c r="B58">
        <v>0.99796759195183404</v>
      </c>
      <c r="C58">
        <v>0.99787108275514702</v>
      </c>
      <c r="D58">
        <v>0.98983823748722899</v>
      </c>
      <c r="E58">
        <v>0.89623382697995901</v>
      </c>
      <c r="F58">
        <v>0.76514387136698703</v>
      </c>
      <c r="G58">
        <v>0.30848214843243799</v>
      </c>
      <c r="H58">
        <v>0.187511791808602</v>
      </c>
      <c r="I58">
        <v>0.192698152471413</v>
      </c>
      <c r="J58">
        <v>0.157321708580412</v>
      </c>
      <c r="K58">
        <v>0.117093934333167</v>
      </c>
      <c r="L58">
        <v>1565.3646140364599</v>
      </c>
      <c r="M58">
        <v>30.385508667052498</v>
      </c>
      <c r="N58">
        <v>52.122658728301701</v>
      </c>
      <c r="O58">
        <v>51.295222226129297</v>
      </c>
      <c r="P58">
        <v>-0.12605962695810499</v>
      </c>
      <c r="Q58">
        <v>0.14877626655787801</v>
      </c>
      <c r="R58">
        <v>0.99369603942041596</v>
      </c>
      <c r="S58" t="s">
        <v>5641</v>
      </c>
      <c r="T58" t="s">
        <v>11164</v>
      </c>
      <c r="U58" t="s">
        <v>11164</v>
      </c>
      <c r="V58" t="s">
        <v>11164</v>
      </c>
      <c r="W58" t="s">
        <v>11222</v>
      </c>
      <c r="X58">
        <v>3</v>
      </c>
      <c r="Y58" t="s">
        <v>16752</v>
      </c>
      <c r="Z58" t="s">
        <v>22208</v>
      </c>
      <c r="AA58">
        <v>0.56588789278363882</v>
      </c>
      <c r="AB58" t="str">
        <f>HYPERLINK("Melting_Curves/meltCurve_A6ZKI3_FAM127A.pdf", "Melting_Curves/meltCurve_A6ZKI3_FAM127A.pdf")</f>
        <v>Melting_Curves/meltCurve_A6ZKI3_FAM127A.pdf</v>
      </c>
    </row>
    <row r="59" spans="1:28" x14ac:dyDescent="0.25">
      <c r="A59" t="s">
        <v>63</v>
      </c>
      <c r="B59">
        <v>0.99796759195183404</v>
      </c>
      <c r="C59">
        <v>0.99506670634274896</v>
      </c>
      <c r="D59">
        <v>0.941354580181888</v>
      </c>
      <c r="E59">
        <v>0.94369317183983903</v>
      </c>
      <c r="F59">
        <v>0.78151166391868898</v>
      </c>
      <c r="G59">
        <v>0.55789948272174605</v>
      </c>
      <c r="H59">
        <v>0.449171806932322</v>
      </c>
      <c r="I59">
        <v>0.226269596058361</v>
      </c>
      <c r="J59">
        <v>0.16471159764252599</v>
      </c>
      <c r="K59">
        <v>0.13092444665404401</v>
      </c>
      <c r="L59">
        <v>686.25966392831197</v>
      </c>
      <c r="M59">
        <v>12.417520354296499</v>
      </c>
      <c r="N59">
        <v>55.461114622343104</v>
      </c>
      <c r="O59">
        <v>53.890835696927503</v>
      </c>
      <c r="P59">
        <v>-5.6382226039092799E-2</v>
      </c>
      <c r="Q59">
        <v>2.14329973370041E-2</v>
      </c>
      <c r="R59">
        <v>0.994312549834241</v>
      </c>
      <c r="S59" t="s">
        <v>5642</v>
      </c>
      <c r="T59" t="s">
        <v>11164</v>
      </c>
      <c r="U59" t="s">
        <v>11164</v>
      </c>
      <c r="V59" t="s">
        <v>11164</v>
      </c>
      <c r="W59" t="s">
        <v>11223</v>
      </c>
      <c r="X59">
        <v>3</v>
      </c>
      <c r="Y59" t="s">
        <v>16753</v>
      </c>
      <c r="Z59" t="s">
        <v>22209</v>
      </c>
      <c r="AA59">
        <v>0.63026293565112945</v>
      </c>
      <c r="AB59" t="str">
        <f>HYPERLINK("Melting_Curves/meltCurve_A8K0B5_ZBTB8OS.pdf", "Melting_Curves/meltCurve_A8K0B5_ZBTB8OS.pdf")</f>
        <v>Melting_Curves/meltCurve_A8K0B5_ZBTB8OS.pdf</v>
      </c>
    </row>
    <row r="60" spans="1:28" x14ac:dyDescent="0.25">
      <c r="A60" t="s">
        <v>64</v>
      </c>
      <c r="B60">
        <v>0.99796759195183404</v>
      </c>
      <c r="C60">
        <v>1.0655027233791601</v>
      </c>
      <c r="D60">
        <v>1.0832414292260899</v>
      </c>
      <c r="E60">
        <v>1.0463636745839799</v>
      </c>
      <c r="F60">
        <v>0.914699112063036</v>
      </c>
      <c r="G60">
        <v>0.67291066671469602</v>
      </c>
      <c r="H60">
        <v>0.48729446387147302</v>
      </c>
      <c r="I60">
        <v>0.363398734339755</v>
      </c>
      <c r="J60">
        <v>0.324114241588222</v>
      </c>
      <c r="K60">
        <v>0.25040132530180498</v>
      </c>
      <c r="L60">
        <v>1158.7248262422199</v>
      </c>
      <c r="M60">
        <v>21.161730898497101</v>
      </c>
      <c r="N60">
        <v>56.866967478041197</v>
      </c>
      <c r="O60">
        <v>54.2737439327015</v>
      </c>
      <c r="P60">
        <v>-7.0955940345075297E-2</v>
      </c>
      <c r="Q60">
        <v>0.27209275884412598</v>
      </c>
      <c r="R60">
        <v>0.981631994512698</v>
      </c>
      <c r="S60" t="s">
        <v>5643</v>
      </c>
      <c r="T60" t="s">
        <v>11164</v>
      </c>
      <c r="U60" t="s">
        <v>11164</v>
      </c>
      <c r="V60" t="s">
        <v>11164</v>
      </c>
      <c r="W60" t="s">
        <v>11224</v>
      </c>
      <c r="X60">
        <v>3</v>
      </c>
      <c r="Y60" t="s">
        <v>16754</v>
      </c>
      <c r="Z60" t="s">
        <v>22210</v>
      </c>
      <c r="AA60">
        <v>0.71077118569071895</v>
      </c>
      <c r="AB60" t="str">
        <f>HYPERLINK("Melting_Curves/meltCurve_A8K0M9_SELK.pdf", "Melting_Curves/meltCurve_A8K0M9_SELK.pdf")</f>
        <v>Melting_Curves/meltCurve_A8K0M9_SELK.pdf</v>
      </c>
    </row>
    <row r="61" spans="1:28" x14ac:dyDescent="0.25">
      <c r="A61" t="s">
        <v>65</v>
      </c>
      <c r="B61">
        <v>0.99796759195183404</v>
      </c>
      <c r="C61">
        <v>0.89652133591512395</v>
      </c>
      <c r="D61">
        <v>0.90483157624977395</v>
      </c>
      <c r="E61">
        <v>0.781952238026424</v>
      </c>
      <c r="F61">
        <v>0.72358231446216104</v>
      </c>
      <c r="G61">
        <v>0.56639179995648403</v>
      </c>
      <c r="H61">
        <v>0.36379332795522501</v>
      </c>
      <c r="I61">
        <v>0.20405785718146999</v>
      </c>
      <c r="J61">
        <v>0.14302329820701101</v>
      </c>
      <c r="K61">
        <v>0.10169472481549401</v>
      </c>
      <c r="L61">
        <v>550.45306540520005</v>
      </c>
      <c r="M61">
        <v>10.1821341988132</v>
      </c>
      <c r="N61">
        <v>54.060676734145297</v>
      </c>
      <c r="O61">
        <v>52.099839619565202</v>
      </c>
      <c r="P61">
        <v>-4.8880945902728901E-2</v>
      </c>
      <c r="Q61">
        <v>0</v>
      </c>
      <c r="R61">
        <v>0.98436581945329704</v>
      </c>
      <c r="S61" t="s">
        <v>5644</v>
      </c>
      <c r="T61" t="s">
        <v>11164</v>
      </c>
      <c r="U61" t="s">
        <v>11164</v>
      </c>
      <c r="V61" t="s">
        <v>11164</v>
      </c>
      <c r="W61" t="s">
        <v>11225</v>
      </c>
      <c r="X61">
        <v>6</v>
      </c>
      <c r="Y61" t="s">
        <v>16755</v>
      </c>
      <c r="Z61" t="s">
        <v>22211</v>
      </c>
      <c r="AA61">
        <v>0.58609374478479226</v>
      </c>
      <c r="AB61" t="str">
        <f>HYPERLINK("Melting_Curves/meltCurve_A8MPS7_YDJC.pdf", "Melting_Curves/meltCurve_A8MPS7_YDJC.pdf")</f>
        <v>Melting_Curves/meltCurve_A8MPS7_YDJC.pdf</v>
      </c>
    </row>
    <row r="62" spans="1:28" x14ac:dyDescent="0.25">
      <c r="A62" t="s">
        <v>66</v>
      </c>
      <c r="B62">
        <v>0.99796759195183404</v>
      </c>
      <c r="C62">
        <v>1.03380112298042</v>
      </c>
      <c r="D62">
        <v>0.99961931893211298</v>
      </c>
      <c r="E62">
        <v>0.94412621127076701</v>
      </c>
      <c r="F62">
        <v>0.80534951863277704</v>
      </c>
      <c r="G62">
        <v>0.47068027823499198</v>
      </c>
      <c r="H62">
        <v>0.26988684915477801</v>
      </c>
      <c r="I62">
        <v>0.21753785917966001</v>
      </c>
      <c r="J62">
        <v>0.204048903385431</v>
      </c>
      <c r="K62">
        <v>0.15918911720576501</v>
      </c>
      <c r="L62">
        <v>1246.2949972522099</v>
      </c>
      <c r="M62">
        <v>23.7230797847714</v>
      </c>
      <c r="N62">
        <v>53.517318233107801</v>
      </c>
      <c r="O62">
        <v>52.166095909507703</v>
      </c>
      <c r="P62">
        <v>-9.3626265784950799E-2</v>
      </c>
      <c r="Q62">
        <v>0.176492100634939</v>
      </c>
      <c r="R62">
        <v>0.99802187130944697</v>
      </c>
      <c r="S62" t="s">
        <v>5645</v>
      </c>
      <c r="T62" t="s">
        <v>11164</v>
      </c>
      <c r="U62" t="s">
        <v>11164</v>
      </c>
      <c r="V62" t="s">
        <v>11164</v>
      </c>
      <c r="W62" t="s">
        <v>11226</v>
      </c>
      <c r="X62">
        <v>42</v>
      </c>
      <c r="Y62" t="s">
        <v>16756</v>
      </c>
      <c r="Z62" t="s">
        <v>22212</v>
      </c>
      <c r="AA62">
        <v>0.61092192403383383</v>
      </c>
      <c r="AB62" t="str">
        <f>HYPERLINK("Melting_Curves/meltCurve_A8MQ02_MLLT4.pdf", "Melting_Curves/meltCurve_A8MQ02_MLLT4.pdf")</f>
        <v>Melting_Curves/meltCurve_A8MQ02_MLLT4.pdf</v>
      </c>
    </row>
    <row r="63" spans="1:28" x14ac:dyDescent="0.25">
      <c r="A63" t="s">
        <v>67</v>
      </c>
      <c r="B63">
        <v>0.99796759195183404</v>
      </c>
      <c r="C63">
        <v>0.95263324050367004</v>
      </c>
      <c r="D63">
        <v>0.95564380474713395</v>
      </c>
      <c r="E63">
        <v>0.84612339971766004</v>
      </c>
      <c r="F63">
        <v>0.76657958922367697</v>
      </c>
      <c r="G63">
        <v>0.83106340126227096</v>
      </c>
      <c r="H63">
        <v>0.59772806346179597</v>
      </c>
      <c r="I63">
        <v>0.50606049681491105</v>
      </c>
      <c r="J63">
        <v>0.42837897464067198</v>
      </c>
      <c r="K63">
        <v>0.34384057509640698</v>
      </c>
      <c r="L63">
        <v>413.78350520720898</v>
      </c>
      <c r="M63">
        <v>6.7401110205462302</v>
      </c>
      <c r="N63">
        <v>61.391199992698802</v>
      </c>
      <c r="O63">
        <v>56.665304536534002</v>
      </c>
      <c r="P63">
        <v>-2.9799802455528299E-2</v>
      </c>
      <c r="Q63">
        <v>0</v>
      </c>
      <c r="R63">
        <v>0.96363732723892304</v>
      </c>
      <c r="S63" t="s">
        <v>5646</v>
      </c>
      <c r="T63" t="s">
        <v>11164</v>
      </c>
      <c r="U63" t="s">
        <v>11164</v>
      </c>
      <c r="V63" t="s">
        <v>11164</v>
      </c>
      <c r="W63" t="s">
        <v>11227</v>
      </c>
      <c r="X63">
        <v>1</v>
      </c>
      <c r="Y63" t="s">
        <v>16757</v>
      </c>
      <c r="Z63" t="s">
        <v>22213</v>
      </c>
      <c r="AA63">
        <v>0.73494244736352887</v>
      </c>
      <c r="AB63" t="str">
        <f>HYPERLINK("Melting_Curves/meltCurve_A8MRB1_S100B.pdf", "Melting_Curves/meltCurve_A8MRB1_S100B.pdf")</f>
        <v>Melting_Curves/meltCurve_A8MRB1_S100B.pdf</v>
      </c>
    </row>
    <row r="64" spans="1:28" x14ac:dyDescent="0.25">
      <c r="A64" t="s">
        <v>68</v>
      </c>
      <c r="B64">
        <v>0.99796759195183404</v>
      </c>
      <c r="C64">
        <v>1.03783635571844</v>
      </c>
      <c r="D64">
        <v>1.02327875181686</v>
      </c>
      <c r="E64">
        <v>0.97547246154170697</v>
      </c>
      <c r="F64">
        <v>0.70284947214877302</v>
      </c>
      <c r="G64">
        <v>0.26270976853835498</v>
      </c>
      <c r="H64">
        <v>0.169576770894038</v>
      </c>
      <c r="I64">
        <v>0.13000375373041101</v>
      </c>
      <c r="J64">
        <v>0.104942194587875</v>
      </c>
      <c r="K64">
        <v>9.5024408355450202E-2</v>
      </c>
      <c r="L64">
        <v>1673.42215789342</v>
      </c>
      <c r="M64">
        <v>32.651245522162696</v>
      </c>
      <c r="N64">
        <v>51.665099963147</v>
      </c>
      <c r="O64">
        <v>51.0603073549958</v>
      </c>
      <c r="P64">
        <v>-0.14147677838839101</v>
      </c>
      <c r="Q64">
        <v>0.115033625468241</v>
      </c>
      <c r="R64">
        <v>0.99781819242750802</v>
      </c>
      <c r="S64" t="s">
        <v>5647</v>
      </c>
      <c r="T64" t="s">
        <v>11164</v>
      </c>
      <c r="U64" t="s">
        <v>11164</v>
      </c>
      <c r="V64" t="s">
        <v>11164</v>
      </c>
      <c r="W64" t="s">
        <v>11228</v>
      </c>
      <c r="X64">
        <v>8</v>
      </c>
      <c r="Y64" t="s">
        <v>16758</v>
      </c>
      <c r="Z64" t="s">
        <v>22214</v>
      </c>
      <c r="AA64">
        <v>0.54012178313518422</v>
      </c>
      <c r="AB64" t="str">
        <f>HYPERLINK("Melting_Curves/meltCurve_A8MSH5_RTFDC1.pdf", "Melting_Curves/meltCurve_A8MSH5_RTFDC1.pdf")</f>
        <v>Melting_Curves/meltCurve_A8MSH5_RTFDC1.pdf</v>
      </c>
    </row>
    <row r="65" spans="1:28" x14ac:dyDescent="0.25">
      <c r="A65" t="s">
        <v>69</v>
      </c>
      <c r="B65">
        <v>0.99796759195183404</v>
      </c>
      <c r="C65">
        <v>1.0402290817256901</v>
      </c>
      <c r="D65">
        <v>0.987565283913168</v>
      </c>
      <c r="E65">
        <v>1.02069945434792</v>
      </c>
      <c r="F65">
        <v>0.87913871984601999</v>
      </c>
      <c r="G65">
        <v>0.426619714700604</v>
      </c>
      <c r="H65">
        <v>0.30625137814396097</v>
      </c>
      <c r="I65">
        <v>0.18820745481325801</v>
      </c>
      <c r="J65">
        <v>0.14058423272075099</v>
      </c>
      <c r="K65">
        <v>0.11558605392139799</v>
      </c>
      <c r="L65">
        <v>1540.53956965458</v>
      </c>
      <c r="M65">
        <v>29.1386845919188</v>
      </c>
      <c r="N65">
        <v>53.550187154561002</v>
      </c>
      <c r="O65">
        <v>52.622088156073701</v>
      </c>
      <c r="P65">
        <v>-0.117002404198396</v>
      </c>
      <c r="Q65">
        <v>0.154818971492514</v>
      </c>
      <c r="R65">
        <v>0.99065818470936895</v>
      </c>
      <c r="S65" t="s">
        <v>5648</v>
      </c>
      <c r="T65" t="s">
        <v>11164</v>
      </c>
      <c r="U65" t="s">
        <v>11164</v>
      </c>
      <c r="V65" t="s">
        <v>11164</v>
      </c>
      <c r="W65" t="s">
        <v>11229</v>
      </c>
      <c r="X65">
        <v>1</v>
      </c>
      <c r="Y65" t="s">
        <v>16759</v>
      </c>
      <c r="Z65" t="s">
        <v>22215</v>
      </c>
      <c r="AA65">
        <v>0.60757329939247329</v>
      </c>
      <c r="AB65" t="str">
        <f>HYPERLINK("Melting_Curves/meltCurve_A8MU44_HOOK1.pdf", "Melting_Curves/meltCurve_A8MU44_HOOK1.pdf")</f>
        <v>Melting_Curves/meltCurve_A8MU44_HOOK1.pdf</v>
      </c>
    </row>
    <row r="66" spans="1:28" x14ac:dyDescent="0.25">
      <c r="A66" t="s">
        <v>70</v>
      </c>
      <c r="B66">
        <v>0.99796759195183404</v>
      </c>
      <c r="C66">
        <v>0.90483853472210496</v>
      </c>
      <c r="D66">
        <v>0.879833712797222</v>
      </c>
      <c r="E66">
        <v>0.69042472416067902</v>
      </c>
      <c r="F66">
        <v>0.45678019829615901</v>
      </c>
      <c r="G66">
        <v>0.35527047900354902</v>
      </c>
      <c r="H66">
        <v>0.21842728734254099</v>
      </c>
      <c r="I66">
        <v>0.20909764004971301</v>
      </c>
      <c r="J66">
        <v>0.14271461055711199</v>
      </c>
      <c r="K66">
        <v>7.0737411738804906E-2</v>
      </c>
      <c r="L66">
        <v>541.24347643298802</v>
      </c>
      <c r="M66">
        <v>10.9332478334145</v>
      </c>
      <c r="N66">
        <v>50.083660564676897</v>
      </c>
      <c r="O66">
        <v>47.934642300766001</v>
      </c>
      <c r="P66">
        <v>-5.3653337308154699E-2</v>
      </c>
      <c r="Q66">
        <v>5.9395448846539203E-2</v>
      </c>
      <c r="R66">
        <v>0.99271628247645805</v>
      </c>
      <c r="S66" t="s">
        <v>5649</v>
      </c>
      <c r="T66" t="s">
        <v>11164</v>
      </c>
      <c r="U66" t="s">
        <v>11164</v>
      </c>
      <c r="V66" t="s">
        <v>11164</v>
      </c>
      <c r="W66" t="s">
        <v>11230</v>
      </c>
      <c r="X66">
        <v>1</v>
      </c>
      <c r="Y66" t="s">
        <v>16760</v>
      </c>
      <c r="Z66" t="s">
        <v>22216</v>
      </c>
      <c r="AA66">
        <v>0.48179747709889559</v>
      </c>
      <c r="AB66" t="str">
        <f>HYPERLINK("Melting_Curves/meltCurve_A8MU58_AIMP2.pdf", "Melting_Curves/meltCurve_A8MU58_AIMP2.pdf")</f>
        <v>Melting_Curves/meltCurve_A8MU58_AIMP2.pdf</v>
      </c>
    </row>
    <row r="67" spans="1:28" x14ac:dyDescent="0.25">
      <c r="A67" t="s">
        <v>71</v>
      </c>
      <c r="B67">
        <v>0.99796759195183404</v>
      </c>
      <c r="C67">
        <v>1.0142314037242799</v>
      </c>
      <c r="D67">
        <v>1.18500174353493</v>
      </c>
      <c r="E67">
        <v>1.11554887902044</v>
      </c>
      <c r="F67">
        <v>0.91404315047101203</v>
      </c>
      <c r="G67">
        <v>0.43630244174326899</v>
      </c>
      <c r="H67">
        <v>0.60168349260230602</v>
      </c>
      <c r="I67">
        <v>0.617044512436415</v>
      </c>
      <c r="J67">
        <v>0.77180923396870604</v>
      </c>
      <c r="K67">
        <v>0.67009711489865198</v>
      </c>
      <c r="L67">
        <v>12611.8443888406</v>
      </c>
      <c r="M67">
        <v>250</v>
      </c>
      <c r="O67">
        <v>50.444149486032202</v>
      </c>
      <c r="P67">
        <v>-0.47157679119885898</v>
      </c>
      <c r="Q67">
        <v>0.619387359777958</v>
      </c>
      <c r="R67">
        <v>0.80753302966853502</v>
      </c>
      <c r="S67" t="s">
        <v>5650</v>
      </c>
      <c r="T67" t="s">
        <v>11164</v>
      </c>
      <c r="U67" t="s">
        <v>11164</v>
      </c>
      <c r="V67" t="s">
        <v>11164</v>
      </c>
      <c r="W67" t="s">
        <v>11231</v>
      </c>
      <c r="X67">
        <v>6</v>
      </c>
      <c r="Y67" t="s">
        <v>16761</v>
      </c>
      <c r="Z67" t="s">
        <v>22217</v>
      </c>
      <c r="AA67">
        <v>0.79002911958904698</v>
      </c>
      <c r="AB67" t="str">
        <f>HYPERLINK("Melting_Curves/meltCurve_A8MUA9_SUMO3.pdf", "Melting_Curves/meltCurve_A8MUA9_SUMO3.pdf")</f>
        <v>Melting_Curves/meltCurve_A8MUA9_SUMO3.pdf</v>
      </c>
    </row>
    <row r="68" spans="1:28" x14ac:dyDescent="0.25">
      <c r="A68" t="s">
        <v>72</v>
      </c>
      <c r="B68">
        <v>0.99796759195183404</v>
      </c>
      <c r="C68">
        <v>0.94529194373291503</v>
      </c>
      <c r="D68">
        <v>0.96597408346205005</v>
      </c>
      <c r="E68">
        <v>0.822820948982394</v>
      </c>
      <c r="F68">
        <v>0.95827277316172099</v>
      </c>
      <c r="G68">
        <v>0.49243072686077499</v>
      </c>
      <c r="H68">
        <v>0.54240936305954002</v>
      </c>
      <c r="I68">
        <v>0.238800702128905</v>
      </c>
      <c r="J68">
        <v>0</v>
      </c>
      <c r="K68">
        <v>0</v>
      </c>
      <c r="L68">
        <v>863.01619120128805</v>
      </c>
      <c r="M68">
        <v>15.4834940756002</v>
      </c>
      <c r="N68">
        <v>55.737819803582099</v>
      </c>
      <c r="O68">
        <v>54.832902290282703</v>
      </c>
      <c r="P68">
        <v>-7.06002909724779E-2</v>
      </c>
      <c r="Q68">
        <v>0</v>
      </c>
      <c r="R68">
        <v>0.93375275998470397</v>
      </c>
      <c r="S68" t="s">
        <v>5651</v>
      </c>
      <c r="T68" t="s">
        <v>11164</v>
      </c>
      <c r="U68" t="s">
        <v>11164</v>
      </c>
      <c r="V68" t="s">
        <v>11164</v>
      </c>
      <c r="W68" t="s">
        <v>11232</v>
      </c>
      <c r="X68">
        <v>24</v>
      </c>
      <c r="Y68" t="s">
        <v>16762</v>
      </c>
      <c r="Z68" t="s">
        <v>22218</v>
      </c>
      <c r="AA68">
        <v>0.63677277932317655</v>
      </c>
      <c r="AB68" t="str">
        <f>HYPERLINK("Melting_Curves/meltCurve_A8MUB1_TUBA4A.pdf", "Melting_Curves/meltCurve_A8MUB1_TUBA4A.pdf")</f>
        <v>Melting_Curves/meltCurve_A8MUB1_TUBA4A.pdf</v>
      </c>
    </row>
    <row r="69" spans="1:28" x14ac:dyDescent="0.25">
      <c r="A69" t="s">
        <v>73</v>
      </c>
      <c r="B69">
        <v>0.99796759195183404</v>
      </c>
      <c r="C69">
        <v>0.97672725213173395</v>
      </c>
      <c r="D69">
        <v>0.94514767253753895</v>
      </c>
      <c r="E69">
        <v>0.87270617105349702</v>
      </c>
      <c r="F69">
        <v>0.71346122477524698</v>
      </c>
      <c r="G69">
        <v>0.85390982905794899</v>
      </c>
      <c r="H69">
        <v>0.99564048556648299</v>
      </c>
      <c r="I69">
        <v>0.33230760246018998</v>
      </c>
      <c r="J69">
        <v>0.164643456171601</v>
      </c>
      <c r="K69">
        <v>0.116727028270626</v>
      </c>
      <c r="L69">
        <v>5504.3886666696799</v>
      </c>
      <c r="M69">
        <v>91.468395699176298</v>
      </c>
      <c r="N69">
        <v>60.3925942092173</v>
      </c>
      <c r="O69">
        <v>60.149290681422002</v>
      </c>
      <c r="P69">
        <v>-0.32743449396134999</v>
      </c>
      <c r="Q69">
        <v>0.13872104571791899</v>
      </c>
      <c r="R69">
        <v>0.88990578940240905</v>
      </c>
      <c r="S69" t="s">
        <v>5652</v>
      </c>
      <c r="T69" t="s">
        <v>11164</v>
      </c>
      <c r="U69" t="s">
        <v>11164</v>
      </c>
      <c r="V69" t="s">
        <v>11164</v>
      </c>
      <c r="W69" t="s">
        <v>11233</v>
      </c>
      <c r="X69">
        <v>4</v>
      </c>
      <c r="Y69" t="s">
        <v>16763</v>
      </c>
      <c r="Z69" t="s">
        <v>22219</v>
      </c>
      <c r="AA69">
        <v>0.80482459615651758</v>
      </c>
      <c r="AB69" t="str">
        <f>HYPERLINK("Melting_Curves/meltCurve_A8MUM1_TSSC1.pdf", "Melting_Curves/meltCurve_A8MUM1_TSSC1.pdf")</f>
        <v>Melting_Curves/meltCurve_A8MUM1_TSSC1.pdf</v>
      </c>
    </row>
    <row r="70" spans="1:28" x14ac:dyDescent="0.25">
      <c r="A70" t="s">
        <v>74</v>
      </c>
      <c r="B70">
        <v>0.99796759195183404</v>
      </c>
      <c r="C70">
        <v>0.99846523779884799</v>
      </c>
      <c r="D70">
        <v>0.97884553515989903</v>
      </c>
      <c r="E70">
        <v>0.90895723583445698</v>
      </c>
      <c r="F70">
        <v>0.84735676533034798</v>
      </c>
      <c r="G70">
        <v>1.17385734845854</v>
      </c>
      <c r="H70">
        <v>1.14558873918823</v>
      </c>
      <c r="I70">
        <v>0.836784623609378</v>
      </c>
      <c r="J70">
        <v>0.376386846426077</v>
      </c>
      <c r="K70">
        <v>0.21803444288130699</v>
      </c>
      <c r="L70">
        <v>3562.8836631379299</v>
      </c>
      <c r="M70">
        <v>56.940771503955297</v>
      </c>
      <c r="N70">
        <v>63.157609310433898</v>
      </c>
      <c r="O70">
        <v>62.494734027389597</v>
      </c>
      <c r="P70">
        <v>-0.18104950381474599</v>
      </c>
      <c r="Q70">
        <v>0.20516490621469</v>
      </c>
      <c r="R70">
        <v>0.90321966785697305</v>
      </c>
      <c r="S70" t="s">
        <v>5653</v>
      </c>
      <c r="T70" t="s">
        <v>11164</v>
      </c>
      <c r="U70" t="s">
        <v>11164</v>
      </c>
      <c r="V70" t="s">
        <v>11164</v>
      </c>
      <c r="W70" t="s">
        <v>11234</v>
      </c>
      <c r="X70">
        <v>4</v>
      </c>
      <c r="Y70" t="s">
        <v>16764</v>
      </c>
      <c r="Z70" t="s">
        <v>22220</v>
      </c>
      <c r="AA70">
        <v>0.88356859194333914</v>
      </c>
      <c r="AB70" t="str">
        <f>HYPERLINK("Melting_Curves/meltCurve_A8MVQ8_GGPS1.pdf", "Melting_Curves/meltCurve_A8MVQ8_GGPS1.pdf")</f>
        <v>Melting_Curves/meltCurve_A8MVQ8_GGPS1.pdf</v>
      </c>
    </row>
    <row r="71" spans="1:28" x14ac:dyDescent="0.25">
      <c r="A71" t="s">
        <v>75</v>
      </c>
      <c r="B71">
        <v>0.99796759195183404</v>
      </c>
      <c r="C71">
        <v>0.92171454251500196</v>
      </c>
      <c r="D71">
        <v>0.895246672608914</v>
      </c>
      <c r="E71">
        <v>0.80443926500572704</v>
      </c>
      <c r="F71">
        <v>0.76154908923729803</v>
      </c>
      <c r="G71">
        <v>0.67041857153562401</v>
      </c>
      <c r="H71">
        <v>0.56249579660690596</v>
      </c>
      <c r="I71">
        <v>0.49530169711483801</v>
      </c>
      <c r="J71">
        <v>0.54614104857781798</v>
      </c>
      <c r="K71">
        <v>0.41676584853152498</v>
      </c>
      <c r="L71">
        <v>354.01285507476501</v>
      </c>
      <c r="M71">
        <v>6.4782730341779597</v>
      </c>
      <c r="N71">
        <v>62.620751310556003</v>
      </c>
      <c r="O71">
        <v>50.138412101436799</v>
      </c>
      <c r="P71">
        <v>-2.3286077919469801E-2</v>
      </c>
      <c r="Q71">
        <v>0.28088022735484097</v>
      </c>
      <c r="R71">
        <v>0.97564600905260801</v>
      </c>
      <c r="S71" t="s">
        <v>5654</v>
      </c>
      <c r="T71" t="s">
        <v>11164</v>
      </c>
      <c r="U71" t="s">
        <v>11164</v>
      </c>
      <c r="V71" t="s">
        <v>11164</v>
      </c>
      <c r="W71" t="s">
        <v>11235</v>
      </c>
      <c r="X71">
        <v>7</v>
      </c>
      <c r="Y71" t="s">
        <v>16765</v>
      </c>
      <c r="Z71" t="s">
        <v>22221</v>
      </c>
      <c r="AA71">
        <v>0.70575008924548654</v>
      </c>
      <c r="AB71" t="str">
        <f>HYPERLINK("Melting_Curves/meltCurve_A8MVW0_FAM171A2.pdf", "Melting_Curves/meltCurve_A8MVW0_FAM171A2.pdf")</f>
        <v>Melting_Curves/meltCurve_A8MVW0_FAM171A2.pdf</v>
      </c>
    </row>
    <row r="72" spans="1:28" x14ac:dyDescent="0.25">
      <c r="A72" t="s">
        <v>76</v>
      </c>
      <c r="B72">
        <v>0.99796759195183404</v>
      </c>
      <c r="C72">
        <v>1.14798490297362</v>
      </c>
      <c r="D72">
        <v>1.0027761241879201</v>
      </c>
      <c r="E72">
        <v>0.97967928367763002</v>
      </c>
      <c r="F72">
        <v>0.83960943324649295</v>
      </c>
      <c r="G72">
        <v>0.91925856343246004</v>
      </c>
      <c r="H72">
        <v>0.68331377060561205</v>
      </c>
      <c r="I72">
        <v>0.46611596281737</v>
      </c>
      <c r="J72">
        <v>0.34940372742605602</v>
      </c>
      <c r="K72">
        <v>0.22185785922527099</v>
      </c>
      <c r="L72">
        <v>803.93014749750603</v>
      </c>
      <c r="M72">
        <v>13.2259281317119</v>
      </c>
      <c r="N72">
        <v>60.784395866049998</v>
      </c>
      <c r="O72">
        <v>59.445202669894201</v>
      </c>
      <c r="P72">
        <v>-5.5631541849012998E-2</v>
      </c>
      <c r="Q72">
        <v>0</v>
      </c>
      <c r="R72">
        <v>0.95696435647002798</v>
      </c>
      <c r="S72" t="s">
        <v>5655</v>
      </c>
      <c r="T72" t="s">
        <v>11164</v>
      </c>
      <c r="U72" t="s">
        <v>11164</v>
      </c>
      <c r="V72" t="s">
        <v>11164</v>
      </c>
      <c r="W72" t="s">
        <v>11236</v>
      </c>
      <c r="X72">
        <v>3</v>
      </c>
      <c r="Y72" t="s">
        <v>16766</v>
      </c>
      <c r="Z72" t="s">
        <v>22222</v>
      </c>
      <c r="AA72">
        <v>0.77475727619571799</v>
      </c>
      <c r="AB72" t="str">
        <f>HYPERLINK("Melting_Curves/meltCurve_A8MVZ6_BICD1.pdf", "Melting_Curves/meltCurve_A8MVZ6_BICD1.pdf")</f>
        <v>Melting_Curves/meltCurve_A8MVZ6_BICD1.pdf</v>
      </c>
    </row>
    <row r="73" spans="1:28" x14ac:dyDescent="0.25">
      <c r="A73" t="s">
        <v>77</v>
      </c>
      <c r="B73">
        <v>0.99796759195183404</v>
      </c>
      <c r="C73">
        <v>1.2378981822880899</v>
      </c>
      <c r="D73">
        <v>1.06096974273557</v>
      </c>
      <c r="E73">
        <v>1.0362912934030599</v>
      </c>
      <c r="F73">
        <v>0.80325294379271195</v>
      </c>
      <c r="G73">
        <v>0.57418701270783701</v>
      </c>
      <c r="H73">
        <v>0.70075939055247305</v>
      </c>
      <c r="I73">
        <v>0.80410124467071298</v>
      </c>
      <c r="J73">
        <v>0.33398336989886002</v>
      </c>
      <c r="K73">
        <v>0.20800570755067499</v>
      </c>
      <c r="L73">
        <v>560.67911189258803</v>
      </c>
      <c r="M73">
        <v>9.1094713486337202</v>
      </c>
      <c r="N73">
        <v>61.549017670271098</v>
      </c>
      <c r="O73">
        <v>58.8004505586186</v>
      </c>
      <c r="P73">
        <v>-3.8757313907584502E-2</v>
      </c>
      <c r="Q73">
        <v>0</v>
      </c>
      <c r="R73">
        <v>0.76682510081924604</v>
      </c>
      <c r="S73" t="s">
        <v>5656</v>
      </c>
      <c r="T73" t="s">
        <v>11164</v>
      </c>
      <c r="U73" t="s">
        <v>11164</v>
      </c>
      <c r="V73" t="s">
        <v>11164</v>
      </c>
      <c r="W73" t="s">
        <v>11237</v>
      </c>
      <c r="X73">
        <v>1</v>
      </c>
      <c r="Y73" t="s">
        <v>16767</v>
      </c>
      <c r="Z73" t="s">
        <v>22223</v>
      </c>
      <c r="AA73">
        <v>0.76671000902585862</v>
      </c>
      <c r="AB73" t="str">
        <f>HYPERLINK("Melting_Curves/meltCurve_A8MWY0_KIAA1324L.pdf", "Melting_Curves/meltCurve_A8MWY0_KIAA1324L.pdf")</f>
        <v>Melting_Curves/meltCurve_A8MWY0_KIAA1324L.pdf</v>
      </c>
    </row>
    <row r="74" spans="1:28" x14ac:dyDescent="0.25">
      <c r="A74" t="s">
        <v>78</v>
      </c>
      <c r="B74">
        <v>0.99796759195183404</v>
      </c>
      <c r="C74">
        <v>0.94842012642496798</v>
      </c>
      <c r="D74">
        <v>0.77313183837267396</v>
      </c>
      <c r="E74">
        <v>0.80290781199335204</v>
      </c>
      <c r="F74">
        <v>0.60191163987149698</v>
      </c>
      <c r="G74">
        <v>0.38290552163012698</v>
      </c>
      <c r="H74">
        <v>0.33198904711706001</v>
      </c>
      <c r="I74">
        <v>0.248549939629891</v>
      </c>
      <c r="J74">
        <v>9.8459735510135801E-2</v>
      </c>
      <c r="K74">
        <v>7.3100529946006895E-2</v>
      </c>
      <c r="L74">
        <v>481.08611183771501</v>
      </c>
      <c r="M74">
        <v>9.2501567094516499</v>
      </c>
      <c r="N74">
        <v>52.008428252251797</v>
      </c>
      <c r="O74">
        <v>49.751055416325499</v>
      </c>
      <c r="P74">
        <v>-4.6512638047158703E-2</v>
      </c>
      <c r="Q74">
        <v>0</v>
      </c>
      <c r="R74">
        <v>0.97808031364970605</v>
      </c>
      <c r="S74" t="s">
        <v>5657</v>
      </c>
      <c r="T74" t="s">
        <v>11164</v>
      </c>
      <c r="U74" t="s">
        <v>11164</v>
      </c>
      <c r="V74" t="s">
        <v>11164</v>
      </c>
      <c r="W74" t="s">
        <v>11238</v>
      </c>
      <c r="X74">
        <v>2</v>
      </c>
      <c r="Y74" t="s">
        <v>16768</v>
      </c>
      <c r="Z74" t="s">
        <v>22224</v>
      </c>
      <c r="AA74">
        <v>0.52778900327475964</v>
      </c>
      <c r="AB74" t="str">
        <f>HYPERLINK("Melting_Curves/meltCurve_A8MX75_ERCC2.pdf", "Melting_Curves/meltCurve_A8MX75_ERCC2.pdf")</f>
        <v>Melting_Curves/meltCurve_A8MX75_ERCC2.pdf</v>
      </c>
    </row>
    <row r="75" spans="1:28" x14ac:dyDescent="0.25">
      <c r="A75" t="s">
        <v>79</v>
      </c>
      <c r="B75">
        <v>0.99796759195183404</v>
      </c>
      <c r="C75">
        <v>0.97068351184061197</v>
      </c>
      <c r="D75">
        <v>0.95180438076076401</v>
      </c>
      <c r="E75">
        <v>0.83949771010580199</v>
      </c>
      <c r="F75">
        <v>0.75559425965837501</v>
      </c>
      <c r="G75">
        <v>0.50909143423413095</v>
      </c>
      <c r="H75">
        <v>0.421837644560078</v>
      </c>
      <c r="I75">
        <v>0.34720283816056802</v>
      </c>
      <c r="J75">
        <v>0.27247655497988299</v>
      </c>
      <c r="K75">
        <v>0.20191405959900999</v>
      </c>
      <c r="L75">
        <v>575.30223533950596</v>
      </c>
      <c r="M75">
        <v>10.7463961962379</v>
      </c>
      <c r="N75">
        <v>55.162666944026299</v>
      </c>
      <c r="O75">
        <v>51.780589138480003</v>
      </c>
      <c r="P75">
        <v>-4.4849366912138998E-2</v>
      </c>
      <c r="Q75">
        <v>0.13590772111777699</v>
      </c>
      <c r="R75">
        <v>0.99337145868195498</v>
      </c>
      <c r="S75" t="s">
        <v>5658</v>
      </c>
      <c r="T75" t="s">
        <v>11164</v>
      </c>
      <c r="U75" t="s">
        <v>11164</v>
      </c>
      <c r="V75" t="s">
        <v>11164</v>
      </c>
      <c r="W75" t="s">
        <v>11239</v>
      </c>
      <c r="X75">
        <v>3</v>
      </c>
      <c r="Y75" t="s">
        <v>16769</v>
      </c>
      <c r="Z75" t="s">
        <v>22225</v>
      </c>
      <c r="AA75">
        <v>0.62936360528941548</v>
      </c>
      <c r="AB75" t="str">
        <f>HYPERLINK("Melting_Curves/meltCurve_A8MXE8_RAI1.pdf", "Melting_Curves/meltCurve_A8MXE8_RAI1.pdf")</f>
        <v>Melting_Curves/meltCurve_A8MXE8_RAI1.pdf</v>
      </c>
    </row>
    <row r="76" spans="1:28" x14ac:dyDescent="0.25">
      <c r="A76" t="s">
        <v>80</v>
      </c>
      <c r="B76">
        <v>0.99796759195183404</v>
      </c>
      <c r="C76">
        <v>1.1002341917204099</v>
      </c>
      <c r="D76">
        <v>1.12667910471472</v>
      </c>
      <c r="E76">
        <v>1.0496459317244</v>
      </c>
      <c r="F76">
        <v>0.69724579024823796</v>
      </c>
      <c r="G76">
        <v>0.47181114909282401</v>
      </c>
      <c r="H76">
        <v>0.34001163526615802</v>
      </c>
      <c r="I76">
        <v>0.30724308232807401</v>
      </c>
      <c r="J76">
        <v>0.27011743626148899</v>
      </c>
      <c r="K76">
        <v>0.202651986631845</v>
      </c>
      <c r="L76">
        <v>1331.95442458249</v>
      </c>
      <c r="M76">
        <v>25.844318853432299</v>
      </c>
      <c r="N76">
        <v>53.074309782166999</v>
      </c>
      <c r="O76">
        <v>51.232014536718602</v>
      </c>
      <c r="P76">
        <v>-9.2895188372820903E-2</v>
      </c>
      <c r="Q76">
        <v>0.26341234985214401</v>
      </c>
      <c r="R76">
        <v>0.96503738327592004</v>
      </c>
      <c r="S76" t="s">
        <v>5659</v>
      </c>
      <c r="T76" t="s">
        <v>11164</v>
      </c>
      <c r="U76" t="s">
        <v>11164</v>
      </c>
      <c r="V76" t="s">
        <v>11164</v>
      </c>
      <c r="W76" t="s">
        <v>11240</v>
      </c>
      <c r="X76">
        <v>10</v>
      </c>
      <c r="Y76" t="s">
        <v>16770</v>
      </c>
      <c r="Z76" t="s">
        <v>22226</v>
      </c>
      <c r="AA76">
        <v>0.62648457135531965</v>
      </c>
      <c r="AB76" t="str">
        <f>HYPERLINK("Melting_Curves/meltCurve_A8MXP9_MATR3.pdf", "Melting_Curves/meltCurve_A8MXP9_MATR3.pdf")</f>
        <v>Melting_Curves/meltCurve_A8MXP9_MATR3.pdf</v>
      </c>
    </row>
    <row r="77" spans="1:28" x14ac:dyDescent="0.25">
      <c r="A77" t="s">
        <v>81</v>
      </c>
      <c r="B77">
        <v>0.99796759195183404</v>
      </c>
      <c r="C77">
        <v>0.98640610564741904</v>
      </c>
      <c r="D77">
        <v>0.859978810647542</v>
      </c>
      <c r="E77">
        <v>0.792305877435178</v>
      </c>
      <c r="F77">
        <v>0.55031977753294004</v>
      </c>
      <c r="G77">
        <v>0.58760985715570702</v>
      </c>
      <c r="H77">
        <v>0.46572601156558002</v>
      </c>
      <c r="I77">
        <v>0.27040055715842498</v>
      </c>
      <c r="J77">
        <v>0.206996167673028</v>
      </c>
      <c r="K77">
        <v>0.16408554139831799</v>
      </c>
      <c r="L77">
        <v>422.703466925849</v>
      </c>
      <c r="M77">
        <v>7.7896092231613601</v>
      </c>
      <c r="N77">
        <v>54.2650654724806</v>
      </c>
      <c r="O77">
        <v>51.036989675427598</v>
      </c>
      <c r="P77">
        <v>-3.82043513613054E-2</v>
      </c>
      <c r="Q77">
        <v>0</v>
      </c>
      <c r="R77">
        <v>0.97123439800301004</v>
      </c>
      <c r="S77" t="s">
        <v>5660</v>
      </c>
      <c r="T77" t="s">
        <v>11164</v>
      </c>
      <c r="U77" t="s">
        <v>11164</v>
      </c>
      <c r="V77" t="s">
        <v>11164</v>
      </c>
      <c r="W77" t="s">
        <v>11241</v>
      </c>
      <c r="X77">
        <v>3</v>
      </c>
      <c r="Y77" t="s">
        <v>16771</v>
      </c>
      <c r="Z77" t="s">
        <v>22227</v>
      </c>
      <c r="AA77">
        <v>0.5874561664858946</v>
      </c>
      <c r="AB77" t="str">
        <f>HYPERLINK("Melting_Curves/meltCurve_A8MXQ1_PTTG1IP.pdf", "Melting_Curves/meltCurve_A8MXQ1_PTTG1IP.pdf")</f>
        <v>Melting_Curves/meltCurve_A8MXQ1_PTTG1IP.pdf</v>
      </c>
    </row>
    <row r="78" spans="1:28" x14ac:dyDescent="0.25">
      <c r="A78" t="s">
        <v>82</v>
      </c>
      <c r="B78">
        <v>0.99796759195183404</v>
      </c>
      <c r="C78">
        <v>1.01406483554048</v>
      </c>
      <c r="D78">
        <v>1.0100440674310001</v>
      </c>
      <c r="E78">
        <v>0.914292962359326</v>
      </c>
      <c r="F78">
        <v>0.79953554238303703</v>
      </c>
      <c r="G78">
        <v>0.60853652775925404</v>
      </c>
      <c r="H78">
        <v>0.33994840032037899</v>
      </c>
      <c r="I78">
        <v>0.19249352949138099</v>
      </c>
      <c r="J78">
        <v>0.110106171368877</v>
      </c>
      <c r="K78">
        <v>0.10265653332465199</v>
      </c>
      <c r="L78">
        <v>846.97456514851501</v>
      </c>
      <c r="M78">
        <v>15.461452486659001</v>
      </c>
      <c r="N78">
        <v>55.008387289731601</v>
      </c>
      <c r="O78">
        <v>53.887922430544798</v>
      </c>
      <c r="P78">
        <v>-6.9503628703859996E-2</v>
      </c>
      <c r="Q78">
        <v>3.1120737546944201E-2</v>
      </c>
      <c r="R78">
        <v>0.99787514483913398</v>
      </c>
      <c r="S78" t="s">
        <v>5661</v>
      </c>
      <c r="T78" t="s">
        <v>11164</v>
      </c>
      <c r="U78" t="s">
        <v>11164</v>
      </c>
      <c r="V78" t="s">
        <v>11164</v>
      </c>
      <c r="W78" t="s">
        <v>11242</v>
      </c>
      <c r="X78">
        <v>7</v>
      </c>
      <c r="Y78" t="s">
        <v>16772</v>
      </c>
      <c r="Z78" t="s">
        <v>22228</v>
      </c>
      <c r="AA78">
        <v>0.61926868629937448</v>
      </c>
      <c r="AB78" t="str">
        <f>HYPERLINK("Melting_Curves/meltCurve_A8MXV4_NUDT19.pdf", "Melting_Curves/meltCurve_A8MXV4_NUDT19.pdf")</f>
        <v>Melting_Curves/meltCurve_A8MXV4_NUDT19.pdf</v>
      </c>
    </row>
    <row r="79" spans="1:28" x14ac:dyDescent="0.25">
      <c r="A79" t="s">
        <v>83</v>
      </c>
      <c r="B79">
        <v>0.99796759195183404</v>
      </c>
      <c r="C79">
        <v>1.1148287373836301</v>
      </c>
      <c r="D79">
        <v>1.11050291355913</v>
      </c>
      <c r="E79">
        <v>1.02596208924038</v>
      </c>
      <c r="F79">
        <v>0.85465686110470895</v>
      </c>
      <c r="G79">
        <v>0.63527027744311804</v>
      </c>
      <c r="H79">
        <v>0.36649190132642101</v>
      </c>
      <c r="I79">
        <v>0.201709230310511</v>
      </c>
      <c r="J79">
        <v>0.12706084422678399</v>
      </c>
      <c r="K79">
        <v>7.9127927029075507E-2</v>
      </c>
      <c r="L79">
        <v>1064.9071147589</v>
      </c>
      <c r="M79">
        <v>19.314763630927501</v>
      </c>
      <c r="N79">
        <v>55.526749561704897</v>
      </c>
      <c r="O79">
        <v>54.5535563758081</v>
      </c>
      <c r="P79">
        <v>-8.2869602801759104E-2</v>
      </c>
      <c r="Q79">
        <v>6.3791319417654202E-2</v>
      </c>
      <c r="R79">
        <v>0.98130864079534197</v>
      </c>
      <c r="S79" t="s">
        <v>5662</v>
      </c>
      <c r="T79" t="s">
        <v>11164</v>
      </c>
      <c r="U79" t="s">
        <v>11164</v>
      </c>
      <c r="V79" t="s">
        <v>11164</v>
      </c>
      <c r="W79" t="s">
        <v>11243</v>
      </c>
      <c r="X79">
        <v>4</v>
      </c>
      <c r="Y79" t="s">
        <v>16773</v>
      </c>
      <c r="Z79" t="s">
        <v>22229</v>
      </c>
      <c r="AA79">
        <v>0.64059424805734577</v>
      </c>
      <c r="AB79" t="str">
        <f>HYPERLINK("Melting_Curves/meltCurve_A8MYQ9_RAB34.pdf", "Melting_Curves/meltCurve_A8MYQ9_RAB34.pdf")</f>
        <v>Melting_Curves/meltCurve_A8MYQ9_RAB34.pdf</v>
      </c>
    </row>
    <row r="80" spans="1:28" x14ac:dyDescent="0.25">
      <c r="A80" t="s">
        <v>84</v>
      </c>
      <c r="B80">
        <v>0.99796759195183404</v>
      </c>
      <c r="C80">
        <v>1.05512196316442</v>
      </c>
      <c r="D80">
        <v>0.99602926466206498</v>
      </c>
      <c r="E80">
        <v>0.89581344682055297</v>
      </c>
      <c r="F80">
        <v>0.90190817236530496</v>
      </c>
      <c r="G80">
        <v>0.58557566969997199</v>
      </c>
      <c r="H80">
        <v>0.28227375361964802</v>
      </c>
      <c r="I80">
        <v>0.160823602855619</v>
      </c>
      <c r="J80">
        <v>0.138172568188665</v>
      </c>
      <c r="K80">
        <v>0.10574975363400201</v>
      </c>
      <c r="L80">
        <v>1263.8260505943199</v>
      </c>
      <c r="M80">
        <v>23.338524771286998</v>
      </c>
      <c r="N80">
        <v>54.684781720983899</v>
      </c>
      <c r="O80">
        <v>53.759051175371503</v>
      </c>
      <c r="P80">
        <v>-9.7496410943503198E-2</v>
      </c>
      <c r="Q80">
        <v>0.10170466966880699</v>
      </c>
      <c r="R80">
        <v>0.99236141317486004</v>
      </c>
      <c r="S80" t="s">
        <v>5663</v>
      </c>
      <c r="T80" t="s">
        <v>11164</v>
      </c>
      <c r="U80" t="s">
        <v>11164</v>
      </c>
      <c r="V80" t="s">
        <v>11164</v>
      </c>
      <c r="W80" t="s">
        <v>11244</v>
      </c>
      <c r="X80">
        <v>6</v>
      </c>
      <c r="Y80" t="s">
        <v>16774</v>
      </c>
      <c r="Z80" t="s">
        <v>22230</v>
      </c>
      <c r="AA80">
        <v>0.623988022152418</v>
      </c>
      <c r="AB80" t="str">
        <f>HYPERLINK("Melting_Curves/meltCurve_A8MYT4_PIK3C3.pdf", "Melting_Curves/meltCurve_A8MYT4_PIK3C3.pdf")</f>
        <v>Melting_Curves/meltCurve_A8MYT4_PIK3C3.pdf</v>
      </c>
    </row>
    <row r="81" spans="1:28" x14ac:dyDescent="0.25">
      <c r="A81" t="s">
        <v>85</v>
      </c>
      <c r="B81">
        <v>0.99796759195183404</v>
      </c>
      <c r="C81">
        <v>0.91355922553310898</v>
      </c>
      <c r="D81">
        <v>0.85184251075825601</v>
      </c>
      <c r="E81">
        <v>0.880636427360451</v>
      </c>
      <c r="F81">
        <v>0.81578405718296398</v>
      </c>
      <c r="G81">
        <v>0.57990130316745903</v>
      </c>
      <c r="H81">
        <v>0.35068391939785498</v>
      </c>
      <c r="I81">
        <v>0.200398068015891</v>
      </c>
      <c r="J81">
        <v>0.116089570454758</v>
      </c>
      <c r="K81">
        <v>9.4841642469522494E-2</v>
      </c>
      <c r="L81">
        <v>702.84445070184995</v>
      </c>
      <c r="M81">
        <v>12.812895381172099</v>
      </c>
      <c r="N81">
        <v>54.854459537929898</v>
      </c>
      <c r="O81">
        <v>53.569789309407</v>
      </c>
      <c r="P81">
        <v>-5.9806518217093298E-2</v>
      </c>
      <c r="Q81">
        <v>0</v>
      </c>
      <c r="R81">
        <v>0.97861272876251404</v>
      </c>
      <c r="S81" t="s">
        <v>5664</v>
      </c>
      <c r="T81" t="s">
        <v>11164</v>
      </c>
      <c r="U81" t="s">
        <v>11164</v>
      </c>
      <c r="V81" t="s">
        <v>11164</v>
      </c>
      <c r="W81" t="s">
        <v>11245</v>
      </c>
      <c r="X81">
        <v>7</v>
      </c>
      <c r="Y81" t="s">
        <v>16775</v>
      </c>
      <c r="Z81" t="s">
        <v>22231</v>
      </c>
      <c r="AA81">
        <v>0.61007138402811945</v>
      </c>
      <c r="AB81" t="str">
        <f>HYPERLINK("Melting_Curves/meltCurve_A9UHW6_MIF4GD.pdf", "Melting_Curves/meltCurve_A9UHW6_MIF4GD.pdf")</f>
        <v>Melting_Curves/meltCurve_A9UHW6_MIF4GD.pdf</v>
      </c>
    </row>
    <row r="82" spans="1:28" x14ac:dyDescent="0.25">
      <c r="A82" t="s">
        <v>86</v>
      </c>
      <c r="B82">
        <v>0.99796759195183404</v>
      </c>
      <c r="C82">
        <v>0.90209937214610803</v>
      </c>
      <c r="D82">
        <v>0.59403476838077096</v>
      </c>
      <c r="E82">
        <v>0.65731315475614704</v>
      </c>
      <c r="F82">
        <v>0.57188333407939895</v>
      </c>
      <c r="G82">
        <v>0.45975184726360702</v>
      </c>
      <c r="H82">
        <v>0.30806330835962498</v>
      </c>
      <c r="I82">
        <v>0.218726266399249</v>
      </c>
      <c r="J82">
        <v>0.123563365512534</v>
      </c>
      <c r="K82">
        <v>0.15762381191038599</v>
      </c>
      <c r="L82">
        <v>345.246352075191</v>
      </c>
      <c r="M82">
        <v>6.8322383081240003</v>
      </c>
      <c r="N82">
        <v>50.531953689674197</v>
      </c>
      <c r="O82">
        <v>46.733644523941898</v>
      </c>
      <c r="P82">
        <v>-3.66228687715211E-2</v>
      </c>
      <c r="Q82">
        <v>0</v>
      </c>
      <c r="R82">
        <v>0.93932907908889995</v>
      </c>
      <c r="S82" t="s">
        <v>5665</v>
      </c>
      <c r="T82" t="s">
        <v>11164</v>
      </c>
      <c r="U82" t="s">
        <v>11164</v>
      </c>
      <c r="V82" t="s">
        <v>11164</v>
      </c>
      <c r="W82" t="s">
        <v>11246</v>
      </c>
      <c r="X82">
        <v>1</v>
      </c>
      <c r="Y82" t="s">
        <v>16776</v>
      </c>
      <c r="Z82" t="s">
        <v>22232</v>
      </c>
      <c r="AA82">
        <v>0.49182721723103079</v>
      </c>
      <c r="AB82" t="str">
        <f>HYPERLINK("Melting_Curves/meltCurve_A9Z1X7_SRRM1.pdf", "Melting_Curves/meltCurve_A9Z1X7_SRRM1.pdf")</f>
        <v>Melting_Curves/meltCurve_A9Z1X7_SRRM1.pdf</v>
      </c>
    </row>
    <row r="83" spans="1:28" x14ac:dyDescent="0.25">
      <c r="A83" t="s">
        <v>87</v>
      </c>
      <c r="B83">
        <v>0.99796759195183404</v>
      </c>
      <c r="C83">
        <v>1.0550252347870901</v>
      </c>
      <c r="D83">
        <v>0.84629271307201703</v>
      </c>
      <c r="E83">
        <v>0.74439161855872105</v>
      </c>
      <c r="F83">
        <v>0.735557403861819</v>
      </c>
      <c r="G83">
        <v>0.516702972053664</v>
      </c>
      <c r="H83">
        <v>0.29096646492546402</v>
      </c>
      <c r="I83">
        <v>0.35132940103564197</v>
      </c>
      <c r="J83">
        <v>0.31552931455002298</v>
      </c>
      <c r="K83">
        <v>7.1709815108947805E-2</v>
      </c>
      <c r="L83">
        <v>456.79168016228198</v>
      </c>
      <c r="M83">
        <v>8.4139745323915403</v>
      </c>
      <c r="N83">
        <v>54.289650678317699</v>
      </c>
      <c r="O83">
        <v>51.482961408130301</v>
      </c>
      <c r="P83">
        <v>-4.0896291561908903E-2</v>
      </c>
      <c r="Q83">
        <v>0</v>
      </c>
      <c r="R83">
        <v>0.94459830056814498</v>
      </c>
      <c r="S83" t="s">
        <v>5666</v>
      </c>
      <c r="T83" t="s">
        <v>11164</v>
      </c>
      <c r="U83" t="s">
        <v>11164</v>
      </c>
      <c r="V83" t="s">
        <v>11164</v>
      </c>
      <c r="W83" t="s">
        <v>11247</v>
      </c>
      <c r="X83">
        <v>1</v>
      </c>
      <c r="Y83" t="s">
        <v>16777</v>
      </c>
      <c r="Z83" t="s">
        <v>22233</v>
      </c>
      <c r="AA83">
        <v>0.58981589468356044</v>
      </c>
      <c r="AB83" t="str">
        <f>HYPERLINK("Melting_Curves/meltCurve_A9Z1Z3_FER1L4.pdf", "Melting_Curves/meltCurve_A9Z1Z3_FER1L4.pdf")</f>
        <v>Melting_Curves/meltCurve_A9Z1Z3_FER1L4.pdf</v>
      </c>
    </row>
    <row r="84" spans="1:28" x14ac:dyDescent="0.25">
      <c r="A84" t="s">
        <v>88</v>
      </c>
      <c r="B84">
        <v>0.99796759195183404</v>
      </c>
      <c r="C84">
        <v>1.0420769529996901</v>
      </c>
      <c r="D84">
        <v>0.98417910378262796</v>
      </c>
      <c r="E84">
        <v>1.0635283478956301</v>
      </c>
      <c r="F84">
        <v>0.84218665585378705</v>
      </c>
      <c r="G84">
        <v>0.76080976980461301</v>
      </c>
      <c r="H84">
        <v>0.62858435421723202</v>
      </c>
      <c r="I84">
        <v>0.32223997230003298</v>
      </c>
      <c r="J84">
        <v>0.14459885459489399</v>
      </c>
      <c r="K84">
        <v>0.119228842839777</v>
      </c>
      <c r="L84">
        <v>920.65801030473904</v>
      </c>
      <c r="M84">
        <v>15.8014913357831</v>
      </c>
      <c r="N84">
        <v>58.263995025004903</v>
      </c>
      <c r="O84">
        <v>57.354782065887697</v>
      </c>
      <c r="P84">
        <v>-6.8881758074025107E-2</v>
      </c>
      <c r="Q84">
        <v>0</v>
      </c>
      <c r="R84">
        <v>0.98075333161179901</v>
      </c>
      <c r="S84" t="s">
        <v>5667</v>
      </c>
      <c r="T84" t="s">
        <v>11164</v>
      </c>
      <c r="U84" t="s">
        <v>11164</v>
      </c>
      <c r="V84" t="s">
        <v>11164</v>
      </c>
      <c r="W84" t="s">
        <v>11248</v>
      </c>
      <c r="X84">
        <v>7</v>
      </c>
      <c r="Y84" t="s">
        <v>16778</v>
      </c>
      <c r="Z84" t="s">
        <v>22234</v>
      </c>
      <c r="AA84">
        <v>0.71266105182026818</v>
      </c>
      <c r="AB84" t="str">
        <f>HYPERLINK("Melting_Curves/meltCurve_B0AZU2_KIAA0930.pdf", "Melting_Curves/meltCurve_B0AZU2_KIAA0930.pdf")</f>
        <v>Melting_Curves/meltCurve_B0AZU2_KIAA0930.pdf</v>
      </c>
    </row>
    <row r="85" spans="1:28" x14ac:dyDescent="0.25">
      <c r="A85" t="s">
        <v>89</v>
      </c>
      <c r="B85">
        <v>0.99796759195183404</v>
      </c>
      <c r="C85">
        <v>1.03366515093259</v>
      </c>
      <c r="D85">
        <v>1.0043968618874299</v>
      </c>
      <c r="E85">
        <v>0.98868027467478803</v>
      </c>
      <c r="F85">
        <v>0.88656604011374895</v>
      </c>
      <c r="G85">
        <v>0.63628275341737095</v>
      </c>
      <c r="H85">
        <v>0.45567071283044402</v>
      </c>
      <c r="I85">
        <v>0.52125120646517797</v>
      </c>
      <c r="J85">
        <v>0.85562834503054797</v>
      </c>
      <c r="K85">
        <v>0.76736937351868595</v>
      </c>
      <c r="L85">
        <v>12587.479518501101</v>
      </c>
      <c r="M85">
        <v>250</v>
      </c>
      <c r="O85">
        <v>50.346700892126002</v>
      </c>
      <c r="P85">
        <v>-0.43791295801267299</v>
      </c>
      <c r="Q85">
        <v>0.64724047112495697</v>
      </c>
      <c r="R85">
        <v>0.72298753180625297</v>
      </c>
      <c r="S85" t="s">
        <v>5668</v>
      </c>
      <c r="T85" t="s">
        <v>11164</v>
      </c>
      <c r="U85" t="s">
        <v>11164</v>
      </c>
      <c r="V85" t="s">
        <v>11164</v>
      </c>
      <c r="W85" t="s">
        <v>11249</v>
      </c>
      <c r="X85">
        <v>5</v>
      </c>
      <c r="Y85" t="s">
        <v>16779</v>
      </c>
      <c r="Z85" t="s">
        <v>22235</v>
      </c>
      <c r="AA85">
        <v>0.80424866913921311</v>
      </c>
      <c r="AB85" t="str">
        <f>HYPERLINK("Melting_Curves/meltCurve_B0FLL2_PFKFB2.pdf", "Melting_Curves/meltCurve_B0FLL2_PFKFB2.pdf")</f>
        <v>Melting_Curves/meltCurve_B0FLL2_PFKFB2.pdf</v>
      </c>
    </row>
    <row r="86" spans="1:28" x14ac:dyDescent="0.25">
      <c r="A86" t="s">
        <v>90</v>
      </c>
      <c r="B86">
        <v>0.99796759195183404</v>
      </c>
      <c r="C86">
        <v>0.99235921994360698</v>
      </c>
      <c r="D86">
        <v>1.05655137905569</v>
      </c>
      <c r="E86">
        <v>0.87598695735079102</v>
      </c>
      <c r="F86">
        <v>0.50818934486454104</v>
      </c>
      <c r="G86">
        <v>0.26064111338669399</v>
      </c>
      <c r="H86">
        <v>0.24750182244558</v>
      </c>
      <c r="I86">
        <v>0.19459917465702101</v>
      </c>
      <c r="J86">
        <v>0.18639029702339999</v>
      </c>
      <c r="K86">
        <v>0.14424019143900599</v>
      </c>
      <c r="L86">
        <v>1411.0581949692</v>
      </c>
      <c r="M86">
        <v>28.513856251511299</v>
      </c>
      <c r="N86">
        <v>50.312405449117897</v>
      </c>
      <c r="O86">
        <v>49.245272310154803</v>
      </c>
      <c r="P86">
        <v>-0.1177078728901</v>
      </c>
      <c r="Q86">
        <v>0.186850167961573</v>
      </c>
      <c r="R86">
        <v>0.99371622143025395</v>
      </c>
      <c r="S86" t="s">
        <v>5669</v>
      </c>
      <c r="T86" t="s">
        <v>11164</v>
      </c>
      <c r="U86" t="s">
        <v>11164</v>
      </c>
      <c r="V86" t="s">
        <v>11164</v>
      </c>
      <c r="W86" t="s">
        <v>11250</v>
      </c>
      <c r="X86">
        <v>9</v>
      </c>
      <c r="Y86" t="s">
        <v>16780</v>
      </c>
      <c r="Z86" t="s">
        <v>22236</v>
      </c>
      <c r="AA86">
        <v>0.53077329954742136</v>
      </c>
      <c r="AB86" t="str">
        <f>HYPERLINK("Melting_Curves/meltCurve_B0LM41_RBM14.pdf", "Melting_Curves/meltCurve_B0LM41_RBM14.pdf")</f>
        <v>Melting_Curves/meltCurve_B0LM41_RBM14.pdf</v>
      </c>
    </row>
    <row r="87" spans="1:28" x14ac:dyDescent="0.25">
      <c r="A87" t="s">
        <v>91</v>
      </c>
      <c r="B87">
        <v>0.99796759195183404</v>
      </c>
      <c r="C87">
        <v>0.98283364015894603</v>
      </c>
      <c r="D87">
        <v>0.93667565013867604</v>
      </c>
      <c r="E87">
        <v>1.0550605587089701</v>
      </c>
      <c r="F87">
        <v>1.2670546063541199</v>
      </c>
      <c r="G87">
        <v>5.0657419113487299</v>
      </c>
      <c r="H87">
        <v>1.5479165523865499</v>
      </c>
      <c r="I87">
        <v>0.422912505279192</v>
      </c>
      <c r="J87">
        <v>0.28136657987906799</v>
      </c>
      <c r="K87">
        <v>0.20876339324337501</v>
      </c>
      <c r="L87">
        <v>15000</v>
      </c>
      <c r="M87">
        <v>247.07868011645999</v>
      </c>
      <c r="N87">
        <v>60.875378351924802</v>
      </c>
      <c r="O87">
        <v>60.7054290025348</v>
      </c>
      <c r="P87">
        <v>-0.76817156276565401</v>
      </c>
      <c r="Q87">
        <v>0.245063407799918</v>
      </c>
      <c r="R87">
        <v>4.01628436228205E-2</v>
      </c>
      <c r="S87" t="s">
        <v>5670</v>
      </c>
      <c r="T87" t="s">
        <v>11164</v>
      </c>
      <c r="U87" t="s">
        <v>11164</v>
      </c>
      <c r="V87" t="s">
        <v>11164</v>
      </c>
      <c r="W87" t="s">
        <v>11251</v>
      </c>
      <c r="X87">
        <v>17</v>
      </c>
      <c r="Y87" t="s">
        <v>16781</v>
      </c>
      <c r="Z87" t="s">
        <v>22237</v>
      </c>
      <c r="AA87">
        <v>0.84178237078851947</v>
      </c>
      <c r="AB87" t="str">
        <f>HYPERLINK("Melting_Curves/meltCurve_B0QY89_EIF3L.pdf", "Melting_Curves/meltCurve_B0QY89_EIF3L.pdf")</f>
        <v>Melting_Curves/meltCurve_B0QY89_EIF3L.pdf</v>
      </c>
    </row>
    <row r="88" spans="1:28" x14ac:dyDescent="0.25">
      <c r="A88" t="s">
        <v>92</v>
      </c>
      <c r="B88">
        <v>0.99796759195183404</v>
      </c>
      <c r="C88">
        <v>0.97736382070683003</v>
      </c>
      <c r="D88">
        <v>0.91698973426738295</v>
      </c>
      <c r="E88">
        <v>1.01434406230801</v>
      </c>
      <c r="F88">
        <v>0.84754720427511898</v>
      </c>
      <c r="G88">
        <v>0.43168265375480602</v>
      </c>
      <c r="H88">
        <v>0.23393845567257901</v>
      </c>
      <c r="I88">
        <v>0.13347393849421599</v>
      </c>
      <c r="J88">
        <v>0.116717537968114</v>
      </c>
      <c r="K88">
        <v>0.101742318498086</v>
      </c>
      <c r="L88">
        <v>1494.16458465548</v>
      </c>
      <c r="M88">
        <v>28.2593237938835</v>
      </c>
      <c r="N88">
        <v>53.364308657546403</v>
      </c>
      <c r="O88">
        <v>52.610705497384501</v>
      </c>
      <c r="P88">
        <v>-0.118913948861307</v>
      </c>
      <c r="Q88">
        <v>0.114473802814135</v>
      </c>
      <c r="R88">
        <v>0.99320084522491203</v>
      </c>
      <c r="S88" t="s">
        <v>5671</v>
      </c>
      <c r="T88" t="s">
        <v>11164</v>
      </c>
      <c r="U88" t="s">
        <v>11164</v>
      </c>
      <c r="V88" t="s">
        <v>11164</v>
      </c>
      <c r="W88" t="s">
        <v>11252</v>
      </c>
      <c r="X88">
        <v>9</v>
      </c>
      <c r="Y88" t="s">
        <v>16782</v>
      </c>
      <c r="Z88" t="s">
        <v>22238</v>
      </c>
      <c r="AA88">
        <v>0.58930816730003843</v>
      </c>
      <c r="AB88" t="str">
        <f>HYPERLINK("Melting_Curves/meltCurve_B0QY95_SMCR7L.pdf", "Melting_Curves/meltCurve_B0QY95_SMCR7L.pdf")</f>
        <v>Melting_Curves/meltCurve_B0QY95_SMCR7L.pdf</v>
      </c>
    </row>
    <row r="89" spans="1:28" x14ac:dyDescent="0.25">
      <c r="A89" t="s">
        <v>93</v>
      </c>
      <c r="B89">
        <v>0.99796759195183404</v>
      </c>
      <c r="C89">
        <v>1.01250446545101</v>
      </c>
      <c r="D89">
        <v>1.03794633489187</v>
      </c>
      <c r="E89">
        <v>0.89388825410864703</v>
      </c>
      <c r="F89">
        <v>0.89545093232274697</v>
      </c>
      <c r="G89">
        <v>0.79882101629235602</v>
      </c>
      <c r="H89">
        <v>0.61106915869137501</v>
      </c>
      <c r="I89">
        <v>0.48535938929532402</v>
      </c>
      <c r="J89">
        <v>0.252591357265262</v>
      </c>
      <c r="K89">
        <v>0.152642294505379</v>
      </c>
      <c r="L89">
        <v>766.26631726478695</v>
      </c>
      <c r="M89">
        <v>12.8823731076155</v>
      </c>
      <c r="N89">
        <v>59.481767150990301</v>
      </c>
      <c r="O89">
        <v>58.103157137939597</v>
      </c>
      <c r="P89">
        <v>-5.5439046773352499E-2</v>
      </c>
      <c r="Q89">
        <v>0</v>
      </c>
      <c r="R89">
        <v>0.98356756272350798</v>
      </c>
      <c r="S89" t="s">
        <v>5672</v>
      </c>
      <c r="T89" t="s">
        <v>11164</v>
      </c>
      <c r="U89" t="s">
        <v>11164</v>
      </c>
      <c r="V89" t="s">
        <v>11164</v>
      </c>
      <c r="W89" t="s">
        <v>11253</v>
      </c>
      <c r="X89">
        <v>4</v>
      </c>
      <c r="Y89" t="s">
        <v>16783</v>
      </c>
      <c r="Z89" t="s">
        <v>22239</v>
      </c>
      <c r="AA89">
        <v>0.74049287416722342</v>
      </c>
      <c r="AB89" t="str">
        <f>HYPERLINK("Melting_Curves/meltCurve_B0QYI3_TBC1D22A.pdf", "Melting_Curves/meltCurve_B0QYI3_TBC1D22A.pdf")</f>
        <v>Melting_Curves/meltCurve_B0QYI3_TBC1D22A.pdf</v>
      </c>
    </row>
    <row r="90" spans="1:28" x14ac:dyDescent="0.25">
      <c r="A90" t="s">
        <v>94</v>
      </c>
      <c r="B90">
        <v>0.99796759195183404</v>
      </c>
      <c r="C90">
        <v>0.94277067909124501</v>
      </c>
      <c r="D90">
        <v>0.95289317461253797</v>
      </c>
      <c r="E90">
        <v>0.90421161185157095</v>
      </c>
      <c r="F90">
        <v>0.82300765068468096</v>
      </c>
      <c r="G90">
        <v>0.50735975979290604</v>
      </c>
      <c r="H90">
        <v>0.43734179753341901</v>
      </c>
      <c r="I90">
        <v>0.42858056493672297</v>
      </c>
      <c r="J90">
        <v>0.46868942027035498</v>
      </c>
      <c r="K90">
        <v>0.40653386104176098</v>
      </c>
      <c r="L90">
        <v>1522.9352226983301</v>
      </c>
      <c r="M90">
        <v>29.7806278138466</v>
      </c>
      <c r="N90">
        <v>54.6256817344307</v>
      </c>
      <c r="O90">
        <v>50.909530342974897</v>
      </c>
      <c r="P90">
        <v>-8.4046066470989805E-2</v>
      </c>
      <c r="Q90">
        <v>0.42530198454152901</v>
      </c>
      <c r="R90">
        <v>0.97691597507465699</v>
      </c>
      <c r="S90" t="s">
        <v>5673</v>
      </c>
      <c r="T90" t="s">
        <v>11164</v>
      </c>
      <c r="U90" t="s">
        <v>11164</v>
      </c>
      <c r="V90" t="s">
        <v>11164</v>
      </c>
      <c r="W90" t="s">
        <v>11254</v>
      </c>
      <c r="X90">
        <v>6</v>
      </c>
      <c r="Y90" t="s">
        <v>16784</v>
      </c>
      <c r="Z90" t="s">
        <v>22240</v>
      </c>
      <c r="AA90">
        <v>0.69978559101918925</v>
      </c>
      <c r="AB90" t="str">
        <f>HYPERLINK("Melting_Curves/meltCurve_B0QYK0_EWSR1.pdf", "Melting_Curves/meltCurve_B0QYK0_EWSR1.pdf")</f>
        <v>Melting_Curves/meltCurve_B0QYK0_EWSR1.pdf</v>
      </c>
    </row>
    <row r="91" spans="1:28" x14ac:dyDescent="0.25">
      <c r="A91" t="s">
        <v>95</v>
      </c>
      <c r="B91">
        <v>0.99796759195183404</v>
      </c>
      <c r="C91">
        <v>0.96362313276581102</v>
      </c>
      <c r="D91">
        <v>0.93637237199342604</v>
      </c>
      <c r="E91">
        <v>0.90364366178382405</v>
      </c>
      <c r="F91">
        <v>0.79442219942456305</v>
      </c>
      <c r="G91">
        <v>0.53489274328678005</v>
      </c>
      <c r="H91">
        <v>0.248048930305556</v>
      </c>
      <c r="I91">
        <v>0.138297803828486</v>
      </c>
      <c r="J91">
        <v>0.10902568916843999</v>
      </c>
      <c r="K91">
        <v>7.2763382108982394E-2</v>
      </c>
      <c r="L91">
        <v>921.78090541630104</v>
      </c>
      <c r="M91">
        <v>17.1561117918767</v>
      </c>
      <c r="N91">
        <v>53.971949248531402</v>
      </c>
      <c r="O91">
        <v>53.014947115493101</v>
      </c>
      <c r="P91">
        <v>-7.7900683523991501E-2</v>
      </c>
      <c r="Q91">
        <v>3.7158424468613803E-2</v>
      </c>
      <c r="R91">
        <v>0.995190318253933</v>
      </c>
      <c r="S91" t="s">
        <v>5674</v>
      </c>
      <c r="T91" t="s">
        <v>11164</v>
      </c>
      <c r="U91" t="s">
        <v>11164</v>
      </c>
      <c r="V91" t="s">
        <v>11164</v>
      </c>
      <c r="W91" t="s">
        <v>11255</v>
      </c>
      <c r="X91">
        <v>17</v>
      </c>
      <c r="Y91" t="s">
        <v>16785</v>
      </c>
      <c r="Z91" t="s">
        <v>22241</v>
      </c>
      <c r="AA91">
        <v>0.58825229367339205</v>
      </c>
      <c r="AB91" t="str">
        <f>HYPERLINK("Melting_Curves/meltCurve_B0QZ18_CPNE1.pdf", "Melting_Curves/meltCurve_B0QZ18_CPNE1.pdf")</f>
        <v>Melting_Curves/meltCurve_B0QZ18_CPNE1.pdf</v>
      </c>
    </row>
    <row r="92" spans="1:28" x14ac:dyDescent="0.25">
      <c r="A92" t="s">
        <v>96</v>
      </c>
      <c r="B92">
        <v>0.99796759195183404</v>
      </c>
      <c r="C92">
        <v>0.94679584380678905</v>
      </c>
      <c r="D92">
        <v>0.80810872454087501</v>
      </c>
      <c r="E92">
        <v>0.74245542069825898</v>
      </c>
      <c r="F92">
        <v>0.59377939923382805</v>
      </c>
      <c r="G92">
        <v>0.61664232887848502</v>
      </c>
      <c r="H92">
        <v>0.57485187390850101</v>
      </c>
      <c r="I92">
        <v>0.483264047192076</v>
      </c>
      <c r="J92">
        <v>0.59398864097028703</v>
      </c>
      <c r="K92">
        <v>0.476085386806399</v>
      </c>
      <c r="L92">
        <v>570.07763990658896</v>
      </c>
      <c r="M92">
        <v>12.5493168734418</v>
      </c>
      <c r="O92">
        <v>44.319779697291402</v>
      </c>
      <c r="P92">
        <v>-3.4185362266530801E-2</v>
      </c>
      <c r="Q92">
        <v>0.51717532451065795</v>
      </c>
      <c r="R92">
        <v>0.94933047678256499</v>
      </c>
      <c r="S92" t="s">
        <v>5675</v>
      </c>
      <c r="T92" t="s">
        <v>11164</v>
      </c>
      <c r="U92" t="s">
        <v>11164</v>
      </c>
      <c r="V92" t="s">
        <v>11164</v>
      </c>
      <c r="W92" t="s">
        <v>11256</v>
      </c>
      <c r="X92">
        <v>1</v>
      </c>
      <c r="Y92" t="s">
        <v>16786</v>
      </c>
      <c r="Z92" t="s">
        <v>22242</v>
      </c>
      <c r="AA92">
        <v>0.66863936961964221</v>
      </c>
      <c r="AB92" t="str">
        <f>HYPERLINK("Melting_Curves/meltCurve_B0QZ40_COMMD6.pdf", "Melting_Curves/meltCurve_B0QZ40_COMMD6.pdf")</f>
        <v>Melting_Curves/meltCurve_B0QZ40_COMMD6.pdf</v>
      </c>
    </row>
    <row r="93" spans="1:28" x14ac:dyDescent="0.25">
      <c r="A93" t="s">
        <v>97</v>
      </c>
      <c r="B93">
        <v>0.99796759195183404</v>
      </c>
      <c r="C93">
        <v>0.95953537128936495</v>
      </c>
      <c r="D93">
        <v>0.93071150824641502</v>
      </c>
      <c r="E93">
        <v>0.84618007182334798</v>
      </c>
      <c r="F93">
        <v>0.77723256858256995</v>
      </c>
      <c r="G93">
        <v>0.57316901518613494</v>
      </c>
      <c r="H93">
        <v>0.32806773215604601</v>
      </c>
      <c r="I93">
        <v>0.24731763041853699</v>
      </c>
      <c r="J93">
        <v>0.16484494797691199</v>
      </c>
      <c r="K93">
        <v>0.115247858652131</v>
      </c>
      <c r="L93">
        <v>619.45936135945306</v>
      </c>
      <c r="M93">
        <v>11.310286452768199</v>
      </c>
      <c r="N93">
        <v>54.769539089354602</v>
      </c>
      <c r="O93">
        <v>53.141186254615398</v>
      </c>
      <c r="P93">
        <v>-5.3224791775572697E-2</v>
      </c>
      <c r="Q93">
        <v>0</v>
      </c>
      <c r="R93">
        <v>0.99399136558317003</v>
      </c>
      <c r="S93" t="s">
        <v>5676</v>
      </c>
      <c r="T93" t="s">
        <v>11164</v>
      </c>
      <c r="U93" t="s">
        <v>11164</v>
      </c>
      <c r="V93" t="s">
        <v>11164</v>
      </c>
      <c r="W93" t="s">
        <v>11257</v>
      </c>
      <c r="X93">
        <v>21</v>
      </c>
      <c r="Y93" t="s">
        <v>16787</v>
      </c>
      <c r="Z93" t="s">
        <v>22243</v>
      </c>
      <c r="AA93">
        <v>0.607111843585038</v>
      </c>
      <c r="AB93" t="str">
        <f>HYPERLINK("Melting_Curves/meltCurve_B0UX83_BAG6.pdf", "Melting_Curves/meltCurve_B0UX83_BAG6.pdf")</f>
        <v>Melting_Curves/meltCurve_B0UX83_BAG6.pdf</v>
      </c>
    </row>
    <row r="94" spans="1:28" x14ac:dyDescent="0.25">
      <c r="A94" t="s">
        <v>98</v>
      </c>
      <c r="B94">
        <v>0.99796759195183404</v>
      </c>
      <c r="C94">
        <v>0.99038921182710005</v>
      </c>
      <c r="D94">
        <v>0.960811841289405</v>
      </c>
      <c r="E94">
        <v>0.94212663284701603</v>
      </c>
      <c r="F94">
        <v>0.75174319671878997</v>
      </c>
      <c r="G94">
        <v>0.35499272895761103</v>
      </c>
      <c r="H94">
        <v>0.254251860566646</v>
      </c>
      <c r="I94">
        <v>0.19100139983443901</v>
      </c>
      <c r="J94">
        <v>0.16310044000685001</v>
      </c>
      <c r="K94">
        <v>0.12033702581746999</v>
      </c>
      <c r="L94">
        <v>1301.1274426105799</v>
      </c>
      <c r="M94">
        <v>25.149970549172501</v>
      </c>
      <c r="N94">
        <v>52.502147071338101</v>
      </c>
      <c r="O94">
        <v>51.410991865789697</v>
      </c>
      <c r="P94">
        <v>-0.103489898530816</v>
      </c>
      <c r="Q94">
        <v>0.15380442489662</v>
      </c>
      <c r="R94">
        <v>0.99578033040801694</v>
      </c>
      <c r="S94" t="s">
        <v>5677</v>
      </c>
      <c r="T94" t="s">
        <v>11164</v>
      </c>
      <c r="U94" t="s">
        <v>11164</v>
      </c>
      <c r="V94" t="s">
        <v>11164</v>
      </c>
      <c r="W94" t="s">
        <v>11258</v>
      </c>
      <c r="X94">
        <v>4</v>
      </c>
      <c r="Y94" t="s">
        <v>16788</v>
      </c>
      <c r="Z94" t="s">
        <v>22244</v>
      </c>
      <c r="AA94">
        <v>0.57683203479657419</v>
      </c>
      <c r="AB94" t="str">
        <f>HYPERLINK("Melting_Curves/meltCurve_B0UXB6_ABHD16A.pdf", "Melting_Curves/meltCurve_B0UXB6_ABHD16A.pdf")</f>
        <v>Melting_Curves/meltCurve_B0UXB6_ABHD16A.pdf</v>
      </c>
    </row>
    <row r="95" spans="1:28" x14ac:dyDescent="0.25">
      <c r="A95" t="s">
        <v>99</v>
      </c>
      <c r="B95">
        <v>0.99796759195183404</v>
      </c>
      <c r="C95">
        <v>1.04890125105942</v>
      </c>
      <c r="D95">
        <v>1.07619102395318</v>
      </c>
      <c r="E95">
        <v>1.20143829142411</v>
      </c>
      <c r="F95">
        <v>0.93209174048898302</v>
      </c>
      <c r="G95">
        <v>0.57585501357483204</v>
      </c>
      <c r="H95">
        <v>0.75472416747080595</v>
      </c>
      <c r="I95">
        <v>0.56459810426129797</v>
      </c>
      <c r="J95">
        <v>0.54907139852108899</v>
      </c>
      <c r="K95">
        <v>0.43815103982528297</v>
      </c>
      <c r="L95">
        <v>12633.115239754999</v>
      </c>
      <c r="M95">
        <v>250</v>
      </c>
      <c r="O95">
        <v>50.529227150264802</v>
      </c>
      <c r="P95">
        <v>-0.52385532605367702</v>
      </c>
      <c r="Q95">
        <v>0.57647992371495305</v>
      </c>
      <c r="R95">
        <v>0.84661147182206198</v>
      </c>
      <c r="S95" t="s">
        <v>5678</v>
      </c>
      <c r="T95" t="s">
        <v>11164</v>
      </c>
      <c r="U95" t="s">
        <v>11164</v>
      </c>
      <c r="V95" t="s">
        <v>11164</v>
      </c>
      <c r="W95" t="s">
        <v>11259</v>
      </c>
      <c r="X95">
        <v>1</v>
      </c>
      <c r="Y95" t="s">
        <v>16789</v>
      </c>
      <c r="Z95" t="s">
        <v>22245</v>
      </c>
      <c r="AA95">
        <v>0.76755977962455979</v>
      </c>
      <c r="AB95" t="str">
        <f>HYPERLINK("Melting_Curves/meltCurve_B0UZY3_EHMT2.pdf", "Melting_Curves/meltCurve_B0UZY3_EHMT2.pdf")</f>
        <v>Melting_Curves/meltCurve_B0UZY3_EHMT2.pdf</v>
      </c>
    </row>
    <row r="96" spans="1:28" x14ac:dyDescent="0.25">
      <c r="A96" t="s">
        <v>100</v>
      </c>
      <c r="B96">
        <v>0.99796759195183404</v>
      </c>
      <c r="C96">
        <v>1.0652713372657601</v>
      </c>
      <c r="D96">
        <v>0.97340146311877995</v>
      </c>
      <c r="E96">
        <v>0.89584670385302201</v>
      </c>
      <c r="F96">
        <v>0.71214989438457099</v>
      </c>
      <c r="G96">
        <v>0.62945699909739905</v>
      </c>
      <c r="H96">
        <v>0.23030510855228001</v>
      </c>
      <c r="I96">
        <v>0.20017559503236901</v>
      </c>
      <c r="J96">
        <v>0.17723208559564199</v>
      </c>
      <c r="K96">
        <v>0.151155072483313</v>
      </c>
      <c r="L96">
        <v>849.403132625235</v>
      </c>
      <c r="M96">
        <v>15.9182605800665</v>
      </c>
      <c r="N96">
        <v>54.124576693522499</v>
      </c>
      <c r="O96">
        <v>52.539470381738496</v>
      </c>
      <c r="P96">
        <v>-6.8125849417416798E-2</v>
      </c>
      <c r="Q96">
        <v>0.100653088947414</v>
      </c>
      <c r="R96">
        <v>0.97805734764935304</v>
      </c>
      <c r="S96" t="s">
        <v>5679</v>
      </c>
      <c r="T96" t="s">
        <v>11164</v>
      </c>
      <c r="U96" t="s">
        <v>11164</v>
      </c>
      <c r="V96" t="s">
        <v>11164</v>
      </c>
      <c r="W96" t="s">
        <v>11260</v>
      </c>
      <c r="X96">
        <v>25</v>
      </c>
      <c r="Y96" t="s">
        <v>16790</v>
      </c>
      <c r="Z96" t="s">
        <v>22246</v>
      </c>
      <c r="AA96">
        <v>0.60581957812516263</v>
      </c>
      <c r="AB96" t="str">
        <f>HYPERLINK("Melting_Curves/meltCurve_B0V043_VARS.pdf", "Melting_Curves/meltCurve_B0V043_VARS.pdf")</f>
        <v>Melting_Curves/meltCurve_B0V043_VARS.pdf</v>
      </c>
    </row>
    <row r="97" spans="1:28" x14ac:dyDescent="0.25">
      <c r="A97" t="s">
        <v>101</v>
      </c>
      <c r="B97">
        <v>0.99796759195183404</v>
      </c>
      <c r="C97">
        <v>1.0020195551106501</v>
      </c>
      <c r="D97">
        <v>1.02616711399684</v>
      </c>
      <c r="E97">
        <v>1.0531589868318401</v>
      </c>
      <c r="F97">
        <v>0.75440377973315698</v>
      </c>
      <c r="G97">
        <v>0.54173563551987503</v>
      </c>
      <c r="H97">
        <v>0.58374361324882296</v>
      </c>
      <c r="I97">
        <v>0.55974026535249299</v>
      </c>
      <c r="J97">
        <v>0.88107545571025903</v>
      </c>
      <c r="K97">
        <v>0.668930563875898</v>
      </c>
      <c r="L97">
        <v>12508.458816625</v>
      </c>
      <c r="M97">
        <v>250</v>
      </c>
      <c r="O97">
        <v>50.030634587321401</v>
      </c>
      <c r="P97">
        <v>-0.440923477141826</v>
      </c>
      <c r="Q97">
        <v>0.64704510670127402</v>
      </c>
      <c r="R97">
        <v>0.79201406731537305</v>
      </c>
      <c r="S97" t="s">
        <v>5680</v>
      </c>
      <c r="T97" t="s">
        <v>11164</v>
      </c>
      <c r="U97" t="s">
        <v>11164</v>
      </c>
      <c r="V97" t="s">
        <v>11164</v>
      </c>
      <c r="W97" t="s">
        <v>11261</v>
      </c>
      <c r="X97">
        <v>2</v>
      </c>
      <c r="Y97" t="s">
        <v>16791</v>
      </c>
      <c r="Z97" t="s">
        <v>22247</v>
      </c>
      <c r="AA97">
        <v>0.80042129703578113</v>
      </c>
      <c r="AB97" t="str">
        <f>HYPERLINK("Melting_Curves/meltCurve_B0YIW2_APOC3.pdf", "Melting_Curves/meltCurve_B0YIW2_APOC3.pdf")</f>
        <v>Melting_Curves/meltCurve_B0YIW2_APOC3.pdf</v>
      </c>
    </row>
    <row r="98" spans="1:28" x14ac:dyDescent="0.25">
      <c r="A98" t="s">
        <v>102</v>
      </c>
      <c r="B98">
        <v>0.99796759195183404</v>
      </c>
      <c r="C98">
        <v>1.05885014922912</v>
      </c>
      <c r="D98">
        <v>1.05974687004381</v>
      </c>
      <c r="E98">
        <v>1.1327335259568401</v>
      </c>
      <c r="F98">
        <v>1.1731554343808399</v>
      </c>
      <c r="G98">
        <v>0.73318118726736403</v>
      </c>
      <c r="H98">
        <v>0.60895398433760695</v>
      </c>
      <c r="I98">
        <v>0.65754389375639699</v>
      </c>
      <c r="J98">
        <v>0.94170545088584701</v>
      </c>
      <c r="K98">
        <v>0.71679083630001605</v>
      </c>
      <c r="L98">
        <v>13187.472658095799</v>
      </c>
      <c r="M98">
        <v>250</v>
      </c>
      <c r="O98">
        <v>52.746517172130503</v>
      </c>
      <c r="P98">
        <v>-0.31846905602965497</v>
      </c>
      <c r="Q98">
        <v>0.73122987490814495</v>
      </c>
      <c r="R98">
        <v>0.69747808027541203</v>
      </c>
      <c r="S98" t="s">
        <v>5681</v>
      </c>
      <c r="T98" t="s">
        <v>11164</v>
      </c>
      <c r="U98" t="s">
        <v>11164</v>
      </c>
      <c r="V98" t="s">
        <v>11164</v>
      </c>
      <c r="W98" t="s">
        <v>11262</v>
      </c>
      <c r="X98">
        <v>2</v>
      </c>
      <c r="Y98" t="s">
        <v>16792</v>
      </c>
      <c r="Z98" t="s">
        <v>22248</v>
      </c>
      <c r="AA98">
        <v>0.87235809221448701</v>
      </c>
      <c r="AB98" t="str">
        <f>HYPERLINK("Melting_Curves/meltCurve_B1AH87_TSPO.pdf", "Melting_Curves/meltCurve_B1AH87_TSPO.pdf")</f>
        <v>Melting_Curves/meltCurve_B1AH87_TSPO.pdf</v>
      </c>
    </row>
    <row r="99" spans="1:28" x14ac:dyDescent="0.25">
      <c r="A99" t="s">
        <v>103</v>
      </c>
      <c r="B99">
        <v>0.99796759195183404</v>
      </c>
      <c r="C99">
        <v>1.05021036119077</v>
      </c>
      <c r="D99">
        <v>1.02788757834069</v>
      </c>
      <c r="E99">
        <v>0.95057719922251005</v>
      </c>
      <c r="F99">
        <v>0.85661927344080901</v>
      </c>
      <c r="G99">
        <v>0.66458406387911695</v>
      </c>
      <c r="H99">
        <v>0.52969590351070395</v>
      </c>
      <c r="I99">
        <v>0.41323748027972101</v>
      </c>
      <c r="J99">
        <v>0.347627107888486</v>
      </c>
      <c r="K99">
        <v>0.26537983950301502</v>
      </c>
      <c r="L99">
        <v>764.74041729999499</v>
      </c>
      <c r="M99">
        <v>13.799995368197701</v>
      </c>
      <c r="N99">
        <v>57.947212129685198</v>
      </c>
      <c r="O99">
        <v>54.291203980397803</v>
      </c>
      <c r="P99">
        <v>-4.9168634780820598E-2</v>
      </c>
      <c r="Q99">
        <v>0.22636183585195899</v>
      </c>
      <c r="R99">
        <v>0.99182462680663397</v>
      </c>
      <c r="S99" t="s">
        <v>5682</v>
      </c>
      <c r="T99" t="s">
        <v>11164</v>
      </c>
      <c r="U99" t="s">
        <v>11164</v>
      </c>
      <c r="V99" t="s">
        <v>11164</v>
      </c>
      <c r="W99" t="s">
        <v>11263</v>
      </c>
      <c r="X99">
        <v>10</v>
      </c>
      <c r="Y99" t="s">
        <v>16793</v>
      </c>
      <c r="Z99" t="s">
        <v>22249</v>
      </c>
      <c r="AA99">
        <v>0.71144049776118645</v>
      </c>
      <c r="AB99" t="str">
        <f>HYPERLINK("Melting_Curves/meltCurve_B1AHD1_NHP2L1.pdf", "Melting_Curves/meltCurve_B1AHD1_NHP2L1.pdf")</f>
        <v>Melting_Curves/meltCurve_B1AHD1_NHP2L1.pdf</v>
      </c>
    </row>
    <row r="100" spans="1:28" x14ac:dyDescent="0.25">
      <c r="A100" t="s">
        <v>104</v>
      </c>
      <c r="B100">
        <v>0.99796759195183404</v>
      </c>
      <c r="C100">
        <v>0.99601257051653203</v>
      </c>
      <c r="D100">
        <v>0.95144246803713095</v>
      </c>
      <c r="E100">
        <v>0.94000884355011904</v>
      </c>
      <c r="F100">
        <v>0.84825489052874203</v>
      </c>
      <c r="G100">
        <v>0.63488139018811796</v>
      </c>
      <c r="H100">
        <v>0.497811013963878</v>
      </c>
      <c r="I100">
        <v>0.26437742235414302</v>
      </c>
      <c r="J100">
        <v>0.16169126324161301</v>
      </c>
      <c r="K100">
        <v>0.122900759104382</v>
      </c>
      <c r="L100">
        <v>733.00224502904996</v>
      </c>
      <c r="M100">
        <v>12.954004427393601</v>
      </c>
      <c r="N100">
        <v>56.584992833758399</v>
      </c>
      <c r="O100">
        <v>55.287425917406502</v>
      </c>
      <c r="P100">
        <v>-5.8586220878855601E-2</v>
      </c>
      <c r="Q100">
        <v>0</v>
      </c>
      <c r="R100">
        <v>0.99615851584817094</v>
      </c>
      <c r="S100" t="s">
        <v>5683</v>
      </c>
      <c r="T100" t="s">
        <v>11164</v>
      </c>
      <c r="U100" t="s">
        <v>11164</v>
      </c>
      <c r="V100" t="s">
        <v>11164</v>
      </c>
      <c r="W100" t="s">
        <v>11264</v>
      </c>
      <c r="X100">
        <v>6</v>
      </c>
      <c r="Y100" t="s">
        <v>16794</v>
      </c>
      <c r="Z100" t="s">
        <v>22250</v>
      </c>
      <c r="AA100">
        <v>0.66101206642951549</v>
      </c>
      <c r="AB100" t="str">
        <f>HYPERLINK("Melting_Curves/meltCurve_B1AK13_HMGCL.pdf", "Melting_Curves/meltCurve_B1AK13_HMGCL.pdf")</f>
        <v>Melting_Curves/meltCurve_B1AK13_HMGCL.pdf</v>
      </c>
    </row>
    <row r="101" spans="1:28" x14ac:dyDescent="0.25">
      <c r="A101" t="s">
        <v>105</v>
      </c>
      <c r="B101">
        <v>0.99796759195183404</v>
      </c>
      <c r="C101">
        <v>0.91666717036221201</v>
      </c>
      <c r="D101">
        <v>0.88773092956035005</v>
      </c>
      <c r="E101">
        <v>0.78551295590447101</v>
      </c>
      <c r="F101">
        <v>0.84509860076170795</v>
      </c>
      <c r="G101">
        <v>1.0083260737720801</v>
      </c>
      <c r="H101">
        <v>1.2344904767351501</v>
      </c>
      <c r="I101">
        <v>1.5018332705880599</v>
      </c>
      <c r="J101">
        <v>1.2374729668906399</v>
      </c>
      <c r="K101">
        <v>0.80724389876490898</v>
      </c>
      <c r="L101">
        <v>13617.3740328889</v>
      </c>
      <c r="M101">
        <v>250</v>
      </c>
      <c r="O101">
        <v>54.466018541517698</v>
      </c>
      <c r="P101">
        <v>0.22406202970141501</v>
      </c>
      <c r="Q101">
        <v>1.1952602374394301</v>
      </c>
      <c r="R101">
        <v>0.30436492843523999</v>
      </c>
      <c r="S101" t="s">
        <v>5684</v>
      </c>
      <c r="T101" t="s">
        <v>11164</v>
      </c>
      <c r="U101" t="s">
        <v>11164</v>
      </c>
      <c r="V101" t="s">
        <v>11164</v>
      </c>
      <c r="W101" t="s">
        <v>11265</v>
      </c>
      <c r="X101">
        <v>1</v>
      </c>
      <c r="Y101" t="s">
        <v>16795</v>
      </c>
      <c r="Z101" t="s">
        <v>22251</v>
      </c>
      <c r="AA101">
        <v>1.0815383064846911</v>
      </c>
      <c r="AB101" t="str">
        <f>HYPERLINK("Melting_Curves/meltCurve_B1AK53_ESPN.pdf", "Melting_Curves/meltCurve_B1AK53_ESPN.pdf")</f>
        <v>Melting_Curves/meltCurve_B1AK53_ESPN.pdf</v>
      </c>
    </row>
    <row r="102" spans="1:28" x14ac:dyDescent="0.25">
      <c r="A102" t="s">
        <v>106</v>
      </c>
      <c r="B102">
        <v>0.99796759195183404</v>
      </c>
      <c r="C102">
        <v>0.65505289544310696</v>
      </c>
      <c r="D102">
        <v>0.68760163454622503</v>
      </c>
      <c r="E102">
        <v>0.76605148766318298</v>
      </c>
      <c r="F102">
        <v>1.90789467914866</v>
      </c>
      <c r="G102">
        <v>0.55697725718378099</v>
      </c>
      <c r="H102">
        <v>0</v>
      </c>
      <c r="I102">
        <v>0.77091859113255501</v>
      </c>
      <c r="J102">
        <v>0</v>
      </c>
      <c r="K102">
        <v>0</v>
      </c>
      <c r="L102">
        <v>13439.466644611301</v>
      </c>
      <c r="M102">
        <v>250</v>
      </c>
      <c r="N102">
        <v>53.862742320233103</v>
      </c>
      <c r="O102">
        <v>53.754426462187098</v>
      </c>
      <c r="P102">
        <v>-0.93860917076982897</v>
      </c>
      <c r="Q102">
        <v>0.192729639056198</v>
      </c>
      <c r="R102">
        <v>0.48734895117571703</v>
      </c>
      <c r="S102" t="s">
        <v>5685</v>
      </c>
      <c r="T102" t="s">
        <v>11164</v>
      </c>
      <c r="U102" t="s">
        <v>11164</v>
      </c>
      <c r="V102" t="s">
        <v>11164</v>
      </c>
      <c r="W102" t="s">
        <v>11266</v>
      </c>
      <c r="X102">
        <v>2</v>
      </c>
      <c r="Y102" t="s">
        <v>16796</v>
      </c>
      <c r="Z102" t="s">
        <v>22252</v>
      </c>
      <c r="AA102">
        <v>0.6437434337290594</v>
      </c>
      <c r="AB102" t="str">
        <f>HYPERLINK("Melting_Curves/meltCurve_B1AKC9_EPHB2.pdf", "Melting_Curves/meltCurve_B1AKC9_EPHB2.pdf")</f>
        <v>Melting_Curves/meltCurve_B1AKC9_EPHB2.pdf</v>
      </c>
    </row>
    <row r="103" spans="1:28" x14ac:dyDescent="0.25">
      <c r="A103" t="s">
        <v>107</v>
      </c>
      <c r="B103">
        <v>0.99796759195183404</v>
      </c>
      <c r="C103">
        <v>1.03491847094036</v>
      </c>
      <c r="D103">
        <v>1.03825679981616</v>
      </c>
      <c r="E103">
        <v>0.96608334811004204</v>
      </c>
      <c r="F103">
        <v>0.84109794539743399</v>
      </c>
      <c r="G103">
        <v>0.46189278551025298</v>
      </c>
      <c r="H103">
        <v>0.234672499855924</v>
      </c>
      <c r="I103">
        <v>0.15779289348830999</v>
      </c>
      <c r="J103">
        <v>0.13088439737471999</v>
      </c>
      <c r="K103">
        <v>9.7033468499387501E-2</v>
      </c>
      <c r="L103">
        <v>1361.4707972757899</v>
      </c>
      <c r="M103">
        <v>25.684059617392201</v>
      </c>
      <c r="N103">
        <v>53.553590168085698</v>
      </c>
      <c r="O103">
        <v>52.690183078496503</v>
      </c>
      <c r="P103">
        <v>-0.10784551817872901</v>
      </c>
      <c r="Q103">
        <v>0.115041534414525</v>
      </c>
      <c r="R103">
        <v>0.99738734285975705</v>
      </c>
      <c r="S103" t="s">
        <v>5686</v>
      </c>
      <c r="T103" t="s">
        <v>11164</v>
      </c>
      <c r="U103" t="s">
        <v>11164</v>
      </c>
      <c r="V103" t="s">
        <v>11164</v>
      </c>
      <c r="W103" t="s">
        <v>11267</v>
      </c>
      <c r="X103">
        <v>18</v>
      </c>
      <c r="Y103" t="s">
        <v>16797</v>
      </c>
      <c r="Z103" t="s">
        <v>22253</v>
      </c>
      <c r="AA103">
        <v>0.5947298840715175</v>
      </c>
      <c r="AB103" t="str">
        <f>HYPERLINK("Melting_Curves/meltCurve_B1AKJ5_NRD1.pdf", "Melting_Curves/meltCurve_B1AKJ5_NRD1.pdf")</f>
        <v>Melting_Curves/meltCurve_B1AKJ5_NRD1.pdf</v>
      </c>
    </row>
    <row r="104" spans="1:28" x14ac:dyDescent="0.25">
      <c r="A104" t="s">
        <v>108</v>
      </c>
      <c r="B104">
        <v>0.99796759195183404</v>
      </c>
      <c r="C104">
        <v>1.0867817246034199</v>
      </c>
      <c r="D104">
        <v>1.0085417409978901</v>
      </c>
      <c r="E104">
        <v>0.91221358822190302</v>
      </c>
      <c r="F104">
        <v>0.982559287526801</v>
      </c>
      <c r="G104">
        <v>1.09263702094001</v>
      </c>
      <c r="H104">
        <v>1.41280593661512</v>
      </c>
      <c r="I104">
        <v>1.52471676327202</v>
      </c>
      <c r="J104">
        <v>1.9998345796958199</v>
      </c>
      <c r="K104">
        <v>1.5905303549196199</v>
      </c>
      <c r="L104">
        <v>2881.87110259881</v>
      </c>
      <c r="M104">
        <v>51.973224211560698</v>
      </c>
      <c r="O104">
        <v>55.367242129336603</v>
      </c>
      <c r="P104">
        <v>0.117337572002568</v>
      </c>
      <c r="Q104">
        <v>1.5</v>
      </c>
      <c r="R104">
        <v>0.75804577933226003</v>
      </c>
      <c r="S104" t="s">
        <v>5687</v>
      </c>
      <c r="T104" t="s">
        <v>11164</v>
      </c>
      <c r="U104" t="s">
        <v>11164</v>
      </c>
      <c r="V104" t="s">
        <v>11164</v>
      </c>
      <c r="W104" t="s">
        <v>11268</v>
      </c>
      <c r="X104">
        <v>6</v>
      </c>
      <c r="Y104" t="s">
        <v>16798</v>
      </c>
      <c r="Z104" t="s">
        <v>22254</v>
      </c>
      <c r="AA104">
        <v>1.1913862978258241</v>
      </c>
      <c r="AB104" t="str">
        <f>HYPERLINK("Melting_Curves/meltCurve_B1AKR6_DYNLRB1.pdf", "Melting_Curves/meltCurve_B1AKR6_DYNLRB1.pdf")</f>
        <v>Melting_Curves/meltCurve_B1AKR6_DYNLRB1.pdf</v>
      </c>
    </row>
    <row r="105" spans="1:28" x14ac:dyDescent="0.25">
      <c r="A105" t="s">
        <v>109</v>
      </c>
      <c r="B105">
        <v>0.99796759195183404</v>
      </c>
      <c r="C105">
        <v>1.01562235189979</v>
      </c>
      <c r="D105">
        <v>1.03131026170179</v>
      </c>
      <c r="E105">
        <v>1.0226461489724901</v>
      </c>
      <c r="F105">
        <v>0.93131726329001197</v>
      </c>
      <c r="G105">
        <v>0.51124195048662802</v>
      </c>
      <c r="H105">
        <v>0.30561749764193702</v>
      </c>
      <c r="I105">
        <v>0.239939396228871</v>
      </c>
      <c r="J105">
        <v>0.236435003573473</v>
      </c>
      <c r="K105">
        <v>0.205649910184942</v>
      </c>
      <c r="L105">
        <v>1983.05165997975</v>
      </c>
      <c r="M105">
        <v>37.352939005491002</v>
      </c>
      <c r="N105">
        <v>53.991573046641101</v>
      </c>
      <c r="O105">
        <v>52.938101258830898</v>
      </c>
      <c r="P105">
        <v>-0.135455522758854</v>
      </c>
      <c r="Q105">
        <v>0.232109898027971</v>
      </c>
      <c r="R105">
        <v>0.99702630986227103</v>
      </c>
      <c r="S105" t="s">
        <v>5688</v>
      </c>
      <c r="T105" t="s">
        <v>11164</v>
      </c>
      <c r="U105" t="s">
        <v>11164</v>
      </c>
      <c r="V105" t="s">
        <v>11164</v>
      </c>
      <c r="W105" t="s">
        <v>11269</v>
      </c>
      <c r="X105">
        <v>6</v>
      </c>
      <c r="Y105" t="s">
        <v>16799</v>
      </c>
      <c r="Z105" t="s">
        <v>22255</v>
      </c>
      <c r="AA105">
        <v>0.64715402718786008</v>
      </c>
      <c r="AB105" t="str">
        <f>HYPERLINK("Melting_Curves/meltCurve_B1AKZ5_PEA15.pdf", "Melting_Curves/meltCurve_B1AKZ5_PEA15.pdf")</f>
        <v>Melting_Curves/meltCurve_B1AKZ5_PEA15.pdf</v>
      </c>
    </row>
    <row r="106" spans="1:28" x14ac:dyDescent="0.25">
      <c r="A106" t="s">
        <v>110</v>
      </c>
      <c r="B106">
        <v>0.99796759195183404</v>
      </c>
      <c r="C106">
        <v>1.02075831082695</v>
      </c>
      <c r="D106">
        <v>0.97728782087459398</v>
      </c>
      <c r="E106">
        <v>0.93796895292722304</v>
      </c>
      <c r="F106">
        <v>0.69362930159963199</v>
      </c>
      <c r="G106">
        <v>0.391892521310507</v>
      </c>
      <c r="H106">
        <v>0.30460241248298298</v>
      </c>
      <c r="I106">
        <v>0.23882438683315499</v>
      </c>
      <c r="J106">
        <v>0.210556269251923</v>
      </c>
      <c r="K106">
        <v>0.17193952859654299</v>
      </c>
      <c r="L106">
        <v>1122.22260211869</v>
      </c>
      <c r="M106">
        <v>21.870627958579899</v>
      </c>
      <c r="N106">
        <v>52.534412561445201</v>
      </c>
      <c r="O106">
        <v>50.888650952732299</v>
      </c>
      <c r="P106">
        <v>-8.6016870496524803E-2</v>
      </c>
      <c r="Q106">
        <v>0.19944093868162199</v>
      </c>
      <c r="R106">
        <v>0.99685865958431896</v>
      </c>
      <c r="S106" t="s">
        <v>5689</v>
      </c>
      <c r="T106" t="s">
        <v>11164</v>
      </c>
      <c r="U106" t="s">
        <v>11164</v>
      </c>
      <c r="V106" t="s">
        <v>11164</v>
      </c>
      <c r="W106" t="s">
        <v>11270</v>
      </c>
      <c r="X106">
        <v>4</v>
      </c>
      <c r="Y106" t="s">
        <v>16800</v>
      </c>
      <c r="Z106" t="s">
        <v>22256</v>
      </c>
      <c r="AA106">
        <v>0.59034411376779883</v>
      </c>
      <c r="AB106" t="str">
        <f>HYPERLINK("Melting_Curves/meltCurve_B1ALH6_PHYH.pdf", "Melting_Curves/meltCurve_B1ALH6_PHYH.pdf")</f>
        <v>Melting_Curves/meltCurve_B1ALH6_PHYH.pdf</v>
      </c>
    </row>
    <row r="107" spans="1:28" x14ac:dyDescent="0.25">
      <c r="A107" t="s">
        <v>111</v>
      </c>
      <c r="B107">
        <v>0.99796759195183404</v>
      </c>
      <c r="C107">
        <v>1.1655828328706499</v>
      </c>
      <c r="D107">
        <v>0.86790228061249697</v>
      </c>
      <c r="E107">
        <v>1.0319048848733601</v>
      </c>
      <c r="F107">
        <v>0.87343631795115695</v>
      </c>
      <c r="G107">
        <v>0.96455540576160004</v>
      </c>
      <c r="H107">
        <v>0.57123648599270105</v>
      </c>
      <c r="I107">
        <v>0.47418861050408501</v>
      </c>
      <c r="J107">
        <v>0.38035344408001198</v>
      </c>
      <c r="K107">
        <v>0.39186710416356102</v>
      </c>
      <c r="L107">
        <v>2654.86220435616</v>
      </c>
      <c r="M107">
        <v>47.101046349433503</v>
      </c>
      <c r="N107">
        <v>58.444316153822598</v>
      </c>
      <c r="O107">
        <v>56.263926034220603</v>
      </c>
      <c r="P107">
        <v>-0.12423310578845</v>
      </c>
      <c r="Q107">
        <v>0.406396649368575</v>
      </c>
      <c r="R107">
        <v>0.91313132605484604</v>
      </c>
      <c r="S107" t="s">
        <v>5690</v>
      </c>
      <c r="T107" t="s">
        <v>11164</v>
      </c>
      <c r="U107" t="s">
        <v>11164</v>
      </c>
      <c r="V107" t="s">
        <v>11164</v>
      </c>
      <c r="W107" t="s">
        <v>11271</v>
      </c>
      <c r="X107">
        <v>3</v>
      </c>
      <c r="Y107" t="s">
        <v>16801</v>
      </c>
      <c r="Z107" t="s">
        <v>22257</v>
      </c>
      <c r="AA107">
        <v>0.79121688672095014</v>
      </c>
      <c r="AB107" t="str">
        <f>HYPERLINK("Melting_Curves/meltCurve_B1ALM5_TMEM9.pdf", "Melting_Curves/meltCurve_B1ALM5_TMEM9.pdf")</f>
        <v>Melting_Curves/meltCurve_B1ALM5_TMEM9.pdf</v>
      </c>
    </row>
    <row r="108" spans="1:28" x14ac:dyDescent="0.25">
      <c r="A108" t="s">
        <v>112</v>
      </c>
      <c r="B108">
        <v>0.99796759195183404</v>
      </c>
      <c r="C108">
        <v>0.96817444222515003</v>
      </c>
      <c r="D108">
        <v>1.02961305180605</v>
      </c>
      <c r="E108">
        <v>0.80768634032826303</v>
      </c>
      <c r="F108">
        <v>0.40225352665436098</v>
      </c>
      <c r="G108">
        <v>0.224541669465215</v>
      </c>
      <c r="H108">
        <v>0.132386987318658</v>
      </c>
      <c r="I108">
        <v>0.109452032668878</v>
      </c>
      <c r="J108">
        <v>6.0153495568857802E-2</v>
      </c>
      <c r="K108">
        <v>3.2363093301359301E-2</v>
      </c>
      <c r="L108">
        <v>1139.9970400490299</v>
      </c>
      <c r="M108">
        <v>23.161605664667</v>
      </c>
      <c r="N108">
        <v>49.566335781288302</v>
      </c>
      <c r="O108">
        <v>48.856761329576699</v>
      </c>
      <c r="P108">
        <v>-0.109647985204156</v>
      </c>
      <c r="Q108">
        <v>7.4857247980143996E-2</v>
      </c>
      <c r="R108">
        <v>0.99356841452482703</v>
      </c>
      <c r="S108" t="s">
        <v>5691</v>
      </c>
      <c r="T108" t="s">
        <v>11164</v>
      </c>
      <c r="U108" t="s">
        <v>11164</v>
      </c>
      <c r="V108" t="s">
        <v>11164</v>
      </c>
      <c r="W108" t="s">
        <v>11272</v>
      </c>
      <c r="X108">
        <v>3</v>
      </c>
      <c r="Y108" t="s">
        <v>16802</v>
      </c>
      <c r="Z108" t="s">
        <v>22258</v>
      </c>
      <c r="AA108">
        <v>0.46095866038873851</v>
      </c>
      <c r="AB108" t="str">
        <f>HYPERLINK("Melting_Curves/meltCurve_B1AMU7_EXOSC1.pdf", "Melting_Curves/meltCurve_B1AMU7_EXOSC1.pdf")</f>
        <v>Melting_Curves/meltCurve_B1AMU7_EXOSC1.pdf</v>
      </c>
    </row>
    <row r="109" spans="1:28" x14ac:dyDescent="0.25">
      <c r="A109" t="s">
        <v>113</v>
      </c>
      <c r="B109">
        <v>0.99796759195183404</v>
      </c>
      <c r="C109">
        <v>1.0679249100516399</v>
      </c>
      <c r="D109">
        <v>0.93331195275928502</v>
      </c>
      <c r="E109">
        <v>0.88022583129482401</v>
      </c>
      <c r="F109">
        <v>0.93657175434824502</v>
      </c>
      <c r="G109">
        <v>0.68610752966883204</v>
      </c>
      <c r="H109">
        <v>1.1636703675029101</v>
      </c>
      <c r="I109">
        <v>2.7751450742346599</v>
      </c>
      <c r="J109">
        <v>1.75769880505446</v>
      </c>
      <c r="K109">
        <v>1.3090837866366201</v>
      </c>
      <c r="L109">
        <v>14391.339450797301</v>
      </c>
      <c r="M109">
        <v>250</v>
      </c>
      <c r="O109">
        <v>57.561684151236904</v>
      </c>
      <c r="P109">
        <v>0.54289595574190697</v>
      </c>
      <c r="Q109">
        <v>1.5</v>
      </c>
      <c r="R109">
        <v>0.44544136438272097</v>
      </c>
      <c r="S109" t="s">
        <v>5692</v>
      </c>
      <c r="T109" t="s">
        <v>11164</v>
      </c>
      <c r="U109" t="s">
        <v>11164</v>
      </c>
      <c r="V109" t="s">
        <v>11164</v>
      </c>
      <c r="W109" t="s">
        <v>11273</v>
      </c>
      <c r="X109">
        <v>1</v>
      </c>
      <c r="Y109" t="s">
        <v>16803</v>
      </c>
      <c r="Z109" t="s">
        <v>22259</v>
      </c>
      <c r="AA109">
        <v>1.1571935234599979</v>
      </c>
      <c r="AB109" t="str">
        <f>HYPERLINK("Melting_Curves/meltCurve_B1AN99_PRSS3.pdf", "Melting_Curves/meltCurve_B1AN99_PRSS3.pdf")</f>
        <v>Melting_Curves/meltCurve_B1AN99_PRSS3.pdf</v>
      </c>
    </row>
    <row r="110" spans="1:28" x14ac:dyDescent="0.25">
      <c r="A110" t="s">
        <v>114</v>
      </c>
      <c r="B110">
        <v>0.99796759195183404</v>
      </c>
      <c r="C110">
        <v>1.05088956808207</v>
      </c>
      <c r="D110">
        <v>1.07579097139726</v>
      </c>
      <c r="E110">
        <v>0.98985085270770101</v>
      </c>
      <c r="F110">
        <v>0.71120045044873303</v>
      </c>
      <c r="G110">
        <v>0.25667948245688799</v>
      </c>
      <c r="H110">
        <v>0.19539972867811001</v>
      </c>
      <c r="I110">
        <v>0.13870318266773299</v>
      </c>
      <c r="J110">
        <v>0.12190797022078401</v>
      </c>
      <c r="K110">
        <v>8.7081929134845706E-2</v>
      </c>
      <c r="L110">
        <v>1787.58566332795</v>
      </c>
      <c r="M110">
        <v>34.895249656179502</v>
      </c>
      <c r="N110">
        <v>51.662934447317099</v>
      </c>
      <c r="O110">
        <v>51.059833362153903</v>
      </c>
      <c r="P110">
        <v>-0.14907415847646499</v>
      </c>
      <c r="Q110">
        <v>0.12748307733799899</v>
      </c>
      <c r="R110">
        <v>0.99250968912463</v>
      </c>
      <c r="S110" t="s">
        <v>5693</v>
      </c>
      <c r="T110" t="s">
        <v>11164</v>
      </c>
      <c r="U110" t="s">
        <v>11164</v>
      </c>
      <c r="V110" t="s">
        <v>11164</v>
      </c>
      <c r="W110" t="s">
        <v>11274</v>
      </c>
      <c r="X110">
        <v>11</v>
      </c>
      <c r="Y110" t="s">
        <v>16804</v>
      </c>
      <c r="Z110" t="s">
        <v>22260</v>
      </c>
      <c r="AA110">
        <v>0.54531608368530937</v>
      </c>
      <c r="AB110" t="str">
        <f>HYPERLINK("Melting_Curves/meltCurve_B1ANH0_GUK1.pdf", "Melting_Curves/meltCurve_B1ANH0_GUK1.pdf")</f>
        <v>Melting_Curves/meltCurve_B1ANH0_GUK1.pdf</v>
      </c>
    </row>
    <row r="111" spans="1:28" x14ac:dyDescent="0.25">
      <c r="A111" t="s">
        <v>115</v>
      </c>
      <c r="B111">
        <v>0.99796759195183404</v>
      </c>
      <c r="C111">
        <v>1.06892848430057</v>
      </c>
      <c r="D111">
        <v>0.89543912883009302</v>
      </c>
      <c r="E111">
        <v>0.64913019289386198</v>
      </c>
      <c r="F111">
        <v>0.74642119640190996</v>
      </c>
      <c r="G111">
        <v>0.46382910949245598</v>
      </c>
      <c r="H111">
        <v>0.56861612552948204</v>
      </c>
      <c r="I111">
        <v>0.64760284937484403</v>
      </c>
      <c r="J111">
        <v>0.62648760846131801</v>
      </c>
      <c r="K111">
        <v>0.50969854741972898</v>
      </c>
      <c r="L111">
        <v>1344.9168184535099</v>
      </c>
      <c r="M111">
        <v>30.110900270800801</v>
      </c>
      <c r="O111">
        <v>44.469812010188498</v>
      </c>
      <c r="P111">
        <v>-7.0010877714639499E-2</v>
      </c>
      <c r="Q111">
        <v>0.586415307702149</v>
      </c>
      <c r="R111">
        <v>0.85430368170594395</v>
      </c>
      <c r="S111" t="s">
        <v>5694</v>
      </c>
      <c r="T111" t="s">
        <v>11164</v>
      </c>
      <c r="U111" t="s">
        <v>11164</v>
      </c>
      <c r="V111" t="s">
        <v>11164</v>
      </c>
      <c r="W111" t="s">
        <v>11275</v>
      </c>
      <c r="X111">
        <v>1</v>
      </c>
      <c r="Y111" t="s">
        <v>16805</v>
      </c>
      <c r="Z111" t="s">
        <v>22261</v>
      </c>
      <c r="AA111">
        <v>0.69438572496319195</v>
      </c>
      <c r="AB111" t="str">
        <f>HYPERLINK("Melting_Curves/meltCurve_B1AP15_CD55.pdf", "Melting_Curves/meltCurve_B1AP15_CD55.pdf")</f>
        <v>Melting_Curves/meltCurve_B1AP15_CD55.pdf</v>
      </c>
    </row>
    <row r="112" spans="1:28" x14ac:dyDescent="0.25">
      <c r="A112" t="s">
        <v>116</v>
      </c>
      <c r="B112">
        <v>0.99796759195183404</v>
      </c>
      <c r="C112">
        <v>0.89704459661432501</v>
      </c>
      <c r="D112">
        <v>0.91108864891887598</v>
      </c>
      <c r="E112">
        <v>0.81867614097540697</v>
      </c>
      <c r="F112">
        <v>0.74964787747887196</v>
      </c>
      <c r="G112">
        <v>0.54209109804153899</v>
      </c>
      <c r="H112">
        <v>0.35940657153630301</v>
      </c>
      <c r="I112">
        <v>0.28662668609912401</v>
      </c>
      <c r="J112">
        <v>0.22511214017262199</v>
      </c>
      <c r="K112">
        <v>0.137412270027124</v>
      </c>
      <c r="L112">
        <v>502.41507844506202</v>
      </c>
      <c r="M112">
        <v>9.1789339579693703</v>
      </c>
      <c r="N112">
        <v>54.735667641130199</v>
      </c>
      <c r="O112">
        <v>52.325568487943798</v>
      </c>
      <c r="P112">
        <v>-4.38844782793954E-2</v>
      </c>
      <c r="Q112">
        <v>0</v>
      </c>
      <c r="R112">
        <v>0.988789866369151</v>
      </c>
      <c r="S112" t="s">
        <v>5695</v>
      </c>
      <c r="T112" t="s">
        <v>11164</v>
      </c>
      <c r="U112" t="s">
        <v>11164</v>
      </c>
      <c r="V112" t="s">
        <v>11164</v>
      </c>
      <c r="W112" t="s">
        <v>11276</v>
      </c>
      <c r="X112">
        <v>5</v>
      </c>
      <c r="Y112" t="s">
        <v>16806</v>
      </c>
      <c r="Z112" t="s">
        <v>22262</v>
      </c>
      <c r="AA112">
        <v>0.60340216032099503</v>
      </c>
      <c r="AB112" t="str">
        <f>HYPERLINK("Melting_Curves/meltCurve_B1AUU8_EPS15.pdf", "Melting_Curves/meltCurve_B1AUU8_EPS15.pdf")</f>
        <v>Melting_Curves/meltCurve_B1AUU8_EPS15.pdf</v>
      </c>
    </row>
    <row r="113" spans="1:28" x14ac:dyDescent="0.25">
      <c r="A113" t="s">
        <v>117</v>
      </c>
      <c r="B113">
        <v>0.99796759195183404</v>
      </c>
      <c r="C113">
        <v>0.94814761832067795</v>
      </c>
      <c r="D113">
        <v>0.96017322447556597</v>
      </c>
      <c r="E113">
        <v>0.96797419779061</v>
      </c>
      <c r="F113">
        <v>1.0922000691335101</v>
      </c>
      <c r="G113">
        <v>2.0659580209001098</v>
      </c>
      <c r="H113">
        <v>1.4228408578618501</v>
      </c>
      <c r="I113">
        <v>0.88280834839605604</v>
      </c>
      <c r="J113">
        <v>0.58377446218215301</v>
      </c>
      <c r="K113">
        <v>0.32073128622403302</v>
      </c>
      <c r="L113">
        <v>3275.3084877137599</v>
      </c>
      <c r="M113">
        <v>51.4528341154207</v>
      </c>
      <c r="N113">
        <v>64.648515598961097</v>
      </c>
      <c r="O113">
        <v>63.560584893127597</v>
      </c>
      <c r="P113">
        <v>-0.14713493666907301</v>
      </c>
      <c r="Q113">
        <v>0.27296713014099599</v>
      </c>
      <c r="R113">
        <v>0.32350171782849202</v>
      </c>
      <c r="S113" t="s">
        <v>5696</v>
      </c>
      <c r="T113" t="s">
        <v>11164</v>
      </c>
      <c r="U113" t="s">
        <v>11164</v>
      </c>
      <c r="V113" t="s">
        <v>11164</v>
      </c>
      <c r="W113" t="s">
        <v>11277</v>
      </c>
      <c r="X113">
        <v>6</v>
      </c>
      <c r="Y113" t="s">
        <v>16807</v>
      </c>
      <c r="Z113" t="s">
        <v>22263</v>
      </c>
      <c r="AA113">
        <v>0.91833556546914574</v>
      </c>
      <c r="AB113" t="str">
        <f>HYPERLINK("Melting_Curves/meltCurve_B3KS98_EIF3S3.pdf", "Melting_Curves/meltCurve_B3KS98_EIF3S3.pdf")</f>
        <v>Melting_Curves/meltCurve_B3KS98_EIF3S3.pdf</v>
      </c>
    </row>
    <row r="114" spans="1:28" x14ac:dyDescent="0.25">
      <c r="A114" t="s">
        <v>118</v>
      </c>
      <c r="B114">
        <v>0.99796759195183404</v>
      </c>
      <c r="C114">
        <v>0.90298697506144898</v>
      </c>
      <c r="D114">
        <v>0.96667802337379405</v>
      </c>
      <c r="E114">
        <v>0.89687971945805101</v>
      </c>
      <c r="F114">
        <v>0.885401920811131</v>
      </c>
      <c r="G114">
        <v>0.62276835415533005</v>
      </c>
      <c r="H114">
        <v>0.31396742410918599</v>
      </c>
      <c r="I114">
        <v>0.24406464854270901</v>
      </c>
      <c r="J114">
        <v>0.213613551667617</v>
      </c>
      <c r="K114">
        <v>0.17530688067238401</v>
      </c>
      <c r="L114">
        <v>1188.2430638539099</v>
      </c>
      <c r="M114">
        <v>22.003675639040601</v>
      </c>
      <c r="N114">
        <v>55.056989738238997</v>
      </c>
      <c r="O114">
        <v>53.561907084093399</v>
      </c>
      <c r="P114">
        <v>-8.5038623415462394E-2</v>
      </c>
      <c r="Q114">
        <v>0.17200547520413201</v>
      </c>
      <c r="R114">
        <v>0.98270161407211198</v>
      </c>
      <c r="S114" t="s">
        <v>5697</v>
      </c>
      <c r="T114" t="s">
        <v>11164</v>
      </c>
      <c r="U114" t="s">
        <v>11164</v>
      </c>
      <c r="V114" t="s">
        <v>11164</v>
      </c>
      <c r="W114" t="s">
        <v>11278</v>
      </c>
      <c r="X114">
        <v>6</v>
      </c>
      <c r="Y114" t="s">
        <v>16808</v>
      </c>
      <c r="Z114" t="s">
        <v>22264</v>
      </c>
      <c r="AA114">
        <v>0.65004691101605439</v>
      </c>
      <c r="AB114" t="str">
        <f>HYPERLINK("Melting_Curves/meltCurve_B3KSH1_EIF3F.pdf", "Melting_Curves/meltCurve_B3KSH1_EIF3F.pdf")</f>
        <v>Melting_Curves/meltCurve_B3KSH1_EIF3F.pdf</v>
      </c>
    </row>
    <row r="115" spans="1:28" x14ac:dyDescent="0.25">
      <c r="A115" t="s">
        <v>119</v>
      </c>
      <c r="B115">
        <v>0.99796759195183404</v>
      </c>
      <c r="C115">
        <v>0.913043078109113</v>
      </c>
      <c r="D115">
        <v>0.94320176050952098</v>
      </c>
      <c r="E115">
        <v>0.87759770135354798</v>
      </c>
      <c r="F115">
        <v>0.61758564515222303</v>
      </c>
      <c r="G115">
        <v>0.49430086100213899</v>
      </c>
      <c r="H115">
        <v>0.47365069802154403</v>
      </c>
      <c r="I115">
        <v>0.404758312178994</v>
      </c>
      <c r="J115">
        <v>0.32563898145013598</v>
      </c>
      <c r="K115">
        <v>0.186795132475501</v>
      </c>
      <c r="L115">
        <v>467.41424381270002</v>
      </c>
      <c r="M115">
        <v>8.7488567333692</v>
      </c>
      <c r="N115">
        <v>55.289887426426702</v>
      </c>
      <c r="O115">
        <v>50.854929924158803</v>
      </c>
      <c r="P115">
        <v>-3.7545929630650801E-2</v>
      </c>
      <c r="Q115">
        <v>0.12772440096690099</v>
      </c>
      <c r="R115">
        <v>0.96581663377435201</v>
      </c>
      <c r="S115" t="s">
        <v>5698</v>
      </c>
      <c r="T115" t="s">
        <v>11164</v>
      </c>
      <c r="U115" t="s">
        <v>11164</v>
      </c>
      <c r="V115" t="s">
        <v>11164</v>
      </c>
      <c r="W115" t="s">
        <v>11279</v>
      </c>
      <c r="X115">
        <v>8</v>
      </c>
      <c r="Y115" t="s">
        <v>16809</v>
      </c>
      <c r="Z115" t="s">
        <v>22265</v>
      </c>
      <c r="AA115">
        <v>0.62257646290622348</v>
      </c>
      <c r="AB115" t="str">
        <f>HYPERLINK("Melting_Curves/meltCurve_B3KSI3_BCAT2.pdf", "Melting_Curves/meltCurve_B3KSI3_BCAT2.pdf")</f>
        <v>Melting_Curves/meltCurve_B3KSI3_BCAT2.pdf</v>
      </c>
    </row>
    <row r="116" spans="1:28" x14ac:dyDescent="0.25">
      <c r="A116" t="s">
        <v>120</v>
      </c>
      <c r="B116">
        <v>0.99796759195183404</v>
      </c>
      <c r="C116">
        <v>1.01454591321068</v>
      </c>
      <c r="D116">
        <v>0.97839256226215299</v>
      </c>
      <c r="E116">
        <v>0.94084959235641497</v>
      </c>
      <c r="F116">
        <v>0.89274241974699797</v>
      </c>
      <c r="G116">
        <v>0.628176040273007</v>
      </c>
      <c r="H116">
        <v>0.441144182617494</v>
      </c>
      <c r="I116">
        <v>0.18374283838809399</v>
      </c>
      <c r="J116">
        <v>0.14261711389043799</v>
      </c>
      <c r="K116">
        <v>0.109394631732543</v>
      </c>
      <c r="L116">
        <v>939.55338772369601</v>
      </c>
      <c r="M116">
        <v>16.891616120619801</v>
      </c>
      <c r="N116">
        <v>55.947755280644003</v>
      </c>
      <c r="O116">
        <v>54.860439562160003</v>
      </c>
      <c r="P116">
        <v>-7.3379899437075097E-2</v>
      </c>
      <c r="Q116">
        <v>4.6770100114331303E-2</v>
      </c>
      <c r="R116">
        <v>0.99568072440355204</v>
      </c>
      <c r="S116" t="s">
        <v>5699</v>
      </c>
      <c r="T116" t="s">
        <v>11164</v>
      </c>
      <c r="U116" t="s">
        <v>11164</v>
      </c>
      <c r="V116" t="s">
        <v>11164</v>
      </c>
      <c r="W116" t="s">
        <v>11280</v>
      </c>
      <c r="X116">
        <v>17</v>
      </c>
      <c r="Y116" t="s">
        <v>16810</v>
      </c>
      <c r="Z116" t="s">
        <v>22266</v>
      </c>
      <c r="AA116">
        <v>0.6500152596399289</v>
      </c>
      <c r="AB116" t="str">
        <f>HYPERLINK("Melting_Curves/meltCurve_B3KSI9_LZTFL1.pdf", "Melting_Curves/meltCurve_B3KSI9_LZTFL1.pdf")</f>
        <v>Melting_Curves/meltCurve_B3KSI9_LZTFL1.pdf</v>
      </c>
    </row>
    <row r="117" spans="1:28" x14ac:dyDescent="0.25">
      <c r="A117" t="s">
        <v>121</v>
      </c>
      <c r="B117">
        <v>0.99796759195183404</v>
      </c>
      <c r="C117">
        <v>0.87147998202349997</v>
      </c>
      <c r="D117">
        <v>0.86880639840017904</v>
      </c>
      <c r="E117">
        <v>0.84999469461775401</v>
      </c>
      <c r="F117">
        <v>0.79711810233663605</v>
      </c>
      <c r="G117">
        <v>1.00641542013248</v>
      </c>
      <c r="H117">
        <v>0.76875661574145804</v>
      </c>
      <c r="I117">
        <v>0.82364203532583802</v>
      </c>
      <c r="J117">
        <v>0.92964967474059501</v>
      </c>
      <c r="K117">
        <v>0.83170278157064303</v>
      </c>
      <c r="L117">
        <v>3322.61091501698</v>
      </c>
      <c r="M117">
        <v>85.641587766553997</v>
      </c>
      <c r="O117">
        <v>38.7755598459173</v>
      </c>
      <c r="P117">
        <v>-7.7578438672105801E-2</v>
      </c>
      <c r="Q117">
        <v>0.85950063882371797</v>
      </c>
      <c r="R117">
        <v>0.29440914777786198</v>
      </c>
      <c r="S117" t="s">
        <v>5700</v>
      </c>
      <c r="T117" t="s">
        <v>11164</v>
      </c>
      <c r="U117" t="s">
        <v>11164</v>
      </c>
      <c r="V117" t="s">
        <v>11164</v>
      </c>
      <c r="W117" t="s">
        <v>11281</v>
      </c>
      <c r="X117">
        <v>4</v>
      </c>
      <c r="Y117" t="s">
        <v>16811</v>
      </c>
      <c r="Z117" t="s">
        <v>22267</v>
      </c>
      <c r="AA117">
        <v>0.86802607084111694</v>
      </c>
      <c r="AB117" t="str">
        <f>HYPERLINK("Melting_Curves/meltCurve_B3KUK2_SOD2.pdf", "Melting_Curves/meltCurve_B3KUK2_SOD2.pdf")</f>
        <v>Melting_Curves/meltCurve_B3KUK2_SOD2.pdf</v>
      </c>
    </row>
    <row r="118" spans="1:28" x14ac:dyDescent="0.25">
      <c r="A118" t="s">
        <v>122</v>
      </c>
      <c r="B118">
        <v>0.99796759195183404</v>
      </c>
      <c r="C118">
        <v>1.1132230348113901</v>
      </c>
      <c r="D118">
        <v>1.0661615675398199</v>
      </c>
      <c r="E118">
        <v>0.98441070147108101</v>
      </c>
      <c r="F118">
        <v>0.85635560966141999</v>
      </c>
      <c r="G118">
        <v>0.62580819266961096</v>
      </c>
      <c r="H118">
        <v>0.47361560073459702</v>
      </c>
      <c r="I118">
        <v>0.34831824817126</v>
      </c>
      <c r="J118">
        <v>0.35194849016527702</v>
      </c>
      <c r="K118">
        <v>0.37622952637714302</v>
      </c>
      <c r="L118">
        <v>1222.4566218954501</v>
      </c>
      <c r="M118">
        <v>23.000526485018501</v>
      </c>
      <c r="N118">
        <v>56.059669867279801</v>
      </c>
      <c r="O118">
        <v>52.752206017632901</v>
      </c>
      <c r="P118">
        <v>-7.1013886996293907E-2</v>
      </c>
      <c r="Q118">
        <v>0.348524734132235</v>
      </c>
      <c r="R118">
        <v>0.97773435530455899</v>
      </c>
      <c r="S118" t="s">
        <v>5701</v>
      </c>
      <c r="T118" t="s">
        <v>11164</v>
      </c>
      <c r="U118" t="s">
        <v>11164</v>
      </c>
      <c r="V118" t="s">
        <v>11164</v>
      </c>
      <c r="W118" t="s">
        <v>11282</v>
      </c>
      <c r="X118">
        <v>7</v>
      </c>
      <c r="Y118" t="s">
        <v>16812</v>
      </c>
      <c r="Z118" t="s">
        <v>22268</v>
      </c>
      <c r="AA118">
        <v>0.70581901877986719</v>
      </c>
      <c r="AB118" t="str">
        <f>HYPERLINK("Melting_Curves/meltCurve_B3KVH8_PHF23.pdf", "Melting_Curves/meltCurve_B3KVH8_PHF23.pdf")</f>
        <v>Melting_Curves/meltCurve_B3KVH8_PHF23.pdf</v>
      </c>
    </row>
    <row r="119" spans="1:28" x14ac:dyDescent="0.25">
      <c r="A119" t="s">
        <v>123</v>
      </c>
      <c r="B119">
        <v>0.99796759195183404</v>
      </c>
      <c r="C119">
        <v>1.00732594293454</v>
      </c>
      <c r="D119">
        <v>0.99906982948378897</v>
      </c>
      <c r="E119">
        <v>0.93259455265319702</v>
      </c>
      <c r="F119">
        <v>0.62467038128851904</v>
      </c>
      <c r="G119">
        <v>0.34772303068675597</v>
      </c>
      <c r="H119">
        <v>0.22700801100500601</v>
      </c>
      <c r="I119">
        <v>0.174160932846007</v>
      </c>
      <c r="J119">
        <v>0.16200771583373899</v>
      </c>
      <c r="K119">
        <v>0.13583038131012701</v>
      </c>
      <c r="L119">
        <v>1175.1973831944999</v>
      </c>
      <c r="M119">
        <v>23.093298551298702</v>
      </c>
      <c r="N119">
        <v>51.706163220591201</v>
      </c>
      <c r="O119">
        <v>50.512126297276502</v>
      </c>
      <c r="P119">
        <v>-9.6824896159398696E-2</v>
      </c>
      <c r="Q119">
        <v>0.152872727059642</v>
      </c>
      <c r="R119">
        <v>0.99868118487942803</v>
      </c>
      <c r="S119" t="s">
        <v>5702</v>
      </c>
      <c r="T119" t="s">
        <v>11164</v>
      </c>
      <c r="U119" t="s">
        <v>11164</v>
      </c>
      <c r="V119" t="s">
        <v>11164</v>
      </c>
      <c r="W119" t="s">
        <v>11283</v>
      </c>
      <c r="X119">
        <v>10</v>
      </c>
      <c r="Y119" t="s">
        <v>16813</v>
      </c>
      <c r="Z119" t="s">
        <v>22269</v>
      </c>
      <c r="AA119">
        <v>0.55370658375983317</v>
      </c>
      <c r="AB119" t="str">
        <f>HYPERLINK("Melting_Curves/meltCurve_B3KVZ3_CENPH.pdf", "Melting_Curves/meltCurve_B3KVZ3_CENPH.pdf")</f>
        <v>Melting_Curves/meltCurve_B3KVZ3_CENPH.pdf</v>
      </c>
    </row>
    <row r="120" spans="1:28" x14ac:dyDescent="0.25">
      <c r="A120" t="s">
        <v>124</v>
      </c>
      <c r="B120">
        <v>0.99796759195183404</v>
      </c>
      <c r="C120">
        <v>0.85191214742246302</v>
      </c>
      <c r="D120">
        <v>0.84437212388878802</v>
      </c>
      <c r="E120">
        <v>0.75969638155796004</v>
      </c>
      <c r="F120">
        <v>0.62556498901726199</v>
      </c>
      <c r="G120">
        <v>0.36796192641340802</v>
      </c>
      <c r="H120">
        <v>0.17578167820197699</v>
      </c>
      <c r="I120">
        <v>0.13645919359629499</v>
      </c>
      <c r="J120">
        <v>0.12994812710155201</v>
      </c>
      <c r="K120">
        <v>8.1823302037347098E-2</v>
      </c>
      <c r="L120">
        <v>542.05388766694796</v>
      </c>
      <c r="M120">
        <v>10.5859230881609</v>
      </c>
      <c r="N120">
        <v>51.205159966744397</v>
      </c>
      <c r="O120">
        <v>49.479202632628997</v>
      </c>
      <c r="P120">
        <v>-5.35076458921055E-2</v>
      </c>
      <c r="Q120">
        <v>0</v>
      </c>
      <c r="R120">
        <v>0.97995801245622205</v>
      </c>
      <c r="S120" t="s">
        <v>5703</v>
      </c>
      <c r="T120" t="s">
        <v>11164</v>
      </c>
      <c r="U120" t="s">
        <v>11164</v>
      </c>
      <c r="V120" t="s">
        <v>11164</v>
      </c>
      <c r="W120" t="s">
        <v>11284</v>
      </c>
      <c r="X120">
        <v>3</v>
      </c>
      <c r="Y120" t="s">
        <v>16814</v>
      </c>
      <c r="Z120" t="s">
        <v>22270</v>
      </c>
      <c r="AA120">
        <v>0.50202062663265479</v>
      </c>
      <c r="AB120" t="str">
        <f>HYPERLINK("Melting_Curves/meltCurve_B3KWN8_PYROXD1.pdf", "Melting_Curves/meltCurve_B3KWN8_PYROXD1.pdf")</f>
        <v>Melting_Curves/meltCurve_B3KWN8_PYROXD1.pdf</v>
      </c>
    </row>
    <row r="121" spans="1:28" x14ac:dyDescent="0.25">
      <c r="A121" t="s">
        <v>125</v>
      </c>
      <c r="B121">
        <v>0.99796759195183404</v>
      </c>
      <c r="C121">
        <v>0.87749191050673903</v>
      </c>
      <c r="D121">
        <v>0.74921715607773998</v>
      </c>
      <c r="E121">
        <v>0.57514553979012895</v>
      </c>
      <c r="F121">
        <v>0.53820577967572003</v>
      </c>
      <c r="G121">
        <v>0.30865448902930998</v>
      </c>
      <c r="H121">
        <v>0.23203891527148501</v>
      </c>
      <c r="I121">
        <v>0.15942568616730801</v>
      </c>
      <c r="J121">
        <v>0.12568859262742399</v>
      </c>
      <c r="K121">
        <v>0.105223501965428</v>
      </c>
      <c r="L121">
        <v>414.12723541973202</v>
      </c>
      <c r="M121">
        <v>8.3990599504522798</v>
      </c>
      <c r="N121">
        <v>49.320101785817002</v>
      </c>
      <c r="O121">
        <v>46.749040785135698</v>
      </c>
      <c r="P121">
        <v>-4.4905525021579198E-2</v>
      </c>
      <c r="Q121">
        <v>1.1674550979611799E-3</v>
      </c>
      <c r="R121">
        <v>0.98759940737233798</v>
      </c>
      <c r="S121" t="s">
        <v>5704</v>
      </c>
      <c r="T121" t="s">
        <v>11164</v>
      </c>
      <c r="U121" t="s">
        <v>11164</v>
      </c>
      <c r="V121" t="s">
        <v>11164</v>
      </c>
      <c r="W121" t="s">
        <v>11285</v>
      </c>
      <c r="X121">
        <v>10</v>
      </c>
      <c r="Y121" t="s">
        <v>16815</v>
      </c>
      <c r="Z121" t="s">
        <v>22271</v>
      </c>
      <c r="AA121">
        <v>0.45371695780809312</v>
      </c>
      <c r="AB121" t="str">
        <f>HYPERLINK("Melting_Curves/meltCurve_B4DDF4_CNN2.pdf", "Melting_Curves/meltCurve_B4DDF4_CNN2.pdf")</f>
        <v>Melting_Curves/meltCurve_B4DDF4_CNN2.pdf</v>
      </c>
    </row>
    <row r="122" spans="1:28" x14ac:dyDescent="0.25">
      <c r="A122" t="s">
        <v>126</v>
      </c>
      <c r="B122">
        <v>0.99796759195183404</v>
      </c>
      <c r="C122">
        <v>1.0928570788780301</v>
      </c>
      <c r="D122">
        <v>0.91927002465185104</v>
      </c>
      <c r="E122">
        <v>1.0281973653201399</v>
      </c>
      <c r="F122">
        <v>0.96937997756680605</v>
      </c>
      <c r="G122">
        <v>0.835599723988663</v>
      </c>
      <c r="H122">
        <v>0.51809348199342997</v>
      </c>
      <c r="I122">
        <v>0.86746637875017596</v>
      </c>
      <c r="J122">
        <v>0.87336555395540305</v>
      </c>
      <c r="K122">
        <v>0.22739442398092999</v>
      </c>
      <c r="L122">
        <v>535.91004460334796</v>
      </c>
      <c r="M122">
        <v>8.0312825266039596</v>
      </c>
      <c r="N122">
        <v>66.727831373990597</v>
      </c>
      <c r="O122">
        <v>62.972263957186499</v>
      </c>
      <c r="P122">
        <v>-3.1919744016546701E-2</v>
      </c>
      <c r="Q122">
        <v>0</v>
      </c>
      <c r="R122">
        <v>0.54961412242535701</v>
      </c>
      <c r="S122" t="s">
        <v>5705</v>
      </c>
      <c r="T122" t="s">
        <v>11164</v>
      </c>
      <c r="U122" t="s">
        <v>11164</v>
      </c>
      <c r="V122" t="s">
        <v>11164</v>
      </c>
      <c r="W122" t="s">
        <v>11286</v>
      </c>
      <c r="X122">
        <v>12</v>
      </c>
      <c r="Y122" t="s">
        <v>16816</v>
      </c>
      <c r="Z122" t="s">
        <v>22272</v>
      </c>
      <c r="AA122">
        <v>0.84468551674494052</v>
      </c>
      <c r="AB122" t="str">
        <f>HYPERLINK("Melting_Curves/meltCurve_B4DDY8_HARS2.pdf", "Melting_Curves/meltCurve_B4DDY8_HARS2.pdf")</f>
        <v>Melting_Curves/meltCurve_B4DDY8_HARS2.pdf</v>
      </c>
    </row>
    <row r="123" spans="1:28" x14ac:dyDescent="0.25">
      <c r="A123" t="s">
        <v>127</v>
      </c>
      <c r="B123">
        <v>0.99796759195183404</v>
      </c>
      <c r="C123">
        <v>0.96588934839679996</v>
      </c>
      <c r="D123">
        <v>1.02005880143066</v>
      </c>
      <c r="E123">
        <v>1.0649230295963701</v>
      </c>
      <c r="F123">
        <v>0.79761272342346201</v>
      </c>
      <c r="G123">
        <v>0.61299938377329899</v>
      </c>
      <c r="H123">
        <v>0.56384049735186303</v>
      </c>
      <c r="I123">
        <v>0.51243312919815598</v>
      </c>
      <c r="J123">
        <v>0.338364036069353</v>
      </c>
      <c r="K123">
        <v>0.161197669484798</v>
      </c>
      <c r="L123">
        <v>574.42037797053899</v>
      </c>
      <c r="M123">
        <v>9.7581223781806905</v>
      </c>
      <c r="N123">
        <v>58.865876432283699</v>
      </c>
      <c r="O123">
        <v>56.553329484590797</v>
      </c>
      <c r="P123">
        <v>-4.3159854031885603E-2</v>
      </c>
      <c r="Q123">
        <v>0</v>
      </c>
      <c r="R123">
        <v>0.94443683602352202</v>
      </c>
      <c r="S123" t="s">
        <v>5706</v>
      </c>
      <c r="T123" t="s">
        <v>11164</v>
      </c>
      <c r="U123" t="s">
        <v>11164</v>
      </c>
      <c r="V123" t="s">
        <v>11164</v>
      </c>
      <c r="W123" t="s">
        <v>11287</v>
      </c>
      <c r="X123">
        <v>1</v>
      </c>
      <c r="Y123" t="s">
        <v>16817</v>
      </c>
      <c r="Z123" t="s">
        <v>22273</v>
      </c>
      <c r="AA123">
        <v>0.71146943525904882</v>
      </c>
      <c r="AB123" t="str">
        <f>HYPERLINK("Melting_Curves/meltCurve_B4DE11_SLC35A2.pdf", "Melting_Curves/meltCurve_B4DE11_SLC35A2.pdf")</f>
        <v>Melting_Curves/meltCurve_B4DE11_SLC35A2.pdf</v>
      </c>
    </row>
    <row r="124" spans="1:28" x14ac:dyDescent="0.25">
      <c r="A124" t="s">
        <v>128</v>
      </c>
      <c r="B124">
        <v>0.99796759195183404</v>
      </c>
      <c r="C124">
        <v>1.21141278527837</v>
      </c>
      <c r="D124">
        <v>1.1446475162487499</v>
      </c>
      <c r="E124">
        <v>1.1729339320148899</v>
      </c>
      <c r="F124">
        <v>0.84789578080987404</v>
      </c>
      <c r="G124">
        <v>0.69488838730283298</v>
      </c>
      <c r="H124">
        <v>0.69314546968744395</v>
      </c>
      <c r="I124">
        <v>0.51647480760268805</v>
      </c>
      <c r="J124">
        <v>0.61069751838832398</v>
      </c>
      <c r="K124">
        <v>0.47787919195767398</v>
      </c>
      <c r="L124">
        <v>1330.4788808025201</v>
      </c>
      <c r="M124">
        <v>25.222238320361399</v>
      </c>
      <c r="O124">
        <v>52.421986993499601</v>
      </c>
      <c r="P124">
        <v>-5.4276310889476501E-2</v>
      </c>
      <c r="Q124">
        <v>0.548773577155238</v>
      </c>
      <c r="R124">
        <v>0.82148564436651295</v>
      </c>
      <c r="S124" t="s">
        <v>5707</v>
      </c>
      <c r="T124" t="s">
        <v>11164</v>
      </c>
      <c r="U124" t="s">
        <v>11164</v>
      </c>
      <c r="V124" t="s">
        <v>11164</v>
      </c>
      <c r="W124" t="s">
        <v>11288</v>
      </c>
      <c r="X124">
        <v>2</v>
      </c>
      <c r="Y124" t="s">
        <v>16818</v>
      </c>
      <c r="Z124" t="s">
        <v>22274</v>
      </c>
      <c r="AA124">
        <v>0.78960277645912358</v>
      </c>
      <c r="AB124" t="str">
        <f>HYPERLINK("Melting_Curves/meltCurve_B4DE60_REEP2.pdf", "Melting_Curves/meltCurve_B4DE60_REEP2.pdf")</f>
        <v>Melting_Curves/meltCurve_B4DE60_REEP2.pdf</v>
      </c>
    </row>
    <row r="125" spans="1:28" x14ac:dyDescent="0.25">
      <c r="A125" t="s">
        <v>129</v>
      </c>
      <c r="B125">
        <v>0.99796759195183404</v>
      </c>
      <c r="C125">
        <v>1.07030945878241</v>
      </c>
      <c r="D125">
        <v>0.98720954373284897</v>
      </c>
      <c r="E125">
        <v>1.10836074835937</v>
      </c>
      <c r="F125">
        <v>0.70716743135927795</v>
      </c>
      <c r="G125">
        <v>0.77660635275880396</v>
      </c>
      <c r="H125">
        <v>0.50345423633490705</v>
      </c>
      <c r="I125">
        <v>0.41148858601626398</v>
      </c>
      <c r="J125">
        <v>0.35302472557854198</v>
      </c>
      <c r="K125">
        <v>0.28266792042378502</v>
      </c>
      <c r="L125">
        <v>795.08516460630904</v>
      </c>
      <c r="M125">
        <v>14.343546388428701</v>
      </c>
      <c r="N125">
        <v>58.102501431498503</v>
      </c>
      <c r="O125">
        <v>54.387515053879802</v>
      </c>
      <c r="P125">
        <v>-5.0021488925426502E-2</v>
      </c>
      <c r="Q125">
        <v>0.24141019863629201</v>
      </c>
      <c r="R125">
        <v>0.93280615430587899</v>
      </c>
      <c r="S125" t="s">
        <v>5708</v>
      </c>
      <c r="T125" t="s">
        <v>11164</v>
      </c>
      <c r="U125" t="s">
        <v>11164</v>
      </c>
      <c r="V125" t="s">
        <v>11164</v>
      </c>
      <c r="W125" t="s">
        <v>11289</v>
      </c>
      <c r="X125">
        <v>1</v>
      </c>
      <c r="Y125" t="s">
        <v>16819</v>
      </c>
      <c r="Z125" t="s">
        <v>22275</v>
      </c>
      <c r="AA125">
        <v>0.71742016729135238</v>
      </c>
      <c r="AB125" t="str">
        <f>HYPERLINK("Melting_Curves/meltCurve_B4DEB8_TSPAN7.pdf", "Melting_Curves/meltCurve_B4DEB8_TSPAN7.pdf")</f>
        <v>Melting_Curves/meltCurve_B4DEB8_TSPAN7.pdf</v>
      </c>
    </row>
    <row r="126" spans="1:28" x14ac:dyDescent="0.25">
      <c r="A126" t="s">
        <v>130</v>
      </c>
      <c r="B126">
        <v>0.99796759195183404</v>
      </c>
      <c r="C126">
        <v>1.0938634714867601</v>
      </c>
      <c r="D126">
        <v>1.0664553865687101</v>
      </c>
      <c r="E126">
        <v>1.03295510156139</v>
      </c>
      <c r="F126">
        <v>0.96812388928050597</v>
      </c>
      <c r="G126">
        <v>0.653687245123731</v>
      </c>
      <c r="H126">
        <v>0.16937647420254401</v>
      </c>
      <c r="I126">
        <v>7.2110087276762005E-2</v>
      </c>
      <c r="J126">
        <v>5.1013789654248402E-2</v>
      </c>
      <c r="K126">
        <v>4.1042491984424702E-2</v>
      </c>
      <c r="L126">
        <v>2117.7893996411599</v>
      </c>
      <c r="M126">
        <v>38.804568524824802</v>
      </c>
      <c r="N126">
        <v>54.717529989968902</v>
      </c>
      <c r="O126">
        <v>54.431455654698702</v>
      </c>
      <c r="P126">
        <v>-0.169704280430755</v>
      </c>
      <c r="Q126">
        <v>4.7820726618858098E-2</v>
      </c>
      <c r="R126">
        <v>0.992809441648976</v>
      </c>
      <c r="S126" t="s">
        <v>5709</v>
      </c>
      <c r="T126" t="s">
        <v>11164</v>
      </c>
      <c r="U126" t="s">
        <v>11164</v>
      </c>
      <c r="V126" t="s">
        <v>11164</v>
      </c>
      <c r="W126" t="s">
        <v>11290</v>
      </c>
      <c r="X126">
        <v>24</v>
      </c>
      <c r="Y126" t="s">
        <v>16820</v>
      </c>
      <c r="Z126" t="s">
        <v>22276</v>
      </c>
      <c r="AA126">
        <v>0.6094297106332941</v>
      </c>
      <c r="AB126" t="str">
        <f>HYPERLINK("Melting_Curves/meltCurve_B4DEK4_SNX2.pdf", "Melting_Curves/meltCurve_B4DEK4_SNX2.pdf")</f>
        <v>Melting_Curves/meltCurve_B4DEK4_SNX2.pdf</v>
      </c>
    </row>
    <row r="127" spans="1:28" x14ac:dyDescent="0.25">
      <c r="A127" t="s">
        <v>131</v>
      </c>
      <c r="B127">
        <v>0.99796759195183404</v>
      </c>
      <c r="C127">
        <v>0.89293172659695796</v>
      </c>
      <c r="D127">
        <v>0.86467200838702696</v>
      </c>
      <c r="E127">
        <v>0.74564873357887096</v>
      </c>
      <c r="F127">
        <v>0.71539484476619597</v>
      </c>
      <c r="G127">
        <v>0.73955502288612196</v>
      </c>
      <c r="H127">
        <v>0.60094277263268103</v>
      </c>
      <c r="I127">
        <v>0.63922258522263298</v>
      </c>
      <c r="J127">
        <v>0.46966869332224997</v>
      </c>
      <c r="K127">
        <v>0.26328465144917201</v>
      </c>
      <c r="L127">
        <v>286.68586277717299</v>
      </c>
      <c r="M127">
        <v>4.6433568756888803</v>
      </c>
      <c r="N127">
        <v>61.741078863926603</v>
      </c>
      <c r="O127">
        <v>52.911821165664698</v>
      </c>
      <c r="P127">
        <v>-2.2111917629807701E-2</v>
      </c>
      <c r="Q127">
        <v>0</v>
      </c>
      <c r="R127">
        <v>0.873301111333734</v>
      </c>
      <c r="S127" t="s">
        <v>5710</v>
      </c>
      <c r="T127" t="s">
        <v>11164</v>
      </c>
      <c r="U127" t="s">
        <v>11164</v>
      </c>
      <c r="V127" t="s">
        <v>11164</v>
      </c>
      <c r="W127" t="s">
        <v>11291</v>
      </c>
      <c r="X127">
        <v>5</v>
      </c>
      <c r="Y127" t="s">
        <v>16821</v>
      </c>
      <c r="Z127" t="s">
        <v>22277</v>
      </c>
      <c r="AA127">
        <v>0.69853727569190782</v>
      </c>
      <c r="AB127" t="str">
        <f>HYPERLINK("Melting_Curves/meltCurve_B4DEZ3_NDUFA13.pdf", "Melting_Curves/meltCurve_B4DEZ3_NDUFA13.pdf")</f>
        <v>Melting_Curves/meltCurve_B4DEZ3_NDUFA13.pdf</v>
      </c>
    </row>
    <row r="128" spans="1:28" x14ac:dyDescent="0.25">
      <c r="A128" t="s">
        <v>132</v>
      </c>
      <c r="B128">
        <v>0.99796759195183404</v>
      </c>
      <c r="C128">
        <v>0.90787464058345402</v>
      </c>
      <c r="D128">
        <v>0.74939800707696103</v>
      </c>
      <c r="E128">
        <v>0.80823289925397301</v>
      </c>
      <c r="F128">
        <v>0.73419510958008205</v>
      </c>
      <c r="G128">
        <v>0.52369754428230797</v>
      </c>
      <c r="H128">
        <v>0.44318926675507803</v>
      </c>
      <c r="I128">
        <v>0.37963894296502398</v>
      </c>
      <c r="J128">
        <v>0.45701065496955001</v>
      </c>
      <c r="K128">
        <v>0.286879129199611</v>
      </c>
      <c r="L128">
        <v>333.48336621005802</v>
      </c>
      <c r="M128">
        <v>6.1852358833440899</v>
      </c>
      <c r="N128">
        <v>56.543162072484499</v>
      </c>
      <c r="O128">
        <v>49.098581222288203</v>
      </c>
      <c r="P128">
        <v>-2.7640829806695199E-2</v>
      </c>
      <c r="Q128">
        <v>0.124887070139545</v>
      </c>
      <c r="R128">
        <v>0.93445873492734799</v>
      </c>
      <c r="S128" t="s">
        <v>5711</v>
      </c>
      <c r="T128" t="s">
        <v>11164</v>
      </c>
      <c r="U128" t="s">
        <v>11164</v>
      </c>
      <c r="V128" t="s">
        <v>11164</v>
      </c>
      <c r="W128" t="s">
        <v>11292</v>
      </c>
      <c r="X128">
        <v>1</v>
      </c>
      <c r="Y128" t="s">
        <v>16822</v>
      </c>
      <c r="Z128" t="s">
        <v>22278</v>
      </c>
      <c r="AA128">
        <v>0.62593914371489956</v>
      </c>
      <c r="AB128" t="str">
        <f>HYPERLINK("Melting_Curves/meltCurve_B4DFF2_SLC17A5.pdf", "Melting_Curves/meltCurve_B4DFF2_SLC17A5.pdf")</f>
        <v>Melting_Curves/meltCurve_B4DFF2_SLC17A5.pdf</v>
      </c>
    </row>
    <row r="129" spans="1:28" x14ac:dyDescent="0.25">
      <c r="A129" t="s">
        <v>133</v>
      </c>
      <c r="B129">
        <v>0.99796759195183404</v>
      </c>
      <c r="C129">
        <v>0.96093305380953298</v>
      </c>
      <c r="D129">
        <v>0.97856135064639904</v>
      </c>
      <c r="E129">
        <v>0.86190824594703996</v>
      </c>
      <c r="F129">
        <v>0.91850720092681903</v>
      </c>
      <c r="G129">
        <v>0.784565884970434</v>
      </c>
      <c r="H129">
        <v>0.86799914827692404</v>
      </c>
      <c r="I129">
        <v>0.708844844304931</v>
      </c>
      <c r="J129">
        <v>0.60199436683640895</v>
      </c>
      <c r="K129">
        <v>0.25025454929749602</v>
      </c>
      <c r="L129">
        <v>788.45668393605399</v>
      </c>
      <c r="M129">
        <v>12.266422464467601</v>
      </c>
      <c r="N129">
        <v>64.277645693964402</v>
      </c>
      <c r="O129">
        <v>62.640913723599603</v>
      </c>
      <c r="P129">
        <v>-4.8966152786551698E-2</v>
      </c>
      <c r="Q129">
        <v>0</v>
      </c>
      <c r="R129">
        <v>0.85339433073714499</v>
      </c>
      <c r="S129" t="s">
        <v>5712</v>
      </c>
      <c r="T129" t="s">
        <v>11164</v>
      </c>
      <c r="U129" t="s">
        <v>11164</v>
      </c>
      <c r="V129" t="s">
        <v>11164</v>
      </c>
      <c r="W129" t="s">
        <v>11293</v>
      </c>
      <c r="X129">
        <v>5</v>
      </c>
      <c r="Y129" t="s">
        <v>16823</v>
      </c>
      <c r="Z129" t="s">
        <v>22279</v>
      </c>
      <c r="AA129">
        <v>0.84657160247810548</v>
      </c>
      <c r="AB129" t="str">
        <f>HYPERLINK("Melting_Curves/meltCurve_B4DGU4_CTNNB1.pdf", "Melting_Curves/meltCurve_B4DGU4_CTNNB1.pdf")</f>
        <v>Melting_Curves/meltCurve_B4DGU4_CTNNB1.pdf</v>
      </c>
    </row>
    <row r="130" spans="1:28" x14ac:dyDescent="0.25">
      <c r="A130" t="s">
        <v>134</v>
      </c>
      <c r="B130">
        <v>0.99796759195183404</v>
      </c>
      <c r="C130">
        <v>1.0565737050926101</v>
      </c>
      <c r="D130">
        <v>0.96103568535121098</v>
      </c>
      <c r="E130">
        <v>0.91664524373169398</v>
      </c>
      <c r="F130">
        <v>0.83543082065417795</v>
      </c>
      <c r="G130">
        <v>0.39835929191494202</v>
      </c>
      <c r="H130">
        <v>0.211008146057207</v>
      </c>
      <c r="I130">
        <v>0.16861277543810799</v>
      </c>
      <c r="J130">
        <v>0.123086959715968</v>
      </c>
      <c r="K130">
        <v>0.100519378142368</v>
      </c>
      <c r="L130">
        <v>1431.01729588073</v>
      </c>
      <c r="M130">
        <v>27.257809296454301</v>
      </c>
      <c r="N130">
        <v>53.040938998002801</v>
      </c>
      <c r="O130">
        <v>52.2192348212198</v>
      </c>
      <c r="P130">
        <v>-0.114646179406027</v>
      </c>
      <c r="Q130">
        <v>0.121473462598198</v>
      </c>
      <c r="R130">
        <v>0.99286279159692303</v>
      </c>
      <c r="S130" t="s">
        <v>5713</v>
      </c>
      <c r="T130" t="s">
        <v>11164</v>
      </c>
      <c r="U130" t="s">
        <v>11164</v>
      </c>
      <c r="V130" t="s">
        <v>11164</v>
      </c>
      <c r="W130" t="s">
        <v>11294</v>
      </c>
      <c r="X130">
        <v>4</v>
      </c>
      <c r="Y130" t="s">
        <v>16824</v>
      </c>
      <c r="Z130" t="s">
        <v>22280</v>
      </c>
      <c r="AA130">
        <v>0.58202077920345863</v>
      </c>
      <c r="AB130" t="str">
        <f>HYPERLINK("Melting_Curves/meltCurve_B4DGX2_PIP4K2A.pdf", "Melting_Curves/meltCurve_B4DGX2_PIP4K2A.pdf")</f>
        <v>Melting_Curves/meltCurve_B4DGX2_PIP4K2A.pdf</v>
      </c>
    </row>
    <row r="131" spans="1:28" x14ac:dyDescent="0.25">
      <c r="A131" t="s">
        <v>135</v>
      </c>
      <c r="B131">
        <v>0.99796759195183404</v>
      </c>
      <c r="C131">
        <v>0.99800636543318499</v>
      </c>
      <c r="D131">
        <v>0.91820470282919098</v>
      </c>
      <c r="E131">
        <v>0.74171108292073096</v>
      </c>
      <c r="F131">
        <v>0.57968992486895499</v>
      </c>
      <c r="G131">
        <v>0.39991101435449899</v>
      </c>
      <c r="H131">
        <v>0.207852111679627</v>
      </c>
      <c r="I131">
        <v>0.143234290093887</v>
      </c>
      <c r="J131">
        <v>0.13946186308894501</v>
      </c>
      <c r="K131">
        <v>0.121409260254826</v>
      </c>
      <c r="L131">
        <v>651.26328722907101</v>
      </c>
      <c r="M131">
        <v>12.840427727903601</v>
      </c>
      <c r="N131">
        <v>51.305839000939301</v>
      </c>
      <c r="O131">
        <v>49.536805773814898</v>
      </c>
      <c r="P131">
        <v>-6.0392953526643901E-2</v>
      </c>
      <c r="Q131">
        <v>6.8218080226177605E-2</v>
      </c>
      <c r="R131">
        <v>0.99629442353515296</v>
      </c>
      <c r="S131" t="s">
        <v>5714</v>
      </c>
      <c r="T131" t="s">
        <v>11164</v>
      </c>
      <c r="U131" t="s">
        <v>11164</v>
      </c>
      <c r="V131" t="s">
        <v>11164</v>
      </c>
      <c r="W131" t="s">
        <v>11295</v>
      </c>
      <c r="X131">
        <v>9</v>
      </c>
      <c r="Y131" t="s">
        <v>16825</v>
      </c>
      <c r="Z131" t="s">
        <v>22281</v>
      </c>
      <c r="AA131">
        <v>0.51737443987330434</v>
      </c>
      <c r="AB131" t="str">
        <f>HYPERLINK("Melting_Curves/meltCurve_B4DH53_MAP1S.pdf", "Melting_Curves/meltCurve_B4DH53_MAP1S.pdf")</f>
        <v>Melting_Curves/meltCurve_B4DH53_MAP1S.pdf</v>
      </c>
    </row>
    <row r="132" spans="1:28" x14ac:dyDescent="0.25">
      <c r="A132" t="s">
        <v>136</v>
      </c>
      <c r="B132">
        <v>0.99796759195183404</v>
      </c>
      <c r="C132">
        <v>1.0530318476022</v>
      </c>
      <c r="D132">
        <v>0.89870759484686802</v>
      </c>
      <c r="E132">
        <v>0.79635338633380703</v>
      </c>
      <c r="F132">
        <v>0.66932504973187801</v>
      </c>
      <c r="G132">
        <v>0.636171173475785</v>
      </c>
      <c r="H132">
        <v>0.61736014507867198</v>
      </c>
      <c r="I132">
        <v>0.68821616891429105</v>
      </c>
      <c r="J132">
        <v>0.94943697069774402</v>
      </c>
      <c r="K132">
        <v>1.08331465060469</v>
      </c>
      <c r="L132">
        <v>10757.835755100499</v>
      </c>
      <c r="M132">
        <v>250</v>
      </c>
      <c r="O132">
        <v>43.0285887479723</v>
      </c>
      <c r="P132">
        <v>-0.32366820434098897</v>
      </c>
      <c r="Q132">
        <v>0.77716822051636603</v>
      </c>
      <c r="R132">
        <v>0.33980592075882199</v>
      </c>
      <c r="S132" t="s">
        <v>5715</v>
      </c>
      <c r="T132" t="s">
        <v>11164</v>
      </c>
      <c r="U132" t="s">
        <v>11164</v>
      </c>
      <c r="V132" t="s">
        <v>11164</v>
      </c>
      <c r="W132" t="s">
        <v>11296</v>
      </c>
      <c r="X132">
        <v>1</v>
      </c>
      <c r="Y132" t="s">
        <v>16826</v>
      </c>
      <c r="Z132" t="s">
        <v>22282</v>
      </c>
      <c r="AA132">
        <v>0.82198421188842441</v>
      </c>
      <c r="AB132" t="str">
        <f>HYPERLINK("Melting_Curves/meltCurve_B4DIG7_PIP5K1B.pdf", "Melting_Curves/meltCurve_B4DIG7_PIP5K1B.pdf")</f>
        <v>Melting_Curves/meltCurve_B4DIG7_PIP5K1B.pdf</v>
      </c>
    </row>
    <row r="133" spans="1:28" x14ac:dyDescent="0.25">
      <c r="A133" t="s">
        <v>137</v>
      </c>
      <c r="B133">
        <v>0.99796759195183404</v>
      </c>
      <c r="C133">
        <v>1.0010376259021201</v>
      </c>
      <c r="D133">
        <v>0.90305277497028802</v>
      </c>
      <c r="E133">
        <v>0.78357844846056501</v>
      </c>
      <c r="F133">
        <v>0.50628267363095403</v>
      </c>
      <c r="G133">
        <v>0.321870566460217</v>
      </c>
      <c r="H133">
        <v>0.19958359761665201</v>
      </c>
      <c r="I133">
        <v>0.14237122532569901</v>
      </c>
      <c r="J133">
        <v>8.8224000541891098E-2</v>
      </c>
      <c r="K133">
        <v>7.1420308707351193E-2</v>
      </c>
      <c r="L133">
        <v>714.71312236811502</v>
      </c>
      <c r="M133">
        <v>14.240190655051601</v>
      </c>
      <c r="N133">
        <v>50.612023492185301</v>
      </c>
      <c r="O133">
        <v>49.231198439231498</v>
      </c>
      <c r="P133">
        <v>-6.8271856134298897E-2</v>
      </c>
      <c r="Q133">
        <v>5.5998826023351003E-2</v>
      </c>
      <c r="R133">
        <v>0.99830862461566205</v>
      </c>
      <c r="S133" t="s">
        <v>5716</v>
      </c>
      <c r="T133" t="s">
        <v>11164</v>
      </c>
      <c r="U133" t="s">
        <v>11164</v>
      </c>
      <c r="V133" t="s">
        <v>11164</v>
      </c>
      <c r="W133" t="s">
        <v>11297</v>
      </c>
      <c r="X133">
        <v>2</v>
      </c>
      <c r="Y133" t="s">
        <v>16827</v>
      </c>
      <c r="Z133" t="s">
        <v>22283</v>
      </c>
      <c r="AA133">
        <v>0.49211625083941402</v>
      </c>
      <c r="AB133" t="str">
        <f>HYPERLINK("Melting_Curves/meltCurve_B4DIT7_TGM2.pdf", "Melting_Curves/meltCurve_B4DIT7_TGM2.pdf")</f>
        <v>Melting_Curves/meltCurve_B4DIT7_TGM2.pdf</v>
      </c>
    </row>
    <row r="134" spans="1:28" x14ac:dyDescent="0.25">
      <c r="A134" t="s">
        <v>138</v>
      </c>
      <c r="B134">
        <v>0.99796759195183404</v>
      </c>
      <c r="C134">
        <v>1.0217161662131999</v>
      </c>
      <c r="D134">
        <v>1.0684301435033401</v>
      </c>
      <c r="E134">
        <v>1.01861970638747</v>
      </c>
      <c r="F134">
        <v>0.928749765053833</v>
      </c>
      <c r="G134">
        <v>0.70310563307783902</v>
      </c>
      <c r="H134">
        <v>0.70355752956297202</v>
      </c>
      <c r="I134">
        <v>0.50925111361432696</v>
      </c>
      <c r="J134">
        <v>0.307885677556686</v>
      </c>
      <c r="K134">
        <v>0.13746057613024901</v>
      </c>
      <c r="L134">
        <v>780.59615867853199</v>
      </c>
      <c r="M134">
        <v>12.9917368698991</v>
      </c>
      <c r="N134">
        <v>60.084049313163703</v>
      </c>
      <c r="O134">
        <v>58.7139333007852</v>
      </c>
      <c r="P134">
        <v>-5.5327743535275697E-2</v>
      </c>
      <c r="Q134">
        <v>0</v>
      </c>
      <c r="R134">
        <v>0.96624118403592696</v>
      </c>
      <c r="S134" t="s">
        <v>5717</v>
      </c>
      <c r="T134" t="s">
        <v>11164</v>
      </c>
      <c r="U134" t="s">
        <v>11164</v>
      </c>
      <c r="V134" t="s">
        <v>11164</v>
      </c>
      <c r="W134" t="s">
        <v>11298</v>
      </c>
      <c r="X134">
        <v>6</v>
      </c>
      <c r="Y134" t="s">
        <v>16828</v>
      </c>
      <c r="Z134" t="s">
        <v>22284</v>
      </c>
      <c r="AA134">
        <v>0.75634594829232471</v>
      </c>
      <c r="AB134" t="str">
        <f>HYPERLINK("Melting_Curves/meltCurve_B4DJA5_RAB5A.pdf", "Melting_Curves/meltCurve_B4DJA5_RAB5A.pdf")</f>
        <v>Melting_Curves/meltCurve_B4DJA5_RAB5A.pdf</v>
      </c>
    </row>
    <row r="135" spans="1:28" x14ac:dyDescent="0.25">
      <c r="A135" t="s">
        <v>139</v>
      </c>
      <c r="B135">
        <v>0.99796759195183404</v>
      </c>
      <c r="C135">
        <v>1.1165632089524999</v>
      </c>
      <c r="D135">
        <v>1.22907756909632</v>
      </c>
      <c r="E135">
        <v>1.0898561743194</v>
      </c>
      <c r="F135">
        <v>0.876901429545205</v>
      </c>
      <c r="G135">
        <v>0.70191463031526802</v>
      </c>
      <c r="H135">
        <v>0.67540100529817904</v>
      </c>
      <c r="I135">
        <v>0.59398524605448899</v>
      </c>
      <c r="J135">
        <v>0.837367393444159</v>
      </c>
      <c r="K135">
        <v>0.70236528378885699</v>
      </c>
      <c r="L135">
        <v>12567.5727409556</v>
      </c>
      <c r="M135">
        <v>250</v>
      </c>
      <c r="O135">
        <v>50.2670740040083</v>
      </c>
      <c r="P135">
        <v>-0.37026385942676099</v>
      </c>
      <c r="Q135">
        <v>0.70220670721584399</v>
      </c>
      <c r="R135">
        <v>0.75301856199904704</v>
      </c>
      <c r="S135" t="s">
        <v>5718</v>
      </c>
      <c r="T135" t="s">
        <v>11164</v>
      </c>
      <c r="U135" t="s">
        <v>11164</v>
      </c>
      <c r="V135" t="s">
        <v>11164</v>
      </c>
      <c r="W135" t="s">
        <v>11299</v>
      </c>
      <c r="X135">
        <v>2</v>
      </c>
      <c r="Y135" t="s">
        <v>16829</v>
      </c>
      <c r="Z135" t="s">
        <v>22285</v>
      </c>
      <c r="AA135">
        <v>0.83395976768306646</v>
      </c>
      <c r="AB135" t="str">
        <f>HYPERLINK("Melting_Curves/meltCurve_B4DJN2_SLC25A14.pdf", "Melting_Curves/meltCurve_B4DJN2_SLC25A14.pdf")</f>
        <v>Melting_Curves/meltCurve_B4DJN2_SLC25A14.pdf</v>
      </c>
    </row>
    <row r="136" spans="1:28" x14ac:dyDescent="0.25">
      <c r="A136" t="s">
        <v>140</v>
      </c>
      <c r="B136">
        <v>0.99796759195183404</v>
      </c>
      <c r="C136">
        <v>0.96269388211274798</v>
      </c>
      <c r="D136">
        <v>0.99352903727891895</v>
      </c>
      <c r="E136">
        <v>0.95859898970368096</v>
      </c>
      <c r="F136">
        <v>0.75750401769901998</v>
      </c>
      <c r="G136">
        <v>0.83913180761192496</v>
      </c>
      <c r="H136">
        <v>0.92648838617136497</v>
      </c>
      <c r="I136">
        <v>0.858355214968755</v>
      </c>
      <c r="J136">
        <v>0.92405285533597203</v>
      </c>
      <c r="K136">
        <v>0.78216570889318404</v>
      </c>
      <c r="L136">
        <v>11695.810600746699</v>
      </c>
      <c r="M136">
        <v>250</v>
      </c>
      <c r="O136">
        <v>46.7802484395338</v>
      </c>
      <c r="P136">
        <v>-0.20314440840362699</v>
      </c>
      <c r="Q136">
        <v>0.84794966539527294</v>
      </c>
      <c r="R136">
        <v>0.60834424537790899</v>
      </c>
      <c r="S136" t="s">
        <v>5719</v>
      </c>
      <c r="T136" t="s">
        <v>11164</v>
      </c>
      <c r="U136" t="s">
        <v>11164</v>
      </c>
      <c r="V136" t="s">
        <v>11164</v>
      </c>
      <c r="W136" t="s">
        <v>11300</v>
      </c>
      <c r="X136">
        <v>6</v>
      </c>
      <c r="Y136" t="s">
        <v>16830</v>
      </c>
      <c r="Z136" t="s">
        <v>22286</v>
      </c>
      <c r="AA136">
        <v>0.89754699201145249</v>
      </c>
      <c r="AB136" t="str">
        <f>HYPERLINK("Melting_Curves/meltCurve_B4DJP7_SNRPD3.pdf", "Melting_Curves/meltCurve_B4DJP7_SNRPD3.pdf")</f>
        <v>Melting_Curves/meltCurve_B4DJP7_SNRPD3.pdf</v>
      </c>
    </row>
    <row r="137" spans="1:28" x14ac:dyDescent="0.25">
      <c r="A137" t="s">
        <v>141</v>
      </c>
      <c r="B137">
        <v>0.99796759195183404</v>
      </c>
      <c r="C137">
        <v>1.00448018761029</v>
      </c>
      <c r="D137">
        <v>1.01345454419141</v>
      </c>
      <c r="E137">
        <v>0.97393563180305198</v>
      </c>
      <c r="F137">
        <v>0.80505075843379603</v>
      </c>
      <c r="G137">
        <v>0.64357733038092002</v>
      </c>
      <c r="H137">
        <v>0.39862288564595499</v>
      </c>
      <c r="I137">
        <v>0.17533674044733499</v>
      </c>
      <c r="J137">
        <v>9.4616505317338798E-2</v>
      </c>
      <c r="K137">
        <v>6.8179164953614105E-2</v>
      </c>
      <c r="L137">
        <v>883.64785491938198</v>
      </c>
      <c r="M137">
        <v>15.897425778960001</v>
      </c>
      <c r="N137">
        <v>55.584336833541897</v>
      </c>
      <c r="O137">
        <v>54.727110600762103</v>
      </c>
      <c r="P137">
        <v>-7.2627187802271606E-2</v>
      </c>
      <c r="Q137">
        <v>0</v>
      </c>
      <c r="R137">
        <v>0.99725522092640695</v>
      </c>
      <c r="S137" t="s">
        <v>5720</v>
      </c>
      <c r="T137" t="s">
        <v>11164</v>
      </c>
      <c r="U137" t="s">
        <v>11164</v>
      </c>
      <c r="V137" t="s">
        <v>11164</v>
      </c>
      <c r="W137" t="s">
        <v>11301</v>
      </c>
      <c r="X137">
        <v>21</v>
      </c>
      <c r="Y137" t="s">
        <v>16831</v>
      </c>
      <c r="Z137" t="s">
        <v>22287</v>
      </c>
      <c r="AA137">
        <v>0.63195156936573982</v>
      </c>
      <c r="AB137" t="str">
        <f>HYPERLINK("Melting_Curves/meltCurve_B4DJV2_CS.pdf", "Melting_Curves/meltCurve_B4DJV2_CS.pdf")</f>
        <v>Melting_Curves/meltCurve_B4DJV2_CS.pdf</v>
      </c>
    </row>
    <row r="138" spans="1:28" x14ac:dyDescent="0.25">
      <c r="A138" t="s">
        <v>142</v>
      </c>
      <c r="B138">
        <v>0.99796759195183404</v>
      </c>
      <c r="C138">
        <v>0.93782141763499904</v>
      </c>
      <c r="D138">
        <v>0.80847865559454901</v>
      </c>
      <c r="E138">
        <v>0.68084934276300202</v>
      </c>
      <c r="F138">
        <v>0.84251844880806803</v>
      </c>
      <c r="G138">
        <v>0.59559372778449704</v>
      </c>
      <c r="H138">
        <v>0.50040811553254205</v>
      </c>
      <c r="I138">
        <v>0.30668280640680401</v>
      </c>
      <c r="J138">
        <v>0.20787253483002599</v>
      </c>
      <c r="K138">
        <v>0.24770422793601801</v>
      </c>
      <c r="L138">
        <v>398.14475103409802</v>
      </c>
      <c r="M138">
        <v>7.1291894657720301</v>
      </c>
      <c r="N138">
        <v>55.847128777764702</v>
      </c>
      <c r="O138">
        <v>51.953382464065697</v>
      </c>
      <c r="P138">
        <v>-3.4365189495368799E-2</v>
      </c>
      <c r="Q138">
        <v>0</v>
      </c>
      <c r="R138">
        <v>0.92317023429307399</v>
      </c>
      <c r="S138" t="s">
        <v>5721</v>
      </c>
      <c r="T138" t="s">
        <v>11164</v>
      </c>
      <c r="U138" t="s">
        <v>11164</v>
      </c>
      <c r="V138" t="s">
        <v>11164</v>
      </c>
      <c r="W138" t="s">
        <v>11302</v>
      </c>
      <c r="X138">
        <v>1</v>
      </c>
      <c r="Y138" t="s">
        <v>16832</v>
      </c>
      <c r="Z138" t="s">
        <v>22288</v>
      </c>
      <c r="AA138">
        <v>0.62274397276494753</v>
      </c>
      <c r="AB138" t="str">
        <f>HYPERLINK("Melting_Curves/meltCurve_B4DJV5_PWP1.pdf", "Melting_Curves/meltCurve_B4DJV5_PWP1.pdf")</f>
        <v>Melting_Curves/meltCurve_B4DJV5_PWP1.pdf</v>
      </c>
    </row>
    <row r="139" spans="1:28" x14ac:dyDescent="0.25">
      <c r="A139" t="s">
        <v>143</v>
      </c>
      <c r="B139">
        <v>0.99796759195183404</v>
      </c>
      <c r="C139">
        <v>1.05510057526448</v>
      </c>
      <c r="D139">
        <v>1.03296331255657</v>
      </c>
      <c r="E139">
        <v>0.99149711613796199</v>
      </c>
      <c r="F139">
        <v>0.87507704904457895</v>
      </c>
      <c r="G139">
        <v>0.28539412566587602</v>
      </c>
      <c r="H139">
        <v>0.191630083501517</v>
      </c>
      <c r="I139">
        <v>0.188578999147101</v>
      </c>
      <c r="J139">
        <v>0.16540265226671999</v>
      </c>
      <c r="K139">
        <v>0.18483699480839699</v>
      </c>
      <c r="L139">
        <v>2720.3109285126002</v>
      </c>
      <c r="M139">
        <v>52.479581052530001</v>
      </c>
      <c r="N139">
        <v>52.283683336692803</v>
      </c>
      <c r="O139">
        <v>51.760483968665902</v>
      </c>
      <c r="P139">
        <v>-0.20756727083050899</v>
      </c>
      <c r="Q139">
        <v>0.181107871057957</v>
      </c>
      <c r="R139">
        <v>0.99714132351087703</v>
      </c>
      <c r="S139" t="s">
        <v>5722</v>
      </c>
      <c r="T139" t="s">
        <v>11164</v>
      </c>
      <c r="U139" t="s">
        <v>11164</v>
      </c>
      <c r="V139" t="s">
        <v>11164</v>
      </c>
      <c r="W139" t="s">
        <v>11303</v>
      </c>
      <c r="X139">
        <v>1</v>
      </c>
      <c r="Y139" t="s">
        <v>16833</v>
      </c>
      <c r="Z139" t="s">
        <v>22289</v>
      </c>
      <c r="AA139">
        <v>0.58776501471583886</v>
      </c>
      <c r="AB139" t="str">
        <f>HYPERLINK("Melting_Curves/meltCurve_B4DK44_NAPB.pdf", "Melting_Curves/meltCurve_B4DK44_NAPB.pdf")</f>
        <v>Melting_Curves/meltCurve_B4DK44_NAPB.pdf</v>
      </c>
    </row>
    <row r="140" spans="1:28" x14ac:dyDescent="0.25">
      <c r="A140" t="s">
        <v>144</v>
      </c>
      <c r="B140">
        <v>0.99796759195183404</v>
      </c>
      <c r="C140">
        <v>1.06786918578003</v>
      </c>
      <c r="D140">
        <v>1.02817663671115</v>
      </c>
      <c r="E140">
        <v>0.96824608827677505</v>
      </c>
      <c r="F140">
        <v>0.43720848417803798</v>
      </c>
      <c r="G140">
        <v>0.29158385317454999</v>
      </c>
      <c r="H140">
        <v>0.229511166533618</v>
      </c>
      <c r="I140">
        <v>8.8792903891317498E-2</v>
      </c>
      <c r="J140">
        <v>6.1861165863678E-2</v>
      </c>
      <c r="K140">
        <v>9.1778108142197806E-2</v>
      </c>
      <c r="L140">
        <v>1480.75769087975</v>
      </c>
      <c r="M140">
        <v>29.762592466087401</v>
      </c>
      <c r="N140">
        <v>50.232654457138601</v>
      </c>
      <c r="O140">
        <v>49.529314774647503</v>
      </c>
      <c r="P140">
        <v>-0.13162339090006001</v>
      </c>
      <c r="Q140">
        <v>0.12384332993777999</v>
      </c>
      <c r="R140">
        <v>0.97832873275453902</v>
      </c>
      <c r="S140" t="s">
        <v>5723</v>
      </c>
      <c r="T140" t="s">
        <v>11164</v>
      </c>
      <c r="U140" t="s">
        <v>11164</v>
      </c>
      <c r="V140" t="s">
        <v>11164</v>
      </c>
      <c r="W140" t="s">
        <v>11304</v>
      </c>
      <c r="X140">
        <v>1</v>
      </c>
      <c r="Y140" t="s">
        <v>16834</v>
      </c>
      <c r="Z140" t="s">
        <v>22290</v>
      </c>
      <c r="AA140">
        <v>0.50171603637782447</v>
      </c>
      <c r="AB140" t="str">
        <f>HYPERLINK("Melting_Curves/meltCurve_B4DK80_TOP3A.pdf", "Melting_Curves/meltCurve_B4DK80_TOP3A.pdf")</f>
        <v>Melting_Curves/meltCurve_B4DK80_TOP3A.pdf</v>
      </c>
    </row>
    <row r="141" spans="1:28" x14ac:dyDescent="0.25">
      <c r="A141" t="s">
        <v>145</v>
      </c>
      <c r="B141">
        <v>0.99796759195183404</v>
      </c>
      <c r="C141">
        <v>0.81494491098829203</v>
      </c>
      <c r="D141">
        <v>0.73779904236123905</v>
      </c>
      <c r="E141">
        <v>0.86690515433232695</v>
      </c>
      <c r="F141">
        <v>0.75503169986442098</v>
      </c>
      <c r="G141">
        <v>0.47539085150125299</v>
      </c>
      <c r="H141">
        <v>0.37410640395878098</v>
      </c>
      <c r="I141">
        <v>0.29592429890992999</v>
      </c>
      <c r="J141">
        <v>0.15821269714087299</v>
      </c>
      <c r="K141">
        <v>0.209402625827252</v>
      </c>
      <c r="L141">
        <v>414.53323006477501</v>
      </c>
      <c r="M141">
        <v>7.6705895303903597</v>
      </c>
      <c r="N141">
        <v>54.041893068225001</v>
      </c>
      <c r="O141">
        <v>50.736511735877201</v>
      </c>
      <c r="P141">
        <v>-3.7846190130794301E-2</v>
      </c>
      <c r="Q141">
        <v>0</v>
      </c>
      <c r="R141">
        <v>0.92144289376010502</v>
      </c>
      <c r="S141" t="s">
        <v>5724</v>
      </c>
      <c r="T141" t="s">
        <v>11164</v>
      </c>
      <c r="U141" t="s">
        <v>11164</v>
      </c>
      <c r="V141" t="s">
        <v>11164</v>
      </c>
      <c r="W141" t="s">
        <v>11305</v>
      </c>
      <c r="X141">
        <v>4</v>
      </c>
      <c r="Y141" t="s">
        <v>16835</v>
      </c>
      <c r="Z141" t="s">
        <v>22291</v>
      </c>
      <c r="AA141">
        <v>0.58144381119646826</v>
      </c>
      <c r="AB141" t="str">
        <f>HYPERLINK("Melting_Curves/meltCurve_B4DKB2_ECE1.pdf", "Melting_Curves/meltCurve_B4DKB2_ECE1.pdf")</f>
        <v>Melting_Curves/meltCurve_B4DKB2_ECE1.pdf</v>
      </c>
    </row>
    <row r="142" spans="1:28" x14ac:dyDescent="0.25">
      <c r="A142" t="s">
        <v>146</v>
      </c>
      <c r="B142">
        <v>0.99796759195183404</v>
      </c>
      <c r="C142">
        <v>1.06196600060724</v>
      </c>
      <c r="D142">
        <v>1.0258710364404</v>
      </c>
      <c r="E142">
        <v>0.88833711014063599</v>
      </c>
      <c r="F142">
        <v>0.90121169616706998</v>
      </c>
      <c r="G142">
        <v>0.49494181095654</v>
      </c>
      <c r="H142">
        <v>0.46606940768145499</v>
      </c>
      <c r="I142">
        <v>0.52345078799043998</v>
      </c>
      <c r="J142">
        <v>0.54128260418015195</v>
      </c>
      <c r="K142">
        <v>0.48644595146817499</v>
      </c>
      <c r="L142">
        <v>12620.049808366301</v>
      </c>
      <c r="M142">
        <v>250</v>
      </c>
      <c r="O142">
        <v>50.476978202608002</v>
      </c>
      <c r="P142">
        <v>-0.61607540842777597</v>
      </c>
      <c r="Q142">
        <v>0.50243809325116695</v>
      </c>
      <c r="R142">
        <v>0.96488330740511297</v>
      </c>
      <c r="S142" t="s">
        <v>5725</v>
      </c>
      <c r="T142" t="s">
        <v>11164</v>
      </c>
      <c r="U142" t="s">
        <v>11164</v>
      </c>
      <c r="V142" t="s">
        <v>11164</v>
      </c>
      <c r="W142" t="s">
        <v>11306</v>
      </c>
      <c r="X142">
        <v>2</v>
      </c>
      <c r="Y142" t="s">
        <v>16836</v>
      </c>
      <c r="Z142" t="s">
        <v>22292</v>
      </c>
      <c r="AA142">
        <v>0.72605662770293877</v>
      </c>
      <c r="AB142" t="str">
        <f>HYPERLINK("Melting_Curves/meltCurve_B4DKF9_ZNF286A.pdf", "Melting_Curves/meltCurve_B4DKF9_ZNF286A.pdf")</f>
        <v>Melting_Curves/meltCurve_B4DKF9_ZNF286A.pdf</v>
      </c>
    </row>
    <row r="143" spans="1:28" x14ac:dyDescent="0.25">
      <c r="A143" t="s">
        <v>147</v>
      </c>
      <c r="B143">
        <v>0.99796759195183404</v>
      </c>
      <c r="C143">
        <v>0.95417825617185803</v>
      </c>
      <c r="D143">
        <v>0.97685381654172698</v>
      </c>
      <c r="E143">
        <v>0.93909868791881401</v>
      </c>
      <c r="F143">
        <v>0.81908947766723805</v>
      </c>
      <c r="G143">
        <v>0.50465067503918004</v>
      </c>
      <c r="H143">
        <v>0.54406286671536297</v>
      </c>
      <c r="I143">
        <v>0.52377988378893603</v>
      </c>
      <c r="J143">
        <v>0.60558424340573702</v>
      </c>
      <c r="K143">
        <v>0.47548298803372702</v>
      </c>
      <c r="L143">
        <v>12573.406615198401</v>
      </c>
      <c r="M143">
        <v>250</v>
      </c>
      <c r="O143">
        <v>50.290407977286101</v>
      </c>
      <c r="P143">
        <v>-0.58322239582394997</v>
      </c>
      <c r="Q143">
        <v>0.53071212467711104</v>
      </c>
      <c r="R143">
        <v>0.96405579067831204</v>
      </c>
      <c r="S143" t="s">
        <v>5726</v>
      </c>
      <c r="T143" t="s">
        <v>11164</v>
      </c>
      <c r="U143" t="s">
        <v>11164</v>
      </c>
      <c r="V143" t="s">
        <v>11164</v>
      </c>
      <c r="W143" t="s">
        <v>11307</v>
      </c>
      <c r="X143">
        <v>11</v>
      </c>
      <c r="Y143" t="s">
        <v>16837</v>
      </c>
      <c r="Z143" t="s">
        <v>22293</v>
      </c>
      <c r="AA143">
        <v>0.73870480338905575</v>
      </c>
      <c r="AB143" t="str">
        <f>HYPERLINK("Melting_Curves/meltCurve_B4DKL4_LSR.pdf", "Melting_Curves/meltCurve_B4DKL4_LSR.pdf")</f>
        <v>Melting_Curves/meltCurve_B4DKL4_LSR.pdf</v>
      </c>
    </row>
    <row r="144" spans="1:28" x14ac:dyDescent="0.25">
      <c r="A144" t="s">
        <v>148</v>
      </c>
      <c r="B144">
        <v>0.99796759195183404</v>
      </c>
      <c r="C144">
        <v>1.04974434452176</v>
      </c>
      <c r="D144">
        <v>1.06202027571039</v>
      </c>
      <c r="E144">
        <v>1.0443608728898399</v>
      </c>
      <c r="F144">
        <v>0.78146554421245495</v>
      </c>
      <c r="G144">
        <v>0.38771141379534702</v>
      </c>
      <c r="H144">
        <v>0.228525964223008</v>
      </c>
      <c r="I144">
        <v>0.122290749678727</v>
      </c>
      <c r="J144">
        <v>9.5461700106272598E-2</v>
      </c>
      <c r="K144">
        <v>7.8899800263360201E-2</v>
      </c>
      <c r="L144">
        <v>1417.0686366636101</v>
      </c>
      <c r="M144">
        <v>27.006380703762598</v>
      </c>
      <c r="N144">
        <v>52.907371451160003</v>
      </c>
      <c r="O144">
        <v>52.186469256858103</v>
      </c>
      <c r="P144">
        <v>-0.116475358272732</v>
      </c>
      <c r="Q144">
        <v>9.9712672379821093E-2</v>
      </c>
      <c r="R144">
        <v>0.99108927621701304</v>
      </c>
      <c r="S144" t="s">
        <v>5727</v>
      </c>
      <c r="T144" t="s">
        <v>11164</v>
      </c>
      <c r="U144" t="s">
        <v>11164</v>
      </c>
      <c r="V144" t="s">
        <v>11164</v>
      </c>
      <c r="W144" t="s">
        <v>11308</v>
      </c>
      <c r="X144">
        <v>3</v>
      </c>
      <c r="Y144" t="s">
        <v>16838</v>
      </c>
      <c r="Z144" t="s">
        <v>22294</v>
      </c>
      <c r="AA144">
        <v>0.57095153648376185</v>
      </c>
      <c r="AB144" t="str">
        <f>HYPERLINK("Melting_Curves/meltCurve_B4DL54_CHURC1_FNTB.pdf", "Melting_Curves/meltCurve_B4DL54_CHURC1_FNTB.pdf")</f>
        <v>Melting_Curves/meltCurve_B4DL54_CHURC1_FNTB.pdf</v>
      </c>
    </row>
    <row r="145" spans="1:28" x14ac:dyDescent="0.25">
      <c r="A145" t="s">
        <v>149</v>
      </c>
      <c r="B145">
        <v>0.99796759195183404</v>
      </c>
      <c r="C145">
        <v>1.1053693988250901</v>
      </c>
      <c r="D145">
        <v>1.1636856458865299</v>
      </c>
      <c r="E145">
        <v>1.0768852282130501</v>
      </c>
      <c r="F145">
        <v>0.74259681298773605</v>
      </c>
      <c r="G145">
        <v>0.420770400634772</v>
      </c>
      <c r="H145">
        <v>0.365249313504795</v>
      </c>
      <c r="I145">
        <v>0.57644633358120101</v>
      </c>
      <c r="J145">
        <v>0.50631515901444202</v>
      </c>
      <c r="K145">
        <v>0.41385719693293799</v>
      </c>
      <c r="L145">
        <v>12555.3006076647</v>
      </c>
      <c r="M145">
        <v>250</v>
      </c>
      <c r="N145">
        <v>50.716714691600203</v>
      </c>
      <c r="O145">
        <v>50.217982900627497</v>
      </c>
      <c r="P145">
        <v>-0.67639149346759198</v>
      </c>
      <c r="Q145">
        <v>0.45652767552378198</v>
      </c>
      <c r="R145">
        <v>0.92188585034897197</v>
      </c>
      <c r="S145" t="s">
        <v>5728</v>
      </c>
      <c r="T145" t="s">
        <v>11164</v>
      </c>
      <c r="U145" t="s">
        <v>11164</v>
      </c>
      <c r="V145" t="s">
        <v>11164</v>
      </c>
      <c r="W145" t="s">
        <v>11309</v>
      </c>
      <c r="X145">
        <v>1</v>
      </c>
      <c r="Y145" t="s">
        <v>16839</v>
      </c>
      <c r="Z145" t="s">
        <v>22295</v>
      </c>
      <c r="AA145">
        <v>0.696087496355697</v>
      </c>
      <c r="AB145" t="str">
        <f>HYPERLINK("Melting_Curves/meltCurve_B4DLE8_CRYBG3.pdf", "Melting_Curves/meltCurve_B4DLE8_CRYBG3.pdf")</f>
        <v>Melting_Curves/meltCurve_B4DLE8_CRYBG3.pdf</v>
      </c>
    </row>
    <row r="146" spans="1:28" x14ac:dyDescent="0.25">
      <c r="A146" t="s">
        <v>150</v>
      </c>
      <c r="B146">
        <v>0.99796759195183404</v>
      </c>
      <c r="C146">
        <v>0.96019571495490097</v>
      </c>
      <c r="D146">
        <v>0.93503917099590395</v>
      </c>
      <c r="E146">
        <v>0.93679775821848799</v>
      </c>
      <c r="F146">
        <v>0.94558827017950497</v>
      </c>
      <c r="G146">
        <v>0.660362150775609</v>
      </c>
      <c r="H146">
        <v>0.64687799566069204</v>
      </c>
      <c r="I146">
        <v>0.54192913743357696</v>
      </c>
      <c r="J146">
        <v>0.71828434882961001</v>
      </c>
      <c r="K146">
        <v>0.75253713246194898</v>
      </c>
      <c r="L146">
        <v>12632.522408954001</v>
      </c>
      <c r="M146">
        <v>250</v>
      </c>
      <c r="O146">
        <v>50.526855980278803</v>
      </c>
      <c r="P146">
        <v>-0.41562286150389999</v>
      </c>
      <c r="Q146">
        <v>0.66399813651674999</v>
      </c>
      <c r="R146">
        <v>0.85119694041098004</v>
      </c>
      <c r="S146" t="s">
        <v>5729</v>
      </c>
      <c r="T146" t="s">
        <v>11164</v>
      </c>
      <c r="U146" t="s">
        <v>11164</v>
      </c>
      <c r="V146" t="s">
        <v>11164</v>
      </c>
      <c r="W146" t="s">
        <v>11310</v>
      </c>
      <c r="X146">
        <v>3</v>
      </c>
      <c r="Y146" t="s">
        <v>16840</v>
      </c>
      <c r="Z146" t="s">
        <v>22296</v>
      </c>
      <c r="AA146">
        <v>0.81556577735867419</v>
      </c>
      <c r="AB146" t="str">
        <f>HYPERLINK("Melting_Curves/meltCurve_B4DLH2_C2orf18.pdf", "Melting_Curves/meltCurve_B4DLH2_C2orf18.pdf")</f>
        <v>Melting_Curves/meltCurve_B4DLH2_C2orf18.pdf</v>
      </c>
    </row>
    <row r="147" spans="1:28" x14ac:dyDescent="0.25">
      <c r="A147" t="s">
        <v>151</v>
      </c>
      <c r="B147">
        <v>0.99796759195183404</v>
      </c>
      <c r="C147">
        <v>1.0078625826466401</v>
      </c>
      <c r="D147">
        <v>1.0177210051760299</v>
      </c>
      <c r="E147">
        <v>0.97481890664666704</v>
      </c>
      <c r="F147">
        <v>0.89445970149896603</v>
      </c>
      <c r="G147">
        <v>0.70341178684768102</v>
      </c>
      <c r="H147">
        <v>0.74552032114497502</v>
      </c>
      <c r="I147">
        <v>0.60009224549806095</v>
      </c>
      <c r="J147">
        <v>0.81042765991668597</v>
      </c>
      <c r="K147">
        <v>0.73974636737031696</v>
      </c>
      <c r="L147">
        <v>12575.276674208901</v>
      </c>
      <c r="M147">
        <v>250</v>
      </c>
      <c r="O147">
        <v>50.297887732100797</v>
      </c>
      <c r="P147">
        <v>-0.34812635877871501</v>
      </c>
      <c r="Q147">
        <v>0.71983967200796095</v>
      </c>
      <c r="R147">
        <v>0.87623861043284201</v>
      </c>
      <c r="S147" t="s">
        <v>5730</v>
      </c>
      <c r="T147" t="s">
        <v>11164</v>
      </c>
      <c r="U147" t="s">
        <v>11164</v>
      </c>
      <c r="V147" t="s">
        <v>11164</v>
      </c>
      <c r="W147" t="s">
        <v>11311</v>
      </c>
      <c r="X147">
        <v>20</v>
      </c>
      <c r="Y147" t="s">
        <v>16841</v>
      </c>
      <c r="Z147" t="s">
        <v>22297</v>
      </c>
      <c r="AA147">
        <v>0.84407915106738995</v>
      </c>
      <c r="AB147" t="str">
        <f>HYPERLINK("Melting_Curves/meltCurve_B4DLN1_SLC25A10.pdf", "Melting_Curves/meltCurve_B4DLN1_SLC25A10.pdf")</f>
        <v>Melting_Curves/meltCurve_B4DLN1_SLC25A10.pdf</v>
      </c>
    </row>
    <row r="148" spans="1:28" x14ac:dyDescent="0.25">
      <c r="A148" t="s">
        <v>152</v>
      </c>
      <c r="B148">
        <v>0.99796759195183404</v>
      </c>
      <c r="C148">
        <v>0.94539771925317295</v>
      </c>
      <c r="D148">
        <v>1.0058994524273499</v>
      </c>
      <c r="E148">
        <v>0.92364078354219004</v>
      </c>
      <c r="F148">
        <v>0.81017995416599398</v>
      </c>
      <c r="G148">
        <v>0.45220087784458102</v>
      </c>
      <c r="H148">
        <v>0.168600305518776</v>
      </c>
      <c r="I148">
        <v>0.125121673098671</v>
      </c>
      <c r="J148">
        <v>9.1982206404906203E-2</v>
      </c>
      <c r="K148">
        <v>7.2199239906269502E-2</v>
      </c>
      <c r="L148">
        <v>1269.7601283659501</v>
      </c>
      <c r="M148">
        <v>24.003288131639898</v>
      </c>
      <c r="N148">
        <v>53.243180147839297</v>
      </c>
      <c r="O148">
        <v>52.536361685061998</v>
      </c>
      <c r="P148">
        <v>-0.106024582660562</v>
      </c>
      <c r="Q148">
        <v>7.1784204275826796E-2</v>
      </c>
      <c r="R148">
        <v>0.996146700964746</v>
      </c>
      <c r="S148" t="s">
        <v>5731</v>
      </c>
      <c r="T148" t="s">
        <v>11164</v>
      </c>
      <c r="U148" t="s">
        <v>11164</v>
      </c>
      <c r="V148" t="s">
        <v>11164</v>
      </c>
      <c r="W148" t="s">
        <v>11312</v>
      </c>
      <c r="X148">
        <v>5</v>
      </c>
      <c r="Y148" t="s">
        <v>16842</v>
      </c>
      <c r="Z148" t="s">
        <v>22298</v>
      </c>
      <c r="AA148">
        <v>0.57251872306842744</v>
      </c>
      <c r="AB148" t="str">
        <f>HYPERLINK("Melting_Curves/meltCurve_B4DLT4_RPS6KB1.pdf", "Melting_Curves/meltCurve_B4DLT4_RPS6KB1.pdf")</f>
        <v>Melting_Curves/meltCurve_B4DLT4_RPS6KB1.pdf</v>
      </c>
    </row>
    <row r="149" spans="1:28" x14ac:dyDescent="0.25">
      <c r="A149" t="s">
        <v>153</v>
      </c>
      <c r="B149">
        <v>0.99796759195183404</v>
      </c>
      <c r="C149">
        <v>0.95354967494693099</v>
      </c>
      <c r="D149">
        <v>0.93314547907682099</v>
      </c>
      <c r="E149">
        <v>1.0831643172121601</v>
      </c>
      <c r="F149">
        <v>0.93260237428077897</v>
      </c>
      <c r="G149">
        <v>0.37135502722310598</v>
      </c>
      <c r="H149">
        <v>0.25802948207737297</v>
      </c>
      <c r="I149">
        <v>0.24235560719025001</v>
      </c>
      <c r="J149">
        <v>0.197779903115679</v>
      </c>
      <c r="K149">
        <v>0.21704257833860799</v>
      </c>
      <c r="L149">
        <v>2856.0201871067602</v>
      </c>
      <c r="M149">
        <v>54.539274315997098</v>
      </c>
      <c r="N149">
        <v>52.952717500991703</v>
      </c>
      <c r="O149">
        <v>52.296041303182903</v>
      </c>
      <c r="P149">
        <v>-0.20162066698280101</v>
      </c>
      <c r="Q149">
        <v>0.226688911865082</v>
      </c>
      <c r="R149">
        <v>0.98844569838936802</v>
      </c>
      <c r="S149" t="s">
        <v>5732</v>
      </c>
      <c r="T149" t="s">
        <v>11164</v>
      </c>
      <c r="U149" t="s">
        <v>11164</v>
      </c>
      <c r="V149" t="s">
        <v>11164</v>
      </c>
      <c r="W149" t="s">
        <v>11313</v>
      </c>
      <c r="X149">
        <v>20</v>
      </c>
      <c r="Y149" t="s">
        <v>16843</v>
      </c>
      <c r="Z149" t="s">
        <v>22299</v>
      </c>
      <c r="AA149">
        <v>0.62428634424638729</v>
      </c>
      <c r="AB149" t="str">
        <f>HYPERLINK("Melting_Curves/meltCurve_B4DLW8_DDX5.pdf", "Melting_Curves/meltCurve_B4DLW8_DDX5.pdf")</f>
        <v>Melting_Curves/meltCurve_B4DLW8_DDX5.pdf</v>
      </c>
    </row>
    <row r="150" spans="1:28" x14ac:dyDescent="0.25">
      <c r="A150" t="s">
        <v>154</v>
      </c>
      <c r="B150">
        <v>0.99796759195183404</v>
      </c>
      <c r="C150">
        <v>1.04251728197321</v>
      </c>
      <c r="D150">
        <v>1.0165092582965101</v>
      </c>
      <c r="E150">
        <v>0.98106721679388997</v>
      </c>
      <c r="F150">
        <v>0.82710316465502798</v>
      </c>
      <c r="G150">
        <v>0.54950647550824705</v>
      </c>
      <c r="H150">
        <v>0.353907825916628</v>
      </c>
      <c r="I150">
        <v>0.28588045235033599</v>
      </c>
      <c r="J150">
        <v>0.27292097896393902</v>
      </c>
      <c r="K150">
        <v>0.28730051156106301</v>
      </c>
      <c r="L150">
        <v>1310.9972695762699</v>
      </c>
      <c r="M150">
        <v>24.882969212228499</v>
      </c>
      <c r="N150">
        <v>54.391242821232801</v>
      </c>
      <c r="O150">
        <v>52.3497840390568</v>
      </c>
      <c r="P150">
        <v>-8.6656051087793701E-2</v>
      </c>
      <c r="Q150">
        <v>0.27076826837631601</v>
      </c>
      <c r="R150">
        <v>0.99747579609916004</v>
      </c>
      <c r="S150" t="s">
        <v>5733</v>
      </c>
      <c r="T150" t="s">
        <v>11164</v>
      </c>
      <c r="U150" t="s">
        <v>11164</v>
      </c>
      <c r="V150" t="s">
        <v>11164</v>
      </c>
      <c r="W150" t="s">
        <v>11314</v>
      </c>
      <c r="X150">
        <v>8</v>
      </c>
      <c r="Y150" t="s">
        <v>16844</v>
      </c>
      <c r="Z150" t="s">
        <v>22300</v>
      </c>
      <c r="AA150">
        <v>0.65858001079623674</v>
      </c>
      <c r="AB150" t="str">
        <f>HYPERLINK("Melting_Curves/meltCurve_B4DLZ9_RNF220.pdf", "Melting_Curves/meltCurve_B4DLZ9_RNF220.pdf")</f>
        <v>Melting_Curves/meltCurve_B4DLZ9_RNF220.pdf</v>
      </c>
    </row>
    <row r="151" spans="1:28" x14ac:dyDescent="0.25">
      <c r="A151" t="s">
        <v>155</v>
      </c>
      <c r="B151">
        <v>0.99796759195183404</v>
      </c>
      <c r="C151">
        <v>0.91509362683883599</v>
      </c>
      <c r="D151">
        <v>0.80732456159666899</v>
      </c>
      <c r="E151">
        <v>0.88177718199127897</v>
      </c>
      <c r="F151">
        <v>0.867054871016671</v>
      </c>
      <c r="G151">
        <v>0.56868481247590996</v>
      </c>
      <c r="H151">
        <v>0.57089419916044304</v>
      </c>
      <c r="I151">
        <v>0.42723678905422902</v>
      </c>
      <c r="J151">
        <v>0.390599041385222</v>
      </c>
      <c r="K151">
        <v>0.31875634807446901</v>
      </c>
      <c r="L151">
        <v>369.88507326936099</v>
      </c>
      <c r="M151">
        <v>6.2582134400701799</v>
      </c>
      <c r="N151">
        <v>59.103940254428501</v>
      </c>
      <c r="O151">
        <v>53.928301023315903</v>
      </c>
      <c r="P151">
        <v>-2.90925195580066E-2</v>
      </c>
      <c r="Q151">
        <v>0</v>
      </c>
      <c r="R151">
        <v>0.93545551029446095</v>
      </c>
      <c r="S151" t="s">
        <v>5734</v>
      </c>
      <c r="T151" t="s">
        <v>11164</v>
      </c>
      <c r="U151" t="s">
        <v>11164</v>
      </c>
      <c r="V151" t="s">
        <v>11164</v>
      </c>
      <c r="W151" t="s">
        <v>11315</v>
      </c>
      <c r="X151">
        <v>4</v>
      </c>
      <c r="Y151" t="s">
        <v>16845</v>
      </c>
      <c r="Z151" t="s">
        <v>22301</v>
      </c>
      <c r="AA151">
        <v>0.68379902920381008</v>
      </c>
      <c r="AB151" t="str">
        <f>HYPERLINK("Melting_Curves/meltCurve_B4DM89_BSDC1.pdf", "Melting_Curves/meltCurve_B4DM89_BSDC1.pdf")</f>
        <v>Melting_Curves/meltCurve_B4DM89_BSDC1.pdf</v>
      </c>
    </row>
    <row r="152" spans="1:28" x14ac:dyDescent="0.25">
      <c r="A152" t="s">
        <v>156</v>
      </c>
      <c r="B152">
        <v>0.99796759195183404</v>
      </c>
      <c r="C152">
        <v>1.04535378058404</v>
      </c>
      <c r="D152">
        <v>0.95158837961060205</v>
      </c>
      <c r="E152">
        <v>0.94925296661565794</v>
      </c>
      <c r="F152">
        <v>1.00975926205447</v>
      </c>
      <c r="G152">
        <v>0.37126194829918102</v>
      </c>
      <c r="H152">
        <v>0.26718651413137301</v>
      </c>
      <c r="I152">
        <v>0.19046855517790201</v>
      </c>
      <c r="J152">
        <v>0.12596747135108699</v>
      </c>
      <c r="K152">
        <v>9.4096820029264394E-2</v>
      </c>
      <c r="L152">
        <v>4210.3408630854101</v>
      </c>
      <c r="M152">
        <v>79.375308795867895</v>
      </c>
      <c r="N152">
        <v>53.319468168663903</v>
      </c>
      <c r="O152">
        <v>53.009817470266597</v>
      </c>
      <c r="P152">
        <v>-0.31127710788153001</v>
      </c>
      <c r="Q152">
        <v>0.16846985527993399</v>
      </c>
      <c r="R152">
        <v>0.98449976822208196</v>
      </c>
      <c r="S152" t="s">
        <v>5735</v>
      </c>
      <c r="T152" t="s">
        <v>11164</v>
      </c>
      <c r="U152" t="s">
        <v>11164</v>
      </c>
      <c r="V152" t="s">
        <v>11164</v>
      </c>
      <c r="W152" t="s">
        <v>11316</v>
      </c>
      <c r="X152">
        <v>8</v>
      </c>
      <c r="Y152" t="s">
        <v>16846</v>
      </c>
      <c r="Z152" t="s">
        <v>22302</v>
      </c>
      <c r="AA152">
        <v>0.61392655366120175</v>
      </c>
      <c r="AB152" t="str">
        <f>HYPERLINK("Melting_Curves/meltCurve_B4DME9_KLC4.pdf", "Melting_Curves/meltCurve_B4DME9_KLC4.pdf")</f>
        <v>Melting_Curves/meltCurve_B4DME9_KLC4.pdf</v>
      </c>
    </row>
    <row r="153" spans="1:28" x14ac:dyDescent="0.25">
      <c r="A153" t="s">
        <v>157</v>
      </c>
      <c r="B153">
        <v>0.99796759195183404</v>
      </c>
      <c r="C153">
        <v>1.0417985703672601</v>
      </c>
      <c r="D153">
        <v>1.0597715303095301</v>
      </c>
      <c r="E153">
        <v>0.94421299589614904</v>
      </c>
      <c r="F153">
        <v>0.71321988193484598</v>
      </c>
      <c r="G153">
        <v>0.52074762942946695</v>
      </c>
      <c r="H153">
        <v>0.34466866042400202</v>
      </c>
      <c r="I153">
        <v>0.261079029280399</v>
      </c>
      <c r="J153">
        <v>0.20380582882105999</v>
      </c>
      <c r="K153">
        <v>0.12478563496817401</v>
      </c>
      <c r="L153">
        <v>852.70188721269096</v>
      </c>
      <c r="M153">
        <v>16.0684406185445</v>
      </c>
      <c r="N153">
        <v>54.148000247960098</v>
      </c>
      <c r="O153">
        <v>52.265381574684397</v>
      </c>
      <c r="P153">
        <v>-6.6317911479064601E-2</v>
      </c>
      <c r="Q153">
        <v>0.13722489960113499</v>
      </c>
      <c r="R153">
        <v>0.98907591423825403</v>
      </c>
      <c r="S153" t="s">
        <v>5736</v>
      </c>
      <c r="T153" t="s">
        <v>11164</v>
      </c>
      <c r="U153" t="s">
        <v>11164</v>
      </c>
      <c r="V153" t="s">
        <v>11164</v>
      </c>
      <c r="W153" t="s">
        <v>11317</v>
      </c>
      <c r="X153">
        <v>1</v>
      </c>
      <c r="Y153" t="s">
        <v>16847</v>
      </c>
      <c r="Z153" t="s">
        <v>22303</v>
      </c>
      <c r="AA153">
        <v>0.61358043803583706</v>
      </c>
      <c r="AB153" t="str">
        <f>HYPERLINK("Melting_Curves/meltCurve_B4DMU4_FAM45A.pdf", "Melting_Curves/meltCurve_B4DMU4_FAM45A.pdf")</f>
        <v>Melting_Curves/meltCurve_B4DMU4_FAM45A.pdf</v>
      </c>
    </row>
    <row r="154" spans="1:28" x14ac:dyDescent="0.25">
      <c r="A154" t="s">
        <v>158</v>
      </c>
      <c r="B154">
        <v>0.99796759195183404</v>
      </c>
      <c r="C154">
        <v>1.0166456454900099</v>
      </c>
      <c r="D154">
        <v>1.07248103004891</v>
      </c>
      <c r="E154">
        <v>1.07919919867276</v>
      </c>
      <c r="F154">
        <v>0.90272320443985199</v>
      </c>
      <c r="G154">
        <v>0.806319021683084</v>
      </c>
      <c r="H154">
        <v>0.92945873694261605</v>
      </c>
      <c r="I154">
        <v>0.82043163399423802</v>
      </c>
      <c r="J154">
        <v>0.82477064385210197</v>
      </c>
      <c r="K154">
        <v>0.37883310905102302</v>
      </c>
      <c r="L154">
        <v>1855.04650432687</v>
      </c>
      <c r="M154">
        <v>27.978913356185998</v>
      </c>
      <c r="N154">
        <v>66.301592717346296</v>
      </c>
      <c r="O154">
        <v>65.965665847534197</v>
      </c>
      <c r="P154">
        <v>-0.106036805443255</v>
      </c>
      <c r="Q154">
        <v>0</v>
      </c>
      <c r="R154">
        <v>0.77641063808102295</v>
      </c>
      <c r="S154" t="s">
        <v>5737</v>
      </c>
      <c r="T154" t="s">
        <v>11164</v>
      </c>
      <c r="U154" t="s">
        <v>11164</v>
      </c>
      <c r="V154" t="s">
        <v>11164</v>
      </c>
      <c r="W154" t="s">
        <v>11318</v>
      </c>
      <c r="X154">
        <v>4</v>
      </c>
      <c r="Y154" t="s">
        <v>16848</v>
      </c>
      <c r="Z154" t="s">
        <v>22304</v>
      </c>
      <c r="AA154">
        <v>0.93692724717820808</v>
      </c>
      <c r="AB154" t="str">
        <f>HYPERLINK("Melting_Curves/meltCurve_B4DMX0_KDSR.pdf", "Melting_Curves/meltCurve_B4DMX0_KDSR.pdf")</f>
        <v>Melting_Curves/meltCurve_B4DMX0_KDSR.pdf</v>
      </c>
    </row>
    <row r="155" spans="1:28" x14ac:dyDescent="0.25">
      <c r="A155" t="s">
        <v>159</v>
      </c>
      <c r="B155">
        <v>0.99796759195183404</v>
      </c>
      <c r="C155">
        <v>1.28011920242175</v>
      </c>
      <c r="D155">
        <v>1.12181504120399</v>
      </c>
      <c r="E155">
        <v>1.00653875656124</v>
      </c>
      <c r="F155">
        <v>0.98470386209208605</v>
      </c>
      <c r="G155">
        <v>0.37691044320223999</v>
      </c>
      <c r="H155">
        <v>0.26451058113832898</v>
      </c>
      <c r="I155">
        <v>0.19382764117369899</v>
      </c>
      <c r="J155">
        <v>0.17422028576827001</v>
      </c>
      <c r="K155">
        <v>0.16899033628211499</v>
      </c>
      <c r="L155">
        <v>3532.9220698468898</v>
      </c>
      <c r="M155">
        <v>66.8977369922939</v>
      </c>
      <c r="N155">
        <v>53.213958647697602</v>
      </c>
      <c r="O155">
        <v>52.763654688333901</v>
      </c>
      <c r="P155">
        <v>-0.253954219930835</v>
      </c>
      <c r="Q155">
        <v>0.19880404377927299</v>
      </c>
      <c r="R155">
        <v>0.94712541136928197</v>
      </c>
      <c r="S155" t="s">
        <v>5738</v>
      </c>
      <c r="T155" t="s">
        <v>11164</v>
      </c>
      <c r="U155" t="s">
        <v>11164</v>
      </c>
      <c r="V155" t="s">
        <v>11164</v>
      </c>
      <c r="W155" t="s">
        <v>11319</v>
      </c>
      <c r="X155">
        <v>12</v>
      </c>
      <c r="Y155" t="s">
        <v>16849</v>
      </c>
      <c r="Z155" t="s">
        <v>22305</v>
      </c>
      <c r="AA155">
        <v>0.62209530386068712</v>
      </c>
      <c r="AB155" t="str">
        <f>HYPERLINK("Melting_Curves/meltCurve_B4DP21_PTGES3.pdf", "Melting_Curves/meltCurve_B4DP21_PTGES3.pdf")</f>
        <v>Melting_Curves/meltCurve_B4DP21_PTGES3.pdf</v>
      </c>
    </row>
    <row r="156" spans="1:28" x14ac:dyDescent="0.25">
      <c r="A156" t="s">
        <v>160</v>
      </c>
      <c r="B156">
        <v>0.99796759195183404</v>
      </c>
      <c r="C156">
        <v>0.95297958016798101</v>
      </c>
      <c r="D156">
        <v>0.85754177737229997</v>
      </c>
      <c r="E156">
        <v>0.78663387299892396</v>
      </c>
      <c r="F156">
        <v>0.62205896837890795</v>
      </c>
      <c r="G156">
        <v>2.2823843627779699</v>
      </c>
      <c r="H156">
        <v>1.87722351229762</v>
      </c>
      <c r="I156">
        <v>0.60026767184140795</v>
      </c>
      <c r="J156">
        <v>0.24368560364519201</v>
      </c>
      <c r="K156">
        <v>0.27468409319682802</v>
      </c>
      <c r="L156">
        <v>15000</v>
      </c>
      <c r="M156">
        <v>246.06030027129299</v>
      </c>
      <c r="N156">
        <v>61.142183667446098</v>
      </c>
      <c r="O156">
        <v>60.956636194181101</v>
      </c>
      <c r="P156">
        <v>-0.74760408592726002</v>
      </c>
      <c r="Q156">
        <v>0.259182680784244</v>
      </c>
      <c r="R156">
        <v>0.31937677397885</v>
      </c>
      <c r="S156" t="s">
        <v>5739</v>
      </c>
      <c r="T156" t="s">
        <v>11164</v>
      </c>
      <c r="U156" t="s">
        <v>11164</v>
      </c>
      <c r="V156" t="s">
        <v>11164</v>
      </c>
      <c r="W156" t="s">
        <v>11320</v>
      </c>
      <c r="X156">
        <v>4</v>
      </c>
      <c r="Y156" t="s">
        <v>16850</v>
      </c>
      <c r="Z156" t="s">
        <v>22306</v>
      </c>
      <c r="AA156">
        <v>0.85094706310682311</v>
      </c>
      <c r="AB156" t="str">
        <f>HYPERLINK("Melting_Curves/meltCurve_B4DP38_WDR77.pdf", "Melting_Curves/meltCurve_B4DP38_WDR77.pdf")</f>
        <v>Melting_Curves/meltCurve_B4DP38_WDR77.pdf</v>
      </c>
    </row>
    <row r="157" spans="1:28" x14ac:dyDescent="0.25">
      <c r="A157" t="s">
        <v>161</v>
      </c>
      <c r="B157">
        <v>0.99796759195183404</v>
      </c>
      <c r="C157">
        <v>0.93321229527956095</v>
      </c>
      <c r="D157">
        <v>0.92434529987547998</v>
      </c>
      <c r="E157">
        <v>0.785230916998373</v>
      </c>
      <c r="F157">
        <v>0.79579230617665997</v>
      </c>
      <c r="G157">
        <v>0.55554908756747901</v>
      </c>
      <c r="H157">
        <v>0.38406091554821797</v>
      </c>
      <c r="I157">
        <v>0.34982098025761799</v>
      </c>
      <c r="J157">
        <v>0.37351988350648502</v>
      </c>
      <c r="K157">
        <v>0.33966956339892601</v>
      </c>
      <c r="L157">
        <v>592.60071202766403</v>
      </c>
      <c r="M157">
        <v>11.4421329718118</v>
      </c>
      <c r="N157">
        <v>55.517205565754303</v>
      </c>
      <c r="O157">
        <v>50.284886146184597</v>
      </c>
      <c r="P157">
        <v>-4.1651906775965003E-2</v>
      </c>
      <c r="Q157">
        <v>0.26801949544266601</v>
      </c>
      <c r="R157">
        <v>0.96850834997472901</v>
      </c>
      <c r="S157" t="s">
        <v>5740</v>
      </c>
      <c r="T157" t="s">
        <v>11164</v>
      </c>
      <c r="U157" t="s">
        <v>11164</v>
      </c>
      <c r="V157" t="s">
        <v>11164</v>
      </c>
      <c r="W157" t="s">
        <v>11321</v>
      </c>
      <c r="X157">
        <v>1</v>
      </c>
      <c r="Y157" t="s">
        <v>16851</v>
      </c>
      <c r="Z157" t="s">
        <v>22307</v>
      </c>
      <c r="AA157">
        <v>0.64735543749405222</v>
      </c>
      <c r="AB157" t="str">
        <f>HYPERLINK("Melting_Curves/meltCurve_B4DP61_SMN1.pdf", "Melting_Curves/meltCurve_B4DP61_SMN1.pdf")</f>
        <v>Melting_Curves/meltCurve_B4DP61_SMN1.pdf</v>
      </c>
    </row>
    <row r="158" spans="1:28" x14ac:dyDescent="0.25">
      <c r="A158" t="s">
        <v>162</v>
      </c>
      <c r="B158">
        <v>0.99796759195183404</v>
      </c>
      <c r="C158">
        <v>0.97104883431765898</v>
      </c>
      <c r="D158">
        <v>0.91643649937486704</v>
      </c>
      <c r="E158">
        <v>0.83729833372984996</v>
      </c>
      <c r="F158">
        <v>0.79825688338630596</v>
      </c>
      <c r="G158">
        <v>0.393151781565655</v>
      </c>
      <c r="H158">
        <v>0.26474973549158298</v>
      </c>
      <c r="I158">
        <v>0.19129744932456999</v>
      </c>
      <c r="J158">
        <v>0.17942409392048</v>
      </c>
      <c r="K158">
        <v>5.62905491045263E-2</v>
      </c>
      <c r="L158">
        <v>793.26163178914703</v>
      </c>
      <c r="M158">
        <v>15.0610800324512</v>
      </c>
      <c r="N158">
        <v>53.172591855571198</v>
      </c>
      <c r="O158">
        <v>51.767272522912897</v>
      </c>
      <c r="P158">
        <v>-6.7912334706521402E-2</v>
      </c>
      <c r="Q158">
        <v>6.6391840382363398E-2</v>
      </c>
      <c r="R158">
        <v>0.98003462329392899</v>
      </c>
      <c r="S158" t="s">
        <v>5741</v>
      </c>
      <c r="T158" t="s">
        <v>11164</v>
      </c>
      <c r="U158" t="s">
        <v>11164</v>
      </c>
      <c r="V158" t="s">
        <v>11164</v>
      </c>
      <c r="W158" t="s">
        <v>11322</v>
      </c>
      <c r="X158">
        <v>3</v>
      </c>
      <c r="Y158" t="s">
        <v>16852</v>
      </c>
      <c r="Z158" t="s">
        <v>22308</v>
      </c>
      <c r="AA158">
        <v>0.571057990663695</v>
      </c>
      <c r="AB158" t="str">
        <f>HYPERLINK("Melting_Curves/meltCurve_B4DPY5_SNX11.pdf", "Melting_Curves/meltCurve_B4DPY5_SNX11.pdf")</f>
        <v>Melting_Curves/meltCurve_B4DPY5_SNX11.pdf</v>
      </c>
    </row>
    <row r="159" spans="1:28" x14ac:dyDescent="0.25">
      <c r="A159" t="s">
        <v>163</v>
      </c>
      <c r="B159">
        <v>0.99796759195183404</v>
      </c>
      <c r="C159">
        <v>1.04151809038571</v>
      </c>
      <c r="D159">
        <v>0.91777068460745204</v>
      </c>
      <c r="E159">
        <v>0.86054428916707404</v>
      </c>
      <c r="F159">
        <v>0.771133323068252</v>
      </c>
      <c r="G159">
        <v>0.59020701477553905</v>
      </c>
      <c r="H159">
        <v>0.44589659817706201</v>
      </c>
      <c r="I159">
        <v>0.41214874130139101</v>
      </c>
      <c r="J159">
        <v>0.52775726053155803</v>
      </c>
      <c r="K159">
        <v>0.387960561313971</v>
      </c>
      <c r="L159">
        <v>780.30082655982403</v>
      </c>
      <c r="M159">
        <v>15.3527928860247</v>
      </c>
      <c r="N159">
        <v>57.081153787381702</v>
      </c>
      <c r="O159">
        <v>49.985807998534497</v>
      </c>
      <c r="P159">
        <v>-4.5532697053930898E-2</v>
      </c>
      <c r="Q159">
        <v>0.40707107644634</v>
      </c>
      <c r="R159">
        <v>0.96293690750253902</v>
      </c>
      <c r="S159" t="s">
        <v>5742</v>
      </c>
      <c r="T159" t="s">
        <v>11164</v>
      </c>
      <c r="U159" t="s">
        <v>11164</v>
      </c>
      <c r="V159" t="s">
        <v>11164</v>
      </c>
      <c r="W159" t="s">
        <v>11323</v>
      </c>
      <c r="X159">
        <v>3</v>
      </c>
      <c r="Y159" t="s">
        <v>16853</v>
      </c>
      <c r="Z159" t="s">
        <v>22309</v>
      </c>
      <c r="AA159">
        <v>0.69196000683530101</v>
      </c>
      <c r="AB159" t="str">
        <f>HYPERLINK("Melting_Curves/meltCurve_B4DPY8_TOX4.pdf", "Melting_Curves/meltCurve_B4DPY8_TOX4.pdf")</f>
        <v>Melting_Curves/meltCurve_B4DPY8_TOX4.pdf</v>
      </c>
    </row>
    <row r="160" spans="1:28" x14ac:dyDescent="0.25">
      <c r="A160" t="s">
        <v>164</v>
      </c>
      <c r="B160">
        <v>0.99796759195183404</v>
      </c>
      <c r="C160">
        <v>1.0083889041627201</v>
      </c>
      <c r="D160">
        <v>1.0293691118020101</v>
      </c>
      <c r="E160">
        <v>0.97179402552279703</v>
      </c>
      <c r="F160">
        <v>0.86560657259797302</v>
      </c>
      <c r="G160">
        <v>0.80030130731383997</v>
      </c>
      <c r="H160">
        <v>0.55469135759825805</v>
      </c>
      <c r="I160">
        <v>0.15291850002534799</v>
      </c>
      <c r="J160">
        <v>0.11340795439589001</v>
      </c>
      <c r="K160">
        <v>8.1988303749591193E-2</v>
      </c>
      <c r="L160">
        <v>1170.7878007879101</v>
      </c>
      <c r="M160">
        <v>20.419518756788499</v>
      </c>
      <c r="N160">
        <v>57.357044604446003</v>
      </c>
      <c r="O160">
        <v>56.795286463339103</v>
      </c>
      <c r="P160">
        <v>-8.9560583056835605E-2</v>
      </c>
      <c r="Q160">
        <v>3.6070062982848099E-3</v>
      </c>
      <c r="R160">
        <v>0.98715198850330899</v>
      </c>
      <c r="S160" t="s">
        <v>5743</v>
      </c>
      <c r="T160" t="s">
        <v>11164</v>
      </c>
      <c r="U160" t="s">
        <v>11164</v>
      </c>
      <c r="V160" t="s">
        <v>11164</v>
      </c>
      <c r="W160" t="s">
        <v>11324</v>
      </c>
      <c r="X160">
        <v>25</v>
      </c>
      <c r="Y160" t="s">
        <v>16854</v>
      </c>
      <c r="Z160" t="s">
        <v>22310</v>
      </c>
      <c r="AA160">
        <v>0.68716036030678151</v>
      </c>
      <c r="AB160" t="str">
        <f>HYPERLINK("Melting_Curves/meltCurve_B4DQJ8_PGD.pdf", "Melting_Curves/meltCurve_B4DQJ8_PGD.pdf")</f>
        <v>Melting_Curves/meltCurve_B4DQJ8_PGD.pdf</v>
      </c>
    </row>
    <row r="161" spans="1:28" x14ac:dyDescent="0.25">
      <c r="A161" t="s">
        <v>165</v>
      </c>
      <c r="B161">
        <v>0.99796759195183404</v>
      </c>
      <c r="C161">
        <v>0.88054082574960002</v>
      </c>
      <c r="D161">
        <v>0.80834722647351398</v>
      </c>
      <c r="E161">
        <v>0.69055127050473997</v>
      </c>
      <c r="F161">
        <v>0.32758426997404999</v>
      </c>
      <c r="G161">
        <v>0.22998233296196699</v>
      </c>
      <c r="H161">
        <v>0.15787961061424199</v>
      </c>
      <c r="I161">
        <v>0.147640608820021</v>
      </c>
      <c r="J161">
        <v>0.120160377175259</v>
      </c>
      <c r="K161">
        <v>5.4511823968271797E-2</v>
      </c>
      <c r="L161">
        <v>640.23082047061405</v>
      </c>
      <c r="M161">
        <v>13.403863825535201</v>
      </c>
      <c r="N161">
        <v>48.292305367117599</v>
      </c>
      <c r="O161">
        <v>46.7390691967843</v>
      </c>
      <c r="P161">
        <v>-6.6821938375034001E-2</v>
      </c>
      <c r="Q161">
        <v>6.8117809967806101E-2</v>
      </c>
      <c r="R161">
        <v>0.98599654166790096</v>
      </c>
      <c r="S161" t="s">
        <v>5744</v>
      </c>
      <c r="T161" t="s">
        <v>11164</v>
      </c>
      <c r="U161" t="s">
        <v>11164</v>
      </c>
      <c r="V161" t="s">
        <v>11164</v>
      </c>
      <c r="W161" t="s">
        <v>11325</v>
      </c>
      <c r="X161">
        <v>2</v>
      </c>
      <c r="Y161" t="s">
        <v>16855</v>
      </c>
      <c r="Z161" t="s">
        <v>22311</v>
      </c>
      <c r="AA161">
        <v>0.42735899485646439</v>
      </c>
      <c r="AB161" t="str">
        <f>HYPERLINK("Melting_Curves/meltCurve_B4DR03_NAA40.pdf", "Melting_Curves/meltCurve_B4DR03_NAA40.pdf")</f>
        <v>Melting_Curves/meltCurve_B4DR03_NAA40.pdf</v>
      </c>
    </row>
    <row r="162" spans="1:28" x14ac:dyDescent="0.25">
      <c r="A162" t="s">
        <v>166</v>
      </c>
      <c r="B162">
        <v>0.99796759195183404</v>
      </c>
      <c r="C162">
        <v>1.0514219100079001</v>
      </c>
      <c r="D162">
        <v>1.04929350057385</v>
      </c>
      <c r="E162">
        <v>1.0603900856416499</v>
      </c>
      <c r="F162">
        <v>0.96580048355534798</v>
      </c>
      <c r="G162">
        <v>0.66772997743934703</v>
      </c>
      <c r="H162">
        <v>0.76276336193699501</v>
      </c>
      <c r="I162">
        <v>0.80627739336486703</v>
      </c>
      <c r="J162">
        <v>0.81905476075978101</v>
      </c>
      <c r="K162">
        <v>0.495215205633252</v>
      </c>
      <c r="L162">
        <v>12650.970698893199</v>
      </c>
      <c r="M162">
        <v>250</v>
      </c>
      <c r="O162">
        <v>50.600625561157202</v>
      </c>
      <c r="P162">
        <v>-0.35793995650132898</v>
      </c>
      <c r="Q162">
        <v>0.710208119944433</v>
      </c>
      <c r="R162">
        <v>0.75304480963614895</v>
      </c>
      <c r="S162" t="s">
        <v>5745</v>
      </c>
      <c r="T162" t="s">
        <v>11164</v>
      </c>
      <c r="U162" t="s">
        <v>11164</v>
      </c>
      <c r="V162" t="s">
        <v>11164</v>
      </c>
      <c r="W162" t="s">
        <v>11326</v>
      </c>
      <c r="X162">
        <v>5</v>
      </c>
      <c r="Y162" t="s">
        <v>16856</v>
      </c>
      <c r="Z162" t="s">
        <v>22312</v>
      </c>
      <c r="AA162">
        <v>0.84164368179207705</v>
      </c>
      <c r="AB162" t="str">
        <f>HYPERLINK("Melting_Curves/meltCurve_B4DR61_SEC61A1.pdf", "Melting_Curves/meltCurve_B4DR61_SEC61A1.pdf")</f>
        <v>Melting_Curves/meltCurve_B4DR61_SEC61A1.pdf</v>
      </c>
    </row>
    <row r="163" spans="1:28" x14ac:dyDescent="0.25">
      <c r="A163" t="s">
        <v>167</v>
      </c>
      <c r="B163">
        <v>0.99796759195183404</v>
      </c>
      <c r="C163">
        <v>1.01929491606366</v>
      </c>
      <c r="D163">
        <v>0.98869157470490898</v>
      </c>
      <c r="E163">
        <v>0.96733347392743496</v>
      </c>
      <c r="F163">
        <v>0.84739249880756895</v>
      </c>
      <c r="G163">
        <v>0.53400433145877002</v>
      </c>
      <c r="H163">
        <v>0.30235782849151999</v>
      </c>
      <c r="I163">
        <v>0.200163883464479</v>
      </c>
      <c r="J163">
        <v>0.12761082580767699</v>
      </c>
      <c r="K163">
        <v>0.106054354620191</v>
      </c>
      <c r="L163">
        <v>1102.93004420952</v>
      </c>
      <c r="M163">
        <v>20.498451169702101</v>
      </c>
      <c r="N163">
        <v>54.417696645539003</v>
      </c>
      <c r="O163">
        <v>53.301305311801897</v>
      </c>
      <c r="P163">
        <v>-8.6246847101697097E-2</v>
      </c>
      <c r="Q163">
        <v>0.10296953626248501</v>
      </c>
      <c r="R163">
        <v>0.99871810400788397</v>
      </c>
      <c r="S163" t="s">
        <v>5746</v>
      </c>
      <c r="T163" t="s">
        <v>11164</v>
      </c>
      <c r="U163" t="s">
        <v>11164</v>
      </c>
      <c r="V163" t="s">
        <v>11164</v>
      </c>
      <c r="W163" t="s">
        <v>11327</v>
      </c>
      <c r="X163">
        <v>14</v>
      </c>
      <c r="Y163" t="s">
        <v>16857</v>
      </c>
      <c r="Z163" t="s">
        <v>22313</v>
      </c>
      <c r="AA163">
        <v>0.61606756391381867</v>
      </c>
      <c r="AB163" t="str">
        <f>HYPERLINK("Melting_Curves/meltCurve_B4DR80_STK24.pdf", "Melting_Curves/meltCurve_B4DR80_STK24.pdf")</f>
        <v>Melting_Curves/meltCurve_B4DR80_STK24.pdf</v>
      </c>
    </row>
    <row r="164" spans="1:28" x14ac:dyDescent="0.25">
      <c r="A164" t="s">
        <v>168</v>
      </c>
      <c r="B164">
        <v>0.99796759195183404</v>
      </c>
      <c r="C164">
        <v>0.95228798438129503</v>
      </c>
      <c r="D164">
        <v>0.94194791114542797</v>
      </c>
      <c r="E164">
        <v>0.96591923104268695</v>
      </c>
      <c r="F164">
        <v>0.86282089572910303</v>
      </c>
      <c r="G164">
        <v>0.53971724698005197</v>
      </c>
      <c r="H164">
        <v>0.49149009593526599</v>
      </c>
      <c r="I164">
        <v>0.39095240835138001</v>
      </c>
      <c r="J164">
        <v>0.22202850535898599</v>
      </c>
      <c r="K164">
        <v>0.12541279496518101</v>
      </c>
      <c r="L164">
        <v>615.18544683090704</v>
      </c>
      <c r="M164">
        <v>10.823014299294901</v>
      </c>
      <c r="N164">
        <v>56.840491026366799</v>
      </c>
      <c r="O164">
        <v>55.003192399073001</v>
      </c>
      <c r="P164">
        <v>-4.9210316803300701E-2</v>
      </c>
      <c r="Q164">
        <v>0</v>
      </c>
      <c r="R164">
        <v>0.97419035878674898</v>
      </c>
      <c r="S164" t="s">
        <v>5747</v>
      </c>
      <c r="T164" t="s">
        <v>11164</v>
      </c>
      <c r="U164" t="s">
        <v>11164</v>
      </c>
      <c r="V164" t="s">
        <v>11164</v>
      </c>
      <c r="W164" t="s">
        <v>11328</v>
      </c>
      <c r="X164">
        <v>8</v>
      </c>
      <c r="Y164" t="s">
        <v>16858</v>
      </c>
      <c r="Z164" t="s">
        <v>22314</v>
      </c>
      <c r="AA164">
        <v>0.66422741410472741</v>
      </c>
      <c r="AB164" t="str">
        <f>HYPERLINK("Melting_Curves/meltCurve_B4DR94_YKT6.pdf", "Melting_Curves/meltCurve_B4DR94_YKT6.pdf")</f>
        <v>Melting_Curves/meltCurve_B4DR94_YKT6.pdf</v>
      </c>
    </row>
    <row r="165" spans="1:28" x14ac:dyDescent="0.25">
      <c r="A165" t="s">
        <v>169</v>
      </c>
      <c r="B165">
        <v>0.99796759195183404</v>
      </c>
      <c r="C165">
        <v>1.2341817229633001</v>
      </c>
      <c r="D165">
        <v>1.14258709239379</v>
      </c>
      <c r="E165">
        <v>0.92584709061635095</v>
      </c>
      <c r="F165">
        <v>0.53548075972859699</v>
      </c>
      <c r="G165">
        <v>0.30650975395352897</v>
      </c>
      <c r="H165">
        <v>0.30194894492811403</v>
      </c>
      <c r="I165">
        <v>0.312899444884088</v>
      </c>
      <c r="J165">
        <v>0.28553071831521598</v>
      </c>
      <c r="K165">
        <v>0.220292512239391</v>
      </c>
      <c r="L165">
        <v>1918.1142492788099</v>
      </c>
      <c r="M165">
        <v>38.813502153619602</v>
      </c>
      <c r="N165">
        <v>50.480095398626403</v>
      </c>
      <c r="O165">
        <v>49.288099066985097</v>
      </c>
      <c r="P165">
        <v>-0.14196055446321601</v>
      </c>
      <c r="Q165">
        <v>0.27891593274294901</v>
      </c>
      <c r="R165">
        <v>0.94449845092761797</v>
      </c>
      <c r="S165" t="s">
        <v>5748</v>
      </c>
      <c r="T165" t="s">
        <v>11164</v>
      </c>
      <c r="U165" t="s">
        <v>11164</v>
      </c>
      <c r="V165" t="s">
        <v>11164</v>
      </c>
      <c r="W165" t="s">
        <v>11329</v>
      </c>
      <c r="X165">
        <v>3</v>
      </c>
      <c r="Y165" t="s">
        <v>16859</v>
      </c>
      <c r="Z165" t="s">
        <v>22315</v>
      </c>
      <c r="AA165">
        <v>0.58003042236726843</v>
      </c>
      <c r="AB165" t="str">
        <f>HYPERLINK("Melting_Curves/meltCurve_B4DRM7_SIMC1.pdf", "Melting_Curves/meltCurve_B4DRM7_SIMC1.pdf")</f>
        <v>Melting_Curves/meltCurve_B4DRM7_SIMC1.pdf</v>
      </c>
    </row>
    <row r="166" spans="1:28" x14ac:dyDescent="0.25">
      <c r="A166" t="s">
        <v>170</v>
      </c>
      <c r="B166">
        <v>0.99796759195183404</v>
      </c>
      <c r="C166">
        <v>0.95349082298468102</v>
      </c>
      <c r="D166">
        <v>1.0229743391627899</v>
      </c>
      <c r="E166">
        <v>1.1181903727376299</v>
      </c>
      <c r="F166">
        <v>1.0022450244561001</v>
      </c>
      <c r="G166">
        <v>0.66038657554064895</v>
      </c>
      <c r="H166">
        <v>0.87313770143185299</v>
      </c>
      <c r="I166">
        <v>0.74679155799031405</v>
      </c>
      <c r="J166">
        <v>0.81704418013819002</v>
      </c>
      <c r="K166">
        <v>0.60169235969787505</v>
      </c>
      <c r="L166">
        <v>12896.422591467999</v>
      </c>
      <c r="M166">
        <v>250</v>
      </c>
      <c r="O166">
        <v>51.582389414818302</v>
      </c>
      <c r="P166">
        <v>-0.31526051518147402</v>
      </c>
      <c r="Q166">
        <v>0.73980975068889798</v>
      </c>
      <c r="R166">
        <v>0.74564296229660298</v>
      </c>
      <c r="S166" t="s">
        <v>5749</v>
      </c>
      <c r="T166" t="s">
        <v>11164</v>
      </c>
      <c r="U166" t="s">
        <v>11164</v>
      </c>
      <c r="V166" t="s">
        <v>11164</v>
      </c>
      <c r="W166" t="s">
        <v>11330</v>
      </c>
      <c r="X166">
        <v>1</v>
      </c>
      <c r="Y166" t="s">
        <v>16860</v>
      </c>
      <c r="Z166" t="s">
        <v>22316</v>
      </c>
      <c r="AA166">
        <v>0.86633512001003554</v>
      </c>
      <c r="AB166" t="str">
        <f>HYPERLINK("Melting_Curves/meltCurve_B4DS06_MPPED1.pdf", "Melting_Curves/meltCurve_B4DS06_MPPED1.pdf")</f>
        <v>Melting_Curves/meltCurve_B4DS06_MPPED1.pdf</v>
      </c>
    </row>
    <row r="167" spans="1:28" x14ac:dyDescent="0.25">
      <c r="A167" t="s">
        <v>171</v>
      </c>
      <c r="B167">
        <v>0.99796759195183404</v>
      </c>
      <c r="C167">
        <v>1.09495133381929</v>
      </c>
      <c r="D167">
        <v>1.12344668328097</v>
      </c>
      <c r="E167">
        <v>1.0366843782119599</v>
      </c>
      <c r="F167">
        <v>0.80932196664602796</v>
      </c>
      <c r="G167">
        <v>0.62412945451956903</v>
      </c>
      <c r="H167">
        <v>0.42685186825730898</v>
      </c>
      <c r="I167">
        <v>0.219815942583024</v>
      </c>
      <c r="J167">
        <v>0.13493403283719099</v>
      </c>
      <c r="K167">
        <v>0.12975846573153499</v>
      </c>
      <c r="L167">
        <v>955.84390233449096</v>
      </c>
      <c r="M167">
        <v>17.326038211209202</v>
      </c>
      <c r="N167">
        <v>55.721486565422701</v>
      </c>
      <c r="O167">
        <v>54.448873305709697</v>
      </c>
      <c r="P167">
        <v>-7.3267908161719603E-2</v>
      </c>
      <c r="Q167">
        <v>7.9044791092738306E-2</v>
      </c>
      <c r="R167">
        <v>0.97567639763716896</v>
      </c>
      <c r="S167" t="s">
        <v>5750</v>
      </c>
      <c r="T167" t="s">
        <v>11164</v>
      </c>
      <c r="U167" t="s">
        <v>11164</v>
      </c>
      <c r="V167" t="s">
        <v>11164</v>
      </c>
      <c r="W167" t="s">
        <v>11331</v>
      </c>
      <c r="X167">
        <v>5</v>
      </c>
      <c r="Y167" t="s">
        <v>16861</v>
      </c>
      <c r="Z167" t="s">
        <v>22317</v>
      </c>
      <c r="AA167">
        <v>0.64847743290824378</v>
      </c>
      <c r="AB167" t="str">
        <f>HYPERLINK("Melting_Curves/meltCurve_B4DSD4_C9orf41.pdf", "Melting_Curves/meltCurve_B4DSD4_C9orf41.pdf")</f>
        <v>Melting_Curves/meltCurve_B4DSD4_C9orf41.pdf</v>
      </c>
    </row>
    <row r="168" spans="1:28" x14ac:dyDescent="0.25">
      <c r="A168" t="s">
        <v>172</v>
      </c>
      <c r="B168">
        <v>0.99796759195183404</v>
      </c>
      <c r="C168">
        <v>1.03882486949501</v>
      </c>
      <c r="D168">
        <v>0.80630898018415598</v>
      </c>
      <c r="E168">
        <v>0.71947254373043501</v>
      </c>
      <c r="F168">
        <v>0.81992293364257895</v>
      </c>
      <c r="G168">
        <v>0.66905682499034602</v>
      </c>
      <c r="H168">
        <v>0.40045854432778999</v>
      </c>
      <c r="I168">
        <v>0.34258262642811399</v>
      </c>
      <c r="J168">
        <v>0.150199770603472</v>
      </c>
      <c r="K168">
        <v>0.205441198286269</v>
      </c>
      <c r="L168">
        <v>481.86474508113997</v>
      </c>
      <c r="M168">
        <v>8.6445722789604105</v>
      </c>
      <c r="N168">
        <v>55.741883805904202</v>
      </c>
      <c r="O168">
        <v>52.999713471696502</v>
      </c>
      <c r="P168">
        <v>-4.0810988015952801E-2</v>
      </c>
      <c r="Q168">
        <v>0</v>
      </c>
      <c r="R168">
        <v>0.929905525118087</v>
      </c>
      <c r="S168" t="s">
        <v>5751</v>
      </c>
      <c r="T168" t="s">
        <v>11164</v>
      </c>
      <c r="U168" t="s">
        <v>11164</v>
      </c>
      <c r="V168" t="s">
        <v>11164</v>
      </c>
      <c r="W168" t="s">
        <v>11332</v>
      </c>
      <c r="X168">
        <v>1</v>
      </c>
      <c r="Y168" t="s">
        <v>16862</v>
      </c>
      <c r="Z168" t="s">
        <v>22318</v>
      </c>
      <c r="AA168">
        <v>0.62814529037944733</v>
      </c>
      <c r="AB168" t="str">
        <f>HYPERLINK("Melting_Curves/meltCurve_B4DSH5_SLITRK5.pdf", "Melting_Curves/meltCurve_B4DSH5_SLITRK5.pdf")</f>
        <v>Melting_Curves/meltCurve_B4DSH5_SLITRK5.pdf</v>
      </c>
    </row>
    <row r="169" spans="1:28" x14ac:dyDescent="0.25">
      <c r="A169" t="s">
        <v>173</v>
      </c>
      <c r="B169">
        <v>0.99796759195183404</v>
      </c>
      <c r="C169">
        <v>0.92800609034414006</v>
      </c>
      <c r="D169">
        <v>0.89921121421892303</v>
      </c>
      <c r="E169">
        <v>0.86854929582387796</v>
      </c>
      <c r="F169">
        <v>0.737051205759508</v>
      </c>
      <c r="G169">
        <v>0.48227673358005302</v>
      </c>
      <c r="H169">
        <v>0.17401266834710499</v>
      </c>
      <c r="I169">
        <v>0.14289753339417</v>
      </c>
      <c r="J169">
        <v>0.110012485332318</v>
      </c>
      <c r="K169">
        <v>7.9542695280309106E-2</v>
      </c>
      <c r="L169">
        <v>830.86979061897296</v>
      </c>
      <c r="M169">
        <v>15.737481224650001</v>
      </c>
      <c r="N169">
        <v>53.039557023461498</v>
      </c>
      <c r="O169">
        <v>51.965188306965999</v>
      </c>
      <c r="P169">
        <v>-7.3074383498778206E-2</v>
      </c>
      <c r="Q169">
        <v>3.4913951372486603E-2</v>
      </c>
      <c r="R169">
        <v>0.98577604245808703</v>
      </c>
      <c r="S169" t="s">
        <v>5752</v>
      </c>
      <c r="T169" t="s">
        <v>11164</v>
      </c>
      <c r="U169" t="s">
        <v>11164</v>
      </c>
      <c r="V169" t="s">
        <v>11164</v>
      </c>
      <c r="W169" t="s">
        <v>11219</v>
      </c>
      <c r="X169">
        <v>23</v>
      </c>
      <c r="Y169" t="s">
        <v>16863</v>
      </c>
      <c r="Z169" t="s">
        <v>22319</v>
      </c>
      <c r="AA169">
        <v>0.55969902184571574</v>
      </c>
      <c r="AB169" t="str">
        <f>HYPERLINK("Melting_Curves/meltCurve_B4DT77_ANXA7.pdf", "Melting_Curves/meltCurve_B4DT77_ANXA7.pdf")</f>
        <v>Melting_Curves/meltCurve_B4DT77_ANXA7.pdf</v>
      </c>
    </row>
    <row r="170" spans="1:28" x14ac:dyDescent="0.25">
      <c r="A170" t="s">
        <v>174</v>
      </c>
      <c r="B170">
        <v>0.99796759195183404</v>
      </c>
      <c r="C170">
        <v>0.94130717727021096</v>
      </c>
      <c r="D170">
        <v>0.97640725923446303</v>
      </c>
      <c r="E170">
        <v>0.88123294865151902</v>
      </c>
      <c r="F170">
        <v>0.80831909682700298</v>
      </c>
      <c r="G170">
        <v>0.820992969620992</v>
      </c>
      <c r="H170">
        <v>0.52334529955233</v>
      </c>
      <c r="I170">
        <v>0.42640763528530501</v>
      </c>
      <c r="J170">
        <v>0.214887139324065</v>
      </c>
      <c r="K170">
        <v>0.19107734729341899</v>
      </c>
      <c r="L170">
        <v>658.08833180904401</v>
      </c>
      <c r="M170">
        <v>11.256470246815599</v>
      </c>
      <c r="N170">
        <v>58.463116587998599</v>
      </c>
      <c r="O170">
        <v>56.709100227432103</v>
      </c>
      <c r="P170">
        <v>-4.963906328151E-2</v>
      </c>
      <c r="Q170">
        <v>0</v>
      </c>
      <c r="R170">
        <v>0.97164485514346899</v>
      </c>
      <c r="S170" t="s">
        <v>5753</v>
      </c>
      <c r="T170" t="s">
        <v>11164</v>
      </c>
      <c r="U170" t="s">
        <v>11164</v>
      </c>
      <c r="V170" t="s">
        <v>11164</v>
      </c>
      <c r="W170" t="s">
        <v>11333</v>
      </c>
      <c r="X170">
        <v>3</v>
      </c>
      <c r="Y170" t="s">
        <v>16864</v>
      </c>
      <c r="Z170" t="s">
        <v>22320</v>
      </c>
      <c r="AA170">
        <v>0.70847860678222729</v>
      </c>
      <c r="AB170" t="str">
        <f>HYPERLINK("Melting_Curves/meltCurve_B4DTA3_SLC25A46.pdf", "Melting_Curves/meltCurve_B4DTA3_SLC25A46.pdf")</f>
        <v>Melting_Curves/meltCurve_B4DTA3_SLC25A46.pdf</v>
      </c>
    </row>
    <row r="171" spans="1:28" x14ac:dyDescent="0.25">
      <c r="A171" t="s">
        <v>175</v>
      </c>
      <c r="B171">
        <v>0.99796759195183404</v>
      </c>
      <c r="C171">
        <v>0.94696739688397702</v>
      </c>
      <c r="D171">
        <v>0.73046178092597702</v>
      </c>
      <c r="E171">
        <v>0.83769249991162997</v>
      </c>
      <c r="F171">
        <v>0.68710815366875599</v>
      </c>
      <c r="G171">
        <v>0.63151998782562202</v>
      </c>
      <c r="H171">
        <v>0.611310423489699</v>
      </c>
      <c r="I171">
        <v>0.61143801163827305</v>
      </c>
      <c r="J171">
        <v>0.48314823942268798</v>
      </c>
      <c r="K171">
        <v>0.33042913818537101</v>
      </c>
      <c r="L171">
        <v>252.67619224291599</v>
      </c>
      <c r="M171">
        <v>4.0774345981523501</v>
      </c>
      <c r="N171">
        <v>61.969404355340501</v>
      </c>
      <c r="O171">
        <v>51.180853306788698</v>
      </c>
      <c r="P171">
        <v>-2.01574890803311E-2</v>
      </c>
      <c r="Q171">
        <v>0</v>
      </c>
      <c r="R171">
        <v>0.88172438008394804</v>
      </c>
      <c r="S171" t="s">
        <v>5754</v>
      </c>
      <c r="T171" t="s">
        <v>11164</v>
      </c>
      <c r="U171" t="s">
        <v>11164</v>
      </c>
      <c r="V171" t="s">
        <v>11164</v>
      </c>
      <c r="W171" t="s">
        <v>11334</v>
      </c>
      <c r="X171">
        <v>1</v>
      </c>
      <c r="Y171" t="s">
        <v>16865</v>
      </c>
      <c r="Z171" t="s">
        <v>22321</v>
      </c>
      <c r="AA171">
        <v>0.68612163919204694</v>
      </c>
      <c r="AB171" t="str">
        <f>HYPERLINK("Melting_Curves/meltCurve_B4DUB9_SLC35F2.pdf", "Melting_Curves/meltCurve_B4DUB9_SLC35F2.pdf")</f>
        <v>Melting_Curves/meltCurve_B4DUB9_SLC35F2.pdf</v>
      </c>
    </row>
    <row r="172" spans="1:28" x14ac:dyDescent="0.25">
      <c r="A172" t="s">
        <v>176</v>
      </c>
      <c r="B172">
        <v>0.99796759195183404</v>
      </c>
      <c r="C172">
        <v>0.96794763263889505</v>
      </c>
      <c r="D172">
        <v>0.94863539876457903</v>
      </c>
      <c r="E172">
        <v>0.91923328297909901</v>
      </c>
      <c r="F172">
        <v>0.77804370149896096</v>
      </c>
      <c r="G172">
        <v>0.67315264991245405</v>
      </c>
      <c r="H172">
        <v>0.57632896300592495</v>
      </c>
      <c r="I172">
        <v>0.44672120921893099</v>
      </c>
      <c r="J172">
        <v>0.31616379706851599</v>
      </c>
      <c r="K172">
        <v>0.100633915132135</v>
      </c>
      <c r="L172">
        <v>565.70032498601904</v>
      </c>
      <c r="M172">
        <v>9.7258460274597702</v>
      </c>
      <c r="N172">
        <v>58.164647624121201</v>
      </c>
      <c r="O172">
        <v>55.865433962652197</v>
      </c>
      <c r="P172">
        <v>-4.3547080023374797E-2</v>
      </c>
      <c r="Q172">
        <v>0</v>
      </c>
      <c r="R172">
        <v>0.97343677668327899</v>
      </c>
      <c r="S172" t="s">
        <v>5755</v>
      </c>
      <c r="T172" t="s">
        <v>11164</v>
      </c>
      <c r="U172" t="s">
        <v>11164</v>
      </c>
      <c r="V172" t="s">
        <v>11164</v>
      </c>
      <c r="W172" t="s">
        <v>11198</v>
      </c>
      <c r="X172">
        <v>23</v>
      </c>
      <c r="Y172" t="s">
        <v>16728</v>
      </c>
      <c r="Z172" t="s">
        <v>22322</v>
      </c>
      <c r="AA172">
        <v>0.69417649729525366</v>
      </c>
      <c r="AB172" t="str">
        <f>HYPERLINK("Melting_Curves/meltCurve_B4DUS9_BPNT1.pdf", "Melting_Curves/meltCurve_B4DUS9_BPNT1.pdf")</f>
        <v>Melting_Curves/meltCurve_B4DUS9_BPNT1.pdf</v>
      </c>
    </row>
    <row r="173" spans="1:28" x14ac:dyDescent="0.25">
      <c r="A173" t="s">
        <v>177</v>
      </c>
      <c r="B173">
        <v>0.99796759195183404</v>
      </c>
      <c r="C173">
        <v>0.96070457965244604</v>
      </c>
      <c r="D173">
        <v>0.97234327477773796</v>
      </c>
      <c r="E173">
        <v>0.84983310239174503</v>
      </c>
      <c r="F173">
        <v>0.75447878392890999</v>
      </c>
      <c r="G173">
        <v>0.36463689162048801</v>
      </c>
      <c r="H173">
        <v>0.17368506645374501</v>
      </c>
      <c r="I173">
        <v>0.128730550726188</v>
      </c>
      <c r="J173">
        <v>0.118177426011754</v>
      </c>
      <c r="K173">
        <v>8.3880667806194603E-2</v>
      </c>
      <c r="L173">
        <v>1063.76225596012</v>
      </c>
      <c r="M173">
        <v>20.469553471633201</v>
      </c>
      <c r="N173">
        <v>52.411567610877299</v>
      </c>
      <c r="O173">
        <v>51.479660813709998</v>
      </c>
      <c r="P173">
        <v>-9.1503318909691905E-2</v>
      </c>
      <c r="Q173">
        <v>7.9526522838113095E-2</v>
      </c>
      <c r="R173">
        <v>0.99227695244393199</v>
      </c>
      <c r="S173" t="s">
        <v>5756</v>
      </c>
      <c r="T173" t="s">
        <v>11164</v>
      </c>
      <c r="U173" t="s">
        <v>11164</v>
      </c>
      <c r="V173" t="s">
        <v>11164</v>
      </c>
      <c r="W173" t="s">
        <v>11219</v>
      </c>
      <c r="X173">
        <v>32</v>
      </c>
      <c r="Y173" t="s">
        <v>16866</v>
      </c>
      <c r="Z173" t="s">
        <v>22323</v>
      </c>
      <c r="AA173">
        <v>0.55024741852104719</v>
      </c>
      <c r="AB173" t="str">
        <f>HYPERLINK("Melting_Curves/meltCurve_B4DVE7_ANXA11.pdf", "Melting_Curves/meltCurve_B4DVE7_ANXA11.pdf")</f>
        <v>Melting_Curves/meltCurve_B4DVE7_ANXA11.pdf</v>
      </c>
    </row>
    <row r="174" spans="1:28" x14ac:dyDescent="0.25">
      <c r="A174" t="s">
        <v>178</v>
      </c>
      <c r="B174">
        <v>0.99796759195183404</v>
      </c>
      <c r="C174">
        <v>1.00500619656071</v>
      </c>
      <c r="D174">
        <v>1.0215400651240401</v>
      </c>
      <c r="E174">
        <v>0.87622683539614798</v>
      </c>
      <c r="F174">
        <v>0.47249182607037599</v>
      </c>
      <c r="G174">
        <v>0.24522655802645399</v>
      </c>
      <c r="H174">
        <v>0.207400913634437</v>
      </c>
      <c r="I174">
        <v>0.18190704896297399</v>
      </c>
      <c r="J174">
        <v>0.155651855958089</v>
      </c>
      <c r="K174">
        <v>0.11624960704348899</v>
      </c>
      <c r="L174">
        <v>1413.6206130101</v>
      </c>
      <c r="M174">
        <v>28.630845226575701</v>
      </c>
      <c r="N174">
        <v>50.054887862563902</v>
      </c>
      <c r="O174">
        <v>49.135068577349898</v>
      </c>
      <c r="P174">
        <v>-0.12218069507908499</v>
      </c>
      <c r="Q174">
        <v>0.16128104496123999</v>
      </c>
      <c r="R174">
        <v>0.99663153776968505</v>
      </c>
      <c r="S174" t="s">
        <v>5757</v>
      </c>
      <c r="T174" t="s">
        <v>11164</v>
      </c>
      <c r="U174" t="s">
        <v>11164</v>
      </c>
      <c r="V174" t="s">
        <v>11164</v>
      </c>
      <c r="W174" t="s">
        <v>11335</v>
      </c>
      <c r="X174">
        <v>11</v>
      </c>
      <c r="Y174" t="s">
        <v>16867</v>
      </c>
      <c r="Z174" t="s">
        <v>22324</v>
      </c>
      <c r="AA174">
        <v>0.51281196730847511</v>
      </c>
      <c r="AB174" t="str">
        <f>HYPERLINK("Melting_Curves/meltCurve_B4DVY1_EIF3D.pdf", "Melting_Curves/meltCurve_B4DVY1_EIF3D.pdf")</f>
        <v>Melting_Curves/meltCurve_B4DVY1_EIF3D.pdf</v>
      </c>
    </row>
    <row r="175" spans="1:28" x14ac:dyDescent="0.25">
      <c r="A175" t="s">
        <v>179</v>
      </c>
      <c r="B175">
        <v>0.99796759195183404</v>
      </c>
      <c r="C175">
        <v>1.1277261786127999</v>
      </c>
      <c r="D175">
        <v>1.08696405960036</v>
      </c>
      <c r="E175">
        <v>0.94856087387772103</v>
      </c>
      <c r="F175">
        <v>0.85522849815509905</v>
      </c>
      <c r="G175">
        <v>0.52033391199576795</v>
      </c>
      <c r="H175">
        <v>0.40998668556564899</v>
      </c>
      <c r="I175">
        <v>0.21851501951124899</v>
      </c>
      <c r="J175">
        <v>0.23268475390542101</v>
      </c>
      <c r="K175">
        <v>0.160556875101349</v>
      </c>
      <c r="L175">
        <v>1058.8916591110501</v>
      </c>
      <c r="M175">
        <v>19.750140642036101</v>
      </c>
      <c r="N175">
        <v>54.801828147407001</v>
      </c>
      <c r="O175">
        <v>53.073814327453697</v>
      </c>
      <c r="P175">
        <v>-7.6839552406422401E-2</v>
      </c>
      <c r="Q175">
        <v>0.174076162853989</v>
      </c>
      <c r="R175">
        <v>0.97431253760913505</v>
      </c>
      <c r="S175" t="s">
        <v>5758</v>
      </c>
      <c r="T175" t="s">
        <v>11164</v>
      </c>
      <c r="U175" t="s">
        <v>11164</v>
      </c>
      <c r="V175" t="s">
        <v>11164</v>
      </c>
      <c r="W175" t="s">
        <v>11336</v>
      </c>
      <c r="X175">
        <v>2</v>
      </c>
      <c r="Y175" t="s">
        <v>16868</v>
      </c>
      <c r="Z175" t="s">
        <v>22325</v>
      </c>
      <c r="AA175">
        <v>0.64182565149317117</v>
      </c>
      <c r="AB175" t="str">
        <f>HYPERLINK("Melting_Curves/meltCurve_B4DWA1_BAIAP2.pdf", "Melting_Curves/meltCurve_B4DWA1_BAIAP2.pdf")</f>
        <v>Melting_Curves/meltCurve_B4DWA1_BAIAP2.pdf</v>
      </c>
    </row>
    <row r="176" spans="1:28" x14ac:dyDescent="0.25">
      <c r="A176" t="s">
        <v>180</v>
      </c>
      <c r="B176">
        <v>0.99796759195183404</v>
      </c>
      <c r="C176">
        <v>1.0269522912045801</v>
      </c>
      <c r="D176">
        <v>1.01424214452123</v>
      </c>
      <c r="E176">
        <v>0.94010298423974303</v>
      </c>
      <c r="F176">
        <v>0.81090592458499</v>
      </c>
      <c r="G176">
        <v>1.15538805415574</v>
      </c>
      <c r="H176">
        <v>1.00237197820135</v>
      </c>
      <c r="I176">
        <v>1.0392235130041301</v>
      </c>
      <c r="J176">
        <v>0.77192630502838</v>
      </c>
      <c r="K176">
        <v>0.36814275394512302</v>
      </c>
      <c r="L176">
        <v>15000</v>
      </c>
      <c r="M176">
        <v>233.438034894597</v>
      </c>
      <c r="N176">
        <v>64.625773541955695</v>
      </c>
      <c r="O176">
        <v>64.252164779528798</v>
      </c>
      <c r="P176">
        <v>-0.57394937250479905</v>
      </c>
      <c r="Q176">
        <v>0.36809801189960201</v>
      </c>
      <c r="R176">
        <v>0.85043261556994898</v>
      </c>
      <c r="S176" t="s">
        <v>5759</v>
      </c>
      <c r="T176" t="s">
        <v>11164</v>
      </c>
      <c r="U176" t="s">
        <v>11164</v>
      </c>
      <c r="V176" t="s">
        <v>11164</v>
      </c>
      <c r="W176" t="s">
        <v>11337</v>
      </c>
      <c r="X176">
        <v>9</v>
      </c>
      <c r="Y176" t="s">
        <v>16869</v>
      </c>
      <c r="Z176" t="s">
        <v>22326</v>
      </c>
      <c r="AA176">
        <v>0.94230186846765895</v>
      </c>
      <c r="AB176" t="str">
        <f>HYPERLINK("Melting_Curves/meltCurve_B4DWI1_HACL1.pdf", "Melting_Curves/meltCurve_B4DWI1_HACL1.pdf")</f>
        <v>Melting_Curves/meltCurve_B4DWI1_HACL1.pdf</v>
      </c>
    </row>
    <row r="177" spans="1:28" x14ac:dyDescent="0.25">
      <c r="A177" t="s">
        <v>181</v>
      </c>
      <c r="B177">
        <v>0.99796759195183404</v>
      </c>
      <c r="C177">
        <v>1.0203044748200101</v>
      </c>
      <c r="D177">
        <v>1.0391012543097</v>
      </c>
      <c r="E177">
        <v>1.0508289016024099</v>
      </c>
      <c r="F177">
        <v>0.78987669249221804</v>
      </c>
      <c r="G177">
        <v>0.44468165656721798</v>
      </c>
      <c r="H177">
        <v>0.24957667952078699</v>
      </c>
      <c r="I177">
        <v>0.20986525060168501</v>
      </c>
      <c r="J177">
        <v>0.26228117571048698</v>
      </c>
      <c r="K177">
        <v>0.108764420032194</v>
      </c>
      <c r="L177">
        <v>1508.6609137835901</v>
      </c>
      <c r="M177">
        <v>28.852391882586801</v>
      </c>
      <c r="N177">
        <v>53.1625766299764</v>
      </c>
      <c r="O177">
        <v>52.039659377706599</v>
      </c>
      <c r="P177">
        <v>-0.11244070614445301</v>
      </c>
      <c r="Q177">
        <v>0.188790448204639</v>
      </c>
      <c r="R177">
        <v>0.98614596867535997</v>
      </c>
      <c r="S177" t="s">
        <v>5760</v>
      </c>
      <c r="T177" t="s">
        <v>11164</v>
      </c>
      <c r="U177" t="s">
        <v>11164</v>
      </c>
      <c r="V177" t="s">
        <v>11164</v>
      </c>
      <c r="W177" t="s">
        <v>11338</v>
      </c>
      <c r="X177">
        <v>1</v>
      </c>
      <c r="Y177" t="s">
        <v>16870</v>
      </c>
      <c r="Z177" t="s">
        <v>22327</v>
      </c>
      <c r="AA177">
        <v>0.60773530185224722</v>
      </c>
      <c r="AB177" t="str">
        <f>HYPERLINK("Melting_Curves/meltCurve_B4DWL9_MPP7.pdf", "Melting_Curves/meltCurve_B4DWL9_MPP7.pdf")</f>
        <v>Melting_Curves/meltCurve_B4DWL9_MPP7.pdf</v>
      </c>
    </row>
    <row r="178" spans="1:28" x14ac:dyDescent="0.25">
      <c r="A178" t="s">
        <v>182</v>
      </c>
      <c r="B178">
        <v>0.99796759195183404</v>
      </c>
      <c r="C178">
        <v>0.99973472704660205</v>
      </c>
      <c r="D178">
        <v>0.91487906738439495</v>
      </c>
      <c r="E178">
        <v>0.97805378435215895</v>
      </c>
      <c r="F178">
        <v>0.75082044695025196</v>
      </c>
      <c r="G178">
        <v>0.42906055324854098</v>
      </c>
      <c r="H178">
        <v>0.33767634864709001</v>
      </c>
      <c r="I178">
        <v>0.29766380774925799</v>
      </c>
      <c r="J178">
        <v>0.147667072565283</v>
      </c>
      <c r="K178">
        <v>0.111861632465949</v>
      </c>
      <c r="L178">
        <v>885.85623416821397</v>
      </c>
      <c r="M178">
        <v>16.8002339208258</v>
      </c>
      <c r="N178">
        <v>53.716750733364897</v>
      </c>
      <c r="O178">
        <v>51.998733017009101</v>
      </c>
      <c r="P178">
        <v>-7.0041884100391194E-2</v>
      </c>
      <c r="Q178">
        <v>0.13290436247324</v>
      </c>
      <c r="R178">
        <v>0.98064958069740504</v>
      </c>
      <c r="S178" t="s">
        <v>5761</v>
      </c>
      <c r="T178" t="s">
        <v>11164</v>
      </c>
      <c r="U178" t="s">
        <v>11164</v>
      </c>
      <c r="V178" t="s">
        <v>11164</v>
      </c>
      <c r="W178" t="s">
        <v>11339</v>
      </c>
      <c r="X178">
        <v>4</v>
      </c>
      <c r="Y178" t="s">
        <v>16871</v>
      </c>
      <c r="Z178" t="s">
        <v>22328</v>
      </c>
      <c r="AA178">
        <v>0.60144696863763991</v>
      </c>
      <c r="AB178" t="str">
        <f>HYPERLINK("Melting_Curves/meltCurve_B4DXZ6_FXR1.pdf", "Melting_Curves/meltCurve_B4DXZ6_FXR1.pdf")</f>
        <v>Melting_Curves/meltCurve_B4DXZ6_FXR1.pdf</v>
      </c>
    </row>
    <row r="179" spans="1:28" x14ac:dyDescent="0.25">
      <c r="A179" t="s">
        <v>183</v>
      </c>
      <c r="B179">
        <v>0.99796759195183404</v>
      </c>
      <c r="C179">
        <v>0.98320716150131504</v>
      </c>
      <c r="D179">
        <v>0.97242046460930598</v>
      </c>
      <c r="E179">
        <v>0.84468904160880798</v>
      </c>
      <c r="F179">
        <v>0.70250614258035504</v>
      </c>
      <c r="G179">
        <v>0.69872543343195603</v>
      </c>
      <c r="H179">
        <v>0.54992002135384299</v>
      </c>
      <c r="I179">
        <v>0.232934232893386</v>
      </c>
      <c r="J179">
        <v>0.20793497275448999</v>
      </c>
      <c r="K179">
        <v>0.13023128899469</v>
      </c>
      <c r="L179">
        <v>588.94821153381895</v>
      </c>
      <c r="M179">
        <v>10.445967168730199</v>
      </c>
      <c r="N179">
        <v>56.380444383501199</v>
      </c>
      <c r="O179">
        <v>54.431682415486002</v>
      </c>
      <c r="P179">
        <v>-4.79971707770201E-2</v>
      </c>
      <c r="Q179">
        <v>0</v>
      </c>
      <c r="R179">
        <v>0.96875720475076299</v>
      </c>
      <c r="S179" t="s">
        <v>5762</v>
      </c>
      <c r="T179" t="s">
        <v>11164</v>
      </c>
      <c r="U179" t="s">
        <v>11164</v>
      </c>
      <c r="V179" t="s">
        <v>11164</v>
      </c>
      <c r="W179" t="s">
        <v>11340</v>
      </c>
      <c r="X179">
        <v>5</v>
      </c>
      <c r="Y179" t="s">
        <v>16872</v>
      </c>
      <c r="Z179" t="s">
        <v>22329</v>
      </c>
      <c r="AA179">
        <v>0.65081407162467964</v>
      </c>
      <c r="AB179" t="str">
        <f>HYPERLINK("Melting_Curves/meltCurve_B4DYB4_NUP35.pdf", "Melting_Curves/meltCurve_B4DYB4_NUP35.pdf")</f>
        <v>Melting_Curves/meltCurve_B4DYB4_NUP35.pdf</v>
      </c>
    </row>
    <row r="180" spans="1:28" x14ac:dyDescent="0.25">
      <c r="A180" t="s">
        <v>184</v>
      </c>
      <c r="B180">
        <v>0.99796759195183404</v>
      </c>
      <c r="C180">
        <v>0.96084975535385697</v>
      </c>
      <c r="D180">
        <v>1.08041442026399</v>
      </c>
      <c r="E180">
        <v>0.93583317530422805</v>
      </c>
      <c r="F180">
        <v>0.98893443630591604</v>
      </c>
      <c r="G180">
        <v>0.57619776001115797</v>
      </c>
      <c r="H180">
        <v>0.37680432864998298</v>
      </c>
      <c r="I180">
        <v>0.29752206903768702</v>
      </c>
      <c r="J180">
        <v>0.24638871105510801</v>
      </c>
      <c r="K180">
        <v>0.12125514846843501</v>
      </c>
      <c r="L180">
        <v>1378.52660045484</v>
      </c>
      <c r="M180">
        <v>25.4511316364561</v>
      </c>
      <c r="N180">
        <v>55.270094672999903</v>
      </c>
      <c r="O180">
        <v>53.832600925200097</v>
      </c>
      <c r="P180">
        <v>-9.4605020586245703E-2</v>
      </c>
      <c r="Q180">
        <v>0.199600144122697</v>
      </c>
      <c r="R180">
        <v>0.97369410244319099</v>
      </c>
      <c r="S180" t="s">
        <v>5763</v>
      </c>
      <c r="T180" t="s">
        <v>11164</v>
      </c>
      <c r="U180" t="s">
        <v>11164</v>
      </c>
      <c r="V180" t="s">
        <v>11164</v>
      </c>
      <c r="W180" t="s">
        <v>11341</v>
      </c>
      <c r="X180">
        <v>2</v>
      </c>
      <c r="Y180" t="s">
        <v>16873</v>
      </c>
      <c r="Z180" t="s">
        <v>22330</v>
      </c>
      <c r="AA180">
        <v>0.66429487252896602</v>
      </c>
      <c r="AB180" t="str">
        <f>HYPERLINK("Melting_Curves/meltCurve_B4DZG7_ARL1.pdf", "Melting_Curves/meltCurve_B4DZG7_ARL1.pdf")</f>
        <v>Melting_Curves/meltCurve_B4DZG7_ARL1.pdf</v>
      </c>
    </row>
    <row r="181" spans="1:28" x14ac:dyDescent="0.25">
      <c r="A181" t="s">
        <v>185</v>
      </c>
      <c r="B181">
        <v>0.99796759195183404</v>
      </c>
      <c r="C181">
        <v>1.0561096801721499</v>
      </c>
      <c r="D181">
        <v>0.93306927613209301</v>
      </c>
      <c r="E181">
        <v>0.87686293083762801</v>
      </c>
      <c r="F181">
        <v>0.65258584278092902</v>
      </c>
      <c r="G181">
        <v>0.29627122572532499</v>
      </c>
      <c r="H181">
        <v>0.144849055032995</v>
      </c>
      <c r="I181">
        <v>0.105500455160071</v>
      </c>
      <c r="J181">
        <v>5.3264670388706102E-2</v>
      </c>
      <c r="K181">
        <v>7.1838301429658705E-2</v>
      </c>
      <c r="L181">
        <v>1050.09878886501</v>
      </c>
      <c r="M181">
        <v>20.486109703084999</v>
      </c>
      <c r="N181">
        <v>51.547812967318301</v>
      </c>
      <c r="O181">
        <v>50.778121576353797</v>
      </c>
      <c r="P181">
        <v>-9.5396320306479598E-2</v>
      </c>
      <c r="Q181">
        <v>5.4207250695595302E-2</v>
      </c>
      <c r="R181">
        <v>0.99522672687539404</v>
      </c>
      <c r="S181" t="s">
        <v>5764</v>
      </c>
      <c r="T181" t="s">
        <v>11164</v>
      </c>
      <c r="U181" t="s">
        <v>11164</v>
      </c>
      <c r="V181" t="s">
        <v>11164</v>
      </c>
      <c r="W181" t="s">
        <v>11342</v>
      </c>
      <c r="X181">
        <v>4</v>
      </c>
      <c r="Y181" t="s">
        <v>16874</v>
      </c>
      <c r="Z181" t="s">
        <v>22331</v>
      </c>
      <c r="AA181">
        <v>0.51561325473567654</v>
      </c>
      <c r="AB181" t="str">
        <f>HYPERLINK("Melting_Curves/meltCurve_B4DZH6_HDAC6.pdf", "Melting_Curves/meltCurve_B4DZH6_HDAC6.pdf")</f>
        <v>Melting_Curves/meltCurve_B4DZH6_HDAC6.pdf</v>
      </c>
    </row>
    <row r="182" spans="1:28" x14ac:dyDescent="0.25">
      <c r="A182" t="s">
        <v>186</v>
      </c>
      <c r="B182">
        <v>0.99796759195183404</v>
      </c>
      <c r="C182">
        <v>0.918889188033574</v>
      </c>
      <c r="D182">
        <v>0.91102096442810798</v>
      </c>
      <c r="E182">
        <v>0.73296966859207002</v>
      </c>
      <c r="F182">
        <v>0.67407059002819603</v>
      </c>
      <c r="G182">
        <v>0.83854733075281396</v>
      </c>
      <c r="H182">
        <v>0.88385843090982197</v>
      </c>
      <c r="I182">
        <v>0.63357687845757804</v>
      </c>
      <c r="J182">
        <v>0.47848589952362802</v>
      </c>
      <c r="K182">
        <v>0.26328266825924401</v>
      </c>
      <c r="L182">
        <v>335.77323521698798</v>
      </c>
      <c r="M182">
        <v>5.2302655957477802</v>
      </c>
      <c r="N182">
        <v>64.198122944542803</v>
      </c>
      <c r="O182">
        <v>56.603542991181001</v>
      </c>
      <c r="P182">
        <v>-2.32216704759723E-2</v>
      </c>
      <c r="Q182">
        <v>0</v>
      </c>
      <c r="R182">
        <v>0.68851997735737702</v>
      </c>
      <c r="S182" t="s">
        <v>5765</v>
      </c>
      <c r="T182" t="s">
        <v>11164</v>
      </c>
      <c r="U182" t="s">
        <v>11164</v>
      </c>
      <c r="V182" t="s">
        <v>11164</v>
      </c>
      <c r="W182" t="s">
        <v>11343</v>
      </c>
      <c r="X182">
        <v>3</v>
      </c>
      <c r="Y182" t="s">
        <v>16875</v>
      </c>
      <c r="Z182" t="s">
        <v>22332</v>
      </c>
      <c r="AA182">
        <v>0.75149340980786172</v>
      </c>
      <c r="AB182" t="str">
        <f>HYPERLINK("Melting_Curves/meltCurve_B4DZP4_DYNC1LI2.pdf", "Melting_Curves/meltCurve_B4DZP4_DYNC1LI2.pdf")</f>
        <v>Melting_Curves/meltCurve_B4DZP4_DYNC1LI2.pdf</v>
      </c>
    </row>
    <row r="183" spans="1:28" x14ac:dyDescent="0.25">
      <c r="A183" t="s">
        <v>187</v>
      </c>
      <c r="B183">
        <v>0.99796759195183404</v>
      </c>
      <c r="C183">
        <v>0.95361586283269395</v>
      </c>
      <c r="D183">
        <v>0.90243294248783301</v>
      </c>
      <c r="E183">
        <v>0.86068063635988001</v>
      </c>
      <c r="F183">
        <v>0.79740978716593303</v>
      </c>
      <c r="G183">
        <v>0.593660364013745</v>
      </c>
      <c r="H183">
        <v>0.21577159649594399</v>
      </c>
      <c r="I183">
        <v>0.141821411269517</v>
      </c>
      <c r="J183">
        <v>0.110475515973389</v>
      </c>
      <c r="K183">
        <v>7.6881844735154095E-2</v>
      </c>
      <c r="L183">
        <v>858.78083980287204</v>
      </c>
      <c r="M183">
        <v>15.894679810747901</v>
      </c>
      <c r="N183">
        <v>54.142231030548402</v>
      </c>
      <c r="O183">
        <v>53.195925810380402</v>
      </c>
      <c r="P183">
        <v>-7.3488333915201598E-2</v>
      </c>
      <c r="Q183">
        <v>1.6283349559917101E-2</v>
      </c>
      <c r="R183">
        <v>0.98126666915192495</v>
      </c>
      <c r="S183" t="s">
        <v>5766</v>
      </c>
      <c r="T183" t="s">
        <v>11164</v>
      </c>
      <c r="U183" t="s">
        <v>11164</v>
      </c>
      <c r="V183" t="s">
        <v>11164</v>
      </c>
      <c r="W183" t="s">
        <v>11344</v>
      </c>
      <c r="X183">
        <v>9</v>
      </c>
      <c r="Y183" t="s">
        <v>16876</v>
      </c>
      <c r="Z183" t="s">
        <v>22333</v>
      </c>
      <c r="AA183">
        <v>0.58987089504919321</v>
      </c>
      <c r="AB183" t="str">
        <f>HYPERLINK("Melting_Curves/meltCurve_B4DZW6_RMDN1.pdf", "Melting_Curves/meltCurve_B4DZW6_RMDN1.pdf")</f>
        <v>Melting_Curves/meltCurve_B4DZW6_RMDN1.pdf</v>
      </c>
    </row>
    <row r="184" spans="1:28" x14ac:dyDescent="0.25">
      <c r="A184" t="s">
        <v>188</v>
      </c>
      <c r="B184">
        <v>0.99796759195183404</v>
      </c>
      <c r="C184">
        <v>1.0043037661618499</v>
      </c>
      <c r="D184">
        <v>0.94036957632672702</v>
      </c>
      <c r="E184">
        <v>0.92141586880048398</v>
      </c>
      <c r="F184">
        <v>0.73391589845963201</v>
      </c>
      <c r="G184">
        <v>0.31178554290973798</v>
      </c>
      <c r="H184">
        <v>0.236699585358769</v>
      </c>
      <c r="I184">
        <v>0.17474772230376001</v>
      </c>
      <c r="J184">
        <v>0.165187117713993</v>
      </c>
      <c r="K184">
        <v>0.125252342335961</v>
      </c>
      <c r="L184">
        <v>1386.56278601892</v>
      </c>
      <c r="M184">
        <v>26.987319835757699</v>
      </c>
      <c r="N184">
        <v>52.087933182347598</v>
      </c>
      <c r="O184">
        <v>51.098662657831902</v>
      </c>
      <c r="P184">
        <v>-0.11172599655698</v>
      </c>
      <c r="Q184">
        <v>0.15382557141869399</v>
      </c>
      <c r="R184">
        <v>0.99391596958823802</v>
      </c>
      <c r="S184" t="s">
        <v>5767</v>
      </c>
      <c r="T184" t="s">
        <v>11164</v>
      </c>
      <c r="U184" t="s">
        <v>11164</v>
      </c>
      <c r="V184" t="s">
        <v>11164</v>
      </c>
      <c r="W184" t="s">
        <v>11345</v>
      </c>
      <c r="X184">
        <v>8</v>
      </c>
      <c r="Y184" t="s">
        <v>16877</v>
      </c>
      <c r="Z184" t="s">
        <v>22334</v>
      </c>
      <c r="AA184">
        <v>0.56586603693663129</v>
      </c>
      <c r="AB184" t="str">
        <f>HYPERLINK("Melting_Curves/meltCurve_B4E0G4_PHF6.pdf", "Melting_Curves/meltCurve_B4E0G4_PHF6.pdf")</f>
        <v>Melting_Curves/meltCurve_B4E0G4_PHF6.pdf</v>
      </c>
    </row>
    <row r="185" spans="1:28" x14ac:dyDescent="0.25">
      <c r="A185" t="s">
        <v>189</v>
      </c>
      <c r="B185">
        <v>0.99796759195183404</v>
      </c>
      <c r="C185">
        <v>0.96050666050778499</v>
      </c>
      <c r="D185">
        <v>0.91295634542350301</v>
      </c>
      <c r="E185">
        <v>0.98334036700277605</v>
      </c>
      <c r="F185">
        <v>0.75908654468580095</v>
      </c>
      <c r="G185">
        <v>0.42594221464394799</v>
      </c>
      <c r="H185">
        <v>0.29371460737938598</v>
      </c>
      <c r="I185">
        <v>0.21971325884746401</v>
      </c>
      <c r="J185">
        <v>0.19185070349578001</v>
      </c>
      <c r="K185">
        <v>0.18614884998807901</v>
      </c>
      <c r="L185">
        <v>1242.7810695804401</v>
      </c>
      <c r="M185">
        <v>23.902447068159098</v>
      </c>
      <c r="N185">
        <v>53.067489960618303</v>
      </c>
      <c r="O185">
        <v>51.634054003110997</v>
      </c>
      <c r="P185">
        <v>-9.3544880225131799E-2</v>
      </c>
      <c r="Q185">
        <v>0.191710579603866</v>
      </c>
      <c r="R185">
        <v>0.991225440635227</v>
      </c>
      <c r="S185" t="s">
        <v>5768</v>
      </c>
      <c r="T185" t="s">
        <v>11164</v>
      </c>
      <c r="U185" t="s">
        <v>11164</v>
      </c>
      <c r="V185" t="s">
        <v>11164</v>
      </c>
      <c r="W185" t="s">
        <v>11346</v>
      </c>
      <c r="X185">
        <v>1</v>
      </c>
      <c r="Y185" t="s">
        <v>16878</v>
      </c>
      <c r="Z185" t="s">
        <v>22335</v>
      </c>
      <c r="AA185">
        <v>0.60344643945048804</v>
      </c>
      <c r="AB185" t="str">
        <f>HYPERLINK("Melting_Curves/meltCurve_B4E0G6_RBM6.pdf", "Melting_Curves/meltCurve_B4E0G6_RBM6.pdf")</f>
        <v>Melting_Curves/meltCurve_B4E0G6_RBM6.pdf</v>
      </c>
    </row>
    <row r="186" spans="1:28" x14ac:dyDescent="0.25">
      <c r="A186" t="s">
        <v>190</v>
      </c>
      <c r="B186">
        <v>0.99796759195183404</v>
      </c>
      <c r="C186">
        <v>0.98548175852450204</v>
      </c>
      <c r="D186">
        <v>1.0046907714379301</v>
      </c>
      <c r="E186">
        <v>0.79471173083253699</v>
      </c>
      <c r="F186">
        <v>0.50740463185171103</v>
      </c>
      <c r="G186">
        <v>0.25729075270530499</v>
      </c>
      <c r="H186">
        <v>0.21622026660542701</v>
      </c>
      <c r="I186">
        <v>0.199822866519244</v>
      </c>
      <c r="J186">
        <v>0.12136342591400499</v>
      </c>
      <c r="K186">
        <v>8.2603551024873101E-2</v>
      </c>
      <c r="L186">
        <v>986.88342326752797</v>
      </c>
      <c r="M186">
        <v>19.924413904128802</v>
      </c>
      <c r="N186">
        <v>50.279440902277599</v>
      </c>
      <c r="O186">
        <v>49.040493331850897</v>
      </c>
      <c r="P186">
        <v>-8.8545199449668197E-2</v>
      </c>
      <c r="Q186">
        <v>0.12827384967897401</v>
      </c>
      <c r="R186">
        <v>0.99323395814165805</v>
      </c>
      <c r="S186" t="s">
        <v>5769</v>
      </c>
      <c r="T186" t="s">
        <v>11164</v>
      </c>
      <c r="U186" t="s">
        <v>11164</v>
      </c>
      <c r="V186" t="s">
        <v>11164</v>
      </c>
      <c r="W186" t="s">
        <v>11347</v>
      </c>
      <c r="X186">
        <v>3</v>
      </c>
      <c r="Y186" t="s">
        <v>16879</v>
      </c>
      <c r="Z186" t="s">
        <v>22336</v>
      </c>
      <c r="AA186">
        <v>0.50397055136990876</v>
      </c>
      <c r="AB186" t="str">
        <f>HYPERLINK("Melting_Curves/meltCurve_B4E0T2_PEX5.pdf", "Melting_Curves/meltCurve_B4E0T2_PEX5.pdf")</f>
        <v>Melting_Curves/meltCurve_B4E0T2_PEX5.pdf</v>
      </c>
    </row>
    <row r="187" spans="1:28" x14ac:dyDescent="0.25">
      <c r="A187" t="s">
        <v>191</v>
      </c>
      <c r="B187">
        <v>0.99796759195183404</v>
      </c>
      <c r="C187">
        <v>0.98416895872840304</v>
      </c>
      <c r="D187">
        <v>0.98319672600638197</v>
      </c>
      <c r="E187">
        <v>0.92860008720851495</v>
      </c>
      <c r="F187">
        <v>0.809737138823035</v>
      </c>
      <c r="G187">
        <v>0.58011139836082304</v>
      </c>
      <c r="H187">
        <v>0.38342040051060799</v>
      </c>
      <c r="I187">
        <v>0.22969862513139799</v>
      </c>
      <c r="J187">
        <v>0.19797646057069701</v>
      </c>
      <c r="K187">
        <v>0.14390895284463401</v>
      </c>
      <c r="L187">
        <v>834.15607128375098</v>
      </c>
      <c r="M187">
        <v>15.355062872922</v>
      </c>
      <c r="N187">
        <v>55.156186742425497</v>
      </c>
      <c r="O187">
        <v>53.428121645880204</v>
      </c>
      <c r="P187">
        <v>-6.4429861402950303E-2</v>
      </c>
      <c r="Q187">
        <v>0.103344928730043</v>
      </c>
      <c r="R187">
        <v>0.99928915315296396</v>
      </c>
      <c r="S187" t="s">
        <v>5770</v>
      </c>
      <c r="T187" t="s">
        <v>11164</v>
      </c>
      <c r="U187" t="s">
        <v>11164</v>
      </c>
      <c r="V187" t="s">
        <v>11164</v>
      </c>
      <c r="W187" t="s">
        <v>11348</v>
      </c>
      <c r="X187">
        <v>13</v>
      </c>
      <c r="Y187" t="s">
        <v>16880</v>
      </c>
      <c r="Z187" t="s">
        <v>22337</v>
      </c>
      <c r="AA187">
        <v>0.63489799453795259</v>
      </c>
      <c r="AB187" t="str">
        <f>HYPERLINK("Melting_Curves/meltCurve_B4E0V0_PNPO.pdf", "Melting_Curves/meltCurve_B4E0V0_PNPO.pdf")</f>
        <v>Melting_Curves/meltCurve_B4E0V0_PNPO.pdf</v>
      </c>
    </row>
    <row r="188" spans="1:28" x14ac:dyDescent="0.25">
      <c r="A188" t="s">
        <v>192</v>
      </c>
      <c r="B188">
        <v>0.99796759195183404</v>
      </c>
      <c r="C188">
        <v>0.99423861080758702</v>
      </c>
      <c r="D188">
        <v>0.994976340666061</v>
      </c>
      <c r="E188">
        <v>0.91649060128410598</v>
      </c>
      <c r="F188">
        <v>0.67328581838674995</v>
      </c>
      <c r="G188">
        <v>0.33436683952836999</v>
      </c>
      <c r="H188">
        <v>0.177899508324011</v>
      </c>
      <c r="I188">
        <v>0.11960096896304601</v>
      </c>
      <c r="J188">
        <v>9.9657920140514805E-2</v>
      </c>
      <c r="K188">
        <v>7.4260921135742605E-2</v>
      </c>
      <c r="L188">
        <v>1129.8168427774001</v>
      </c>
      <c r="M188">
        <v>21.9301005440567</v>
      </c>
      <c r="N188">
        <v>51.947471768691699</v>
      </c>
      <c r="O188">
        <v>51.096354863327697</v>
      </c>
      <c r="P188">
        <v>-9.8422938244052197E-2</v>
      </c>
      <c r="Q188">
        <v>8.2733016520618805E-2</v>
      </c>
      <c r="R188">
        <v>0.99969080322898296</v>
      </c>
      <c r="S188" t="s">
        <v>5771</v>
      </c>
      <c r="T188" t="s">
        <v>11164</v>
      </c>
      <c r="U188" t="s">
        <v>11164</v>
      </c>
      <c r="V188" t="s">
        <v>11164</v>
      </c>
      <c r="W188" t="s">
        <v>11349</v>
      </c>
      <c r="X188">
        <v>17</v>
      </c>
      <c r="Y188" t="s">
        <v>16881</v>
      </c>
      <c r="Z188" t="s">
        <v>22338</v>
      </c>
      <c r="AA188">
        <v>0.53689880036469928</v>
      </c>
      <c r="AB188" t="str">
        <f>HYPERLINK("Melting_Curves/meltCurve_B4E0Y9_MST4.pdf", "Melting_Curves/meltCurve_B4E0Y9_MST4.pdf")</f>
        <v>Melting_Curves/meltCurve_B4E0Y9_MST4.pdf</v>
      </c>
    </row>
    <row r="189" spans="1:28" x14ac:dyDescent="0.25">
      <c r="A189" t="s">
        <v>193</v>
      </c>
      <c r="B189">
        <v>0.99796759195183404</v>
      </c>
      <c r="C189">
        <v>1.01434896160175</v>
      </c>
      <c r="D189">
        <v>1.0139918152284899</v>
      </c>
      <c r="E189">
        <v>1.12335880876216</v>
      </c>
      <c r="F189">
        <v>1.03560751768324</v>
      </c>
      <c r="G189">
        <v>0.62037865137868597</v>
      </c>
      <c r="H189">
        <v>0.389023962493798</v>
      </c>
      <c r="I189">
        <v>0.304616696731902</v>
      </c>
      <c r="J189">
        <v>0.231720293725307</v>
      </c>
      <c r="K189">
        <v>0.12762234970674199</v>
      </c>
      <c r="L189">
        <v>1620.88325548739</v>
      </c>
      <c r="M189">
        <v>29.7386771238485</v>
      </c>
      <c r="N189">
        <v>55.519740464393401</v>
      </c>
      <c r="O189">
        <v>54.259539879035898</v>
      </c>
      <c r="P189">
        <v>-0.10827763084561499</v>
      </c>
      <c r="Q189">
        <v>0.20977589723149201</v>
      </c>
      <c r="R189">
        <v>0.96976235191248505</v>
      </c>
      <c r="S189" t="s">
        <v>5772</v>
      </c>
      <c r="T189" t="s">
        <v>11164</v>
      </c>
      <c r="U189" t="s">
        <v>11164</v>
      </c>
      <c r="V189" t="s">
        <v>11164</v>
      </c>
      <c r="W189" t="s">
        <v>11350</v>
      </c>
      <c r="X189">
        <v>3</v>
      </c>
      <c r="Y189" t="s">
        <v>16882</v>
      </c>
      <c r="Z189" t="s">
        <v>22339</v>
      </c>
      <c r="AA189">
        <v>0.67596714990329543</v>
      </c>
      <c r="AB189" t="str">
        <f>HYPERLINK("Melting_Curves/meltCurve_B4E1Q4_RIOK3.pdf", "Melting_Curves/meltCurve_B4E1Q4_RIOK3.pdf")</f>
        <v>Melting_Curves/meltCurve_B4E1Q4_RIOK3.pdf</v>
      </c>
    </row>
    <row r="190" spans="1:28" x14ac:dyDescent="0.25">
      <c r="A190" t="s">
        <v>194</v>
      </c>
      <c r="B190">
        <v>0.99796759195183404</v>
      </c>
      <c r="C190">
        <v>0.94692638334361201</v>
      </c>
      <c r="D190">
        <v>0.90330398443173299</v>
      </c>
      <c r="E190">
        <v>0.93415375319588401</v>
      </c>
      <c r="F190">
        <v>0.889783013415681</v>
      </c>
      <c r="G190">
        <v>0.76830269715100097</v>
      </c>
      <c r="H190">
        <v>0.52629800877434996</v>
      </c>
      <c r="I190">
        <v>0.412475950144783</v>
      </c>
      <c r="J190">
        <v>0.37451229732660601</v>
      </c>
      <c r="K190">
        <v>0.50490629131905795</v>
      </c>
      <c r="L190">
        <v>1224.6210647464</v>
      </c>
      <c r="M190">
        <v>22.607660017646499</v>
      </c>
      <c r="N190">
        <v>58.618038279083699</v>
      </c>
      <c r="O190">
        <v>53.749930129861703</v>
      </c>
      <c r="P190">
        <v>-6.2028445885750003E-2</v>
      </c>
      <c r="Q190">
        <v>0.410118903582743</v>
      </c>
      <c r="R190">
        <v>0.94599591252683002</v>
      </c>
      <c r="S190" t="s">
        <v>5773</v>
      </c>
      <c r="T190" t="s">
        <v>11164</v>
      </c>
      <c r="U190" t="s">
        <v>11164</v>
      </c>
      <c r="V190" t="s">
        <v>11164</v>
      </c>
      <c r="W190" t="s">
        <v>11351</v>
      </c>
      <c r="X190">
        <v>8</v>
      </c>
      <c r="Y190" t="s">
        <v>16883</v>
      </c>
      <c r="Z190" t="s">
        <v>22340</v>
      </c>
      <c r="AA190">
        <v>0.75368188500698996</v>
      </c>
      <c r="AB190" t="str">
        <f>HYPERLINK("Melting_Curves/meltCurve_B4E241_SFRS3.pdf", "Melting_Curves/meltCurve_B4E241_SFRS3.pdf")</f>
        <v>Melting_Curves/meltCurve_B4E241_SFRS3.pdf</v>
      </c>
    </row>
    <row r="191" spans="1:28" x14ac:dyDescent="0.25">
      <c r="A191" t="s">
        <v>195</v>
      </c>
      <c r="B191">
        <v>0.99796759195183404</v>
      </c>
      <c r="C191">
        <v>1.1088178713578301</v>
      </c>
      <c r="D191">
        <v>1.0258090740383701</v>
      </c>
      <c r="E191">
        <v>0.86185926155557901</v>
      </c>
      <c r="F191">
        <v>0.73119553019156602</v>
      </c>
      <c r="G191">
        <v>0.71401302215045603</v>
      </c>
      <c r="H191">
        <v>0.69486206243085202</v>
      </c>
      <c r="I191">
        <v>0.85389052933658505</v>
      </c>
      <c r="J191">
        <v>0.29455735050450599</v>
      </c>
      <c r="K191">
        <v>0.21347326198102201</v>
      </c>
      <c r="L191">
        <v>507.37167154050502</v>
      </c>
      <c r="M191">
        <v>8.2057889697287507</v>
      </c>
      <c r="N191">
        <v>61.830939845576303</v>
      </c>
      <c r="O191">
        <v>58.484564356895099</v>
      </c>
      <c r="P191">
        <v>-3.5112796517881399E-2</v>
      </c>
      <c r="Q191">
        <v>0</v>
      </c>
      <c r="R191">
        <v>0.76079182435489501</v>
      </c>
      <c r="S191" t="s">
        <v>5774</v>
      </c>
      <c r="T191" t="s">
        <v>11164</v>
      </c>
      <c r="U191" t="s">
        <v>11164</v>
      </c>
      <c r="V191" t="s">
        <v>11164</v>
      </c>
      <c r="W191" t="s">
        <v>11352</v>
      </c>
      <c r="X191">
        <v>2</v>
      </c>
      <c r="Y191" t="s">
        <v>16884</v>
      </c>
      <c r="Z191" t="s">
        <v>22341</v>
      </c>
      <c r="AA191">
        <v>0.76299697025503133</v>
      </c>
      <c r="AB191" t="str">
        <f>HYPERLINK("Melting_Curves/meltCurve_B4E2V5_STOM.pdf", "Melting_Curves/meltCurve_B4E2V5_STOM.pdf")</f>
        <v>Melting_Curves/meltCurve_B4E2V5_STOM.pdf</v>
      </c>
    </row>
    <row r="192" spans="1:28" x14ac:dyDescent="0.25">
      <c r="A192" t="s">
        <v>196</v>
      </c>
      <c r="B192">
        <v>0.99796759195183404</v>
      </c>
      <c r="C192">
        <v>1.00513083976511</v>
      </c>
      <c r="D192">
        <v>0.95176860165571797</v>
      </c>
      <c r="E192">
        <v>0.88914077282442805</v>
      </c>
      <c r="F192">
        <v>0.86013787076036996</v>
      </c>
      <c r="G192">
        <v>0.90316382380457305</v>
      </c>
      <c r="H192">
        <v>0.23772255800935399</v>
      </c>
      <c r="I192">
        <v>0.19940166118393499</v>
      </c>
      <c r="J192">
        <v>0.149544191044062</v>
      </c>
      <c r="K192">
        <v>0.122074898057756</v>
      </c>
      <c r="L192">
        <v>3564.8446550414001</v>
      </c>
      <c r="M192">
        <v>64.265871291656794</v>
      </c>
      <c r="N192">
        <v>55.792052220265802</v>
      </c>
      <c r="O192">
        <v>55.416620740402799</v>
      </c>
      <c r="P192">
        <v>-0.24502361437196399</v>
      </c>
      <c r="Q192">
        <v>0.15486231389379301</v>
      </c>
      <c r="R192">
        <v>0.97372974858607697</v>
      </c>
      <c r="S192" t="s">
        <v>5775</v>
      </c>
      <c r="T192" t="s">
        <v>11164</v>
      </c>
      <c r="U192" t="s">
        <v>11164</v>
      </c>
      <c r="V192" t="s">
        <v>11164</v>
      </c>
      <c r="W192" t="s">
        <v>11353</v>
      </c>
      <c r="X192">
        <v>8</v>
      </c>
      <c r="Y192" t="s">
        <v>16885</v>
      </c>
      <c r="Z192" t="s">
        <v>22342</v>
      </c>
      <c r="AA192">
        <v>0.67644114045823467</v>
      </c>
      <c r="AB192" t="str">
        <f>HYPERLINK("Melting_Curves/meltCurve_B4E2W0_HADHB.pdf", "Melting_Curves/meltCurve_B4E2W0_HADHB.pdf")</f>
        <v>Melting_Curves/meltCurve_B4E2W0_HADHB.pdf</v>
      </c>
    </row>
    <row r="193" spans="1:28" x14ac:dyDescent="0.25">
      <c r="A193" t="s">
        <v>197</v>
      </c>
      <c r="B193">
        <v>0.99796759195183404</v>
      </c>
      <c r="C193">
        <v>0.88614344818361301</v>
      </c>
      <c r="D193">
        <v>0.85794511734024803</v>
      </c>
      <c r="E193">
        <v>0.84464141315947905</v>
      </c>
      <c r="F193">
        <v>0.60629421879303003</v>
      </c>
      <c r="G193">
        <v>0.17949500250516001</v>
      </c>
      <c r="H193">
        <v>0.12462416745743</v>
      </c>
      <c r="I193">
        <v>8.8532919160471804E-2</v>
      </c>
      <c r="J193">
        <v>7.2078412555101903E-2</v>
      </c>
      <c r="K193">
        <v>6.0919138727364902E-2</v>
      </c>
      <c r="L193">
        <v>1029.79139997469</v>
      </c>
      <c r="M193">
        <v>20.438485245096999</v>
      </c>
      <c r="N193">
        <v>50.642223071911999</v>
      </c>
      <c r="O193">
        <v>49.910016778490601</v>
      </c>
      <c r="P193">
        <v>-9.7330627592890906E-2</v>
      </c>
      <c r="Q193">
        <v>4.9317390469091602E-2</v>
      </c>
      <c r="R193">
        <v>0.97567282725466298</v>
      </c>
      <c r="S193" t="s">
        <v>5776</v>
      </c>
      <c r="T193" t="s">
        <v>11164</v>
      </c>
      <c r="U193" t="s">
        <v>11164</v>
      </c>
      <c r="V193" t="s">
        <v>11164</v>
      </c>
      <c r="W193" t="s">
        <v>11354</v>
      </c>
      <c r="X193">
        <v>9</v>
      </c>
      <c r="Y193" t="s">
        <v>16886</v>
      </c>
      <c r="Z193" t="s">
        <v>22343</v>
      </c>
      <c r="AA193">
        <v>0.48551865158583651</v>
      </c>
      <c r="AB193" t="str">
        <f>HYPERLINK("Melting_Curves/meltCurve_B4E2X3_METTL13.pdf", "Melting_Curves/meltCurve_B4E2X3_METTL13.pdf")</f>
        <v>Melting_Curves/meltCurve_B4E2X3_METTL13.pdf</v>
      </c>
    </row>
    <row r="194" spans="1:28" x14ac:dyDescent="0.25">
      <c r="A194" t="s">
        <v>198</v>
      </c>
      <c r="B194">
        <v>0.99796759195183404</v>
      </c>
      <c r="C194">
        <v>0.97416483258975195</v>
      </c>
      <c r="D194">
        <v>0.87797623358130095</v>
      </c>
      <c r="E194">
        <v>0.84296096185715796</v>
      </c>
      <c r="F194">
        <v>0.63176977976667903</v>
      </c>
      <c r="G194">
        <v>0.26208217122913802</v>
      </c>
      <c r="H194">
        <v>0.206458909688226</v>
      </c>
      <c r="I194">
        <v>0.174526604842174</v>
      </c>
      <c r="J194">
        <v>0.183277697706489</v>
      </c>
      <c r="K194">
        <v>0.120902830890999</v>
      </c>
      <c r="L194">
        <v>970.39868302573404</v>
      </c>
      <c r="M194">
        <v>19.292529617607201</v>
      </c>
      <c r="N194">
        <v>51.1270063041529</v>
      </c>
      <c r="O194">
        <v>49.768122243640498</v>
      </c>
      <c r="P194">
        <v>-8.3915009327548695E-2</v>
      </c>
      <c r="Q194">
        <v>0.13414450681334</v>
      </c>
      <c r="R194">
        <v>0.98565637441069798</v>
      </c>
      <c r="S194" t="s">
        <v>5777</v>
      </c>
      <c r="T194" t="s">
        <v>11164</v>
      </c>
      <c r="U194" t="s">
        <v>11164</v>
      </c>
      <c r="V194" t="s">
        <v>11164</v>
      </c>
      <c r="W194" t="s">
        <v>11355</v>
      </c>
      <c r="X194">
        <v>3</v>
      </c>
      <c r="Y194" t="s">
        <v>16887</v>
      </c>
      <c r="Z194" t="s">
        <v>22344</v>
      </c>
      <c r="AA194">
        <v>0.53009729633803027</v>
      </c>
      <c r="AB194" t="str">
        <f>HYPERLINK("Melting_Curves/meltCurve_B4E3E5_DVL3.pdf", "Melting_Curves/meltCurve_B4E3E5_DVL3.pdf")</f>
        <v>Melting_Curves/meltCurve_B4E3E5_DVL3.pdf</v>
      </c>
    </row>
    <row r="195" spans="1:28" x14ac:dyDescent="0.25">
      <c r="A195" t="s">
        <v>199</v>
      </c>
      <c r="B195">
        <v>0.99796759195183404</v>
      </c>
      <c r="C195">
        <v>0.93920572438578598</v>
      </c>
      <c r="D195">
        <v>0.97580937388733002</v>
      </c>
      <c r="E195">
        <v>0.93225625843478099</v>
      </c>
      <c r="F195">
        <v>0.81975992593211899</v>
      </c>
      <c r="G195">
        <v>0.67576931705767795</v>
      </c>
      <c r="H195">
        <v>0.34004162943100802</v>
      </c>
      <c r="I195">
        <v>0.16201258941904401</v>
      </c>
      <c r="J195">
        <v>0.110339333126699</v>
      </c>
      <c r="K195">
        <v>8.8202320329532097E-2</v>
      </c>
      <c r="L195">
        <v>937.31275379767601</v>
      </c>
      <c r="M195">
        <v>16.957612112731201</v>
      </c>
      <c r="N195">
        <v>55.416766509557299</v>
      </c>
      <c r="O195">
        <v>54.522361083848203</v>
      </c>
      <c r="P195">
        <v>-7.6096668687541405E-2</v>
      </c>
      <c r="Q195">
        <v>2.1392611887966699E-2</v>
      </c>
      <c r="R195">
        <v>0.99265617027130604</v>
      </c>
      <c r="S195" t="s">
        <v>5778</v>
      </c>
      <c r="T195" t="s">
        <v>11164</v>
      </c>
      <c r="U195" t="s">
        <v>11164</v>
      </c>
      <c r="V195" t="s">
        <v>11164</v>
      </c>
      <c r="W195" t="s">
        <v>11356</v>
      </c>
      <c r="X195">
        <v>6</v>
      </c>
      <c r="Y195" t="s">
        <v>16888</v>
      </c>
      <c r="Z195" t="s">
        <v>22345</v>
      </c>
      <c r="AA195">
        <v>0.62992977637350356</v>
      </c>
      <c r="AB195" t="str">
        <f>HYPERLINK("Melting_Curves/meltCurve_B5AK60_ABCB1.pdf", "Melting_Curves/meltCurve_B5AK60_ABCB1.pdf")</f>
        <v>Melting_Curves/meltCurve_B5AK60_ABCB1.pdf</v>
      </c>
    </row>
    <row r="196" spans="1:28" x14ac:dyDescent="0.25">
      <c r="A196" t="s">
        <v>200</v>
      </c>
      <c r="B196">
        <v>0.99796759195183404</v>
      </c>
      <c r="C196">
        <v>0.94815472026480996</v>
      </c>
      <c r="D196">
        <v>0.83653357429810404</v>
      </c>
      <c r="E196">
        <v>0.78861268411298502</v>
      </c>
      <c r="F196">
        <v>0.83427539889816604</v>
      </c>
      <c r="G196">
        <v>0.59721560233501902</v>
      </c>
      <c r="H196">
        <v>0.52574910575576095</v>
      </c>
      <c r="I196">
        <v>0.47173730142478598</v>
      </c>
      <c r="J196">
        <v>0.48010985248669202</v>
      </c>
      <c r="K196">
        <v>0.31837441250633902</v>
      </c>
      <c r="L196">
        <v>318.59078137800202</v>
      </c>
      <c r="M196">
        <v>5.3277622465021199</v>
      </c>
      <c r="N196">
        <v>59.798235581050399</v>
      </c>
      <c r="O196">
        <v>52.934426008195501</v>
      </c>
      <c r="P196">
        <v>-2.5285937008327299E-2</v>
      </c>
      <c r="Q196">
        <v>0</v>
      </c>
      <c r="R196">
        <v>0.94866972816425399</v>
      </c>
      <c r="S196" t="s">
        <v>5779</v>
      </c>
      <c r="T196" t="s">
        <v>11164</v>
      </c>
      <c r="U196" t="s">
        <v>11164</v>
      </c>
      <c r="V196" t="s">
        <v>11164</v>
      </c>
      <c r="W196" t="s">
        <v>11357</v>
      </c>
      <c r="X196">
        <v>1</v>
      </c>
      <c r="Y196" t="s">
        <v>16889</v>
      </c>
      <c r="Z196" t="s">
        <v>22346</v>
      </c>
      <c r="AA196">
        <v>0.68145424306702196</v>
      </c>
      <c r="AB196" t="str">
        <f>HYPERLINK("Melting_Curves/meltCurve_B5MBX5_LBH.pdf", "Melting_Curves/meltCurve_B5MBX5_LBH.pdf")</f>
        <v>Melting_Curves/meltCurve_B5MBX5_LBH.pdf</v>
      </c>
    </row>
    <row r="197" spans="1:28" x14ac:dyDescent="0.25">
      <c r="A197" t="s">
        <v>201</v>
      </c>
      <c r="B197">
        <v>0.99796759195183404</v>
      </c>
      <c r="C197">
        <v>0.90667857486589298</v>
      </c>
      <c r="D197">
        <v>0.94450697114675297</v>
      </c>
      <c r="E197">
        <v>0.84765831527698898</v>
      </c>
      <c r="F197">
        <v>0.72851891516432998</v>
      </c>
      <c r="G197">
        <v>0.300647678343818</v>
      </c>
      <c r="H197">
        <v>0.17667043504077601</v>
      </c>
      <c r="I197">
        <v>0.136761385148401</v>
      </c>
      <c r="J197">
        <v>0.113775083109191</v>
      </c>
      <c r="K197">
        <v>0.100934074004144</v>
      </c>
      <c r="L197">
        <v>1099.23439635767</v>
      </c>
      <c r="M197">
        <v>21.3794057953742</v>
      </c>
      <c r="N197">
        <v>51.919802988761298</v>
      </c>
      <c r="O197">
        <v>50.972078227692002</v>
      </c>
      <c r="P197">
        <v>-9.5030827625587705E-2</v>
      </c>
      <c r="Q197">
        <v>9.3745128901630198E-2</v>
      </c>
      <c r="R197">
        <v>0.98465533064196897</v>
      </c>
      <c r="S197" t="s">
        <v>5780</v>
      </c>
      <c r="T197" t="s">
        <v>11164</v>
      </c>
      <c r="U197" t="s">
        <v>11164</v>
      </c>
      <c r="V197" t="s">
        <v>11164</v>
      </c>
      <c r="W197" t="s">
        <v>11358</v>
      </c>
      <c r="X197">
        <v>11</v>
      </c>
      <c r="Y197" t="s">
        <v>16890</v>
      </c>
      <c r="Z197" t="s">
        <v>22347</v>
      </c>
      <c r="AA197">
        <v>0.53978926215878598</v>
      </c>
      <c r="AB197" t="str">
        <f>HYPERLINK("Melting_Curves/meltCurve_B5MBZ0_EML4.pdf", "Melting_Curves/meltCurve_B5MBZ0_EML4.pdf")</f>
        <v>Melting_Curves/meltCurve_B5MBZ0_EML4.pdf</v>
      </c>
    </row>
    <row r="198" spans="1:28" x14ac:dyDescent="0.25">
      <c r="A198" t="s">
        <v>202</v>
      </c>
      <c r="B198">
        <v>0.99796759195183404</v>
      </c>
      <c r="C198">
        <v>1.01815904039483</v>
      </c>
      <c r="D198">
        <v>0.99289902590957402</v>
      </c>
      <c r="E198">
        <v>1.0427669805325701</v>
      </c>
      <c r="F198">
        <v>1.05116158143659</v>
      </c>
      <c r="G198">
        <v>0.71182175350774402</v>
      </c>
      <c r="H198">
        <v>0.45883296162655202</v>
      </c>
      <c r="I198">
        <v>0.34531513947997</v>
      </c>
      <c r="J198">
        <v>0.130119321118117</v>
      </c>
      <c r="K198">
        <v>8.2909071428706099E-2</v>
      </c>
      <c r="L198">
        <v>1116.7104983725301</v>
      </c>
      <c r="M198">
        <v>19.6212116236266</v>
      </c>
      <c r="N198">
        <v>57.288538178944002</v>
      </c>
      <c r="O198">
        <v>56.332159187074502</v>
      </c>
      <c r="P198">
        <v>-8.1832029041596893E-2</v>
      </c>
      <c r="Q198">
        <v>6.0279766393276597E-2</v>
      </c>
      <c r="R198">
        <v>0.97884413248007396</v>
      </c>
      <c r="S198" t="s">
        <v>5781</v>
      </c>
      <c r="T198" t="s">
        <v>11164</v>
      </c>
      <c r="U198" t="s">
        <v>11164</v>
      </c>
      <c r="V198" t="s">
        <v>11164</v>
      </c>
      <c r="W198" t="s">
        <v>11359</v>
      </c>
      <c r="X198">
        <v>1</v>
      </c>
      <c r="Y198" t="s">
        <v>16891</v>
      </c>
      <c r="Z198" t="s">
        <v>22348</v>
      </c>
      <c r="AA198">
        <v>0.69251424774428105</v>
      </c>
      <c r="AB198" t="str">
        <f>HYPERLINK("Melting_Curves/meltCurve_B5MC15_CBLB.pdf", "Melting_Curves/meltCurve_B5MC15_CBLB.pdf")</f>
        <v>Melting_Curves/meltCurve_B5MC15_CBLB.pdf</v>
      </c>
    </row>
    <row r="199" spans="1:28" x14ac:dyDescent="0.25">
      <c r="A199" t="s">
        <v>203</v>
      </c>
      <c r="B199">
        <v>0.99796759195183404</v>
      </c>
      <c r="C199">
        <v>0.90205001063683798</v>
      </c>
      <c r="D199">
        <v>0.96109537148100399</v>
      </c>
      <c r="E199">
        <v>0.99894603891769096</v>
      </c>
      <c r="F199">
        <v>0.88618711448252996</v>
      </c>
      <c r="G199">
        <v>0.64273246664025296</v>
      </c>
      <c r="H199">
        <v>0.54636520727637505</v>
      </c>
      <c r="I199">
        <v>0.50246383410079498</v>
      </c>
      <c r="J199">
        <v>0.62319707260808999</v>
      </c>
      <c r="K199">
        <v>0.51823860429227298</v>
      </c>
      <c r="L199">
        <v>1878.95280227083</v>
      </c>
      <c r="M199">
        <v>36.293758711808202</v>
      </c>
      <c r="O199">
        <v>51.614267641577797</v>
      </c>
      <c r="P199">
        <v>-8.0010031264940801E-2</v>
      </c>
      <c r="Q199">
        <v>0.544864273642923</v>
      </c>
      <c r="R199">
        <v>0.94900678816605399</v>
      </c>
      <c r="S199" t="s">
        <v>5782</v>
      </c>
      <c r="T199" t="s">
        <v>11164</v>
      </c>
      <c r="U199" t="s">
        <v>11164</v>
      </c>
      <c r="V199" t="s">
        <v>11164</v>
      </c>
      <c r="W199" t="s">
        <v>11360</v>
      </c>
      <c r="X199">
        <v>1</v>
      </c>
      <c r="Y199" t="s">
        <v>16892</v>
      </c>
      <c r="Z199" t="s">
        <v>22349</v>
      </c>
      <c r="AA199">
        <v>0.77092567320016847</v>
      </c>
      <c r="AB199" t="str">
        <f>HYPERLINK("Melting_Curves/meltCurve_B5MCD7_SYNGR1.pdf", "Melting_Curves/meltCurve_B5MCD7_SYNGR1.pdf")</f>
        <v>Melting_Curves/meltCurve_B5MCD7_SYNGR1.pdf</v>
      </c>
    </row>
    <row r="200" spans="1:28" x14ac:dyDescent="0.25">
      <c r="A200" t="s">
        <v>204</v>
      </c>
      <c r="B200">
        <v>0.99796759195183404</v>
      </c>
      <c r="C200">
        <v>0.99935979823941101</v>
      </c>
      <c r="D200">
        <v>0.93986708691230003</v>
      </c>
      <c r="E200">
        <v>0.98097963674363198</v>
      </c>
      <c r="F200">
        <v>0.47294105402631997</v>
      </c>
      <c r="G200">
        <v>0.22121679763319901</v>
      </c>
      <c r="H200">
        <v>0.12950956432189001</v>
      </c>
      <c r="I200">
        <v>0.119298117406824</v>
      </c>
      <c r="J200">
        <v>0.107270599755732</v>
      </c>
      <c r="K200">
        <v>6.6987625482619204E-2</v>
      </c>
      <c r="L200">
        <v>1816.53320766927</v>
      </c>
      <c r="M200">
        <v>36.451060800253998</v>
      </c>
      <c r="N200">
        <v>50.187399239418703</v>
      </c>
      <c r="O200">
        <v>49.685584449922203</v>
      </c>
      <c r="P200">
        <v>-0.16269428254266799</v>
      </c>
      <c r="Q200">
        <v>0.112943869987344</v>
      </c>
      <c r="R200">
        <v>0.993210859147309</v>
      </c>
      <c r="S200" t="s">
        <v>5783</v>
      </c>
      <c r="T200" t="s">
        <v>11164</v>
      </c>
      <c r="U200" t="s">
        <v>11164</v>
      </c>
      <c r="V200" t="s">
        <v>11164</v>
      </c>
      <c r="W200" t="s">
        <v>11361</v>
      </c>
      <c r="X200">
        <v>7</v>
      </c>
      <c r="Y200" t="s">
        <v>16893</v>
      </c>
      <c r="Z200" t="s">
        <v>22350</v>
      </c>
      <c r="AA200">
        <v>0.49613220300984662</v>
      </c>
      <c r="AB200" t="str">
        <f>HYPERLINK("Melting_Curves/meltCurve_B5MCF9_PES1.pdf", "Melting_Curves/meltCurve_B5MCF9_PES1.pdf")</f>
        <v>Melting_Curves/meltCurve_B5MCF9_PES1.pdf</v>
      </c>
    </row>
    <row r="201" spans="1:28" x14ac:dyDescent="0.25">
      <c r="A201" t="s">
        <v>205</v>
      </c>
      <c r="B201">
        <v>0.99796759195183404</v>
      </c>
      <c r="C201">
        <v>0.93888823922853804</v>
      </c>
      <c r="D201">
        <v>1.16824333704401</v>
      </c>
      <c r="E201">
        <v>0.52837683275658398</v>
      </c>
      <c r="F201">
        <v>0.97546594638397999</v>
      </c>
      <c r="G201">
        <v>0.62091023147081503</v>
      </c>
      <c r="H201">
        <v>0.22989094821415401</v>
      </c>
      <c r="I201">
        <v>7.1625353181307999E-2</v>
      </c>
      <c r="J201">
        <v>6.9588317148831402E-2</v>
      </c>
      <c r="K201">
        <v>0</v>
      </c>
      <c r="L201">
        <v>1172.47849736329</v>
      </c>
      <c r="M201">
        <v>21.430598568714402</v>
      </c>
      <c r="N201">
        <v>54.710497435283003</v>
      </c>
      <c r="O201">
        <v>54.240791559372099</v>
      </c>
      <c r="P201">
        <v>-9.8777730942266107E-2</v>
      </c>
      <c r="Q201">
        <v>0</v>
      </c>
      <c r="R201">
        <v>0.86058392737397904</v>
      </c>
      <c r="S201" t="s">
        <v>5784</v>
      </c>
      <c r="T201" t="s">
        <v>11164</v>
      </c>
      <c r="U201" t="s">
        <v>11164</v>
      </c>
      <c r="V201" t="s">
        <v>11164</v>
      </c>
      <c r="W201" t="s">
        <v>11362</v>
      </c>
      <c r="X201">
        <v>2</v>
      </c>
      <c r="Y201" t="s">
        <v>16894</v>
      </c>
      <c r="Z201" t="s">
        <v>22351</v>
      </c>
      <c r="AA201">
        <v>0.60100775487815228</v>
      </c>
      <c r="AB201" t="str">
        <f>HYPERLINK("Melting_Curves/meltCurve_B5MCN7_NCOA1.pdf", "Melting_Curves/meltCurve_B5MCN7_NCOA1.pdf")</f>
        <v>Melting_Curves/meltCurve_B5MCN7_NCOA1.pdf</v>
      </c>
    </row>
    <row r="202" spans="1:28" x14ac:dyDescent="0.25">
      <c r="A202" t="s">
        <v>206</v>
      </c>
      <c r="B202">
        <v>0.99796759195183404</v>
      </c>
      <c r="C202">
        <v>0.985830682562153</v>
      </c>
      <c r="D202">
        <v>0.82514812163744999</v>
      </c>
      <c r="E202">
        <v>0.82642112714496896</v>
      </c>
      <c r="F202">
        <v>0.77504805609060801</v>
      </c>
      <c r="G202">
        <v>0.54855924784028098</v>
      </c>
      <c r="H202">
        <v>0.487948695111113</v>
      </c>
      <c r="I202">
        <v>0.28788876395908902</v>
      </c>
      <c r="J202">
        <v>0.25793841983886501</v>
      </c>
      <c r="K202">
        <v>0.19008530688185499</v>
      </c>
      <c r="L202">
        <v>458.81227856087799</v>
      </c>
      <c r="M202">
        <v>8.2281749282872507</v>
      </c>
      <c r="N202">
        <v>55.761123515049299</v>
      </c>
      <c r="O202">
        <v>52.758231323023601</v>
      </c>
      <c r="P202">
        <v>-3.9029698453597397E-2</v>
      </c>
      <c r="Q202">
        <v>0</v>
      </c>
      <c r="R202">
        <v>0.97807060021132997</v>
      </c>
      <c r="S202" t="s">
        <v>5785</v>
      </c>
      <c r="T202" t="s">
        <v>11164</v>
      </c>
      <c r="U202" t="s">
        <v>11164</v>
      </c>
      <c r="V202" t="s">
        <v>11164</v>
      </c>
      <c r="W202" t="s">
        <v>11363</v>
      </c>
      <c r="X202">
        <v>4</v>
      </c>
      <c r="Y202" t="s">
        <v>16895</v>
      </c>
      <c r="Z202" t="s">
        <v>22352</v>
      </c>
      <c r="AA202">
        <v>0.62684040342294789</v>
      </c>
      <c r="AB202" t="str">
        <f>HYPERLINK("Melting_Curves/meltCurve_B5MD46_TBC1D10A.pdf", "Melting_Curves/meltCurve_B5MD46_TBC1D10A.pdf")</f>
        <v>Melting_Curves/meltCurve_B5MD46_TBC1D10A.pdf</v>
      </c>
    </row>
    <row r="203" spans="1:28" x14ac:dyDescent="0.25">
      <c r="A203" t="s">
        <v>207</v>
      </c>
      <c r="B203">
        <v>0.99796759195183404</v>
      </c>
      <c r="C203">
        <v>0.98132958540923898</v>
      </c>
      <c r="D203">
        <v>0.99940701127781195</v>
      </c>
      <c r="E203">
        <v>0.975290853003692</v>
      </c>
      <c r="F203">
        <v>0.90300042406701597</v>
      </c>
      <c r="G203">
        <v>0.68733693979890897</v>
      </c>
      <c r="H203">
        <v>0.69726209406258799</v>
      </c>
      <c r="I203">
        <v>0.64210273066557899</v>
      </c>
      <c r="J203">
        <v>0.76198970802698796</v>
      </c>
      <c r="K203">
        <v>0.54917267718038898</v>
      </c>
      <c r="L203">
        <v>2239.1939710872198</v>
      </c>
      <c r="M203">
        <v>43.743459342635298</v>
      </c>
      <c r="O203">
        <v>51.082593713581801</v>
      </c>
      <c r="P203">
        <v>-7.2798364883702393E-2</v>
      </c>
      <c r="Q203">
        <v>0.65995154893493002</v>
      </c>
      <c r="R203">
        <v>0.90438946618319505</v>
      </c>
      <c r="S203" t="s">
        <v>5786</v>
      </c>
      <c r="T203" t="s">
        <v>11164</v>
      </c>
      <c r="U203" t="s">
        <v>11164</v>
      </c>
      <c r="V203" t="s">
        <v>11164</v>
      </c>
      <c r="W203" t="s">
        <v>11364</v>
      </c>
      <c r="X203">
        <v>3</v>
      </c>
      <c r="Y203" t="s">
        <v>16896</v>
      </c>
      <c r="Z203" t="s">
        <v>22353</v>
      </c>
      <c r="AA203">
        <v>0.82178984537211408</v>
      </c>
      <c r="AB203" t="str">
        <f>HYPERLINK("Melting_Curves/meltCurve_B5MDE0_RFT1.pdf", "Melting_Curves/meltCurve_B5MDE0_RFT1.pdf")</f>
        <v>Melting_Curves/meltCurve_B5MDE0_RFT1.pdf</v>
      </c>
    </row>
    <row r="204" spans="1:28" x14ac:dyDescent="0.25">
      <c r="A204" t="s">
        <v>208</v>
      </c>
      <c r="B204">
        <v>0.99796759195183404</v>
      </c>
      <c r="C204">
        <v>0.97868180289092599</v>
      </c>
      <c r="D204">
        <v>0.92261629401700995</v>
      </c>
      <c r="E204">
        <v>0.74843506945059901</v>
      </c>
      <c r="F204">
        <v>0.55960626488409704</v>
      </c>
      <c r="G204">
        <v>0.35857615324054598</v>
      </c>
      <c r="H204">
        <v>0.205739343433987</v>
      </c>
      <c r="I204">
        <v>0.117080636339675</v>
      </c>
      <c r="J204">
        <v>5.9469739286919301E-2</v>
      </c>
      <c r="K204">
        <v>4.3115949490837802E-2</v>
      </c>
      <c r="L204">
        <v>636.75231106362196</v>
      </c>
      <c r="M204">
        <v>12.461750961779</v>
      </c>
      <c r="N204">
        <v>51.096536859468998</v>
      </c>
      <c r="O204">
        <v>49.834265868577297</v>
      </c>
      <c r="P204">
        <v>-6.2528990110520599E-2</v>
      </c>
      <c r="Q204">
        <v>0</v>
      </c>
      <c r="R204">
        <v>0.99926877808636205</v>
      </c>
      <c r="S204" t="s">
        <v>5787</v>
      </c>
      <c r="T204" t="s">
        <v>11164</v>
      </c>
      <c r="U204" t="s">
        <v>11164</v>
      </c>
      <c r="V204" t="s">
        <v>11164</v>
      </c>
      <c r="W204" t="s">
        <v>11365</v>
      </c>
      <c r="X204">
        <v>5</v>
      </c>
      <c r="Y204" t="s">
        <v>16897</v>
      </c>
      <c r="Z204" t="s">
        <v>22354</v>
      </c>
      <c r="AA204">
        <v>0.49475427037028719</v>
      </c>
      <c r="AB204" t="str">
        <f>HYPERLINK("Melting_Curves/meltCurve_B5MDU6_C2orf43.pdf", "Melting_Curves/meltCurve_B5MDU6_C2orf43.pdf")</f>
        <v>Melting_Curves/meltCurve_B5MDU6_C2orf43.pdf</v>
      </c>
    </row>
    <row r="205" spans="1:28" x14ac:dyDescent="0.25">
      <c r="A205" t="s">
        <v>209</v>
      </c>
      <c r="B205">
        <v>0.99796759195183404</v>
      </c>
      <c r="C205">
        <v>0.99119525618219095</v>
      </c>
      <c r="D205">
        <v>1.0006362893696199</v>
      </c>
      <c r="E205">
        <v>0.96831691409475196</v>
      </c>
      <c r="F205">
        <v>0.83097152218798098</v>
      </c>
      <c r="G205">
        <v>0.77128242528199897</v>
      </c>
      <c r="H205">
        <v>0.62959739661279601</v>
      </c>
      <c r="I205">
        <v>0.324366551291427</v>
      </c>
      <c r="J205">
        <v>0.17318654091539501</v>
      </c>
      <c r="K205">
        <v>0.111934533278102</v>
      </c>
      <c r="L205">
        <v>864.54507615232797</v>
      </c>
      <c r="M205">
        <v>14.834159536762501</v>
      </c>
      <c r="N205">
        <v>58.280698413347103</v>
      </c>
      <c r="O205">
        <v>57.252309787315703</v>
      </c>
      <c r="P205">
        <v>-6.4782211273076498E-2</v>
      </c>
      <c r="Q205">
        <v>0</v>
      </c>
      <c r="R205">
        <v>0.98728624545479104</v>
      </c>
      <c r="S205" t="s">
        <v>5788</v>
      </c>
      <c r="T205" t="s">
        <v>11164</v>
      </c>
      <c r="U205" t="s">
        <v>11164</v>
      </c>
      <c r="V205" t="s">
        <v>11164</v>
      </c>
      <c r="W205" t="s">
        <v>11366</v>
      </c>
      <c r="X205">
        <v>23</v>
      </c>
      <c r="Y205" t="s">
        <v>16898</v>
      </c>
      <c r="Z205" t="s">
        <v>22355</v>
      </c>
      <c r="AA205">
        <v>0.71200041359512245</v>
      </c>
      <c r="AB205" t="str">
        <f>HYPERLINK("Melting_Curves/meltCurve_B7Z254_PDIA6.pdf", "Melting_Curves/meltCurve_B7Z254_PDIA6.pdf")</f>
        <v>Melting_Curves/meltCurve_B7Z254_PDIA6.pdf</v>
      </c>
    </row>
    <row r="206" spans="1:28" x14ac:dyDescent="0.25">
      <c r="A206" t="s">
        <v>210</v>
      </c>
      <c r="B206">
        <v>0.99796759195183404</v>
      </c>
      <c r="C206">
        <v>0.98968636548287803</v>
      </c>
      <c r="D206">
        <v>1.0054647712622999</v>
      </c>
      <c r="E206">
        <v>0.98939857126278397</v>
      </c>
      <c r="F206">
        <v>0.86865561805768698</v>
      </c>
      <c r="G206">
        <v>0.47340184685473702</v>
      </c>
      <c r="H206">
        <v>0.21210527214218999</v>
      </c>
      <c r="I206">
        <v>0.14702367781803399</v>
      </c>
      <c r="J206">
        <v>0.12564917545843701</v>
      </c>
      <c r="K206">
        <v>0.10225531197844499</v>
      </c>
      <c r="L206">
        <v>1550.2132137425201</v>
      </c>
      <c r="M206">
        <v>29.175979753118899</v>
      </c>
      <c r="N206">
        <v>53.619411453631699</v>
      </c>
      <c r="O206">
        <v>52.885464650442003</v>
      </c>
      <c r="P206">
        <v>-0.12189113112651</v>
      </c>
      <c r="Q206">
        <v>0.11622886708524199</v>
      </c>
      <c r="R206">
        <v>0.99959018565471802</v>
      </c>
      <c r="S206" t="s">
        <v>5789</v>
      </c>
      <c r="T206" t="s">
        <v>11164</v>
      </c>
      <c r="U206" t="s">
        <v>11164</v>
      </c>
      <c r="V206" t="s">
        <v>11164</v>
      </c>
      <c r="W206" t="s">
        <v>11367</v>
      </c>
      <c r="X206">
        <v>6</v>
      </c>
      <c r="Y206" t="s">
        <v>16899</v>
      </c>
      <c r="Z206" t="s">
        <v>22356</v>
      </c>
      <c r="AA206">
        <v>0.59742540182422965</v>
      </c>
      <c r="AB206" t="str">
        <f>HYPERLINK("Melting_Curves/meltCurve_B7Z291_MTMR9.pdf", "Melting_Curves/meltCurve_B7Z291_MTMR9.pdf")</f>
        <v>Melting_Curves/meltCurve_B7Z291_MTMR9.pdf</v>
      </c>
    </row>
    <row r="207" spans="1:28" x14ac:dyDescent="0.25">
      <c r="A207" t="s">
        <v>211</v>
      </c>
      <c r="B207">
        <v>0.99796759195183404</v>
      </c>
      <c r="C207">
        <v>1.0443098348254201</v>
      </c>
      <c r="D207">
        <v>1.0869361981364001</v>
      </c>
      <c r="E207">
        <v>1.05116630234687</v>
      </c>
      <c r="F207">
        <v>0.86305261162413904</v>
      </c>
      <c r="G207">
        <v>0.65785588696064101</v>
      </c>
      <c r="H207">
        <v>0.72331794920005399</v>
      </c>
      <c r="I207">
        <v>0.64244899360383501</v>
      </c>
      <c r="J207">
        <v>0.83390075666793195</v>
      </c>
      <c r="K207">
        <v>0.74739643353927798</v>
      </c>
      <c r="L207">
        <v>12551.842997493901</v>
      </c>
      <c r="M207">
        <v>250</v>
      </c>
      <c r="O207">
        <v>50.204161906497703</v>
      </c>
      <c r="P207">
        <v>-0.34735169683269002</v>
      </c>
      <c r="Q207">
        <v>0.720984002961232</v>
      </c>
      <c r="R207">
        <v>0.86305933104991595</v>
      </c>
      <c r="S207" t="s">
        <v>5790</v>
      </c>
      <c r="T207" t="s">
        <v>11164</v>
      </c>
      <c r="U207" t="s">
        <v>11164</v>
      </c>
      <c r="V207" t="s">
        <v>11164</v>
      </c>
      <c r="W207" t="s">
        <v>11368</v>
      </c>
      <c r="X207">
        <v>1</v>
      </c>
      <c r="Y207" t="s">
        <v>16900</v>
      </c>
      <c r="Z207" t="s">
        <v>22357</v>
      </c>
      <c r="AA207">
        <v>0.84384419007626077</v>
      </c>
      <c r="AB207" t="str">
        <f>HYPERLINK("Melting_Curves/meltCurve_B7Z2B2_MFSD8.pdf", "Melting_Curves/meltCurve_B7Z2B2_MFSD8.pdf")</f>
        <v>Melting_Curves/meltCurve_B7Z2B2_MFSD8.pdf</v>
      </c>
    </row>
    <row r="208" spans="1:28" x14ac:dyDescent="0.25">
      <c r="A208" t="s">
        <v>212</v>
      </c>
      <c r="B208">
        <v>0.99796759195183404</v>
      </c>
      <c r="C208">
        <v>1.0283113046388901</v>
      </c>
      <c r="D208">
        <v>0.92786761035750198</v>
      </c>
      <c r="E208">
        <v>0.89169862719958504</v>
      </c>
      <c r="F208">
        <v>0.81340822001829105</v>
      </c>
      <c r="G208">
        <v>0.97137853356303605</v>
      </c>
      <c r="H208">
        <v>0.84948736314279905</v>
      </c>
      <c r="I208">
        <v>0.73523527045517001</v>
      </c>
      <c r="J208">
        <v>0.44291768876079701</v>
      </c>
      <c r="K208">
        <v>0.11891677359625399</v>
      </c>
      <c r="L208">
        <v>1610.8488055205601</v>
      </c>
      <c r="M208">
        <v>25.526577554570999</v>
      </c>
      <c r="N208">
        <v>63.104768604689603</v>
      </c>
      <c r="O208">
        <v>62.721308263077802</v>
      </c>
      <c r="P208">
        <v>-0.101747295314205</v>
      </c>
      <c r="Q208">
        <v>0</v>
      </c>
      <c r="R208">
        <v>0.91195020026908502</v>
      </c>
      <c r="S208" t="s">
        <v>5791</v>
      </c>
      <c r="T208" t="s">
        <v>11164</v>
      </c>
      <c r="U208" t="s">
        <v>11164</v>
      </c>
      <c r="V208" t="s">
        <v>11164</v>
      </c>
      <c r="W208" t="s">
        <v>11369</v>
      </c>
      <c r="X208">
        <v>4</v>
      </c>
      <c r="Y208" t="s">
        <v>16901</v>
      </c>
      <c r="Z208" t="s">
        <v>22358</v>
      </c>
      <c r="AA208">
        <v>0.86011456090989957</v>
      </c>
      <c r="AB208" t="str">
        <f>HYPERLINK("Melting_Curves/meltCurve_B7Z382_NT5C2.pdf", "Melting_Curves/meltCurve_B7Z382_NT5C2.pdf")</f>
        <v>Melting_Curves/meltCurve_B7Z382_NT5C2.pdf</v>
      </c>
    </row>
    <row r="209" spans="1:28" x14ac:dyDescent="0.25">
      <c r="A209" t="s">
        <v>213</v>
      </c>
      <c r="B209">
        <v>0.99796759195183404</v>
      </c>
      <c r="C209">
        <v>0.98065149066319002</v>
      </c>
      <c r="D209">
        <v>0.99703181244249095</v>
      </c>
      <c r="E209">
        <v>0.96376841704635996</v>
      </c>
      <c r="F209">
        <v>0.70133962148922102</v>
      </c>
      <c r="G209">
        <v>0.27573781685719401</v>
      </c>
      <c r="H209">
        <v>0.20902106634839199</v>
      </c>
      <c r="I209">
        <v>0.15748168564621601</v>
      </c>
      <c r="J209">
        <v>0.13821269114236701</v>
      </c>
      <c r="K209">
        <v>0.115912440141842</v>
      </c>
      <c r="L209">
        <v>1630.4389406165201</v>
      </c>
      <c r="M209">
        <v>31.877537872925</v>
      </c>
      <c r="N209">
        <v>51.697522280900401</v>
      </c>
      <c r="O209">
        <v>50.946934510527498</v>
      </c>
      <c r="P209">
        <v>-0.13391108855866199</v>
      </c>
      <c r="Q209">
        <v>0.14393333205462899</v>
      </c>
      <c r="R209">
        <v>0.997901840094087</v>
      </c>
      <c r="S209" t="s">
        <v>5792</v>
      </c>
      <c r="T209" t="s">
        <v>11164</v>
      </c>
      <c r="U209" t="s">
        <v>11164</v>
      </c>
      <c r="V209" t="s">
        <v>11164</v>
      </c>
      <c r="W209" t="s">
        <v>11370</v>
      </c>
      <c r="X209">
        <v>18</v>
      </c>
      <c r="Y209" t="s">
        <v>16902</v>
      </c>
      <c r="Z209" t="s">
        <v>22359</v>
      </c>
      <c r="AA209">
        <v>0.55237054913677308</v>
      </c>
      <c r="AB209" t="str">
        <f>HYPERLINK("Melting_Curves/meltCurve_B7Z3P1_TBCE.pdf", "Melting_Curves/meltCurve_B7Z3P1_TBCE.pdf")</f>
        <v>Melting_Curves/meltCurve_B7Z3P1_TBCE.pdf</v>
      </c>
    </row>
    <row r="210" spans="1:28" x14ac:dyDescent="0.25">
      <c r="A210" t="s">
        <v>214</v>
      </c>
      <c r="B210">
        <v>0.99796759195183404</v>
      </c>
      <c r="C210">
        <v>1.03398597918955</v>
      </c>
      <c r="D210">
        <v>0.977471191281999</v>
      </c>
      <c r="E210">
        <v>1.0151254290412399</v>
      </c>
      <c r="F210">
        <v>0.80635330600345601</v>
      </c>
      <c r="G210">
        <v>0.43642345048270698</v>
      </c>
      <c r="H210">
        <v>0.30781572280772102</v>
      </c>
      <c r="I210">
        <v>0.23003976569860901</v>
      </c>
      <c r="J210">
        <v>0.170868794432364</v>
      </c>
      <c r="K210">
        <v>0.11275050577520999</v>
      </c>
      <c r="L210">
        <v>1261.59340772323</v>
      </c>
      <c r="M210">
        <v>23.969465700485902</v>
      </c>
      <c r="N210">
        <v>53.506804583723103</v>
      </c>
      <c r="O210">
        <v>52.2710904846478</v>
      </c>
      <c r="P210">
        <v>-9.6080910012589907E-2</v>
      </c>
      <c r="Q210">
        <v>0.161904384925914</v>
      </c>
      <c r="R210">
        <v>0.99123798020894704</v>
      </c>
      <c r="S210" t="s">
        <v>5793</v>
      </c>
      <c r="T210" t="s">
        <v>11164</v>
      </c>
      <c r="U210" t="s">
        <v>11164</v>
      </c>
      <c r="V210" t="s">
        <v>11164</v>
      </c>
      <c r="W210" t="s">
        <v>11371</v>
      </c>
      <c r="X210">
        <v>5</v>
      </c>
      <c r="Y210" t="s">
        <v>16903</v>
      </c>
      <c r="Z210" t="s">
        <v>22360</v>
      </c>
      <c r="AA210">
        <v>0.60662624934719955</v>
      </c>
      <c r="AB210" t="str">
        <f>HYPERLINK("Melting_Curves/meltCurve_B7Z456_GGA3.pdf", "Melting_Curves/meltCurve_B7Z456_GGA3.pdf")</f>
        <v>Melting_Curves/meltCurve_B7Z456_GGA3.pdf</v>
      </c>
    </row>
    <row r="211" spans="1:28" x14ac:dyDescent="0.25">
      <c r="A211" t="s">
        <v>215</v>
      </c>
      <c r="B211">
        <v>0.99796759195183404</v>
      </c>
      <c r="C211">
        <v>1.04012395681281</v>
      </c>
      <c r="D211">
        <v>1.0352783750823</v>
      </c>
      <c r="E211">
        <v>1.021416254194</v>
      </c>
      <c r="F211">
        <v>0.886990678388072</v>
      </c>
      <c r="G211">
        <v>0.70858384522726503</v>
      </c>
      <c r="H211">
        <v>0.79226262873135</v>
      </c>
      <c r="I211">
        <v>0.73360093411773797</v>
      </c>
      <c r="J211">
        <v>0.94718547285201604</v>
      </c>
      <c r="K211">
        <v>1.01975779164942</v>
      </c>
      <c r="L211">
        <v>12505.6504081164</v>
      </c>
      <c r="M211">
        <v>250</v>
      </c>
      <c r="O211">
        <v>50.019400551365301</v>
      </c>
      <c r="P211">
        <v>-0.19957489269291201</v>
      </c>
      <c r="Q211">
        <v>0.84027813633290405</v>
      </c>
      <c r="R211">
        <v>0.48554236269351397</v>
      </c>
      <c r="S211" t="s">
        <v>5794</v>
      </c>
      <c r="T211" t="s">
        <v>11164</v>
      </c>
      <c r="U211" t="s">
        <v>11164</v>
      </c>
      <c r="V211" t="s">
        <v>11164</v>
      </c>
      <c r="W211" t="s">
        <v>11372</v>
      </c>
      <c r="X211">
        <v>3</v>
      </c>
      <c r="Y211" t="s">
        <v>16904</v>
      </c>
      <c r="Z211" t="s">
        <v>22361</v>
      </c>
      <c r="AA211">
        <v>0.90962529822198512</v>
      </c>
      <c r="AB211" t="str">
        <f>HYPERLINK("Melting_Curves/meltCurve_B7Z4K6_DNASE2.pdf", "Melting_Curves/meltCurve_B7Z4K6_DNASE2.pdf")</f>
        <v>Melting_Curves/meltCurve_B7Z4K6_DNASE2.pdf</v>
      </c>
    </row>
    <row r="212" spans="1:28" x14ac:dyDescent="0.25">
      <c r="A212" t="s">
        <v>216</v>
      </c>
      <c r="B212">
        <v>0.99796759195183404</v>
      </c>
      <c r="C212">
        <v>1.3327398431897699</v>
      </c>
      <c r="D212">
        <v>1.0289113806557499</v>
      </c>
      <c r="E212">
        <v>0.87538950079467703</v>
      </c>
      <c r="F212">
        <v>0.80511611248367299</v>
      </c>
      <c r="G212">
        <v>0.86566949162414497</v>
      </c>
      <c r="H212">
        <v>0.57206862359120403</v>
      </c>
      <c r="I212">
        <v>0.619116934765649</v>
      </c>
      <c r="J212">
        <v>0.56325217113647696</v>
      </c>
      <c r="K212">
        <v>0.52812905700637702</v>
      </c>
      <c r="L212">
        <v>733.604448634302</v>
      </c>
      <c r="M212">
        <v>13.6240880979826</v>
      </c>
      <c r="O212">
        <v>52.7257801458315</v>
      </c>
      <c r="P212">
        <v>-3.1920906960154899E-2</v>
      </c>
      <c r="Q212">
        <v>0.50593183919646001</v>
      </c>
      <c r="R212">
        <v>0.75766217811471703</v>
      </c>
      <c r="S212" t="s">
        <v>5795</v>
      </c>
      <c r="T212" t="s">
        <v>11164</v>
      </c>
      <c r="U212" t="s">
        <v>11164</v>
      </c>
      <c r="V212" t="s">
        <v>11164</v>
      </c>
      <c r="W212" t="s">
        <v>11373</v>
      </c>
      <c r="X212">
        <v>1</v>
      </c>
      <c r="Y212" t="s">
        <v>16905</v>
      </c>
      <c r="Z212" t="s">
        <v>22362</v>
      </c>
      <c r="AA212">
        <v>0.79203934873440174</v>
      </c>
      <c r="AB212" t="str">
        <f>HYPERLINK("Melting_Curves/meltCurve_B7Z4U0_TOMM40L.pdf", "Melting_Curves/meltCurve_B7Z4U0_TOMM40L.pdf")</f>
        <v>Melting_Curves/meltCurve_B7Z4U0_TOMM40L.pdf</v>
      </c>
    </row>
    <row r="213" spans="1:28" x14ac:dyDescent="0.25">
      <c r="A213" t="s">
        <v>217</v>
      </c>
      <c r="B213">
        <v>0.99796759195183404</v>
      </c>
      <c r="C213">
        <v>0.95940693024328605</v>
      </c>
      <c r="D213">
        <v>1.08406347275867</v>
      </c>
      <c r="E213">
        <v>0.92529109789469699</v>
      </c>
      <c r="F213">
        <v>0.80010999839594998</v>
      </c>
      <c r="G213">
        <v>0.69389431936483703</v>
      </c>
      <c r="H213">
        <v>0.60655439707710102</v>
      </c>
      <c r="I213">
        <v>0.48070678720691201</v>
      </c>
      <c r="J213">
        <v>0.393706398250247</v>
      </c>
      <c r="K213">
        <v>0.151635842464864</v>
      </c>
      <c r="L213">
        <v>565.56665604840498</v>
      </c>
      <c r="M213">
        <v>9.5235416125415906</v>
      </c>
      <c r="N213">
        <v>59.386185236763502</v>
      </c>
      <c r="O213">
        <v>56.9446527697907</v>
      </c>
      <c r="P213">
        <v>-4.1835016231984497E-2</v>
      </c>
      <c r="Q213">
        <v>0</v>
      </c>
      <c r="R213">
        <v>0.95883842382153495</v>
      </c>
      <c r="S213" t="s">
        <v>5796</v>
      </c>
      <c r="T213" t="s">
        <v>11164</v>
      </c>
      <c r="U213" t="s">
        <v>11164</v>
      </c>
      <c r="V213" t="s">
        <v>11164</v>
      </c>
      <c r="W213" t="s">
        <v>11374</v>
      </c>
      <c r="X213">
        <v>5</v>
      </c>
      <c r="Y213" t="s">
        <v>16906</v>
      </c>
      <c r="Z213" t="s">
        <v>22363</v>
      </c>
      <c r="AA213">
        <v>0.72234208989335758</v>
      </c>
      <c r="AB213" t="str">
        <f>HYPERLINK("Melting_Curves/meltCurve_B7Z4W5_CCBL1.pdf", "Melting_Curves/meltCurve_B7Z4W5_CCBL1.pdf")</f>
        <v>Melting_Curves/meltCurve_B7Z4W5_CCBL1.pdf</v>
      </c>
    </row>
    <row r="214" spans="1:28" x14ac:dyDescent="0.25">
      <c r="A214" t="s">
        <v>218</v>
      </c>
      <c r="B214">
        <v>0.99796759195183404</v>
      </c>
      <c r="C214">
        <v>1.09868415067446</v>
      </c>
      <c r="D214">
        <v>0.900329052043356</v>
      </c>
      <c r="E214">
        <v>1.0415782101117099</v>
      </c>
      <c r="F214">
        <v>1.08743564405742</v>
      </c>
      <c r="G214">
        <v>0.79499146392962405</v>
      </c>
      <c r="H214">
        <v>0.92523669072029802</v>
      </c>
      <c r="I214">
        <v>0.83085148604942305</v>
      </c>
      <c r="J214">
        <v>1.24481901587955</v>
      </c>
      <c r="K214">
        <v>1.1013585633018701</v>
      </c>
      <c r="L214">
        <v>5219.1761367034596</v>
      </c>
      <c r="M214">
        <v>83.035186338609194</v>
      </c>
      <c r="O214">
        <v>62.818573038709502</v>
      </c>
      <c r="P214">
        <v>5.7190860642885803E-2</v>
      </c>
      <c r="Q214">
        <v>1.1730662631158599</v>
      </c>
      <c r="R214">
        <v>0.288084751238322</v>
      </c>
      <c r="S214" t="s">
        <v>5797</v>
      </c>
      <c r="T214" t="s">
        <v>11164</v>
      </c>
      <c r="U214" t="s">
        <v>11164</v>
      </c>
      <c r="V214" t="s">
        <v>11164</v>
      </c>
      <c r="W214" t="s">
        <v>11375</v>
      </c>
      <c r="X214">
        <v>6</v>
      </c>
      <c r="Y214" t="s">
        <v>16907</v>
      </c>
      <c r="Z214" t="s">
        <v>22364</v>
      </c>
      <c r="AA214">
        <v>1.0237685030032411</v>
      </c>
      <c r="AB214" t="str">
        <f>HYPERLINK("Melting_Curves/meltCurve_B7Z5G4_STMN3.pdf", "Melting_Curves/meltCurve_B7Z5G4_STMN3.pdf")</f>
        <v>Melting_Curves/meltCurve_B7Z5G4_STMN3.pdf</v>
      </c>
    </row>
    <row r="215" spans="1:28" x14ac:dyDescent="0.25">
      <c r="A215" t="s">
        <v>219</v>
      </c>
      <c r="B215">
        <v>0.99796759195183404</v>
      </c>
      <c r="C215">
        <v>1.00794505599092</v>
      </c>
      <c r="D215">
        <v>0.98363945780342799</v>
      </c>
      <c r="E215">
        <v>0.99084119985439101</v>
      </c>
      <c r="F215">
        <v>0.81160935755884001</v>
      </c>
      <c r="G215">
        <v>0.27939626175735799</v>
      </c>
      <c r="H215">
        <v>0.167660215738476</v>
      </c>
      <c r="I215">
        <v>0.107563923900799</v>
      </c>
      <c r="J215">
        <v>8.5773272929980798E-2</v>
      </c>
      <c r="K215">
        <v>6.1359303367874797E-2</v>
      </c>
      <c r="L215">
        <v>1922.3909183762501</v>
      </c>
      <c r="M215">
        <v>37.000940553116301</v>
      </c>
      <c r="N215">
        <v>52.2529637816152</v>
      </c>
      <c r="O215">
        <v>51.804128834733298</v>
      </c>
      <c r="P215">
        <v>-0.16158875617013099</v>
      </c>
      <c r="Q215">
        <v>9.5056404399812805E-2</v>
      </c>
      <c r="R215">
        <v>0.997657135202067</v>
      </c>
      <c r="S215" t="s">
        <v>5798</v>
      </c>
      <c r="T215" t="s">
        <v>11164</v>
      </c>
      <c r="U215" t="s">
        <v>11164</v>
      </c>
      <c r="V215" t="s">
        <v>11164</v>
      </c>
      <c r="W215" t="s">
        <v>11376</v>
      </c>
      <c r="X215">
        <v>9</v>
      </c>
      <c r="Y215" t="s">
        <v>16908</v>
      </c>
      <c r="Z215" t="s">
        <v>22365</v>
      </c>
      <c r="AA215">
        <v>0.54996276061556038</v>
      </c>
      <c r="AB215" t="str">
        <f>HYPERLINK("Melting_Curves/meltCurve_B7Z5N5_SMAD2.pdf", "Melting_Curves/meltCurve_B7Z5N5_SMAD2.pdf")</f>
        <v>Melting_Curves/meltCurve_B7Z5N5_SMAD2.pdf</v>
      </c>
    </row>
    <row r="216" spans="1:28" x14ac:dyDescent="0.25">
      <c r="A216" t="s">
        <v>220</v>
      </c>
      <c r="B216">
        <v>0.99796759195183404</v>
      </c>
      <c r="C216">
        <v>0.99913637692986201</v>
      </c>
      <c r="D216">
        <v>0.99443850459458905</v>
      </c>
      <c r="E216">
        <v>1.12488699462969</v>
      </c>
      <c r="F216">
        <v>1.45115261313876</v>
      </c>
      <c r="G216">
        <v>1.9308954518093</v>
      </c>
      <c r="H216">
        <v>2.2075774944897999</v>
      </c>
      <c r="I216">
        <v>1.4111424257813201</v>
      </c>
      <c r="J216">
        <v>0.32199109681278798</v>
      </c>
      <c r="K216">
        <v>4.0496147639160797E-2</v>
      </c>
      <c r="L216">
        <v>15000</v>
      </c>
      <c r="M216">
        <v>234.88812744138201</v>
      </c>
      <c r="N216">
        <v>63.8831439657761</v>
      </c>
      <c r="O216">
        <v>63.855558788960202</v>
      </c>
      <c r="P216">
        <v>-0.88239631962749698</v>
      </c>
      <c r="Q216">
        <v>4.0463890920197101E-2</v>
      </c>
      <c r="R216">
        <v>0.29975717504719801</v>
      </c>
      <c r="S216" t="s">
        <v>5799</v>
      </c>
      <c r="T216" t="s">
        <v>11164</v>
      </c>
      <c r="U216" t="s">
        <v>11164</v>
      </c>
      <c r="V216" t="s">
        <v>11164</v>
      </c>
      <c r="W216" t="s">
        <v>11377</v>
      </c>
      <c r="X216">
        <v>1</v>
      </c>
      <c r="Y216" t="s">
        <v>16909</v>
      </c>
      <c r="Z216" t="s">
        <v>22366</v>
      </c>
      <c r="AA216">
        <v>0.89969623471029458</v>
      </c>
      <c r="AB216" t="str">
        <f>HYPERLINK("Melting_Curves/meltCurve_B7Z5R6_NBR1.pdf", "Melting_Curves/meltCurve_B7Z5R6_NBR1.pdf")</f>
        <v>Melting_Curves/meltCurve_B7Z5R6_NBR1.pdf</v>
      </c>
    </row>
    <row r="217" spans="1:28" x14ac:dyDescent="0.25">
      <c r="A217" t="s">
        <v>221</v>
      </c>
      <c r="B217">
        <v>0.99796759195183404</v>
      </c>
      <c r="C217">
        <v>1.01438888338066</v>
      </c>
      <c r="D217">
        <v>1.00576618351866</v>
      </c>
      <c r="E217">
        <v>0.92035034179419295</v>
      </c>
      <c r="F217">
        <v>0.896943515482026</v>
      </c>
      <c r="G217">
        <v>0.74796521562052298</v>
      </c>
      <c r="H217">
        <v>0.66037454455429601</v>
      </c>
      <c r="I217">
        <v>0.60975897689845304</v>
      </c>
      <c r="J217">
        <v>0.867775174542885</v>
      </c>
      <c r="K217">
        <v>0.48595306236519697</v>
      </c>
      <c r="L217">
        <v>936.04397959546895</v>
      </c>
      <c r="M217">
        <v>18.092468667213399</v>
      </c>
      <c r="O217">
        <v>51.117020146174703</v>
      </c>
      <c r="P217">
        <v>-3.2367167006760698E-2</v>
      </c>
      <c r="Q217">
        <v>0.63422712683123095</v>
      </c>
      <c r="R217">
        <v>0.74417955875055297</v>
      </c>
      <c r="S217" t="s">
        <v>5800</v>
      </c>
      <c r="T217" t="s">
        <v>11164</v>
      </c>
      <c r="U217" t="s">
        <v>11164</v>
      </c>
      <c r="V217" t="s">
        <v>11164</v>
      </c>
      <c r="W217" t="s">
        <v>11378</v>
      </c>
      <c r="X217">
        <v>4</v>
      </c>
      <c r="Y217" t="s">
        <v>16910</v>
      </c>
      <c r="Z217" t="s">
        <v>22367</v>
      </c>
      <c r="AA217">
        <v>0.81943535942048273</v>
      </c>
      <c r="AB217" t="str">
        <f>HYPERLINK("Melting_Curves/meltCurve_B7Z5W1_F11R.pdf", "Melting_Curves/meltCurve_B7Z5W1_F11R.pdf")</f>
        <v>Melting_Curves/meltCurve_B7Z5W1_F11R.pdf</v>
      </c>
    </row>
    <row r="218" spans="1:28" x14ac:dyDescent="0.25">
      <c r="A218" t="s">
        <v>222</v>
      </c>
      <c r="B218">
        <v>0.99796759195183404</v>
      </c>
      <c r="C218">
        <v>0.98043381324094403</v>
      </c>
      <c r="D218">
        <v>0.95180432685858596</v>
      </c>
      <c r="E218">
        <v>0.86205506337151305</v>
      </c>
      <c r="F218">
        <v>0.66439062622431</v>
      </c>
      <c r="G218">
        <v>0.315668581233223</v>
      </c>
      <c r="H218">
        <v>0.24309685691567701</v>
      </c>
      <c r="I218">
        <v>0.20037919388639</v>
      </c>
      <c r="J218">
        <v>0.13815934227875101</v>
      </c>
      <c r="K218">
        <v>0.13883978064529001</v>
      </c>
      <c r="L218">
        <v>991.40256203882302</v>
      </c>
      <c r="M218">
        <v>19.4782642904208</v>
      </c>
      <c r="N218">
        <v>51.761929740106901</v>
      </c>
      <c r="O218">
        <v>50.370522204640999</v>
      </c>
      <c r="P218">
        <v>-8.3260643442706297E-2</v>
      </c>
      <c r="Q218">
        <v>0.138787630717672</v>
      </c>
      <c r="R218">
        <v>0.995185559785144</v>
      </c>
      <c r="S218" t="s">
        <v>5801</v>
      </c>
      <c r="T218" t="s">
        <v>11164</v>
      </c>
      <c r="U218" t="s">
        <v>11164</v>
      </c>
      <c r="V218" t="s">
        <v>11164</v>
      </c>
      <c r="W218" t="s">
        <v>11379</v>
      </c>
      <c r="X218">
        <v>5</v>
      </c>
      <c r="Y218" t="s">
        <v>16911</v>
      </c>
      <c r="Z218" t="s">
        <v>22368</v>
      </c>
      <c r="AA218">
        <v>0.5495479035270312</v>
      </c>
      <c r="AB218" t="str">
        <f>HYPERLINK("Melting_Curves/meltCurve_B7Z5X7_WARS2.pdf", "Melting_Curves/meltCurve_B7Z5X7_WARS2.pdf")</f>
        <v>Melting_Curves/meltCurve_B7Z5X7_WARS2.pdf</v>
      </c>
    </row>
    <row r="219" spans="1:28" x14ac:dyDescent="0.25">
      <c r="A219" t="s">
        <v>223</v>
      </c>
      <c r="B219">
        <v>0.99796759195183404</v>
      </c>
      <c r="C219">
        <v>1.13376019580069</v>
      </c>
      <c r="D219">
        <v>1.03112425828082</v>
      </c>
      <c r="E219">
        <v>0.92781179907688405</v>
      </c>
      <c r="F219">
        <v>0.65246301545603003</v>
      </c>
      <c r="G219">
        <v>0.35519196293581301</v>
      </c>
      <c r="H219">
        <v>0.230405446852403</v>
      </c>
      <c r="I219">
        <v>0.16671372843316101</v>
      </c>
      <c r="J219">
        <v>0.104571656786395</v>
      </c>
      <c r="K219">
        <v>6.6010888311048094E-2</v>
      </c>
      <c r="L219">
        <v>1059.5989596192001</v>
      </c>
      <c r="M219">
        <v>20.552007582401501</v>
      </c>
      <c r="N219">
        <v>52.110878135986603</v>
      </c>
      <c r="O219">
        <v>51.076279139345502</v>
      </c>
      <c r="P219">
        <v>-9.0727053940536706E-2</v>
      </c>
      <c r="Q219">
        <v>9.8119272667930899E-2</v>
      </c>
      <c r="R219">
        <v>0.98459955050086501</v>
      </c>
      <c r="S219" t="s">
        <v>5802</v>
      </c>
      <c r="T219" t="s">
        <v>11164</v>
      </c>
      <c r="U219" t="s">
        <v>11164</v>
      </c>
      <c r="V219" t="s">
        <v>11164</v>
      </c>
      <c r="W219" t="s">
        <v>11380</v>
      </c>
      <c r="X219">
        <v>5</v>
      </c>
      <c r="Y219" t="s">
        <v>16912</v>
      </c>
      <c r="Z219" t="s">
        <v>22369</v>
      </c>
      <c r="AA219">
        <v>0.5469637620537976</v>
      </c>
      <c r="AB219" t="str">
        <f>HYPERLINK("Melting_Curves/meltCurve_B7Z683_ABR.pdf", "Melting_Curves/meltCurve_B7Z683_ABR.pdf")</f>
        <v>Melting_Curves/meltCurve_B7Z683_ABR.pdf</v>
      </c>
    </row>
    <row r="220" spans="1:28" x14ac:dyDescent="0.25">
      <c r="A220" t="s">
        <v>224</v>
      </c>
      <c r="B220">
        <v>0.99796759195183404</v>
      </c>
      <c r="C220">
        <v>0.97677482836011198</v>
      </c>
      <c r="D220">
        <v>1.0468519106432601</v>
      </c>
      <c r="E220">
        <v>1.02162423472165</v>
      </c>
      <c r="F220">
        <v>0.89859488008852195</v>
      </c>
      <c r="G220">
        <v>0.64034183231562203</v>
      </c>
      <c r="H220">
        <v>0.60153920998253496</v>
      </c>
      <c r="I220">
        <v>0.36672562895489602</v>
      </c>
      <c r="J220">
        <v>0.387850088267578</v>
      </c>
      <c r="K220">
        <v>0.26544925489572502</v>
      </c>
      <c r="L220">
        <v>873.10334041192505</v>
      </c>
      <c r="M220">
        <v>15.734137513358601</v>
      </c>
      <c r="N220">
        <v>58.1610586283198</v>
      </c>
      <c r="O220">
        <v>54.617820296495097</v>
      </c>
      <c r="P220">
        <v>-5.3501273929887697E-2</v>
      </c>
      <c r="Q220">
        <v>0.25718725800200798</v>
      </c>
      <c r="R220">
        <v>0.97250022278854997</v>
      </c>
      <c r="S220" t="s">
        <v>5803</v>
      </c>
      <c r="T220" t="s">
        <v>11164</v>
      </c>
      <c r="U220" t="s">
        <v>11164</v>
      </c>
      <c r="V220" t="s">
        <v>11164</v>
      </c>
      <c r="W220" t="s">
        <v>11381</v>
      </c>
      <c r="X220">
        <v>1</v>
      </c>
      <c r="Y220" t="s">
        <v>16913</v>
      </c>
      <c r="Z220" t="s">
        <v>22370</v>
      </c>
      <c r="AA220">
        <v>0.72448876119980354</v>
      </c>
      <c r="AB220" t="str">
        <f>HYPERLINK("Melting_Curves/meltCurve_B7Z6M4_TNFAIP1.pdf", "Melting_Curves/meltCurve_B7Z6M4_TNFAIP1.pdf")</f>
        <v>Melting_Curves/meltCurve_B7Z6M4_TNFAIP1.pdf</v>
      </c>
    </row>
    <row r="221" spans="1:28" x14ac:dyDescent="0.25">
      <c r="A221" t="s">
        <v>225</v>
      </c>
      <c r="B221">
        <v>0.99796759195183404</v>
      </c>
      <c r="C221">
        <v>0.98988141832541798</v>
      </c>
      <c r="D221">
        <v>0.98039068653370898</v>
      </c>
      <c r="E221">
        <v>0.92077320669400398</v>
      </c>
      <c r="F221">
        <v>0.83027689008164696</v>
      </c>
      <c r="G221">
        <v>0.67505907032957702</v>
      </c>
      <c r="H221">
        <v>0.65367525481618705</v>
      </c>
      <c r="I221">
        <v>0.56718519199881601</v>
      </c>
      <c r="J221">
        <v>0.60443834877737701</v>
      </c>
      <c r="K221">
        <v>0.26571408708702099</v>
      </c>
      <c r="L221">
        <v>416.87828361347403</v>
      </c>
      <c r="M221">
        <v>6.6571923415679697</v>
      </c>
      <c r="N221">
        <v>62.6207358017326</v>
      </c>
      <c r="O221">
        <v>57.694597470614099</v>
      </c>
      <c r="P221">
        <v>-2.89109335132741E-2</v>
      </c>
      <c r="Q221">
        <v>0</v>
      </c>
      <c r="R221">
        <v>0.91465094003382097</v>
      </c>
      <c r="S221" t="s">
        <v>5804</v>
      </c>
      <c r="T221" t="s">
        <v>11164</v>
      </c>
      <c r="U221" t="s">
        <v>11164</v>
      </c>
      <c r="V221" t="s">
        <v>11164</v>
      </c>
      <c r="W221" t="s">
        <v>11382</v>
      </c>
      <c r="X221">
        <v>8</v>
      </c>
      <c r="Y221" t="s">
        <v>16914</v>
      </c>
      <c r="Z221" t="s">
        <v>22371</v>
      </c>
      <c r="AA221">
        <v>0.75584581028707121</v>
      </c>
      <c r="AB221" t="str">
        <f>HYPERLINK("Melting_Curves/meltCurve_B7Z7F3_RANBP3.pdf", "Melting_Curves/meltCurve_B7Z7F3_RANBP3.pdf")</f>
        <v>Melting_Curves/meltCurve_B7Z7F3_RANBP3.pdf</v>
      </c>
    </row>
    <row r="222" spans="1:28" x14ac:dyDescent="0.25">
      <c r="A222" t="s">
        <v>226</v>
      </c>
      <c r="B222">
        <v>0.99796759195183404</v>
      </c>
      <c r="C222">
        <v>0.97328162868642498</v>
      </c>
      <c r="D222">
        <v>1.0128994634866499</v>
      </c>
      <c r="E222">
        <v>1.0006158156431399</v>
      </c>
      <c r="F222">
        <v>0.75503954060909795</v>
      </c>
      <c r="G222">
        <v>0.478824582597219</v>
      </c>
      <c r="H222">
        <v>0.14007117969800501</v>
      </c>
      <c r="I222">
        <v>0.106800096244159</v>
      </c>
      <c r="J222">
        <v>8.5224261468509102E-2</v>
      </c>
      <c r="K222">
        <v>7.2304262342506795E-2</v>
      </c>
      <c r="L222">
        <v>1262.5631565359299</v>
      </c>
      <c r="M222">
        <v>23.875817427176099</v>
      </c>
      <c r="N222">
        <v>53.172978726460201</v>
      </c>
      <c r="O222">
        <v>52.513642779471198</v>
      </c>
      <c r="P222">
        <v>-0.106670284667559</v>
      </c>
      <c r="Q222">
        <v>6.1551744693324598E-2</v>
      </c>
      <c r="R222">
        <v>0.99515912962193098</v>
      </c>
      <c r="S222" t="s">
        <v>5805</v>
      </c>
      <c r="T222" t="s">
        <v>11164</v>
      </c>
      <c r="U222" t="s">
        <v>11164</v>
      </c>
      <c r="V222" t="s">
        <v>11164</v>
      </c>
      <c r="W222" t="s">
        <v>11383</v>
      </c>
      <c r="X222">
        <v>13</v>
      </c>
      <c r="Y222" t="s">
        <v>16915</v>
      </c>
      <c r="Z222" t="s">
        <v>22372</v>
      </c>
      <c r="AA222">
        <v>0.56729337422280146</v>
      </c>
      <c r="AB222" t="str">
        <f>HYPERLINK("Melting_Curves/meltCurve_B7Z7X8_ATL2.pdf", "Melting_Curves/meltCurve_B7Z7X8_ATL2.pdf")</f>
        <v>Melting_Curves/meltCurve_B7Z7X8_ATL2.pdf</v>
      </c>
    </row>
    <row r="223" spans="1:28" x14ac:dyDescent="0.25">
      <c r="A223" t="s">
        <v>227</v>
      </c>
      <c r="B223">
        <v>0.99796759195183404</v>
      </c>
      <c r="C223">
        <v>0.94620041697827895</v>
      </c>
      <c r="D223">
        <v>0.94129755688092998</v>
      </c>
      <c r="E223">
        <v>0.89335247772389004</v>
      </c>
      <c r="F223">
        <v>0.77739521456890404</v>
      </c>
      <c r="G223">
        <v>0.38835726645784502</v>
      </c>
      <c r="H223">
        <v>0.234882040860041</v>
      </c>
      <c r="I223">
        <v>0.20383432806099999</v>
      </c>
      <c r="J223">
        <v>0.142239972816254</v>
      </c>
      <c r="K223">
        <v>0.11170501711671101</v>
      </c>
      <c r="L223">
        <v>1092.17159950568</v>
      </c>
      <c r="M223">
        <v>20.956002703847801</v>
      </c>
      <c r="N223">
        <v>52.848147072224599</v>
      </c>
      <c r="O223">
        <v>51.649740242209099</v>
      </c>
      <c r="P223">
        <v>-8.8676568833741504E-2</v>
      </c>
      <c r="Q223">
        <v>0.12578792154454699</v>
      </c>
      <c r="R223">
        <v>0.99042526726797597</v>
      </c>
      <c r="S223" t="s">
        <v>5806</v>
      </c>
      <c r="T223" t="s">
        <v>11164</v>
      </c>
      <c r="U223" t="s">
        <v>11164</v>
      </c>
      <c r="V223" t="s">
        <v>11164</v>
      </c>
      <c r="W223" t="s">
        <v>11384</v>
      </c>
      <c r="X223">
        <v>7</v>
      </c>
      <c r="Y223" t="s">
        <v>16916</v>
      </c>
      <c r="Z223" t="s">
        <v>22373</v>
      </c>
      <c r="AA223">
        <v>0.57677655197644251</v>
      </c>
      <c r="AB223" t="str">
        <f>HYPERLINK("Melting_Curves/meltCurve_B7Z815_USP7.pdf", "Melting_Curves/meltCurve_B7Z815_USP7.pdf")</f>
        <v>Melting_Curves/meltCurve_B7Z815_USP7.pdf</v>
      </c>
    </row>
    <row r="224" spans="1:28" x14ac:dyDescent="0.25">
      <c r="A224" t="s">
        <v>228</v>
      </c>
      <c r="B224">
        <v>0.99796759195183404</v>
      </c>
      <c r="C224">
        <v>0.99656180023537799</v>
      </c>
      <c r="D224">
        <v>1.0377442069749701</v>
      </c>
      <c r="E224">
        <v>0.97510484554799703</v>
      </c>
      <c r="F224">
        <v>0.77382488057639798</v>
      </c>
      <c r="G224">
        <v>0.42045451789466598</v>
      </c>
      <c r="H224">
        <v>0.38312932042610098</v>
      </c>
      <c r="I224">
        <v>0.31868030755376803</v>
      </c>
      <c r="J224">
        <v>0.38094981828593799</v>
      </c>
      <c r="K224">
        <v>0.273904693148392</v>
      </c>
      <c r="L224">
        <v>1803.7185890022399</v>
      </c>
      <c r="M224">
        <v>35.283144762968803</v>
      </c>
      <c r="N224">
        <v>52.7593655040912</v>
      </c>
      <c r="O224">
        <v>50.9578719851268</v>
      </c>
      <c r="P224">
        <v>-0.115490175313476</v>
      </c>
      <c r="Q224">
        <v>0.332813076683247</v>
      </c>
      <c r="R224">
        <v>0.99062446835849705</v>
      </c>
      <c r="S224" t="s">
        <v>5807</v>
      </c>
      <c r="T224" t="s">
        <v>11164</v>
      </c>
      <c r="U224" t="s">
        <v>11164</v>
      </c>
      <c r="V224" t="s">
        <v>11164</v>
      </c>
      <c r="W224" t="s">
        <v>11385</v>
      </c>
      <c r="X224">
        <v>11</v>
      </c>
      <c r="Y224" t="s">
        <v>16917</v>
      </c>
      <c r="Z224" t="s">
        <v>22374</v>
      </c>
      <c r="AA224">
        <v>0.64988833025604831</v>
      </c>
      <c r="AB224" t="str">
        <f>HYPERLINK("Melting_Curves/meltCurve_B7Z817_DHCR24.pdf", "Melting_Curves/meltCurve_B7Z817_DHCR24.pdf")</f>
        <v>Melting_Curves/meltCurve_B7Z817_DHCR24.pdf</v>
      </c>
    </row>
    <row r="225" spans="1:28" x14ac:dyDescent="0.25">
      <c r="A225" t="s">
        <v>229</v>
      </c>
      <c r="B225">
        <v>0.99796759195183404</v>
      </c>
      <c r="C225">
        <v>1.04337812155828</v>
      </c>
      <c r="D225">
        <v>0.99880182253197103</v>
      </c>
      <c r="E225">
        <v>0.95946647039401001</v>
      </c>
      <c r="F225">
        <v>0.88359597103367404</v>
      </c>
      <c r="G225">
        <v>0.76361294982654004</v>
      </c>
      <c r="H225">
        <v>0.72450608138355999</v>
      </c>
      <c r="I225">
        <v>0.59380398133093504</v>
      </c>
      <c r="J225">
        <v>0.74691814374780896</v>
      </c>
      <c r="K225">
        <v>0.51270522237930805</v>
      </c>
      <c r="L225">
        <v>719.81040646265205</v>
      </c>
      <c r="M225">
        <v>13.352499001019</v>
      </c>
      <c r="O225">
        <v>52.742198079449501</v>
      </c>
      <c r="P225">
        <v>-2.7240927742698699E-2</v>
      </c>
      <c r="Q225">
        <v>0.56966327053002497</v>
      </c>
      <c r="R225">
        <v>0.89723499162881803</v>
      </c>
      <c r="S225" t="s">
        <v>5808</v>
      </c>
      <c r="T225" t="s">
        <v>11164</v>
      </c>
      <c r="U225" t="s">
        <v>11164</v>
      </c>
      <c r="V225" t="s">
        <v>11164</v>
      </c>
      <c r="W225" t="s">
        <v>11386</v>
      </c>
      <c r="X225">
        <v>3</v>
      </c>
      <c r="Y225" t="s">
        <v>16918</v>
      </c>
      <c r="Z225" t="s">
        <v>22375</v>
      </c>
      <c r="AA225">
        <v>0.81976777866330963</v>
      </c>
      <c r="AB225" t="str">
        <f>HYPERLINK("Melting_Curves/meltCurve_B7Z831_GPRC5B.pdf", "Melting_Curves/meltCurve_B7Z831_GPRC5B.pdf")</f>
        <v>Melting_Curves/meltCurve_B7Z831_GPRC5B.pdf</v>
      </c>
    </row>
    <row r="226" spans="1:28" x14ac:dyDescent="0.25">
      <c r="A226" t="s">
        <v>230</v>
      </c>
      <c r="B226">
        <v>0.99796759195183404</v>
      </c>
      <c r="C226">
        <v>1.0264578499982699</v>
      </c>
      <c r="D226">
        <v>0.975607325986805</v>
      </c>
      <c r="E226">
        <v>0.93131495863504599</v>
      </c>
      <c r="F226">
        <v>0.88616458505284701</v>
      </c>
      <c r="G226">
        <v>1.2032663884161301</v>
      </c>
      <c r="H226">
        <v>0.61427382835282696</v>
      </c>
      <c r="I226">
        <v>0.63874318775613004</v>
      </c>
      <c r="J226">
        <v>1.4937046948536401</v>
      </c>
      <c r="K226">
        <v>1.6451944751827201</v>
      </c>
      <c r="L226">
        <v>15000</v>
      </c>
      <c r="M226">
        <v>237.78466413030301</v>
      </c>
      <c r="O226">
        <v>63.077830591010198</v>
      </c>
      <c r="P226">
        <v>0.47121288658080301</v>
      </c>
      <c r="Q226">
        <v>1.5</v>
      </c>
      <c r="R226">
        <v>0.63280339326241297</v>
      </c>
      <c r="S226" t="s">
        <v>5809</v>
      </c>
      <c r="T226" t="s">
        <v>11164</v>
      </c>
      <c r="U226" t="s">
        <v>11164</v>
      </c>
      <c r="V226" t="s">
        <v>11164</v>
      </c>
      <c r="W226" t="s">
        <v>11387</v>
      </c>
      <c r="X226">
        <v>5</v>
      </c>
      <c r="Y226" t="s">
        <v>16919</v>
      </c>
      <c r="Z226" t="s">
        <v>22376</v>
      </c>
      <c r="AA226">
        <v>1.065234062221418</v>
      </c>
      <c r="AB226" t="str">
        <f>HYPERLINK("Melting_Curves/meltCurve_B7Z860_CCDC117.pdf", "Melting_Curves/meltCurve_B7Z860_CCDC117.pdf")</f>
        <v>Melting_Curves/meltCurve_B7Z860_CCDC117.pdf</v>
      </c>
    </row>
    <row r="227" spans="1:28" x14ac:dyDescent="0.25">
      <c r="A227" t="s">
        <v>231</v>
      </c>
      <c r="B227">
        <v>0.99796759195183404</v>
      </c>
      <c r="C227">
        <v>0.99543676582060103</v>
      </c>
      <c r="D227">
        <v>0.87399131460905699</v>
      </c>
      <c r="E227">
        <v>0.72485116938086003</v>
      </c>
      <c r="F227">
        <v>0.27915052414910901</v>
      </c>
      <c r="G227">
        <v>0.14556542410033499</v>
      </c>
      <c r="H227">
        <v>0.12706475243134499</v>
      </c>
      <c r="I227">
        <v>9.5821518322089003E-2</v>
      </c>
      <c r="J227">
        <v>6.2016662962028603E-2</v>
      </c>
      <c r="K227">
        <v>2.9469698453368401E-2</v>
      </c>
      <c r="L227">
        <v>1070.2534773847999</v>
      </c>
      <c r="M227">
        <v>22.316812670665399</v>
      </c>
      <c r="N227">
        <v>48.263158228745901</v>
      </c>
      <c r="O227">
        <v>47.577198443177799</v>
      </c>
      <c r="P227">
        <v>-0.109535348736868</v>
      </c>
      <c r="Q227">
        <v>6.5946658876871303E-2</v>
      </c>
      <c r="R227">
        <v>0.99308094142625003</v>
      </c>
      <c r="S227" t="s">
        <v>5810</v>
      </c>
      <c r="T227" t="s">
        <v>11164</v>
      </c>
      <c r="U227" t="s">
        <v>11164</v>
      </c>
      <c r="V227" t="s">
        <v>11164</v>
      </c>
      <c r="W227" t="s">
        <v>11388</v>
      </c>
      <c r="X227">
        <v>2</v>
      </c>
      <c r="Y227" t="s">
        <v>16920</v>
      </c>
      <c r="Z227" t="s">
        <v>22377</v>
      </c>
      <c r="AA227">
        <v>0.41704356146213561</v>
      </c>
      <c r="AB227" t="str">
        <f>HYPERLINK("Melting_Curves/meltCurve_B7Z8H2_TRDMT1.pdf", "Melting_Curves/meltCurve_B7Z8H2_TRDMT1.pdf")</f>
        <v>Melting_Curves/meltCurve_B7Z8H2_TRDMT1.pdf</v>
      </c>
    </row>
    <row r="228" spans="1:28" x14ac:dyDescent="0.25">
      <c r="A228" t="s">
        <v>232</v>
      </c>
      <c r="B228">
        <v>0.99796759195183404</v>
      </c>
      <c r="C228">
        <v>1.0039175658289201</v>
      </c>
      <c r="D228">
        <v>0.99923259814427601</v>
      </c>
      <c r="E228">
        <v>0.98535890996464004</v>
      </c>
      <c r="F228">
        <v>0.84768003956440097</v>
      </c>
      <c r="G228">
        <v>1.2093637325136499</v>
      </c>
      <c r="H228">
        <v>0.80822452070478601</v>
      </c>
      <c r="I228">
        <v>0.32187065989208102</v>
      </c>
      <c r="J228">
        <v>0.15495698805875699</v>
      </c>
      <c r="K228">
        <v>0.114489825454148</v>
      </c>
      <c r="L228">
        <v>2705.3093224422701</v>
      </c>
      <c r="M228">
        <v>45.656999779375901</v>
      </c>
      <c r="N228">
        <v>59.619416921989703</v>
      </c>
      <c r="O228">
        <v>59.139557117109298</v>
      </c>
      <c r="P228">
        <v>-0.16938801100234999</v>
      </c>
      <c r="Q228">
        <v>0.122367242586551</v>
      </c>
      <c r="R228">
        <v>0.94889746247796403</v>
      </c>
      <c r="S228" t="s">
        <v>5811</v>
      </c>
      <c r="T228" t="s">
        <v>11164</v>
      </c>
      <c r="U228" t="s">
        <v>11164</v>
      </c>
      <c r="V228" t="s">
        <v>11164</v>
      </c>
      <c r="W228" t="s">
        <v>11389</v>
      </c>
      <c r="X228">
        <v>15</v>
      </c>
      <c r="Y228" t="s">
        <v>16921</v>
      </c>
      <c r="Z228" t="s">
        <v>22378</v>
      </c>
      <c r="AA228">
        <v>0.77585691801294532</v>
      </c>
      <c r="AB228" t="str">
        <f>HYPERLINK("Melting_Curves/meltCurve_B7Z9I1_ACADM.pdf", "Melting_Curves/meltCurve_B7Z9I1_ACADM.pdf")</f>
        <v>Melting_Curves/meltCurve_B7Z9I1_ACADM.pdf</v>
      </c>
    </row>
    <row r="229" spans="1:28" x14ac:dyDescent="0.25">
      <c r="A229" t="s">
        <v>233</v>
      </c>
      <c r="B229">
        <v>0.99796759195183404</v>
      </c>
      <c r="C229">
        <v>1.0200503189928001</v>
      </c>
      <c r="D229">
        <v>1.0735161372944999</v>
      </c>
      <c r="E229">
        <v>1.1180399674608099</v>
      </c>
      <c r="F229">
        <v>0.91045169127296799</v>
      </c>
      <c r="G229">
        <v>0.85367503853549398</v>
      </c>
      <c r="H229">
        <v>0.49408044481250801</v>
      </c>
      <c r="I229">
        <v>0.34265723482329702</v>
      </c>
      <c r="J229">
        <v>0.18363102257900099</v>
      </c>
      <c r="K229">
        <v>0.15830814901852699</v>
      </c>
      <c r="L229">
        <v>1283.9322960358099</v>
      </c>
      <c r="M229">
        <v>22.5272398122009</v>
      </c>
      <c r="N229">
        <v>57.806170086009502</v>
      </c>
      <c r="O229">
        <v>56.551214306786598</v>
      </c>
      <c r="P229">
        <v>-8.6089275696062395E-2</v>
      </c>
      <c r="Q229">
        <v>0.135561112690542</v>
      </c>
      <c r="R229">
        <v>0.97776375110681701</v>
      </c>
      <c r="S229" t="s">
        <v>5812</v>
      </c>
      <c r="T229" t="s">
        <v>11164</v>
      </c>
      <c r="U229" t="s">
        <v>11164</v>
      </c>
      <c r="V229" t="s">
        <v>11164</v>
      </c>
      <c r="W229" t="s">
        <v>11390</v>
      </c>
      <c r="X229">
        <v>1</v>
      </c>
      <c r="Y229" t="s">
        <v>16922</v>
      </c>
      <c r="Z229" t="s">
        <v>22379</v>
      </c>
      <c r="AA229">
        <v>0.71879650040643783</v>
      </c>
      <c r="AB229" t="str">
        <f>HYPERLINK("Melting_Curves/meltCurve_B7Z9I3_ATP6AP2.pdf", "Melting_Curves/meltCurve_B7Z9I3_ATP6AP2.pdf")</f>
        <v>Melting_Curves/meltCurve_B7Z9I3_ATP6AP2.pdf</v>
      </c>
    </row>
    <row r="230" spans="1:28" x14ac:dyDescent="0.25">
      <c r="A230" t="s">
        <v>234</v>
      </c>
      <c r="B230">
        <v>0.99796759195183404</v>
      </c>
      <c r="C230">
        <v>0.8303721346895</v>
      </c>
      <c r="D230">
        <v>0.803651637767264</v>
      </c>
      <c r="E230">
        <v>0.70391428542065704</v>
      </c>
      <c r="F230">
        <v>0.70882869732749898</v>
      </c>
      <c r="G230">
        <v>0.49462263501291998</v>
      </c>
      <c r="H230">
        <v>0.37522351261055198</v>
      </c>
      <c r="I230">
        <v>0.33747833589318599</v>
      </c>
      <c r="J230">
        <v>0.32982007562698601</v>
      </c>
      <c r="K230">
        <v>0.36948841236553498</v>
      </c>
      <c r="L230">
        <v>365.69495890019198</v>
      </c>
      <c r="M230">
        <v>7.2578116776691397</v>
      </c>
      <c r="N230">
        <v>54.180121761967897</v>
      </c>
      <c r="O230">
        <v>46.983347013324298</v>
      </c>
      <c r="P230">
        <v>-3.0975942625713199E-2</v>
      </c>
      <c r="Q230">
        <v>0.19921023421237299</v>
      </c>
      <c r="R230">
        <v>0.95006600442537603</v>
      </c>
      <c r="S230" t="s">
        <v>5813</v>
      </c>
      <c r="T230" t="s">
        <v>11164</v>
      </c>
      <c r="U230" t="s">
        <v>11164</v>
      </c>
      <c r="V230" t="s">
        <v>11164</v>
      </c>
      <c r="W230" t="s">
        <v>11391</v>
      </c>
      <c r="X230">
        <v>2</v>
      </c>
      <c r="Y230" t="s">
        <v>16923</v>
      </c>
      <c r="Z230" t="s">
        <v>22380</v>
      </c>
      <c r="AA230">
        <v>0.58911491468884669</v>
      </c>
      <c r="AB230" t="str">
        <f>HYPERLINK("Melting_Curves/meltCurve_B7Z9J4_CALB1.pdf", "Melting_Curves/meltCurve_B7Z9J4_CALB1.pdf")</f>
        <v>Melting_Curves/meltCurve_B7Z9J4_CALB1.pdf</v>
      </c>
    </row>
    <row r="231" spans="1:28" x14ac:dyDescent="0.25">
      <c r="A231" t="s">
        <v>235</v>
      </c>
      <c r="B231">
        <v>0.99796759195183404</v>
      </c>
      <c r="C231">
        <v>1.0274722893171599</v>
      </c>
      <c r="D231">
        <v>1.03317033074049</v>
      </c>
      <c r="E231">
        <v>1.01095918418209</v>
      </c>
      <c r="F231">
        <v>0.89059225418698895</v>
      </c>
      <c r="G231">
        <v>0.87489964963798805</v>
      </c>
      <c r="H231">
        <v>0.84522027615630302</v>
      </c>
      <c r="I231">
        <v>0.79155647637155702</v>
      </c>
      <c r="J231">
        <v>0.42446952670190802</v>
      </c>
      <c r="K231">
        <v>0.42675719215076302</v>
      </c>
      <c r="L231">
        <v>798.68105758044601</v>
      </c>
      <c r="M231">
        <v>12.328594964620301</v>
      </c>
      <c r="N231">
        <v>64.782814721770194</v>
      </c>
      <c r="O231">
        <v>63.149134781847401</v>
      </c>
      <c r="P231">
        <v>-4.8818057374042899E-2</v>
      </c>
      <c r="Q231">
        <v>0</v>
      </c>
      <c r="R231">
        <v>0.92360122500782804</v>
      </c>
      <c r="S231" t="s">
        <v>5814</v>
      </c>
      <c r="T231" t="s">
        <v>11164</v>
      </c>
      <c r="U231" t="s">
        <v>11164</v>
      </c>
      <c r="V231" t="s">
        <v>11164</v>
      </c>
      <c r="W231" t="s">
        <v>11392</v>
      </c>
      <c r="X231">
        <v>8</v>
      </c>
      <c r="Y231" t="s">
        <v>16924</v>
      </c>
      <c r="Z231" t="s">
        <v>22381</v>
      </c>
      <c r="AA231">
        <v>0.85651713193538526</v>
      </c>
      <c r="AB231" t="str">
        <f>HYPERLINK("Melting_Curves/meltCurve_B7Z9S8_ATP1B1.pdf", "Melting_Curves/meltCurve_B7Z9S8_ATP1B1.pdf")</f>
        <v>Melting_Curves/meltCurve_B7Z9S8_ATP1B1.pdf</v>
      </c>
    </row>
    <row r="232" spans="1:28" x14ac:dyDescent="0.25">
      <c r="A232" t="s">
        <v>236</v>
      </c>
      <c r="B232">
        <v>0.99796759195183404</v>
      </c>
      <c r="C232">
        <v>1.13881522129168</v>
      </c>
      <c r="D232">
        <v>1.08888258392341</v>
      </c>
      <c r="E232">
        <v>1.0621201668479601</v>
      </c>
      <c r="F232">
        <v>0.91140880840965899</v>
      </c>
      <c r="G232">
        <v>0.33927785157218099</v>
      </c>
      <c r="H232">
        <v>0.16092581903400599</v>
      </c>
      <c r="I232">
        <v>0.13513502776995401</v>
      </c>
      <c r="J232">
        <v>0.11775828583069201</v>
      </c>
      <c r="K232">
        <v>9.9057349180644003E-2</v>
      </c>
      <c r="L232">
        <v>2463.6935241938099</v>
      </c>
      <c r="M232">
        <v>46.892274915158097</v>
      </c>
      <c r="N232">
        <v>52.858148090140702</v>
      </c>
      <c r="O232">
        <v>52.444135743636402</v>
      </c>
      <c r="P232">
        <v>-0.19600780507731599</v>
      </c>
      <c r="Q232">
        <v>0.123143345775306</v>
      </c>
      <c r="R232">
        <v>0.98339451760839103</v>
      </c>
      <c r="S232" t="s">
        <v>5815</v>
      </c>
      <c r="T232" t="s">
        <v>11164</v>
      </c>
      <c r="U232" t="s">
        <v>11164</v>
      </c>
      <c r="V232" t="s">
        <v>11164</v>
      </c>
      <c r="W232" t="s">
        <v>11393</v>
      </c>
      <c r="X232">
        <v>23</v>
      </c>
      <c r="Y232" t="s">
        <v>16925</v>
      </c>
      <c r="Z232" t="s">
        <v>22382</v>
      </c>
      <c r="AA232">
        <v>0.57964845992486269</v>
      </c>
      <c r="AB232" t="str">
        <f>HYPERLINK("Melting_Curves/meltCurve_B7ZC38_SH3GLB2.pdf", "Melting_Curves/meltCurve_B7ZC38_SH3GLB2.pdf")</f>
        <v>Melting_Curves/meltCurve_B7ZC38_SH3GLB2.pdf</v>
      </c>
    </row>
    <row r="233" spans="1:28" x14ac:dyDescent="0.25">
      <c r="A233" t="s">
        <v>237</v>
      </c>
      <c r="B233">
        <v>0.99796759195183404</v>
      </c>
      <c r="C233">
        <v>1.0327656724105101</v>
      </c>
      <c r="D233">
        <v>0.987598369486412</v>
      </c>
      <c r="E233">
        <v>0.86958327319987305</v>
      </c>
      <c r="F233">
        <v>0.77080845362520301</v>
      </c>
      <c r="G233">
        <v>0.46945625529512502</v>
      </c>
      <c r="H233">
        <v>0.12996107448372801</v>
      </c>
      <c r="I233">
        <v>7.6396763327480105E-2</v>
      </c>
      <c r="J233">
        <v>5.9514359407906101E-2</v>
      </c>
      <c r="K233">
        <v>4.42632029182288E-2</v>
      </c>
      <c r="L233">
        <v>1069.3153819863901</v>
      </c>
      <c r="M233">
        <v>20.185994653143499</v>
      </c>
      <c r="N233">
        <v>53.055202973425601</v>
      </c>
      <c r="O233">
        <v>52.461471671138902</v>
      </c>
      <c r="P233">
        <v>-9.4718713715302494E-2</v>
      </c>
      <c r="Q233">
        <v>1.5371387209979499E-2</v>
      </c>
      <c r="R233">
        <v>0.99306970282459806</v>
      </c>
      <c r="S233" t="s">
        <v>5816</v>
      </c>
      <c r="T233" t="s">
        <v>11164</v>
      </c>
      <c r="U233" t="s">
        <v>11164</v>
      </c>
      <c r="V233" t="s">
        <v>11164</v>
      </c>
      <c r="W233" t="s">
        <v>11394</v>
      </c>
      <c r="X233">
        <v>7</v>
      </c>
      <c r="Y233" t="s">
        <v>16926</v>
      </c>
      <c r="Z233" t="s">
        <v>22383</v>
      </c>
      <c r="AA233">
        <v>0.55187251309908647</v>
      </c>
      <c r="AB233" t="str">
        <f>HYPERLINK("Melting_Curves/meltCurve_B7ZKK9_PPP2R5E.pdf", "Melting_Curves/meltCurve_B7ZKK9_PPP2R5E.pdf")</f>
        <v>Melting_Curves/meltCurve_B7ZKK9_PPP2R5E.pdf</v>
      </c>
    </row>
    <row r="234" spans="1:28" x14ac:dyDescent="0.25">
      <c r="A234" t="s">
        <v>238</v>
      </c>
      <c r="B234">
        <v>0.99796759195183404</v>
      </c>
      <c r="C234">
        <v>1.0032161961388599</v>
      </c>
      <c r="D234">
        <v>1.00219162701801</v>
      </c>
      <c r="E234">
        <v>0.839913757611084</v>
      </c>
      <c r="F234">
        <v>0.66804081484459799</v>
      </c>
      <c r="G234">
        <v>0.48400227642529797</v>
      </c>
      <c r="H234">
        <v>0.23915176278884001</v>
      </c>
      <c r="I234">
        <v>0.15261757857436301</v>
      </c>
      <c r="J234">
        <v>0.14978280107324601</v>
      </c>
      <c r="K234">
        <v>7.6752450640714107E-2</v>
      </c>
      <c r="L234">
        <v>749.37773858843002</v>
      </c>
      <c r="M234">
        <v>14.2549431846035</v>
      </c>
      <c r="N234">
        <v>52.947585071439399</v>
      </c>
      <c r="O234">
        <v>51.567573572089898</v>
      </c>
      <c r="P234">
        <v>-6.5773350321557095E-2</v>
      </c>
      <c r="Q234">
        <v>4.8371132794755897E-2</v>
      </c>
      <c r="R234">
        <v>0.99526661799294103</v>
      </c>
      <c r="S234" t="s">
        <v>5817</v>
      </c>
      <c r="T234" t="s">
        <v>11164</v>
      </c>
      <c r="U234" t="s">
        <v>11164</v>
      </c>
      <c r="V234" t="s">
        <v>11164</v>
      </c>
      <c r="W234" t="s">
        <v>11395</v>
      </c>
      <c r="X234">
        <v>1</v>
      </c>
      <c r="Y234" t="s">
        <v>16927</v>
      </c>
      <c r="Z234" t="s">
        <v>22384</v>
      </c>
      <c r="AA234">
        <v>0.56072680894574323</v>
      </c>
      <c r="AB234" t="str">
        <f>HYPERLINK("Melting_Curves/meltCurve_B7ZKM0_SART3.pdf", "Melting_Curves/meltCurve_B7ZKM0_SART3.pdf")</f>
        <v>Melting_Curves/meltCurve_B7ZKM0_SART3.pdf</v>
      </c>
    </row>
    <row r="235" spans="1:28" x14ac:dyDescent="0.25">
      <c r="A235" t="s">
        <v>239</v>
      </c>
      <c r="B235">
        <v>0.99796759195183404</v>
      </c>
      <c r="C235">
        <v>1.0123308574750001</v>
      </c>
      <c r="D235">
        <v>1.0080111812996999</v>
      </c>
      <c r="E235">
        <v>0.92474470261201902</v>
      </c>
      <c r="F235">
        <v>0.85882383275153495</v>
      </c>
      <c r="G235">
        <v>0.61926021305689904</v>
      </c>
      <c r="H235">
        <v>0.57848218083401903</v>
      </c>
      <c r="I235">
        <v>0.53033927877079601</v>
      </c>
      <c r="J235">
        <v>0.64395136452181001</v>
      </c>
      <c r="K235">
        <v>0.60349611644429502</v>
      </c>
      <c r="L235">
        <v>1846.3281752857399</v>
      </c>
      <c r="M235">
        <v>36.294988696856599</v>
      </c>
      <c r="O235">
        <v>50.716378589418703</v>
      </c>
      <c r="P235">
        <v>-7.4291411522641002E-2</v>
      </c>
      <c r="Q235">
        <v>0.58476038825128296</v>
      </c>
      <c r="R235">
        <v>0.967848367933415</v>
      </c>
      <c r="S235" t="s">
        <v>5818</v>
      </c>
      <c r="T235" t="s">
        <v>11164</v>
      </c>
      <c r="U235" t="s">
        <v>11164</v>
      </c>
      <c r="V235" t="s">
        <v>11164</v>
      </c>
      <c r="W235" t="s">
        <v>11396</v>
      </c>
      <c r="X235">
        <v>4</v>
      </c>
      <c r="Y235" t="s">
        <v>16928</v>
      </c>
      <c r="Z235" t="s">
        <v>22385</v>
      </c>
      <c r="AA235">
        <v>0.77851180663510466</v>
      </c>
      <c r="AB235" t="str">
        <f>HYPERLINK("Melting_Curves/meltCurve_B7ZKQ9_SCARB1.pdf", "Melting_Curves/meltCurve_B7ZKQ9_SCARB1.pdf")</f>
        <v>Melting_Curves/meltCurve_B7ZKQ9_SCARB1.pdf</v>
      </c>
    </row>
    <row r="236" spans="1:28" x14ac:dyDescent="0.25">
      <c r="A236" t="s">
        <v>240</v>
      </c>
      <c r="B236">
        <v>0.99796759195183404</v>
      </c>
      <c r="C236">
        <v>1.01480094623365</v>
      </c>
      <c r="D236">
        <v>1.0067417153743901</v>
      </c>
      <c r="E236">
        <v>0.93133879155352195</v>
      </c>
      <c r="F236">
        <v>0.93614811439428003</v>
      </c>
      <c r="G236">
        <v>0.81666803513001396</v>
      </c>
      <c r="H236">
        <v>0.631894165126619</v>
      </c>
      <c r="I236">
        <v>0.36551890736011</v>
      </c>
      <c r="J236">
        <v>0.31361536128553402</v>
      </c>
      <c r="K236">
        <v>0.16269816787603</v>
      </c>
      <c r="L236">
        <v>839.36656176876602</v>
      </c>
      <c r="M236">
        <v>14.183051226021099</v>
      </c>
      <c r="N236">
        <v>59.373367883641002</v>
      </c>
      <c r="O236">
        <v>58.041728236055299</v>
      </c>
      <c r="P236">
        <v>-5.9725251305894497E-2</v>
      </c>
      <c r="Q236">
        <v>2.2461169150270601E-2</v>
      </c>
      <c r="R236">
        <v>0.99244733067686497</v>
      </c>
      <c r="S236" t="s">
        <v>5819</v>
      </c>
      <c r="T236" t="s">
        <v>11164</v>
      </c>
      <c r="U236" t="s">
        <v>11164</v>
      </c>
      <c r="V236" t="s">
        <v>11164</v>
      </c>
      <c r="W236" t="s">
        <v>11397</v>
      </c>
      <c r="X236">
        <v>3</v>
      </c>
      <c r="Y236" t="s">
        <v>16929</v>
      </c>
      <c r="Z236" t="s">
        <v>22386</v>
      </c>
      <c r="AA236">
        <v>0.74188199537463417</v>
      </c>
      <c r="AB236" t="str">
        <f>HYPERLINK("Melting_Curves/meltCurve_B7ZL88_COX18.pdf", "Melting_Curves/meltCurve_B7ZL88_COX18.pdf")</f>
        <v>Melting_Curves/meltCurve_B7ZL88_COX18.pdf</v>
      </c>
    </row>
    <row r="237" spans="1:28" x14ac:dyDescent="0.25">
      <c r="A237" t="s">
        <v>241</v>
      </c>
      <c r="B237">
        <v>0.99796759195183404</v>
      </c>
      <c r="C237">
        <v>1.07384911327123</v>
      </c>
      <c r="D237">
        <v>1.04679152770608</v>
      </c>
      <c r="E237">
        <v>0.92802924643131002</v>
      </c>
      <c r="F237">
        <v>0.81051239681603204</v>
      </c>
      <c r="G237">
        <v>0.59050892006308398</v>
      </c>
      <c r="H237">
        <v>0.32696763299095299</v>
      </c>
      <c r="I237">
        <v>0.33574994282044901</v>
      </c>
      <c r="J237">
        <v>0.25459108612960002</v>
      </c>
      <c r="K237">
        <v>0.12484292879982301</v>
      </c>
      <c r="L237">
        <v>902.18349773930697</v>
      </c>
      <c r="M237">
        <v>16.760085285012</v>
      </c>
      <c r="N237">
        <v>55.115148715090498</v>
      </c>
      <c r="O237">
        <v>53.080474419397397</v>
      </c>
      <c r="P237">
        <v>-6.6168334420817806E-2</v>
      </c>
      <c r="Q237">
        <v>0.161814036325442</v>
      </c>
      <c r="R237">
        <v>0.98040672014479002</v>
      </c>
      <c r="S237" t="s">
        <v>5820</v>
      </c>
      <c r="T237" t="s">
        <v>11164</v>
      </c>
      <c r="U237" t="s">
        <v>11164</v>
      </c>
      <c r="V237" t="s">
        <v>11164</v>
      </c>
      <c r="W237" t="s">
        <v>11398</v>
      </c>
      <c r="X237">
        <v>2</v>
      </c>
      <c r="Y237" t="s">
        <v>16930</v>
      </c>
      <c r="Z237" t="s">
        <v>22387</v>
      </c>
      <c r="AA237">
        <v>0.64456404762258646</v>
      </c>
      <c r="AB237" t="str">
        <f>HYPERLINK("Melting_Curves/meltCurve_B7ZLZ2_EDEM3.pdf", "Melting_Curves/meltCurve_B7ZLZ2_EDEM3.pdf")</f>
        <v>Melting_Curves/meltCurve_B7ZLZ2_EDEM3.pdf</v>
      </c>
    </row>
    <row r="238" spans="1:28" x14ac:dyDescent="0.25">
      <c r="A238" t="s">
        <v>242</v>
      </c>
      <c r="B238">
        <v>0.99796759195183404</v>
      </c>
      <c r="C238">
        <v>1.01583616388975</v>
      </c>
      <c r="D238">
        <v>0.992859436665116</v>
      </c>
      <c r="E238">
        <v>1.0018839853200401</v>
      </c>
      <c r="F238">
        <v>0.917522897967883</v>
      </c>
      <c r="G238">
        <v>0.770958694332187</v>
      </c>
      <c r="H238">
        <v>0.74785055979363702</v>
      </c>
      <c r="I238">
        <v>0.65075932460195896</v>
      </c>
      <c r="J238">
        <v>0.62138571978469503</v>
      </c>
      <c r="K238">
        <v>0.409929707352433</v>
      </c>
      <c r="L238">
        <v>492.49347603417698</v>
      </c>
      <c r="M238">
        <v>7.4905925466875303</v>
      </c>
      <c r="N238">
        <v>65.748266635783594</v>
      </c>
      <c r="O238">
        <v>61.5514445218273</v>
      </c>
      <c r="P238">
        <v>-3.0468055660072602E-2</v>
      </c>
      <c r="Q238">
        <v>0</v>
      </c>
      <c r="R238">
        <v>0.95796329167671601</v>
      </c>
      <c r="S238" t="s">
        <v>5821</v>
      </c>
      <c r="T238" t="s">
        <v>11164</v>
      </c>
      <c r="U238" t="s">
        <v>11164</v>
      </c>
      <c r="V238" t="s">
        <v>11164</v>
      </c>
      <c r="W238" t="s">
        <v>11399</v>
      </c>
      <c r="X238">
        <v>17</v>
      </c>
      <c r="Y238" t="s">
        <v>16931</v>
      </c>
      <c r="Z238" t="s">
        <v>22388</v>
      </c>
      <c r="AA238">
        <v>0.82154504987530352</v>
      </c>
      <c r="AB238" t="str">
        <f>HYPERLINK("Melting_Curves/meltCurve_B8X2Z3_RLTPR.pdf", "Melting_Curves/meltCurve_B8X2Z3_RLTPR.pdf")</f>
        <v>Melting_Curves/meltCurve_B8X2Z3_RLTPR.pdf</v>
      </c>
    </row>
    <row r="239" spans="1:28" x14ac:dyDescent="0.25">
      <c r="A239" t="s">
        <v>243</v>
      </c>
      <c r="B239">
        <v>0.99796759195183404</v>
      </c>
      <c r="C239">
        <v>1.0234925962647099</v>
      </c>
      <c r="D239">
        <v>0.99589207104467803</v>
      </c>
      <c r="E239">
        <v>1.01592596415976</v>
      </c>
      <c r="F239">
        <v>0.79717672898615499</v>
      </c>
      <c r="G239">
        <v>0.58765548700635195</v>
      </c>
      <c r="H239">
        <v>0.401715046312206</v>
      </c>
      <c r="I239">
        <v>0.191664726009903</v>
      </c>
      <c r="J239">
        <v>0.154462828472089</v>
      </c>
      <c r="K239">
        <v>0.117702043191794</v>
      </c>
      <c r="L239">
        <v>911.17486288640202</v>
      </c>
      <c r="M239">
        <v>16.660398826827301</v>
      </c>
      <c r="N239">
        <v>55.2395210550036</v>
      </c>
      <c r="O239">
        <v>53.921336505832798</v>
      </c>
      <c r="P239">
        <v>-7.1360459041203098E-2</v>
      </c>
      <c r="Q239">
        <v>7.6230061902741605E-2</v>
      </c>
      <c r="R239">
        <v>0.99396855573464704</v>
      </c>
      <c r="S239" t="s">
        <v>5822</v>
      </c>
      <c r="T239" t="s">
        <v>11164</v>
      </c>
      <c r="U239" t="s">
        <v>11164</v>
      </c>
      <c r="V239" t="s">
        <v>11164</v>
      </c>
      <c r="W239" t="s">
        <v>11400</v>
      </c>
      <c r="X239">
        <v>3</v>
      </c>
      <c r="Y239" t="s">
        <v>16932</v>
      </c>
      <c r="Z239" t="s">
        <v>22389</v>
      </c>
      <c r="AA239">
        <v>0.63376890980009704</v>
      </c>
      <c r="AB239" t="str">
        <f>HYPERLINK("Melting_Curves/meltCurve_B8ZZB8_CNRIP1.pdf", "Melting_Curves/meltCurve_B8ZZB8_CNRIP1.pdf")</f>
        <v>Melting_Curves/meltCurve_B8ZZB8_CNRIP1.pdf</v>
      </c>
    </row>
    <row r="240" spans="1:28" x14ac:dyDescent="0.25">
      <c r="A240" t="s">
        <v>244</v>
      </c>
      <c r="B240">
        <v>0.99796759195183404</v>
      </c>
      <c r="C240">
        <v>0.96330897561089901</v>
      </c>
      <c r="D240">
        <v>1.0502544525267801</v>
      </c>
      <c r="E240">
        <v>0.89500428309452795</v>
      </c>
      <c r="F240">
        <v>0.62870099250497702</v>
      </c>
      <c r="G240">
        <v>0.63050500839828305</v>
      </c>
      <c r="H240">
        <v>0.35693744292289598</v>
      </c>
      <c r="I240">
        <v>0.281820154112847</v>
      </c>
      <c r="J240">
        <v>0.28551127745092603</v>
      </c>
      <c r="K240">
        <v>0.21115662368357899</v>
      </c>
      <c r="L240">
        <v>704.73082689174896</v>
      </c>
      <c r="M240">
        <v>13.3620981770004</v>
      </c>
      <c r="N240">
        <v>54.609193476111898</v>
      </c>
      <c r="O240">
        <v>51.6017756378114</v>
      </c>
      <c r="P240">
        <v>-5.2869456386402898E-2</v>
      </c>
      <c r="Q240">
        <v>0.18344433107128399</v>
      </c>
      <c r="R240">
        <v>0.97047885083221097</v>
      </c>
      <c r="S240" t="s">
        <v>5823</v>
      </c>
      <c r="T240" t="s">
        <v>11164</v>
      </c>
      <c r="U240" t="s">
        <v>11164</v>
      </c>
      <c r="V240" t="s">
        <v>11164</v>
      </c>
      <c r="W240" t="s">
        <v>11401</v>
      </c>
      <c r="X240">
        <v>2</v>
      </c>
      <c r="Y240" t="s">
        <v>16933</v>
      </c>
      <c r="Z240" t="s">
        <v>22390</v>
      </c>
      <c r="AA240">
        <v>0.62841282746552019</v>
      </c>
      <c r="AB240" t="str">
        <f>HYPERLINK("Melting_Curves/meltCurve_B8ZZD4_TAX1BP1.pdf", "Melting_Curves/meltCurve_B8ZZD4_TAX1BP1.pdf")</f>
        <v>Melting_Curves/meltCurve_B8ZZD4_TAX1BP1.pdf</v>
      </c>
    </row>
    <row r="241" spans="1:28" x14ac:dyDescent="0.25">
      <c r="A241" t="s">
        <v>245</v>
      </c>
      <c r="B241">
        <v>0.99796759195183404</v>
      </c>
      <c r="C241">
        <v>1.0448685975138601</v>
      </c>
      <c r="D241">
        <v>0.95265412181497799</v>
      </c>
      <c r="E241">
        <v>0.88589487600948003</v>
      </c>
      <c r="F241">
        <v>0.65039793051301797</v>
      </c>
      <c r="G241">
        <v>0.51141725426929596</v>
      </c>
      <c r="H241">
        <v>0.40075457425465899</v>
      </c>
      <c r="I241">
        <v>0.29380458192731601</v>
      </c>
      <c r="J241">
        <v>0.210217433497453</v>
      </c>
      <c r="K241">
        <v>0.15697583876531099</v>
      </c>
      <c r="L241">
        <v>623.01511863521205</v>
      </c>
      <c r="M241">
        <v>11.7337670258587</v>
      </c>
      <c r="N241">
        <v>54.240761831974403</v>
      </c>
      <c r="O241">
        <v>51.624102864911698</v>
      </c>
      <c r="P241">
        <v>-5.0603599257445002E-2</v>
      </c>
      <c r="Q241">
        <v>0.109687902236066</v>
      </c>
      <c r="R241">
        <v>0.99086516640688604</v>
      </c>
      <c r="S241" t="s">
        <v>5824</v>
      </c>
      <c r="T241" t="s">
        <v>11164</v>
      </c>
      <c r="U241" t="s">
        <v>11164</v>
      </c>
      <c r="V241" t="s">
        <v>11164</v>
      </c>
      <c r="W241" t="s">
        <v>11402</v>
      </c>
      <c r="X241">
        <v>3</v>
      </c>
      <c r="Y241" t="s">
        <v>16934</v>
      </c>
      <c r="Z241" t="s">
        <v>22391</v>
      </c>
      <c r="AA241">
        <v>0.60607995769935752</v>
      </c>
      <c r="AB241" t="str">
        <f>HYPERLINK("Melting_Curves/meltCurve_B8ZZJ1_FAM126A.pdf", "Melting_Curves/meltCurve_B8ZZJ1_FAM126A.pdf")</f>
        <v>Melting_Curves/meltCurve_B8ZZJ1_FAM126A.pdf</v>
      </c>
    </row>
    <row r="242" spans="1:28" x14ac:dyDescent="0.25">
      <c r="A242" t="s">
        <v>246</v>
      </c>
      <c r="B242">
        <v>0.99796759195183404</v>
      </c>
      <c r="C242">
        <v>1.1446195825285399</v>
      </c>
      <c r="D242">
        <v>1.0529169217968499</v>
      </c>
      <c r="E242">
        <v>0.99878287730545601</v>
      </c>
      <c r="F242">
        <v>0.85984178126591304</v>
      </c>
      <c r="G242">
        <v>0.425931495067076</v>
      </c>
      <c r="H242">
        <v>0.39743092312929901</v>
      </c>
      <c r="I242">
        <v>0.34787887226946801</v>
      </c>
      <c r="J242">
        <v>0.41042893479611597</v>
      </c>
      <c r="K242">
        <v>0.40035895229351098</v>
      </c>
      <c r="L242">
        <v>2955.0532029308802</v>
      </c>
      <c r="M242">
        <v>57.653049333784999</v>
      </c>
      <c r="N242">
        <v>52.626593099271702</v>
      </c>
      <c r="O242">
        <v>51.194259045500402</v>
      </c>
      <c r="P242">
        <v>-0.172126444684011</v>
      </c>
      <c r="Q242">
        <v>0.38862705533798397</v>
      </c>
      <c r="R242">
        <v>0.97368125384566195</v>
      </c>
      <c r="S242" t="s">
        <v>5825</v>
      </c>
      <c r="T242" t="s">
        <v>11164</v>
      </c>
      <c r="U242" t="s">
        <v>11164</v>
      </c>
      <c r="V242" t="s">
        <v>11164</v>
      </c>
      <c r="W242" t="s">
        <v>11403</v>
      </c>
      <c r="X242">
        <v>7</v>
      </c>
      <c r="Y242" t="s">
        <v>16935</v>
      </c>
      <c r="Z242" t="s">
        <v>22392</v>
      </c>
      <c r="AA242">
        <v>0.68018557271117153</v>
      </c>
      <c r="AB242" t="str">
        <f>HYPERLINK("Melting_Curves/meltCurve_B8ZZN6_SUMO1.pdf", "Melting_Curves/meltCurve_B8ZZN6_SUMO1.pdf")</f>
        <v>Melting_Curves/meltCurve_B8ZZN6_SUMO1.pdf</v>
      </c>
    </row>
    <row r="243" spans="1:28" x14ac:dyDescent="0.25">
      <c r="A243" t="s">
        <v>247</v>
      </c>
      <c r="B243">
        <v>0.99796759195183404</v>
      </c>
      <c r="C243">
        <v>0.78058995690822697</v>
      </c>
      <c r="D243">
        <v>0.69232953710719303</v>
      </c>
      <c r="E243">
        <v>0.91676084984430894</v>
      </c>
      <c r="F243">
        <v>0.936307293543439</v>
      </c>
      <c r="G243">
        <v>0.52058707522974401</v>
      </c>
      <c r="H243">
        <v>0.62098078802616896</v>
      </c>
      <c r="I243">
        <v>0.76680710102481098</v>
      </c>
      <c r="J243">
        <v>1.00007658105921</v>
      </c>
      <c r="K243">
        <v>1.0313400098096499</v>
      </c>
      <c r="L243">
        <v>9417.9890273784295</v>
      </c>
      <c r="M243">
        <v>250</v>
      </c>
      <c r="O243">
        <v>37.669521857002898</v>
      </c>
      <c r="P243">
        <v>-0.31970656209086401</v>
      </c>
      <c r="Q243">
        <v>0.80730878560205899</v>
      </c>
      <c r="R243">
        <v>0.116348324493532</v>
      </c>
      <c r="S243" t="s">
        <v>5826</v>
      </c>
      <c r="T243" t="s">
        <v>11164</v>
      </c>
      <c r="U243" t="s">
        <v>11164</v>
      </c>
      <c r="V243" t="s">
        <v>11164</v>
      </c>
      <c r="W243" t="s">
        <v>11404</v>
      </c>
      <c r="X243">
        <v>10</v>
      </c>
      <c r="Y243" t="s">
        <v>16936</v>
      </c>
      <c r="Z243" t="s">
        <v>22393</v>
      </c>
      <c r="AA243">
        <v>0.81164735931295695</v>
      </c>
      <c r="AB243" t="str">
        <f>HYPERLINK("Melting_Curves/meltCurve_B8ZZQ6_PTMA.pdf", "Melting_Curves/meltCurve_B8ZZQ6_PTMA.pdf")</f>
        <v>Melting_Curves/meltCurve_B8ZZQ6_PTMA.pdf</v>
      </c>
    </row>
    <row r="244" spans="1:28" x14ac:dyDescent="0.25">
      <c r="A244" t="s">
        <v>248</v>
      </c>
      <c r="B244">
        <v>0.99796759195183404</v>
      </c>
      <c r="C244">
        <v>0.98880018461035002</v>
      </c>
      <c r="D244">
        <v>1.01247369839449</v>
      </c>
      <c r="E244">
        <v>0.972910476347986</v>
      </c>
      <c r="F244">
        <v>0.847138704276996</v>
      </c>
      <c r="G244">
        <v>0.64251813259314805</v>
      </c>
      <c r="H244">
        <v>0.46210151286289097</v>
      </c>
      <c r="I244">
        <v>0.27169935274158602</v>
      </c>
      <c r="J244">
        <v>0.22672059730807401</v>
      </c>
      <c r="K244">
        <v>0.16810691244447201</v>
      </c>
      <c r="L244">
        <v>863.25422158621598</v>
      </c>
      <c r="M244">
        <v>15.594552771324</v>
      </c>
      <c r="N244">
        <v>56.347100312408102</v>
      </c>
      <c r="O244">
        <v>54.469835825422798</v>
      </c>
      <c r="P244">
        <v>-6.2995698168227005E-2</v>
      </c>
      <c r="Q244">
        <v>0.119931747597757</v>
      </c>
      <c r="R244">
        <v>0.99810591690448802</v>
      </c>
      <c r="S244" t="s">
        <v>5827</v>
      </c>
      <c r="T244" t="s">
        <v>11164</v>
      </c>
      <c r="U244" t="s">
        <v>11164</v>
      </c>
      <c r="V244" t="s">
        <v>11164</v>
      </c>
      <c r="W244" t="s">
        <v>11405</v>
      </c>
      <c r="X244">
        <v>13</v>
      </c>
      <c r="Y244" t="s">
        <v>16937</v>
      </c>
      <c r="Z244" t="s">
        <v>22394</v>
      </c>
      <c r="AA244">
        <v>0.66993078569709041</v>
      </c>
      <c r="AB244" t="str">
        <f>HYPERLINK("Melting_Curves/meltCurve_B8ZZU8_TCEB2.pdf", "Melting_Curves/meltCurve_B8ZZU8_TCEB2.pdf")</f>
        <v>Melting_Curves/meltCurve_B8ZZU8_TCEB2.pdf</v>
      </c>
    </row>
    <row r="245" spans="1:28" x14ac:dyDescent="0.25">
      <c r="A245" t="s">
        <v>249</v>
      </c>
      <c r="B245">
        <v>0.99796759195183404</v>
      </c>
      <c r="C245">
        <v>1.03812903552455</v>
      </c>
      <c r="D245">
        <v>0.99960914057924799</v>
      </c>
      <c r="E245">
        <v>0.93517358468156797</v>
      </c>
      <c r="F245">
        <v>0.86126684991987201</v>
      </c>
      <c r="G245">
        <v>0.60217309963846</v>
      </c>
      <c r="H245">
        <v>0.418281217475578</v>
      </c>
      <c r="I245">
        <v>0.23867482759939501</v>
      </c>
      <c r="J245">
        <v>0.16828596120450001</v>
      </c>
      <c r="K245">
        <v>0.13413676466254301</v>
      </c>
      <c r="L245">
        <v>876.54934566524696</v>
      </c>
      <c r="M245">
        <v>15.912693690206201</v>
      </c>
      <c r="N245">
        <v>55.714325133382097</v>
      </c>
      <c r="O245">
        <v>54.236977618370098</v>
      </c>
      <c r="P245">
        <v>-6.7319206598815004E-2</v>
      </c>
      <c r="Q245">
        <v>8.2267829090257497E-2</v>
      </c>
      <c r="R245">
        <v>0.99714569586801405</v>
      </c>
      <c r="S245" t="s">
        <v>5828</v>
      </c>
      <c r="T245" t="s">
        <v>11164</v>
      </c>
      <c r="U245" t="s">
        <v>11164</v>
      </c>
      <c r="V245" t="s">
        <v>11164</v>
      </c>
      <c r="W245" t="s">
        <v>11406</v>
      </c>
      <c r="X245">
        <v>9</v>
      </c>
      <c r="Y245" t="s">
        <v>16938</v>
      </c>
      <c r="Z245" t="s">
        <v>22395</v>
      </c>
      <c r="AA245">
        <v>0.64793544011364612</v>
      </c>
      <c r="AB245" t="str">
        <f>HYPERLINK("Melting_Curves/meltCurve_B8ZZY2_AGFG1.pdf", "Melting_Curves/meltCurve_B8ZZY2_AGFG1.pdf")</f>
        <v>Melting_Curves/meltCurve_B8ZZY2_AGFG1.pdf</v>
      </c>
    </row>
    <row r="246" spans="1:28" x14ac:dyDescent="0.25">
      <c r="A246" t="s">
        <v>250</v>
      </c>
      <c r="B246">
        <v>0.99796759195183404</v>
      </c>
      <c r="C246">
        <v>1.00292382732792</v>
      </c>
      <c r="D246">
        <v>0.93543138038873197</v>
      </c>
      <c r="E246">
        <v>0.93726174746041402</v>
      </c>
      <c r="F246">
        <v>1.08378669562774</v>
      </c>
      <c r="G246">
        <v>1.0180664205541801</v>
      </c>
      <c r="H246">
        <v>0.406527256092798</v>
      </c>
      <c r="I246">
        <v>0.33202577649699</v>
      </c>
      <c r="J246">
        <v>0.25391956492430601</v>
      </c>
      <c r="K246">
        <v>0.22469227646785001</v>
      </c>
      <c r="L246">
        <v>13353.6323368226</v>
      </c>
      <c r="M246">
        <v>234.11270076806699</v>
      </c>
      <c r="N246">
        <v>57.229386791987203</v>
      </c>
      <c r="O246">
        <v>57.035173432231197</v>
      </c>
      <c r="P246">
        <v>-0.74889115622861202</v>
      </c>
      <c r="Q246">
        <v>0.270212425879927</v>
      </c>
      <c r="R246">
        <v>0.98172898158775002</v>
      </c>
      <c r="S246" t="s">
        <v>5829</v>
      </c>
      <c r="T246" t="s">
        <v>11164</v>
      </c>
      <c r="U246" t="s">
        <v>11164</v>
      </c>
      <c r="V246" t="s">
        <v>11164</v>
      </c>
      <c r="W246" t="s">
        <v>11407</v>
      </c>
      <c r="X246">
        <v>6</v>
      </c>
      <c r="Y246" t="s">
        <v>16939</v>
      </c>
      <c r="Z246" t="s">
        <v>22396</v>
      </c>
      <c r="AA246">
        <v>0.75777761194440418</v>
      </c>
      <c r="AB246" t="str">
        <f>HYPERLINK("Melting_Curves/meltCurve_B9A018_USP39.pdf", "Melting_Curves/meltCurve_B9A018_USP39.pdf")</f>
        <v>Melting_Curves/meltCurve_B9A018_USP39.pdf</v>
      </c>
    </row>
    <row r="247" spans="1:28" x14ac:dyDescent="0.25">
      <c r="A247" t="s">
        <v>251</v>
      </c>
      <c r="B247">
        <v>0.99796759195183404</v>
      </c>
      <c r="C247">
        <v>0.95537733434624905</v>
      </c>
      <c r="D247">
        <v>1.0111285623450299</v>
      </c>
      <c r="E247">
        <v>0.89095179606066699</v>
      </c>
      <c r="F247">
        <v>1.0692763444073199</v>
      </c>
      <c r="G247">
        <v>0.52241510240307798</v>
      </c>
      <c r="H247">
        <v>0.51636490135656499</v>
      </c>
      <c r="I247">
        <v>0.388115832302107</v>
      </c>
      <c r="J247">
        <v>0.28029424136225201</v>
      </c>
      <c r="K247">
        <v>0.27939329294584903</v>
      </c>
      <c r="L247">
        <v>9505.1635499590102</v>
      </c>
      <c r="M247">
        <v>177.79232048246899</v>
      </c>
      <c r="N247">
        <v>53.861168447705303</v>
      </c>
      <c r="O247">
        <v>53.455412042381496</v>
      </c>
      <c r="P247">
        <v>-0.527136821639553</v>
      </c>
      <c r="Q247">
        <v>0.36603980272226599</v>
      </c>
      <c r="R247">
        <v>0.93952211578554201</v>
      </c>
      <c r="S247" t="s">
        <v>5830</v>
      </c>
      <c r="T247" t="s">
        <v>11164</v>
      </c>
      <c r="U247" t="s">
        <v>11164</v>
      </c>
      <c r="V247" t="s">
        <v>11164</v>
      </c>
      <c r="W247" t="s">
        <v>11408</v>
      </c>
      <c r="X247">
        <v>1</v>
      </c>
      <c r="Y247" t="s">
        <v>16940</v>
      </c>
      <c r="Z247" t="s">
        <v>22397</v>
      </c>
      <c r="AA247">
        <v>0.7140361547766666</v>
      </c>
      <c r="AB247" t="str">
        <f>HYPERLINK("Melting_Curves/meltCurve_B9A054_RHBDD1.pdf", "Melting_Curves/meltCurve_B9A054_RHBDD1.pdf")</f>
        <v>Melting_Curves/meltCurve_B9A054_RHBDD1.pdf</v>
      </c>
    </row>
    <row r="248" spans="1:28" x14ac:dyDescent="0.25">
      <c r="A248" t="s">
        <v>252</v>
      </c>
      <c r="B248">
        <v>0.99796759195183404</v>
      </c>
      <c r="C248">
        <v>0.97697119549523104</v>
      </c>
      <c r="D248">
        <v>0.94800526804642404</v>
      </c>
      <c r="E248">
        <v>0.88257566552770705</v>
      </c>
      <c r="F248">
        <v>0.822454138944133</v>
      </c>
      <c r="G248">
        <v>0.98418197654393202</v>
      </c>
      <c r="H248">
        <v>0.55022096246517505</v>
      </c>
      <c r="I248">
        <v>0.359782687704223</v>
      </c>
      <c r="J248">
        <v>0.28965231460867302</v>
      </c>
      <c r="K248">
        <v>0.20542698582011301</v>
      </c>
      <c r="L248">
        <v>1924.59710434921</v>
      </c>
      <c r="M248">
        <v>33.720252618029697</v>
      </c>
      <c r="N248">
        <v>58.241119826171698</v>
      </c>
      <c r="O248">
        <v>56.875786818097097</v>
      </c>
      <c r="P248">
        <v>-0.111846165904714</v>
      </c>
      <c r="Q248">
        <v>0.24540147212664701</v>
      </c>
      <c r="R248">
        <v>0.93804151110280698</v>
      </c>
      <c r="S248" t="s">
        <v>5831</v>
      </c>
      <c r="T248" t="s">
        <v>11164</v>
      </c>
      <c r="U248" t="s">
        <v>11164</v>
      </c>
      <c r="V248" t="s">
        <v>11164</v>
      </c>
      <c r="W248" t="s">
        <v>11409</v>
      </c>
      <c r="X248">
        <v>31</v>
      </c>
      <c r="Y248" t="s">
        <v>16941</v>
      </c>
      <c r="Z248" t="s">
        <v>22398</v>
      </c>
      <c r="AA248">
        <v>0.75414257970989806</v>
      </c>
      <c r="AB248" t="str">
        <f>HYPERLINK("Melting_Curves/meltCurve_B9A067_IMMT.pdf", "Melting_Curves/meltCurve_B9A067_IMMT.pdf")</f>
        <v>Melting_Curves/meltCurve_B9A067_IMMT.pdf</v>
      </c>
    </row>
    <row r="249" spans="1:28" x14ac:dyDescent="0.25">
      <c r="A249" t="s">
        <v>253</v>
      </c>
      <c r="B249">
        <v>0.99796759195183404</v>
      </c>
      <c r="C249">
        <v>1.0847778233749801</v>
      </c>
      <c r="D249">
        <v>1.14190013341064</v>
      </c>
      <c r="E249">
        <v>0.80298037262322897</v>
      </c>
      <c r="F249">
        <v>0.845463432706136</v>
      </c>
      <c r="G249">
        <v>0.28791441137343099</v>
      </c>
      <c r="H249">
        <v>0.39502655298300399</v>
      </c>
      <c r="I249">
        <v>0.353100098412228</v>
      </c>
      <c r="J249">
        <v>0.35091451568802001</v>
      </c>
      <c r="K249">
        <v>7.4767206118333304E-2</v>
      </c>
      <c r="L249">
        <v>5018.3807605161001</v>
      </c>
      <c r="M249">
        <v>98.694091699296905</v>
      </c>
      <c r="N249">
        <v>51.303077725081998</v>
      </c>
      <c r="O249">
        <v>50.8269675883882</v>
      </c>
      <c r="P249">
        <v>-0.34382352313704301</v>
      </c>
      <c r="Q249">
        <v>0.291730413055727</v>
      </c>
      <c r="R249">
        <v>0.90029584160370302</v>
      </c>
      <c r="S249" t="s">
        <v>5832</v>
      </c>
      <c r="T249" t="s">
        <v>11164</v>
      </c>
      <c r="U249" t="s">
        <v>11164</v>
      </c>
      <c r="V249" t="s">
        <v>11164</v>
      </c>
      <c r="W249" t="s">
        <v>11410</v>
      </c>
      <c r="X249">
        <v>3</v>
      </c>
      <c r="Y249" t="s">
        <v>16942</v>
      </c>
      <c r="Z249" t="s">
        <v>22399</v>
      </c>
      <c r="AA249">
        <v>0.61906976299614469</v>
      </c>
      <c r="AB249" t="str">
        <f>HYPERLINK("Melting_Curves/meltCurve_B9EGE7_ZNF507.pdf", "Melting_Curves/meltCurve_B9EGE7_ZNF507.pdf")</f>
        <v>Melting_Curves/meltCurve_B9EGE7_ZNF507.pdf</v>
      </c>
    </row>
    <row r="250" spans="1:28" x14ac:dyDescent="0.25">
      <c r="A250" t="s">
        <v>254</v>
      </c>
      <c r="B250">
        <v>0.99796759195183404</v>
      </c>
      <c r="C250">
        <v>0.94697793867150903</v>
      </c>
      <c r="D250">
        <v>0.92724226509690799</v>
      </c>
      <c r="E250">
        <v>0.69758199514670105</v>
      </c>
      <c r="F250">
        <v>0.89406225440183795</v>
      </c>
      <c r="G250">
        <v>0.43356634439617697</v>
      </c>
      <c r="H250">
        <v>0.69242312891706304</v>
      </c>
      <c r="I250">
        <v>0.57235802167995997</v>
      </c>
      <c r="J250">
        <v>0.56599081629014703</v>
      </c>
      <c r="K250">
        <v>0.56872373212581395</v>
      </c>
      <c r="L250">
        <v>567.09968988405797</v>
      </c>
      <c r="M250">
        <v>11.9770683387147</v>
      </c>
      <c r="O250">
        <v>46.0867553708065</v>
      </c>
      <c r="P250">
        <v>-2.9170060755728301E-2</v>
      </c>
      <c r="Q250">
        <v>0.55113321427941597</v>
      </c>
      <c r="R250">
        <v>0.72196746378147003</v>
      </c>
      <c r="S250" t="s">
        <v>5833</v>
      </c>
      <c r="T250" t="s">
        <v>11164</v>
      </c>
      <c r="U250" t="s">
        <v>11164</v>
      </c>
      <c r="V250" t="s">
        <v>11164</v>
      </c>
      <c r="W250" t="s">
        <v>11411</v>
      </c>
      <c r="X250">
        <v>2</v>
      </c>
      <c r="Y250" t="s">
        <v>16943</v>
      </c>
      <c r="Z250" t="s">
        <v>22400</v>
      </c>
      <c r="AA250">
        <v>0.72052225566383898</v>
      </c>
      <c r="AB250" t="str">
        <f>HYPERLINK("Melting_Curves/meltCurve_C0H5Y7_BAK1.pdf", "Melting_Curves/meltCurve_C0H5Y7_BAK1.pdf")</f>
        <v>Melting_Curves/meltCurve_C0H5Y7_BAK1.pdf</v>
      </c>
    </row>
    <row r="251" spans="1:28" x14ac:dyDescent="0.25">
      <c r="A251" t="s">
        <v>255</v>
      </c>
      <c r="B251">
        <v>0.99796759195183404</v>
      </c>
      <c r="C251">
        <v>1.0284202528362101</v>
      </c>
      <c r="D251">
        <v>0.975252261246635</v>
      </c>
      <c r="E251">
        <v>0.96630539359342604</v>
      </c>
      <c r="F251">
        <v>0.76420369053132398</v>
      </c>
      <c r="G251">
        <v>0.64969396959981895</v>
      </c>
      <c r="H251">
        <v>0.58422003283939805</v>
      </c>
      <c r="I251">
        <v>0.337371496368991</v>
      </c>
      <c r="J251">
        <v>0.186871678710404</v>
      </c>
      <c r="K251">
        <v>0.19565104282734699</v>
      </c>
      <c r="L251">
        <v>621.16566248785796</v>
      </c>
      <c r="M251">
        <v>10.818135180633799</v>
      </c>
      <c r="N251">
        <v>57.418922256686997</v>
      </c>
      <c r="O251">
        <v>55.561356248817901</v>
      </c>
      <c r="P251">
        <v>-4.86940370916236E-2</v>
      </c>
      <c r="Q251">
        <v>0</v>
      </c>
      <c r="R251">
        <v>0.98181351389948801</v>
      </c>
      <c r="S251" t="s">
        <v>5834</v>
      </c>
      <c r="T251" t="s">
        <v>11164</v>
      </c>
      <c r="U251" t="s">
        <v>11164</v>
      </c>
      <c r="V251" t="s">
        <v>11164</v>
      </c>
      <c r="W251" t="s">
        <v>11412</v>
      </c>
      <c r="X251">
        <v>1</v>
      </c>
      <c r="Y251" t="s">
        <v>16944</v>
      </c>
      <c r="Z251" t="s">
        <v>22401</v>
      </c>
      <c r="AA251">
        <v>0.67965142655565103</v>
      </c>
      <c r="AB251" t="str">
        <f>HYPERLINK("Melting_Curves/meltCurve_C1IDX9_ATG12.pdf", "Melting_Curves/meltCurve_C1IDX9_ATG12.pdf")</f>
        <v>Melting_Curves/meltCurve_C1IDX9_ATG12.pdf</v>
      </c>
    </row>
    <row r="252" spans="1:28" x14ac:dyDescent="0.25">
      <c r="A252" t="s">
        <v>256</v>
      </c>
      <c r="B252">
        <v>0.99796759195183404</v>
      </c>
      <c r="C252">
        <v>0.91909363433712699</v>
      </c>
      <c r="D252">
        <v>0.82258486359247995</v>
      </c>
      <c r="E252">
        <v>0.92584556246074501</v>
      </c>
      <c r="F252">
        <v>0.91626392252009903</v>
      </c>
      <c r="G252">
        <v>0.72889130442550698</v>
      </c>
      <c r="H252">
        <v>0.63299734473607305</v>
      </c>
      <c r="I252">
        <v>0.47109860247808999</v>
      </c>
      <c r="J252">
        <v>0.42279028114891798</v>
      </c>
      <c r="K252">
        <v>0.24703858151629601</v>
      </c>
      <c r="L252">
        <v>517.65522491956096</v>
      </c>
      <c r="M252">
        <v>8.5585117563209501</v>
      </c>
      <c r="N252">
        <v>60.484247826888797</v>
      </c>
      <c r="O252">
        <v>57.453523087470401</v>
      </c>
      <c r="P252">
        <v>-3.72737101267923E-2</v>
      </c>
      <c r="Q252">
        <v>0</v>
      </c>
      <c r="R252">
        <v>0.93853001887716703</v>
      </c>
      <c r="S252" t="s">
        <v>5835</v>
      </c>
      <c r="T252" t="s">
        <v>11164</v>
      </c>
      <c r="U252" t="s">
        <v>11164</v>
      </c>
      <c r="V252" t="s">
        <v>11164</v>
      </c>
      <c r="W252" t="s">
        <v>11413</v>
      </c>
      <c r="X252">
        <v>2</v>
      </c>
      <c r="Y252" t="s">
        <v>16945</v>
      </c>
      <c r="Z252" t="s">
        <v>22402</v>
      </c>
      <c r="AA252">
        <v>0.73910200153507821</v>
      </c>
      <c r="AB252" t="str">
        <f>HYPERLINK("Melting_Curves/meltCurve_C4AMC7_WASH3P.pdf", "Melting_Curves/meltCurve_C4AMC7_WASH3P.pdf")</f>
        <v>Melting_Curves/meltCurve_C4AMC7_WASH3P.pdf</v>
      </c>
    </row>
    <row r="253" spans="1:28" x14ac:dyDescent="0.25">
      <c r="A253" t="s">
        <v>257</v>
      </c>
      <c r="B253">
        <v>0.99796759195183404</v>
      </c>
      <c r="C253">
        <v>0.808492441461094</v>
      </c>
      <c r="D253">
        <v>0.87881857111467798</v>
      </c>
      <c r="E253">
        <v>0.76424614340211305</v>
      </c>
      <c r="F253">
        <v>0.64735889078587905</v>
      </c>
      <c r="G253">
        <v>0.45717550648730498</v>
      </c>
      <c r="H253">
        <v>0.54313648475860798</v>
      </c>
      <c r="I253">
        <v>0.59444634310547195</v>
      </c>
      <c r="J253">
        <v>0.55953892399334404</v>
      </c>
      <c r="K253">
        <v>0.46178480272557798</v>
      </c>
      <c r="L253">
        <v>489.679690242324</v>
      </c>
      <c r="M253">
        <v>10.7007043798393</v>
      </c>
      <c r="O253">
        <v>44.250108452355001</v>
      </c>
      <c r="P253">
        <v>-3.0771747969546698E-2</v>
      </c>
      <c r="Q253">
        <v>0.49119516471299202</v>
      </c>
      <c r="R253">
        <v>0.86780157487986698</v>
      </c>
      <c r="S253" t="s">
        <v>5836</v>
      </c>
      <c r="T253" t="s">
        <v>11164</v>
      </c>
      <c r="U253" t="s">
        <v>11164</v>
      </c>
      <c r="V253" t="s">
        <v>11164</v>
      </c>
      <c r="W253" t="s">
        <v>11414</v>
      </c>
      <c r="X253">
        <v>2</v>
      </c>
      <c r="Y253" t="s">
        <v>16946</v>
      </c>
      <c r="Z253" t="s">
        <v>22403</v>
      </c>
      <c r="AA253">
        <v>0.66129846556125171</v>
      </c>
      <c r="AB253" t="str">
        <f>HYPERLINK("Melting_Curves/meltCurve_C6GKU9_MED30S.pdf", "Melting_Curves/meltCurve_C6GKU9_MED30S.pdf")</f>
        <v>Melting_Curves/meltCurve_C6GKU9_MED30S.pdf</v>
      </c>
    </row>
    <row r="254" spans="1:28" x14ac:dyDescent="0.25">
      <c r="A254" t="s">
        <v>258</v>
      </c>
      <c r="B254">
        <v>0.99796759195183404</v>
      </c>
      <c r="C254">
        <v>0.89293793493185203</v>
      </c>
      <c r="D254">
        <v>0.96031828411971099</v>
      </c>
      <c r="E254">
        <v>0.738699486812322</v>
      </c>
      <c r="F254">
        <v>0.53309063213299202</v>
      </c>
      <c r="G254">
        <v>0.30576063918904001</v>
      </c>
      <c r="H254">
        <v>0.222086969252099</v>
      </c>
      <c r="I254">
        <v>0.14919915051431001</v>
      </c>
      <c r="J254">
        <v>0.116339337200662</v>
      </c>
      <c r="K254">
        <v>3.1608679528223001E-2</v>
      </c>
      <c r="L254">
        <v>635.75361904394504</v>
      </c>
      <c r="M254">
        <v>12.599599177455101</v>
      </c>
      <c r="N254">
        <v>50.709171503691699</v>
      </c>
      <c r="O254">
        <v>49.2377729108902</v>
      </c>
      <c r="P254">
        <v>-6.2052275583615299E-2</v>
      </c>
      <c r="Q254">
        <v>3.0220805313733199E-2</v>
      </c>
      <c r="R254">
        <v>0.99003686936361102</v>
      </c>
      <c r="S254" t="s">
        <v>5837</v>
      </c>
      <c r="T254" t="s">
        <v>11164</v>
      </c>
      <c r="U254" t="s">
        <v>11164</v>
      </c>
      <c r="V254" t="s">
        <v>11164</v>
      </c>
      <c r="W254" t="s">
        <v>11415</v>
      </c>
      <c r="X254">
        <v>3</v>
      </c>
      <c r="Y254" t="s">
        <v>16947</v>
      </c>
      <c r="Z254" t="s">
        <v>22404</v>
      </c>
      <c r="AA254">
        <v>0.49017724014815661</v>
      </c>
      <c r="AB254" t="str">
        <f>HYPERLINK("Melting_Curves/meltCurve_C9IYZ1_ASNSD1.pdf", "Melting_Curves/meltCurve_C9IYZ1_ASNSD1.pdf")</f>
        <v>Melting_Curves/meltCurve_C9IYZ1_ASNSD1.pdf</v>
      </c>
    </row>
    <row r="255" spans="1:28" x14ac:dyDescent="0.25">
      <c r="A255" t="s">
        <v>259</v>
      </c>
      <c r="B255">
        <v>0.99796759195183404</v>
      </c>
      <c r="C255">
        <v>0.89979515155249701</v>
      </c>
      <c r="D255">
        <v>0.74826986320915101</v>
      </c>
      <c r="E255">
        <v>0.76404134606555896</v>
      </c>
      <c r="F255">
        <v>0.71074935492074998</v>
      </c>
      <c r="G255">
        <v>0.329009668551134</v>
      </c>
      <c r="H255">
        <v>0.344228381461679</v>
      </c>
      <c r="I255">
        <v>0.19598034022653299</v>
      </c>
      <c r="J255">
        <v>0.16026637604809199</v>
      </c>
      <c r="K255">
        <v>0.102037287343422</v>
      </c>
      <c r="L255">
        <v>451.56457394800202</v>
      </c>
      <c r="M255">
        <v>8.6791022810876495</v>
      </c>
      <c r="N255">
        <v>52.028949426108298</v>
      </c>
      <c r="O255">
        <v>49.488142850016402</v>
      </c>
      <c r="P255">
        <v>-4.3880874677129998E-2</v>
      </c>
      <c r="Q255">
        <v>0</v>
      </c>
      <c r="R255">
        <v>0.95446839609454603</v>
      </c>
      <c r="S255" t="s">
        <v>5838</v>
      </c>
      <c r="T255" t="s">
        <v>11164</v>
      </c>
      <c r="U255" t="s">
        <v>11164</v>
      </c>
      <c r="V255" t="s">
        <v>11164</v>
      </c>
      <c r="W255" t="s">
        <v>11416</v>
      </c>
      <c r="X255">
        <v>1</v>
      </c>
      <c r="Y255" t="s">
        <v>16948</v>
      </c>
      <c r="Z255" t="s">
        <v>22405</v>
      </c>
      <c r="AA255">
        <v>0.52890085565555589</v>
      </c>
      <c r="AB255" t="str">
        <f>HYPERLINK("Melting_Curves/meltCurve_C9IZZ8_ITGB1BP1.pdf", "Melting_Curves/meltCurve_C9IZZ8_ITGB1BP1.pdf")</f>
        <v>Melting_Curves/meltCurve_C9IZZ8_ITGB1BP1.pdf</v>
      </c>
    </row>
    <row r="256" spans="1:28" x14ac:dyDescent="0.25">
      <c r="A256" t="s">
        <v>260</v>
      </c>
      <c r="B256">
        <v>0.99796759195183404</v>
      </c>
      <c r="C256">
        <v>1.1051107298756799</v>
      </c>
      <c r="D256">
        <v>1.0770765593923799</v>
      </c>
      <c r="E256">
        <v>0.97267207305297099</v>
      </c>
      <c r="F256">
        <v>0.75948127490186201</v>
      </c>
      <c r="G256">
        <v>0.180896787038203</v>
      </c>
      <c r="H256">
        <v>0.13915631855389601</v>
      </c>
      <c r="I256">
        <v>0.108165870757345</v>
      </c>
      <c r="J256">
        <v>8.8380351467827606E-2</v>
      </c>
      <c r="K256">
        <v>6.17597285297126E-2</v>
      </c>
      <c r="L256">
        <v>2381.11198026293</v>
      </c>
      <c r="M256">
        <v>46.434326866870002</v>
      </c>
      <c r="N256">
        <v>51.515821443032003</v>
      </c>
      <c r="O256">
        <v>51.184310406092898</v>
      </c>
      <c r="P256">
        <v>-0.205013477194772</v>
      </c>
      <c r="Q256">
        <v>9.6060278095759094E-2</v>
      </c>
      <c r="R256">
        <v>0.98972304352711304</v>
      </c>
      <c r="S256" t="s">
        <v>5839</v>
      </c>
      <c r="T256" t="s">
        <v>11164</v>
      </c>
      <c r="U256" t="s">
        <v>11164</v>
      </c>
      <c r="V256" t="s">
        <v>11164</v>
      </c>
      <c r="W256" t="s">
        <v>11417</v>
      </c>
      <c r="X256">
        <v>12</v>
      </c>
      <c r="Y256" t="s">
        <v>16949</v>
      </c>
      <c r="Z256" t="s">
        <v>22406</v>
      </c>
      <c r="AA256">
        <v>0.52868118872601422</v>
      </c>
      <c r="AB256" t="str">
        <f>HYPERLINK("Melting_Curves/meltCurve_C9J0I9_ZC3HC1.pdf", "Melting_Curves/meltCurve_C9J0I9_ZC3HC1.pdf")</f>
        <v>Melting_Curves/meltCurve_C9J0I9_ZC3HC1.pdf</v>
      </c>
    </row>
    <row r="257" spans="1:28" x14ac:dyDescent="0.25">
      <c r="A257" t="s">
        <v>261</v>
      </c>
      <c r="B257">
        <v>0.99796759195183404</v>
      </c>
      <c r="C257">
        <v>1.09825619475393</v>
      </c>
      <c r="D257">
        <v>1.0757683804674101</v>
      </c>
      <c r="E257">
        <v>0.99831423703441902</v>
      </c>
      <c r="F257">
        <v>0.627337660260324</v>
      </c>
      <c r="G257">
        <v>0.27301147089268302</v>
      </c>
      <c r="H257">
        <v>0.15926889916872</v>
      </c>
      <c r="I257">
        <v>0.103433572420549</v>
      </c>
      <c r="J257">
        <v>7.5224060374446206E-2</v>
      </c>
      <c r="K257">
        <v>6.1378020625045202E-2</v>
      </c>
      <c r="L257">
        <v>1470.4753264962501</v>
      </c>
      <c r="M257">
        <v>28.793287824502102</v>
      </c>
      <c r="N257">
        <v>51.416763837922701</v>
      </c>
      <c r="O257">
        <v>50.825619637773201</v>
      </c>
      <c r="P257">
        <v>-0.12913273734788899</v>
      </c>
      <c r="Q257">
        <v>8.8231526880605801E-2</v>
      </c>
      <c r="R257">
        <v>0.98824655943788797</v>
      </c>
      <c r="S257" t="s">
        <v>5840</v>
      </c>
      <c r="T257" t="s">
        <v>11164</v>
      </c>
      <c r="U257" t="s">
        <v>11164</v>
      </c>
      <c r="V257" t="s">
        <v>11164</v>
      </c>
      <c r="W257" t="s">
        <v>11418</v>
      </c>
      <c r="X257">
        <v>8</v>
      </c>
      <c r="Y257" t="s">
        <v>16950</v>
      </c>
      <c r="Z257" t="s">
        <v>22407</v>
      </c>
      <c r="AA257">
        <v>0.5220105215459615</v>
      </c>
      <c r="AB257" t="str">
        <f>HYPERLINK("Melting_Curves/meltCurve_C9J0J7_PFN2.pdf", "Melting_Curves/meltCurve_C9J0J7_PFN2.pdf")</f>
        <v>Melting_Curves/meltCurve_C9J0J7_PFN2.pdf</v>
      </c>
    </row>
    <row r="258" spans="1:28" x14ac:dyDescent="0.25">
      <c r="A258" t="s">
        <v>262</v>
      </c>
      <c r="B258">
        <v>0.99796759195183404</v>
      </c>
      <c r="C258">
        <v>0.89533909871615402</v>
      </c>
      <c r="D258">
        <v>0.95645775499605301</v>
      </c>
      <c r="E258">
        <v>0.91273893644104498</v>
      </c>
      <c r="F258">
        <v>0.737696319188201</v>
      </c>
      <c r="G258">
        <v>0.52289142378732301</v>
      </c>
      <c r="H258">
        <v>0.48970574356448199</v>
      </c>
      <c r="I258">
        <v>0.30269332660292397</v>
      </c>
      <c r="J258">
        <v>0.24028720751149901</v>
      </c>
      <c r="K258">
        <v>0.21561164110446501</v>
      </c>
      <c r="L258">
        <v>567.31523419147504</v>
      </c>
      <c r="M258">
        <v>10.4043920953234</v>
      </c>
      <c r="N258">
        <v>55.639339923034299</v>
      </c>
      <c r="O258">
        <v>52.627595000180598</v>
      </c>
      <c r="P258">
        <v>-4.4800615014248098E-2</v>
      </c>
      <c r="Q258">
        <v>9.3934927871691304E-2</v>
      </c>
      <c r="R258">
        <v>0.98115877046147204</v>
      </c>
      <c r="S258" t="s">
        <v>5841</v>
      </c>
      <c r="T258" t="s">
        <v>11164</v>
      </c>
      <c r="U258" t="s">
        <v>11164</v>
      </c>
      <c r="V258" t="s">
        <v>11164</v>
      </c>
      <c r="W258" t="s">
        <v>11419</v>
      </c>
      <c r="X258">
        <v>12</v>
      </c>
      <c r="Y258" t="s">
        <v>16951</v>
      </c>
      <c r="Z258" t="s">
        <v>22408</v>
      </c>
      <c r="AA258">
        <v>0.63709125227491914</v>
      </c>
      <c r="AB258" t="str">
        <f>HYPERLINK("Melting_Curves/meltCurve_C9J0K6_SRI.pdf", "Melting_Curves/meltCurve_C9J0K6_SRI.pdf")</f>
        <v>Melting_Curves/meltCurve_C9J0K6_SRI.pdf</v>
      </c>
    </row>
    <row r="259" spans="1:28" x14ac:dyDescent="0.25">
      <c r="A259" t="s">
        <v>263</v>
      </c>
      <c r="B259">
        <v>0.99796759195183404</v>
      </c>
      <c r="C259">
        <v>0.88774686389844604</v>
      </c>
      <c r="D259">
        <v>1.0056667115315601</v>
      </c>
      <c r="E259">
        <v>0.79290842048964005</v>
      </c>
      <c r="F259">
        <v>0.88594384295135697</v>
      </c>
      <c r="G259">
        <v>0.56310554313512196</v>
      </c>
      <c r="H259">
        <v>0.41660779860622998</v>
      </c>
      <c r="I259">
        <v>0.251559933354501</v>
      </c>
      <c r="J259">
        <v>0.24740401360171099</v>
      </c>
      <c r="K259">
        <v>0.15465236525828999</v>
      </c>
      <c r="L259">
        <v>638.06166627810705</v>
      </c>
      <c r="M259">
        <v>11.560699124967</v>
      </c>
      <c r="N259">
        <v>55.704667762753303</v>
      </c>
      <c r="O259">
        <v>53.6184102353631</v>
      </c>
      <c r="P259">
        <v>-5.1198126565329398E-2</v>
      </c>
      <c r="Q259">
        <v>5.0439072204747103E-2</v>
      </c>
      <c r="R259">
        <v>0.95988714505386197</v>
      </c>
      <c r="S259" t="s">
        <v>5842</v>
      </c>
      <c r="T259" t="s">
        <v>11164</v>
      </c>
      <c r="U259" t="s">
        <v>11164</v>
      </c>
      <c r="V259" t="s">
        <v>11164</v>
      </c>
      <c r="W259" t="s">
        <v>11420</v>
      </c>
      <c r="X259">
        <v>4</v>
      </c>
      <c r="Y259" t="s">
        <v>16952</v>
      </c>
      <c r="Z259" t="s">
        <v>22409</v>
      </c>
      <c r="AA259">
        <v>0.63868843882898929</v>
      </c>
      <c r="AB259" t="str">
        <f>HYPERLINK("Melting_Curves/meltCurve_C9J173_INPP1.pdf", "Melting_Curves/meltCurve_C9J173_INPP1.pdf")</f>
        <v>Melting_Curves/meltCurve_C9J173_INPP1.pdf</v>
      </c>
    </row>
    <row r="260" spans="1:28" x14ac:dyDescent="0.25">
      <c r="A260" t="s">
        <v>264</v>
      </c>
      <c r="B260">
        <v>0.99796759195183404</v>
      </c>
      <c r="C260">
        <v>0.95799206504631895</v>
      </c>
      <c r="D260">
        <v>0.89931723032282695</v>
      </c>
      <c r="E260">
        <v>0.79472789513251596</v>
      </c>
      <c r="F260">
        <v>0.741787996004862</v>
      </c>
      <c r="G260">
        <v>0.51462208625876005</v>
      </c>
      <c r="H260">
        <v>0.45523463079700699</v>
      </c>
      <c r="I260">
        <v>0.29744856670852798</v>
      </c>
      <c r="J260">
        <v>0.24030273078195</v>
      </c>
      <c r="K260">
        <v>0.17194655713735801</v>
      </c>
      <c r="L260">
        <v>460.19072826885099</v>
      </c>
      <c r="M260">
        <v>8.3438019845750304</v>
      </c>
      <c r="N260">
        <v>55.153613145867801</v>
      </c>
      <c r="O260">
        <v>52.2582130741825</v>
      </c>
      <c r="P260">
        <v>-3.9954786246450699E-2</v>
      </c>
      <c r="Q260">
        <v>0</v>
      </c>
      <c r="R260">
        <v>0.99254051719057002</v>
      </c>
      <c r="S260" t="s">
        <v>5843</v>
      </c>
      <c r="T260" t="s">
        <v>11164</v>
      </c>
      <c r="U260" t="s">
        <v>11164</v>
      </c>
      <c r="V260" t="s">
        <v>11164</v>
      </c>
      <c r="W260" t="s">
        <v>11421</v>
      </c>
      <c r="X260">
        <v>4</v>
      </c>
      <c r="Y260" t="s">
        <v>16953</v>
      </c>
      <c r="Z260" t="s">
        <v>22410</v>
      </c>
      <c r="AA260">
        <v>0.61196879706098162</v>
      </c>
      <c r="AB260" t="str">
        <f>HYPERLINK("Melting_Curves/meltCurve_C9J212_UBE2F.pdf", "Melting_Curves/meltCurve_C9J212_UBE2F.pdf")</f>
        <v>Melting_Curves/meltCurve_C9J212_UBE2F.pdf</v>
      </c>
    </row>
    <row r="261" spans="1:28" x14ac:dyDescent="0.25">
      <c r="A261" t="s">
        <v>265</v>
      </c>
      <c r="B261">
        <v>0.99796759195183404</v>
      </c>
      <c r="C261">
        <v>1.076099829528</v>
      </c>
      <c r="D261">
        <v>1.0094951753269901</v>
      </c>
      <c r="E261">
        <v>0.88929974901230602</v>
      </c>
      <c r="F261">
        <v>0.81430998757974205</v>
      </c>
      <c r="G261">
        <v>0.339570121039871</v>
      </c>
      <c r="H261">
        <v>0.25431403616895698</v>
      </c>
      <c r="I261">
        <v>0.167581046440716</v>
      </c>
      <c r="J261">
        <v>0.21229560927923999</v>
      </c>
      <c r="K261">
        <v>0.13499099819004801</v>
      </c>
      <c r="L261">
        <v>1635.0418700252101</v>
      </c>
      <c r="M261">
        <v>31.5552633802873</v>
      </c>
      <c r="N261">
        <v>52.5362957338561</v>
      </c>
      <c r="O261">
        <v>51.608421825332698</v>
      </c>
      <c r="P261">
        <v>-0.12599318752028801</v>
      </c>
      <c r="Q261">
        <v>0.175760344177816</v>
      </c>
      <c r="R261">
        <v>0.98550739535433896</v>
      </c>
      <c r="S261" t="s">
        <v>5844</v>
      </c>
      <c r="T261" t="s">
        <v>11164</v>
      </c>
      <c r="U261" t="s">
        <v>11164</v>
      </c>
      <c r="V261" t="s">
        <v>11164</v>
      </c>
      <c r="W261" t="s">
        <v>11422</v>
      </c>
      <c r="X261">
        <v>5</v>
      </c>
      <c r="Y261" t="s">
        <v>16954</v>
      </c>
      <c r="Z261" t="s">
        <v>22411</v>
      </c>
      <c r="AA261">
        <v>0.58750889936841189</v>
      </c>
      <c r="AB261" t="str">
        <f>HYPERLINK("Melting_Curves/meltCurve_C9J2P0_UBE2E1.pdf", "Melting_Curves/meltCurve_C9J2P0_UBE2E1.pdf")</f>
        <v>Melting_Curves/meltCurve_C9J2P0_UBE2E1.pdf</v>
      </c>
    </row>
    <row r="262" spans="1:28" x14ac:dyDescent="0.25">
      <c r="A262" t="s">
        <v>266</v>
      </c>
      <c r="B262">
        <v>0.99796759195183404</v>
      </c>
      <c r="C262">
        <v>0.99474585247469605</v>
      </c>
      <c r="D262">
        <v>1.0117983887448201</v>
      </c>
      <c r="E262">
        <v>0.94324912712645603</v>
      </c>
      <c r="F262">
        <v>0.77493923426786004</v>
      </c>
      <c r="G262">
        <v>0.60406896543530597</v>
      </c>
      <c r="H262">
        <v>0.22263209359944999</v>
      </c>
      <c r="I262">
        <v>0.133741790173287</v>
      </c>
      <c r="J262">
        <v>0.12505858681499701</v>
      </c>
      <c r="K262">
        <v>7.6109693239352599E-2</v>
      </c>
      <c r="L262">
        <v>1043.8006792205599</v>
      </c>
      <c r="M262">
        <v>19.3605002580146</v>
      </c>
      <c r="N262">
        <v>54.238013453964598</v>
      </c>
      <c r="O262">
        <v>53.348614691888798</v>
      </c>
      <c r="P262">
        <v>-8.5773950820702299E-2</v>
      </c>
      <c r="Q262">
        <v>5.4621101798673098E-2</v>
      </c>
      <c r="R262">
        <v>0.99271839414785601</v>
      </c>
      <c r="S262" t="s">
        <v>5845</v>
      </c>
      <c r="T262" t="s">
        <v>11164</v>
      </c>
      <c r="U262" t="s">
        <v>11164</v>
      </c>
      <c r="V262" t="s">
        <v>11164</v>
      </c>
      <c r="W262" t="s">
        <v>11423</v>
      </c>
      <c r="X262">
        <v>6</v>
      </c>
      <c r="Y262" t="s">
        <v>16955</v>
      </c>
      <c r="Z262" t="s">
        <v>22412</v>
      </c>
      <c r="AA262">
        <v>0.59959074383075606</v>
      </c>
      <c r="AB262" t="str">
        <f>HYPERLINK("Melting_Curves/meltCurve_C9J2U4_TAMM41.pdf", "Melting_Curves/meltCurve_C9J2U4_TAMM41.pdf")</f>
        <v>Melting_Curves/meltCurve_C9J2U4_TAMM41.pdf</v>
      </c>
    </row>
    <row r="263" spans="1:28" x14ac:dyDescent="0.25">
      <c r="A263" t="s">
        <v>267</v>
      </c>
      <c r="B263">
        <v>0.99796759195183404</v>
      </c>
      <c r="C263">
        <v>0.57554216435093997</v>
      </c>
      <c r="D263">
        <v>1.0921058772876899</v>
      </c>
      <c r="E263">
        <v>0.61445277960894695</v>
      </c>
      <c r="F263">
        <v>0.48209175504201501</v>
      </c>
      <c r="G263">
        <v>0.64022900789848902</v>
      </c>
      <c r="H263">
        <v>0.56163084159399701</v>
      </c>
      <c r="I263">
        <v>0.69772325078878705</v>
      </c>
      <c r="J263">
        <v>1.0199585825578199</v>
      </c>
      <c r="K263">
        <v>0.99305922732646601</v>
      </c>
      <c r="L263">
        <v>9428.5432505849603</v>
      </c>
      <c r="M263">
        <v>250</v>
      </c>
      <c r="O263">
        <v>37.711771569065903</v>
      </c>
      <c r="P263">
        <v>-0.42780761912905801</v>
      </c>
      <c r="Q263">
        <v>0.74186595086431195</v>
      </c>
      <c r="R263">
        <v>0.12342106739419</v>
      </c>
      <c r="S263" t="s">
        <v>5846</v>
      </c>
      <c r="T263" t="s">
        <v>11164</v>
      </c>
      <c r="U263" t="s">
        <v>11164</v>
      </c>
      <c r="V263" t="s">
        <v>11164</v>
      </c>
      <c r="W263" t="s">
        <v>11424</v>
      </c>
      <c r="X263">
        <v>9</v>
      </c>
      <c r="Y263" t="s">
        <v>16956</v>
      </c>
      <c r="Z263" t="s">
        <v>22413</v>
      </c>
      <c r="AA263">
        <v>0.74803802056079438</v>
      </c>
      <c r="AB263" t="str">
        <f>HYPERLINK("Melting_Curves/meltCurve_C9J2V2_IKBKG.pdf", "Melting_Curves/meltCurve_C9J2V2_IKBKG.pdf")</f>
        <v>Melting_Curves/meltCurve_C9J2V2_IKBKG.pdf</v>
      </c>
    </row>
    <row r="264" spans="1:28" x14ac:dyDescent="0.25">
      <c r="A264" t="s">
        <v>268</v>
      </c>
      <c r="B264">
        <v>0.99796759195183404</v>
      </c>
      <c r="C264">
        <v>0.98928875102929203</v>
      </c>
      <c r="D264">
        <v>0.95232898998334803</v>
      </c>
      <c r="E264">
        <v>0.89490850991632598</v>
      </c>
      <c r="F264">
        <v>0.78775534952856796</v>
      </c>
      <c r="G264">
        <v>0.50030863502766099</v>
      </c>
      <c r="H264">
        <v>0.39333890564391299</v>
      </c>
      <c r="I264">
        <v>0.42082709697062798</v>
      </c>
      <c r="J264">
        <v>0.35037835829235497</v>
      </c>
      <c r="K264">
        <v>9.4265300633980101E-2</v>
      </c>
      <c r="L264">
        <v>563.13748781263803</v>
      </c>
      <c r="M264">
        <v>10.2802078123</v>
      </c>
      <c r="N264">
        <v>55.822601914452001</v>
      </c>
      <c r="O264">
        <v>52.827440900529801</v>
      </c>
      <c r="P264">
        <v>-4.44153833418394E-2</v>
      </c>
      <c r="Q264">
        <v>8.7440700585946093E-2</v>
      </c>
      <c r="R264">
        <v>0.95373790662354996</v>
      </c>
      <c r="S264" t="s">
        <v>5847</v>
      </c>
      <c r="T264" t="s">
        <v>11164</v>
      </c>
      <c r="U264" t="s">
        <v>11164</v>
      </c>
      <c r="V264" t="s">
        <v>11164</v>
      </c>
      <c r="W264" t="s">
        <v>11425</v>
      </c>
      <c r="X264">
        <v>1</v>
      </c>
      <c r="Y264" t="s">
        <v>16957</v>
      </c>
      <c r="Z264" t="s">
        <v>22414</v>
      </c>
      <c r="AA264">
        <v>0.64084715193770492</v>
      </c>
      <c r="AB264" t="str">
        <f>HYPERLINK("Melting_Curves/meltCurve_C9J3D2_PHC2.pdf", "Melting_Curves/meltCurve_C9J3D2_PHC2.pdf")</f>
        <v>Melting_Curves/meltCurve_C9J3D2_PHC2.pdf</v>
      </c>
    </row>
    <row r="265" spans="1:28" x14ac:dyDescent="0.25">
      <c r="A265" t="s">
        <v>269</v>
      </c>
      <c r="B265">
        <v>0.99796759195183404</v>
      </c>
      <c r="C265">
        <v>0.96089583657905497</v>
      </c>
      <c r="D265">
        <v>0.99162757891532305</v>
      </c>
      <c r="E265">
        <v>0.87385957682822901</v>
      </c>
      <c r="F265">
        <v>0.88776458122270896</v>
      </c>
      <c r="G265">
        <v>0.34732842122150198</v>
      </c>
      <c r="H265">
        <v>0.22778787713278201</v>
      </c>
      <c r="I265">
        <v>0.170494329441439</v>
      </c>
      <c r="J265">
        <v>4.9535477076785399E-2</v>
      </c>
      <c r="K265">
        <v>6.6270682781750703E-2</v>
      </c>
      <c r="L265">
        <v>1627.3151251439101</v>
      </c>
      <c r="M265">
        <v>30.9525749209498</v>
      </c>
      <c r="N265">
        <v>52.961199835994599</v>
      </c>
      <c r="O265">
        <v>52.356478435897003</v>
      </c>
      <c r="P265">
        <v>-0.132848383674015</v>
      </c>
      <c r="Q265">
        <v>0.101149603370317</v>
      </c>
      <c r="R265">
        <v>0.97999652777934498</v>
      </c>
      <c r="S265" t="s">
        <v>5848</v>
      </c>
      <c r="T265" t="s">
        <v>11164</v>
      </c>
      <c r="U265" t="s">
        <v>11164</v>
      </c>
      <c r="V265" t="s">
        <v>11164</v>
      </c>
      <c r="W265" t="s">
        <v>11426</v>
      </c>
      <c r="X265">
        <v>3</v>
      </c>
      <c r="Y265" t="s">
        <v>16958</v>
      </c>
      <c r="Z265" t="s">
        <v>22415</v>
      </c>
      <c r="AA265">
        <v>0.57316133628308685</v>
      </c>
      <c r="AB265" t="str">
        <f>HYPERLINK("Melting_Curves/meltCurve_C9J3D7_CROT.pdf", "Melting_Curves/meltCurve_C9J3D7_CROT.pdf")</f>
        <v>Melting_Curves/meltCurve_C9J3D7_CROT.pdf</v>
      </c>
    </row>
    <row r="266" spans="1:28" x14ac:dyDescent="0.25">
      <c r="A266" t="s">
        <v>270</v>
      </c>
      <c r="B266">
        <v>0.99796759195183404</v>
      </c>
      <c r="C266">
        <v>1.41220091231209</v>
      </c>
      <c r="D266">
        <v>1.1996942211616199</v>
      </c>
      <c r="E266">
        <v>1.29710873503844</v>
      </c>
      <c r="F266">
        <v>1.3066262427569</v>
      </c>
      <c r="G266">
        <v>1.0948235527586301</v>
      </c>
      <c r="H266">
        <v>0.76705184508799995</v>
      </c>
      <c r="I266">
        <v>0.58572622430100696</v>
      </c>
      <c r="J266">
        <v>0.38665656121359798</v>
      </c>
      <c r="K266">
        <v>0.258814026462382</v>
      </c>
      <c r="L266">
        <v>1642.71261189346</v>
      </c>
      <c r="M266">
        <v>27.213901494331701</v>
      </c>
      <c r="N266">
        <v>61.791664702028697</v>
      </c>
      <c r="O266">
        <v>60.0398764554892</v>
      </c>
      <c r="P266">
        <v>-8.6858358393298904E-2</v>
      </c>
      <c r="Q266">
        <v>0.233492478490821</v>
      </c>
      <c r="R266">
        <v>0.72267062147005501</v>
      </c>
      <c r="S266" t="s">
        <v>5849</v>
      </c>
      <c r="T266" t="s">
        <v>11164</v>
      </c>
      <c r="U266" t="s">
        <v>11164</v>
      </c>
      <c r="V266" t="s">
        <v>11164</v>
      </c>
      <c r="W266" t="s">
        <v>11427</v>
      </c>
      <c r="X266">
        <v>7</v>
      </c>
      <c r="Y266" t="s">
        <v>16959</v>
      </c>
      <c r="Z266" t="s">
        <v>22416</v>
      </c>
      <c r="AA266">
        <v>0.83241335648874337</v>
      </c>
      <c r="AB266" t="str">
        <f>HYPERLINK("Melting_Curves/meltCurve_C9J3L7_REPIN1.pdf", "Melting_Curves/meltCurve_C9J3L7_REPIN1.pdf")</f>
        <v>Melting_Curves/meltCurve_C9J3L7_REPIN1.pdf</v>
      </c>
    </row>
    <row r="267" spans="1:28" x14ac:dyDescent="0.25">
      <c r="A267" t="s">
        <v>271</v>
      </c>
      <c r="B267">
        <v>0.99796759195183404</v>
      </c>
      <c r="C267">
        <v>0.95357389960418903</v>
      </c>
      <c r="D267">
        <v>0.92755403416457105</v>
      </c>
      <c r="E267">
        <v>1.0124269015198599</v>
      </c>
      <c r="F267">
        <v>1.0653056755824999</v>
      </c>
      <c r="G267">
        <v>0.99535764739060595</v>
      </c>
      <c r="H267">
        <v>0.62203360722221201</v>
      </c>
      <c r="I267">
        <v>0.51597890892689202</v>
      </c>
      <c r="J267">
        <v>0.389123843777746</v>
      </c>
      <c r="K267">
        <v>0.36432080229485803</v>
      </c>
      <c r="L267">
        <v>2501.58480717867</v>
      </c>
      <c r="M267">
        <v>43.952997975718503</v>
      </c>
      <c r="N267">
        <v>59.165503344637798</v>
      </c>
      <c r="O267">
        <v>56.797562727105998</v>
      </c>
      <c r="P267">
        <v>-0.11490760035835</v>
      </c>
      <c r="Q267">
        <v>0.40605080808009097</v>
      </c>
      <c r="R267">
        <v>0.967306468085255</v>
      </c>
      <c r="S267" t="s">
        <v>5850</v>
      </c>
      <c r="T267" t="s">
        <v>11164</v>
      </c>
      <c r="U267" t="s">
        <v>11164</v>
      </c>
      <c r="V267" t="s">
        <v>11164</v>
      </c>
      <c r="W267" t="s">
        <v>11428</v>
      </c>
      <c r="X267">
        <v>3</v>
      </c>
      <c r="Y267" t="s">
        <v>16960</v>
      </c>
      <c r="Z267" t="s">
        <v>22417</v>
      </c>
      <c r="AA267">
        <v>0.80221660522474258</v>
      </c>
      <c r="AB267" t="str">
        <f>HYPERLINK("Melting_Curves/meltCurve_C9J3L8_SSR1.pdf", "Melting_Curves/meltCurve_C9J3L8_SSR1.pdf")</f>
        <v>Melting_Curves/meltCurve_C9J3L8_SSR1.pdf</v>
      </c>
    </row>
    <row r="268" spans="1:28" x14ac:dyDescent="0.25">
      <c r="A268" t="s">
        <v>272</v>
      </c>
      <c r="B268">
        <v>0.99796759195183404</v>
      </c>
      <c r="C268">
        <v>0.92598310979752096</v>
      </c>
      <c r="D268">
        <v>0.91700298564583405</v>
      </c>
      <c r="E268">
        <v>0.880753511385854</v>
      </c>
      <c r="F268">
        <v>0.68789932483878302</v>
      </c>
      <c r="G268">
        <v>0.65881962167135499</v>
      </c>
      <c r="H268">
        <v>0.744664480112325</v>
      </c>
      <c r="I268">
        <v>1.2220282805653599</v>
      </c>
      <c r="J268">
        <v>0.77437137813567702</v>
      </c>
      <c r="K268">
        <v>0.38506036579278602</v>
      </c>
      <c r="L268">
        <v>173.29691602132399</v>
      </c>
      <c r="M268">
        <v>1.8106508164502599</v>
      </c>
      <c r="O268">
        <v>53.365635165568399</v>
      </c>
      <c r="P268">
        <v>-9.4423101519884103E-3</v>
      </c>
      <c r="Q268">
        <v>0</v>
      </c>
      <c r="R268">
        <v>0.17808513166919701</v>
      </c>
      <c r="S268" t="s">
        <v>5851</v>
      </c>
      <c r="T268" t="s">
        <v>11164</v>
      </c>
      <c r="U268" t="s">
        <v>11164</v>
      </c>
      <c r="V268" t="s">
        <v>11164</v>
      </c>
      <c r="W268" t="s">
        <v>11429</v>
      </c>
      <c r="X268">
        <v>6</v>
      </c>
      <c r="Y268" t="s">
        <v>16961</v>
      </c>
      <c r="Z268" t="s">
        <v>22418</v>
      </c>
      <c r="AA268">
        <v>0.81939698269480865</v>
      </c>
      <c r="AB268" t="str">
        <f>HYPERLINK("Melting_Curves/meltCurve_C9J4M6_POLR2B.pdf", "Melting_Curves/meltCurve_C9J4M6_POLR2B.pdf")</f>
        <v>Melting_Curves/meltCurve_C9J4M6_POLR2B.pdf</v>
      </c>
    </row>
    <row r="269" spans="1:28" x14ac:dyDescent="0.25">
      <c r="A269" t="s">
        <v>273</v>
      </c>
      <c r="B269">
        <v>0.99796759195183404</v>
      </c>
      <c r="C269">
        <v>0.83201476605234403</v>
      </c>
      <c r="D269">
        <v>0.82213193281532004</v>
      </c>
      <c r="E269">
        <v>0.89043020596274403</v>
      </c>
      <c r="F269">
        <v>0.707225973893024</v>
      </c>
      <c r="G269">
        <v>0.78197975659144503</v>
      </c>
      <c r="H269">
        <v>0.87499145985148197</v>
      </c>
      <c r="I269">
        <v>1.11414637664747</v>
      </c>
      <c r="J269">
        <v>0.40634965811837098</v>
      </c>
      <c r="K269">
        <v>0.352562746066858</v>
      </c>
      <c r="L269">
        <v>272.41438482654502</v>
      </c>
      <c r="M269">
        <v>3.7880561031906499</v>
      </c>
      <c r="O269">
        <v>57.991707190155203</v>
      </c>
      <c r="P269">
        <v>-1.65797385308552E-2</v>
      </c>
      <c r="Q269">
        <v>0</v>
      </c>
      <c r="R269">
        <v>0.297737768152466</v>
      </c>
      <c r="S269" t="s">
        <v>5852</v>
      </c>
      <c r="T269" t="s">
        <v>11164</v>
      </c>
      <c r="U269" t="s">
        <v>11164</v>
      </c>
      <c r="V269" t="s">
        <v>11164</v>
      </c>
      <c r="W269" t="s">
        <v>11430</v>
      </c>
      <c r="X269">
        <v>1</v>
      </c>
      <c r="Y269" t="s">
        <v>16962</v>
      </c>
      <c r="Z269" t="s">
        <v>22419</v>
      </c>
      <c r="AA269">
        <v>0.79663507198064443</v>
      </c>
      <c r="AB269" t="str">
        <f>HYPERLINK("Melting_Curves/meltCurve_C9J4Z3_RPL37A.pdf", "Melting_Curves/meltCurve_C9J4Z3_RPL37A.pdf")</f>
        <v>Melting_Curves/meltCurve_C9J4Z3_RPL37A.pdf</v>
      </c>
    </row>
    <row r="270" spans="1:28" x14ac:dyDescent="0.25">
      <c r="A270" t="s">
        <v>274</v>
      </c>
      <c r="B270">
        <v>0.99796759195183404</v>
      </c>
      <c r="C270">
        <v>0.90631239128569097</v>
      </c>
      <c r="D270">
        <v>0.94935322816656897</v>
      </c>
      <c r="E270">
        <v>0.85739756768043796</v>
      </c>
      <c r="F270">
        <v>0.70746604437663596</v>
      </c>
      <c r="G270">
        <v>0.35139064954295102</v>
      </c>
      <c r="H270">
        <v>0.23796321019233399</v>
      </c>
      <c r="I270">
        <v>0.19621065274185601</v>
      </c>
      <c r="J270">
        <v>0.18750529210063399</v>
      </c>
      <c r="K270">
        <v>0.13874324574572</v>
      </c>
      <c r="L270">
        <v>966.98615297461299</v>
      </c>
      <c r="M270">
        <v>18.872836955650701</v>
      </c>
      <c r="N270">
        <v>52.182535949854604</v>
      </c>
      <c r="O270">
        <v>50.672069017701297</v>
      </c>
      <c r="P270">
        <v>-7.9630817193886705E-2</v>
      </c>
      <c r="Q270">
        <v>0.14482529154675</v>
      </c>
      <c r="R270">
        <v>0.98704753347666396</v>
      </c>
      <c r="S270" t="s">
        <v>5853</v>
      </c>
      <c r="T270" t="s">
        <v>11164</v>
      </c>
      <c r="U270" t="s">
        <v>11164</v>
      </c>
      <c r="V270" t="s">
        <v>11164</v>
      </c>
      <c r="W270" t="s">
        <v>11431</v>
      </c>
      <c r="X270">
        <v>7</v>
      </c>
      <c r="Y270" t="s">
        <v>16963</v>
      </c>
      <c r="Z270" t="s">
        <v>22420</v>
      </c>
      <c r="AA270">
        <v>0.56292406514026605</v>
      </c>
      <c r="AB270" t="str">
        <f>HYPERLINK("Melting_Curves/meltCurve_C9J5C3_PDCD10.pdf", "Melting_Curves/meltCurve_C9J5C3_PDCD10.pdf")</f>
        <v>Melting_Curves/meltCurve_C9J5C3_PDCD10.pdf</v>
      </c>
    </row>
    <row r="271" spans="1:28" x14ac:dyDescent="0.25">
      <c r="A271" t="s">
        <v>275</v>
      </c>
      <c r="B271">
        <v>0.99796759195183404</v>
      </c>
      <c r="C271">
        <v>0.98276323005402599</v>
      </c>
      <c r="D271">
        <v>1.01890343128289</v>
      </c>
      <c r="E271">
        <v>0.86461567997673505</v>
      </c>
      <c r="F271">
        <v>0.60487113941576898</v>
      </c>
      <c r="G271">
        <v>0.27655850196041398</v>
      </c>
      <c r="H271">
        <v>0.24363691022084</v>
      </c>
      <c r="I271">
        <v>0.35734393071894399</v>
      </c>
      <c r="J271">
        <v>0.32433634257231903</v>
      </c>
      <c r="K271">
        <v>0.151423735466238</v>
      </c>
      <c r="L271">
        <v>1435.8317750377901</v>
      </c>
      <c r="M271">
        <v>28.921023726282701</v>
      </c>
      <c r="N271">
        <v>50.913438754629603</v>
      </c>
      <c r="O271">
        <v>49.411096444515799</v>
      </c>
      <c r="P271">
        <v>-0.108792471784564</v>
      </c>
      <c r="Q271">
        <v>0.25652496165488597</v>
      </c>
      <c r="R271">
        <v>0.97107842083069595</v>
      </c>
      <c r="S271" t="s">
        <v>5854</v>
      </c>
      <c r="T271" t="s">
        <v>11164</v>
      </c>
      <c r="U271" t="s">
        <v>11164</v>
      </c>
      <c r="V271" t="s">
        <v>11164</v>
      </c>
      <c r="W271" t="s">
        <v>11432</v>
      </c>
      <c r="X271">
        <v>4</v>
      </c>
      <c r="Y271" t="s">
        <v>16964</v>
      </c>
      <c r="Z271" t="s">
        <v>22421</v>
      </c>
      <c r="AA271">
        <v>0.57481609709345016</v>
      </c>
      <c r="AB271" t="str">
        <f>HYPERLINK("Melting_Curves/meltCurve_C9J5X1_IGF1R.pdf", "Melting_Curves/meltCurve_C9J5X1_IGF1R.pdf")</f>
        <v>Melting_Curves/meltCurve_C9J5X1_IGF1R.pdf</v>
      </c>
    </row>
    <row r="272" spans="1:28" x14ac:dyDescent="0.25">
      <c r="A272" t="s">
        <v>276</v>
      </c>
      <c r="B272">
        <v>0.99796759195183404</v>
      </c>
      <c r="C272">
        <v>0.98962226684300703</v>
      </c>
      <c r="D272">
        <v>0.991505090355014</v>
      </c>
      <c r="E272">
        <v>0.88938266827155599</v>
      </c>
      <c r="F272">
        <v>0.74526782454145901</v>
      </c>
      <c r="G272">
        <v>0.65530301424547699</v>
      </c>
      <c r="H272">
        <v>0.351007580381207</v>
      </c>
      <c r="I272">
        <v>0.16145226026991299</v>
      </c>
      <c r="J272">
        <v>0.11208560746716199</v>
      </c>
      <c r="K272">
        <v>5.9179644218239298E-2</v>
      </c>
      <c r="L272">
        <v>785.01243823969503</v>
      </c>
      <c r="M272">
        <v>14.2732608515983</v>
      </c>
      <c r="N272">
        <v>54.998815612850898</v>
      </c>
      <c r="O272">
        <v>53.953012898644701</v>
      </c>
      <c r="P272">
        <v>-6.6145574704665602E-2</v>
      </c>
      <c r="Q272">
        <v>0</v>
      </c>
      <c r="R272">
        <v>0.99141006105290397</v>
      </c>
      <c r="S272" t="s">
        <v>5855</v>
      </c>
      <c r="T272" t="s">
        <v>11164</v>
      </c>
      <c r="U272" t="s">
        <v>11164</v>
      </c>
      <c r="V272" t="s">
        <v>11164</v>
      </c>
      <c r="W272" t="s">
        <v>11433</v>
      </c>
      <c r="X272">
        <v>1</v>
      </c>
      <c r="Y272" t="s">
        <v>16965</v>
      </c>
      <c r="Z272" t="s">
        <v>22422</v>
      </c>
      <c r="AA272">
        <v>0.61428678876468212</v>
      </c>
      <c r="AB272" t="str">
        <f>HYPERLINK("Melting_Curves/meltCurve_C9J695_TANGO2.pdf", "Melting_Curves/meltCurve_C9J695_TANGO2.pdf")</f>
        <v>Melting_Curves/meltCurve_C9J695_TANGO2.pdf</v>
      </c>
    </row>
    <row r="273" spans="1:28" x14ac:dyDescent="0.25">
      <c r="A273" t="s">
        <v>277</v>
      </c>
      <c r="B273">
        <v>0.99796759195183404</v>
      </c>
      <c r="C273">
        <v>0.87374270286761402</v>
      </c>
      <c r="D273">
        <v>0.707752681981897</v>
      </c>
      <c r="E273">
        <v>1.0493832530090399</v>
      </c>
      <c r="F273">
        <v>1.1108169087603199</v>
      </c>
      <c r="G273">
        <v>1.0467746614201301</v>
      </c>
      <c r="H273">
        <v>0.181218784152574</v>
      </c>
      <c r="I273">
        <v>0.20254508328203</v>
      </c>
      <c r="J273">
        <v>0</v>
      </c>
      <c r="K273">
        <v>0</v>
      </c>
      <c r="L273">
        <v>14236.679954790199</v>
      </c>
      <c r="M273">
        <v>250</v>
      </c>
      <c r="N273">
        <v>56.979781870060599</v>
      </c>
      <c r="O273">
        <v>56.943075625874897</v>
      </c>
      <c r="P273">
        <v>-1.0234838257880501</v>
      </c>
      <c r="Q273">
        <v>6.7514931105832995E-2</v>
      </c>
      <c r="R273">
        <v>0.92562796012152404</v>
      </c>
      <c r="S273" t="s">
        <v>5856</v>
      </c>
      <c r="T273" t="s">
        <v>11164</v>
      </c>
      <c r="U273" t="s">
        <v>11164</v>
      </c>
      <c r="V273" t="s">
        <v>11164</v>
      </c>
      <c r="W273" t="s">
        <v>11434</v>
      </c>
      <c r="X273">
        <v>1</v>
      </c>
      <c r="Y273" t="s">
        <v>16966</v>
      </c>
      <c r="Z273" t="s">
        <v>22423</v>
      </c>
      <c r="AA273">
        <v>0.68760873772239295</v>
      </c>
      <c r="AB273" t="str">
        <f>HYPERLINK("Melting_Curves/meltCurve_C9J6W2_KIF20B.pdf", "Melting_Curves/meltCurve_C9J6W2_KIF20B.pdf")</f>
        <v>Melting_Curves/meltCurve_C9J6W2_KIF20B.pdf</v>
      </c>
    </row>
    <row r="274" spans="1:28" x14ac:dyDescent="0.25">
      <c r="A274" t="s">
        <v>278</v>
      </c>
      <c r="B274">
        <v>0.99796759195183404</v>
      </c>
      <c r="C274">
        <v>1.1460656029362499</v>
      </c>
      <c r="D274">
        <v>1.22099597113335</v>
      </c>
      <c r="E274">
        <v>1.2296109389043901</v>
      </c>
      <c r="F274">
        <v>1.0263917834331799</v>
      </c>
      <c r="G274">
        <v>0.411557918633219</v>
      </c>
      <c r="H274">
        <v>0.124142237462464</v>
      </c>
      <c r="I274">
        <v>0.10055646848133799</v>
      </c>
      <c r="J274">
        <v>0.116547837467782</v>
      </c>
      <c r="K274">
        <v>0.110747187927484</v>
      </c>
      <c r="S274" t="s">
        <v>5857</v>
      </c>
      <c r="T274" t="s">
        <v>11164</v>
      </c>
      <c r="U274" t="s">
        <v>11165</v>
      </c>
      <c r="V274" t="s">
        <v>11164</v>
      </c>
      <c r="W274" t="s">
        <v>11435</v>
      </c>
      <c r="X274">
        <v>3</v>
      </c>
      <c r="Y274" t="s">
        <v>16967</v>
      </c>
      <c r="Z274" t="s">
        <v>22424</v>
      </c>
      <c r="AB274" t="str">
        <f>HYPERLINK("Melting_Curves/meltCurve_C9J715_NISCH.pdf", "Melting_Curves/meltCurve_C9J715_NISCH.pdf")</f>
        <v>Melting_Curves/meltCurve_C9J715_NISCH.pdf</v>
      </c>
    </row>
    <row r="275" spans="1:28" x14ac:dyDescent="0.25">
      <c r="A275" t="s">
        <v>279</v>
      </c>
      <c r="B275">
        <v>0.99796759195183404</v>
      </c>
      <c r="C275">
        <v>1.0051694523119601</v>
      </c>
      <c r="D275">
        <v>1.0302048065214899</v>
      </c>
      <c r="E275">
        <v>0.97903117308970999</v>
      </c>
      <c r="F275">
        <v>0.85249088342424295</v>
      </c>
      <c r="G275">
        <v>0.57405215869292103</v>
      </c>
      <c r="H275">
        <v>0.34435201645457703</v>
      </c>
      <c r="I275">
        <v>0.23075105268711099</v>
      </c>
      <c r="J275">
        <v>0.16084982218837801</v>
      </c>
      <c r="K275">
        <v>0.14167003179882501</v>
      </c>
      <c r="L275">
        <v>1088.84469086327</v>
      </c>
      <c r="M275">
        <v>20.140738966179502</v>
      </c>
      <c r="N275">
        <v>54.905312251923498</v>
      </c>
      <c r="O275">
        <v>53.5373143924472</v>
      </c>
      <c r="P275">
        <v>-8.1537897178808896E-2</v>
      </c>
      <c r="Q275">
        <v>0.13306422409695601</v>
      </c>
      <c r="R275">
        <v>0.99838138884105199</v>
      </c>
      <c r="S275" t="s">
        <v>5858</v>
      </c>
      <c r="T275" t="s">
        <v>11164</v>
      </c>
      <c r="U275" t="s">
        <v>11164</v>
      </c>
      <c r="V275" t="s">
        <v>11164</v>
      </c>
      <c r="W275" t="s">
        <v>11436</v>
      </c>
      <c r="X275">
        <v>11</v>
      </c>
      <c r="Y275" t="s">
        <v>16968</v>
      </c>
      <c r="Z275" t="s">
        <v>22425</v>
      </c>
      <c r="AA275">
        <v>0.63647090438634468</v>
      </c>
      <c r="AB275" t="str">
        <f>HYPERLINK("Melting_Curves/meltCurve_C9J7E5_TNPO3.pdf", "Melting_Curves/meltCurve_C9J7E5_TNPO3.pdf")</f>
        <v>Melting_Curves/meltCurve_C9J7E5_TNPO3.pdf</v>
      </c>
    </row>
    <row r="276" spans="1:28" x14ac:dyDescent="0.25">
      <c r="A276" t="s">
        <v>280</v>
      </c>
      <c r="B276">
        <v>0.99796759195183404</v>
      </c>
      <c r="C276">
        <v>0.982366434687442</v>
      </c>
      <c r="D276">
        <v>0.90684353120535299</v>
      </c>
      <c r="E276">
        <v>0.77074365202941597</v>
      </c>
      <c r="F276">
        <v>0.72183911472343598</v>
      </c>
      <c r="G276">
        <v>0.78912463762979201</v>
      </c>
      <c r="H276">
        <v>0.68023879086008998</v>
      </c>
      <c r="I276">
        <v>0.45687203644640401</v>
      </c>
      <c r="J276">
        <v>0.34005837643775799</v>
      </c>
      <c r="K276">
        <v>0.31756311243873803</v>
      </c>
      <c r="L276">
        <v>389.51781783748697</v>
      </c>
      <c r="M276">
        <v>6.4720535388159401</v>
      </c>
      <c r="N276">
        <v>60.1845789908905</v>
      </c>
      <c r="O276">
        <v>55.211651980942399</v>
      </c>
      <c r="P276">
        <v>-2.9377944465386399E-2</v>
      </c>
      <c r="Q276">
        <v>0</v>
      </c>
      <c r="R276">
        <v>0.92662447174810403</v>
      </c>
      <c r="S276" t="s">
        <v>5859</v>
      </c>
      <c r="T276" t="s">
        <v>11164</v>
      </c>
      <c r="U276" t="s">
        <v>11164</v>
      </c>
      <c r="V276" t="s">
        <v>11164</v>
      </c>
      <c r="W276" t="s">
        <v>11437</v>
      </c>
      <c r="X276">
        <v>2</v>
      </c>
      <c r="Y276" t="s">
        <v>16969</v>
      </c>
      <c r="Z276" t="s">
        <v>22426</v>
      </c>
      <c r="AA276">
        <v>0.70798883024482562</v>
      </c>
      <c r="AB276" t="str">
        <f>HYPERLINK("Melting_Curves/meltCurve_C9J7E8_MKLN1.pdf", "Melting_Curves/meltCurve_C9J7E8_MKLN1.pdf")</f>
        <v>Melting_Curves/meltCurve_C9J7E8_MKLN1.pdf</v>
      </c>
    </row>
    <row r="277" spans="1:28" x14ac:dyDescent="0.25">
      <c r="A277" t="s">
        <v>281</v>
      </c>
      <c r="B277">
        <v>0.99796759195183404</v>
      </c>
      <c r="C277">
        <v>0.91517310086136305</v>
      </c>
      <c r="D277">
        <v>1.0181781653333599</v>
      </c>
      <c r="E277">
        <v>0.70260132482155502</v>
      </c>
      <c r="F277">
        <v>0.58096888046251205</v>
      </c>
      <c r="G277">
        <v>0.64557187584458298</v>
      </c>
      <c r="H277">
        <v>0.331095174073543</v>
      </c>
      <c r="I277">
        <v>0.31451158217065001</v>
      </c>
      <c r="J277">
        <v>0.240295827975954</v>
      </c>
      <c r="K277">
        <v>0.193211588791281</v>
      </c>
      <c r="L277">
        <v>450.924971295928</v>
      </c>
      <c r="M277">
        <v>8.4315992639816404</v>
      </c>
      <c r="N277">
        <v>54.195919341867999</v>
      </c>
      <c r="O277">
        <v>50.7261329581358</v>
      </c>
      <c r="P277">
        <v>-3.9402186313696699E-2</v>
      </c>
      <c r="Q277">
        <v>5.2675547839614499E-2</v>
      </c>
      <c r="R277">
        <v>0.94262165211508397</v>
      </c>
      <c r="S277" t="s">
        <v>5860</v>
      </c>
      <c r="T277" t="s">
        <v>11164</v>
      </c>
      <c r="U277" t="s">
        <v>11164</v>
      </c>
      <c r="V277" t="s">
        <v>11164</v>
      </c>
      <c r="W277" t="s">
        <v>11438</v>
      </c>
      <c r="X277">
        <v>4</v>
      </c>
      <c r="Y277" t="s">
        <v>16970</v>
      </c>
      <c r="Z277" t="s">
        <v>22427</v>
      </c>
      <c r="AA277">
        <v>0.59115995560455814</v>
      </c>
      <c r="AB277" t="str">
        <f>HYPERLINK("Melting_Curves/meltCurve_C9J7T7_NCOR2.pdf", "Melting_Curves/meltCurve_C9J7T7_NCOR2.pdf")</f>
        <v>Melting_Curves/meltCurve_C9J7T7_NCOR2.pdf</v>
      </c>
    </row>
    <row r="278" spans="1:28" x14ac:dyDescent="0.25">
      <c r="A278" t="s">
        <v>282</v>
      </c>
      <c r="B278">
        <v>0.99796759195183404</v>
      </c>
      <c r="C278">
        <v>0.92777659001653201</v>
      </c>
      <c r="D278">
        <v>0.981252295348639</v>
      </c>
      <c r="E278">
        <v>1.01039475875499</v>
      </c>
      <c r="F278">
        <v>0.89000758729788099</v>
      </c>
      <c r="G278">
        <v>0.91498947046017198</v>
      </c>
      <c r="H278">
        <v>0.70701135968143702</v>
      </c>
      <c r="I278">
        <v>0.50979962458259598</v>
      </c>
      <c r="J278">
        <v>0.50097176560732704</v>
      </c>
      <c r="K278">
        <v>0.48673931341705801</v>
      </c>
      <c r="L278">
        <v>1375.7574601193501</v>
      </c>
      <c r="M278">
        <v>24.227926192002599</v>
      </c>
      <c r="N278">
        <v>63.410205817953397</v>
      </c>
      <c r="O278">
        <v>56.401344094989398</v>
      </c>
      <c r="P278">
        <v>-5.7965990277013199E-2</v>
      </c>
      <c r="Q278">
        <v>0.460241054495864</v>
      </c>
      <c r="R278">
        <v>0.96330347862052401</v>
      </c>
      <c r="S278" t="s">
        <v>5861</v>
      </c>
      <c r="T278" t="s">
        <v>11164</v>
      </c>
      <c r="U278" t="s">
        <v>11164</v>
      </c>
      <c r="V278" t="s">
        <v>11164</v>
      </c>
      <c r="W278" t="s">
        <v>11439</v>
      </c>
      <c r="X278">
        <v>1</v>
      </c>
      <c r="Y278" t="s">
        <v>16971</v>
      </c>
      <c r="Z278" t="s">
        <v>22428</v>
      </c>
      <c r="AA278">
        <v>0.82045260295669586</v>
      </c>
      <c r="AB278" t="str">
        <f>HYPERLINK("Melting_Curves/meltCurve_C9J8H5_ZMAT3.pdf", "Melting_Curves/meltCurve_C9J8H5_ZMAT3.pdf")</f>
        <v>Melting_Curves/meltCurve_C9J8H5_ZMAT3.pdf</v>
      </c>
    </row>
    <row r="279" spans="1:28" x14ac:dyDescent="0.25">
      <c r="A279" t="s">
        <v>283</v>
      </c>
      <c r="B279">
        <v>0.99796759195183404</v>
      </c>
      <c r="C279">
        <v>1.04784004663994</v>
      </c>
      <c r="D279">
        <v>1.0079609045581299</v>
      </c>
      <c r="E279">
        <v>1.0020060611454</v>
      </c>
      <c r="F279">
        <v>0.97522656227063298</v>
      </c>
      <c r="G279">
        <v>1.33818841898245</v>
      </c>
      <c r="H279">
        <v>1.31521384889029</v>
      </c>
      <c r="I279">
        <v>1.0326412340523901</v>
      </c>
      <c r="J279">
        <v>0.19603845559116301</v>
      </c>
      <c r="K279">
        <v>0.14667401912897601</v>
      </c>
      <c r="L279">
        <v>15000</v>
      </c>
      <c r="M279">
        <v>236.79701358096699</v>
      </c>
      <c r="N279">
        <v>63.4383671371858</v>
      </c>
      <c r="O279">
        <v>63.340884761264597</v>
      </c>
      <c r="P279">
        <v>-0.79758738973911303</v>
      </c>
      <c r="Q279">
        <v>0.146612830989962</v>
      </c>
      <c r="R279">
        <v>0.855190480627395</v>
      </c>
      <c r="S279" t="s">
        <v>5862</v>
      </c>
      <c r="T279" t="s">
        <v>11164</v>
      </c>
      <c r="U279" t="s">
        <v>11164</v>
      </c>
      <c r="V279" t="s">
        <v>11164</v>
      </c>
      <c r="W279" t="s">
        <v>11440</v>
      </c>
      <c r="X279">
        <v>6</v>
      </c>
      <c r="Y279" t="s">
        <v>16972</v>
      </c>
      <c r="Z279" t="s">
        <v>22429</v>
      </c>
      <c r="AA279">
        <v>0.89614591667708487</v>
      </c>
      <c r="AB279" t="str">
        <f>HYPERLINK("Melting_Curves/meltCurve_C9J8Q5_ALDH5A1.pdf", "Melting_Curves/meltCurve_C9J8Q5_ALDH5A1.pdf")</f>
        <v>Melting_Curves/meltCurve_C9J8Q5_ALDH5A1.pdf</v>
      </c>
    </row>
    <row r="280" spans="1:28" x14ac:dyDescent="0.25">
      <c r="A280" t="s">
        <v>284</v>
      </c>
      <c r="B280">
        <v>0.99796759195183404</v>
      </c>
      <c r="C280">
        <v>1.0008043346053901</v>
      </c>
      <c r="D280">
        <v>1.04227931862733</v>
      </c>
      <c r="E280">
        <v>1.03577370124986</v>
      </c>
      <c r="F280">
        <v>0.91437377690560695</v>
      </c>
      <c r="G280">
        <v>0.44384102257909203</v>
      </c>
      <c r="H280">
        <v>0.37499220629679397</v>
      </c>
      <c r="I280">
        <v>0.28075530088458001</v>
      </c>
      <c r="J280">
        <v>0.133996332663952</v>
      </c>
      <c r="K280">
        <v>8.0484093045107896E-2</v>
      </c>
      <c r="L280">
        <v>1245.3864575359501</v>
      </c>
      <c r="M280">
        <v>23.2704518507126</v>
      </c>
      <c r="N280">
        <v>54.339093951271401</v>
      </c>
      <c r="O280">
        <v>53.127406224535399</v>
      </c>
      <c r="P280">
        <v>-9.3271992338480894E-2</v>
      </c>
      <c r="Q280">
        <v>0.148239861714106</v>
      </c>
      <c r="R280">
        <v>0.97145181597519603</v>
      </c>
      <c r="S280" t="s">
        <v>5863</v>
      </c>
      <c r="T280" t="s">
        <v>11164</v>
      </c>
      <c r="U280" t="s">
        <v>11164</v>
      </c>
      <c r="V280" t="s">
        <v>11164</v>
      </c>
      <c r="W280" t="s">
        <v>11441</v>
      </c>
      <c r="X280">
        <v>13</v>
      </c>
      <c r="Y280" t="s">
        <v>16973</v>
      </c>
      <c r="Z280" t="s">
        <v>22430</v>
      </c>
      <c r="AA280">
        <v>0.62563426251912757</v>
      </c>
      <c r="AB280" t="str">
        <f>HYPERLINK("Melting_Curves/meltCurve_C9J9K3_RPSA.pdf", "Melting_Curves/meltCurve_C9J9K3_RPSA.pdf")</f>
        <v>Melting_Curves/meltCurve_C9J9K3_RPSA.pdf</v>
      </c>
    </row>
    <row r="281" spans="1:28" x14ac:dyDescent="0.25">
      <c r="A281" t="s">
        <v>285</v>
      </c>
      <c r="B281">
        <v>0.99796759195183404</v>
      </c>
      <c r="C281">
        <v>1.0420830513999499</v>
      </c>
      <c r="D281">
        <v>1.02845531957514</v>
      </c>
      <c r="E281">
        <v>0.96358635771660095</v>
      </c>
      <c r="F281">
        <v>0.76197059950837598</v>
      </c>
      <c r="G281">
        <v>0.40653364369190997</v>
      </c>
      <c r="H281">
        <v>0.21308683191905101</v>
      </c>
      <c r="I281">
        <v>0.14194556192489599</v>
      </c>
      <c r="J281">
        <v>9.4213851236133905E-2</v>
      </c>
      <c r="K281">
        <v>6.4795088426205599E-2</v>
      </c>
      <c r="L281">
        <v>1191.83287351533</v>
      </c>
      <c r="M281">
        <v>22.6925175761478</v>
      </c>
      <c r="N281">
        <v>52.938942109948201</v>
      </c>
      <c r="O281">
        <v>52.118202622771101</v>
      </c>
      <c r="P281">
        <v>-9.9925482411971106E-2</v>
      </c>
      <c r="Q281">
        <v>8.2017546235098202E-2</v>
      </c>
      <c r="R281">
        <v>0.99714106955399395</v>
      </c>
      <c r="S281" t="s">
        <v>5864</v>
      </c>
      <c r="T281" t="s">
        <v>11164</v>
      </c>
      <c r="U281" t="s">
        <v>11164</v>
      </c>
      <c r="V281" t="s">
        <v>11164</v>
      </c>
      <c r="W281" t="s">
        <v>11442</v>
      </c>
      <c r="X281">
        <v>15</v>
      </c>
      <c r="Y281" t="s">
        <v>16974</v>
      </c>
      <c r="Z281" t="s">
        <v>22431</v>
      </c>
      <c r="AA281">
        <v>0.56654513318106414</v>
      </c>
      <c r="AB281" t="str">
        <f>HYPERLINK("Melting_Curves/meltCurve_C9JA08_NMD3.pdf", "Melting_Curves/meltCurve_C9JA08_NMD3.pdf")</f>
        <v>Melting_Curves/meltCurve_C9JA08_NMD3.pdf</v>
      </c>
    </row>
    <row r="282" spans="1:28" x14ac:dyDescent="0.25">
      <c r="A282" t="s">
        <v>286</v>
      </c>
      <c r="B282">
        <v>0.99796759195183404</v>
      </c>
      <c r="C282">
        <v>0.96717053475708403</v>
      </c>
      <c r="D282">
        <v>0.94282576922994699</v>
      </c>
      <c r="E282">
        <v>0.89965526177216704</v>
      </c>
      <c r="F282">
        <v>0.84648965589333602</v>
      </c>
      <c r="G282">
        <v>0.75049403167755502</v>
      </c>
      <c r="H282">
        <v>0.66132331839259895</v>
      </c>
      <c r="I282">
        <v>0.52396534916903104</v>
      </c>
      <c r="J282">
        <v>0.51077180021633495</v>
      </c>
      <c r="K282">
        <v>0.319808842325842</v>
      </c>
      <c r="L282">
        <v>439.062568189704</v>
      </c>
      <c r="M282">
        <v>7.0516753929740101</v>
      </c>
      <c r="N282">
        <v>62.263581501624699</v>
      </c>
      <c r="O282">
        <v>57.837438035742899</v>
      </c>
      <c r="P282">
        <v>-3.05355787104847E-2</v>
      </c>
      <c r="Q282">
        <v>0</v>
      </c>
      <c r="R282">
        <v>0.98273428931988205</v>
      </c>
      <c r="S282" t="s">
        <v>5865</v>
      </c>
      <c r="T282" t="s">
        <v>11164</v>
      </c>
      <c r="U282" t="s">
        <v>11164</v>
      </c>
      <c r="V282" t="s">
        <v>11164</v>
      </c>
      <c r="W282" t="s">
        <v>11443</v>
      </c>
      <c r="X282">
        <v>8</v>
      </c>
      <c r="Y282" t="s">
        <v>16975</v>
      </c>
      <c r="Z282" t="s">
        <v>22432</v>
      </c>
      <c r="AA282">
        <v>0.75582397928186562</v>
      </c>
      <c r="AB282" t="str">
        <f>HYPERLINK("Melting_Curves/meltCurve_C9JA28_SSR3.pdf", "Melting_Curves/meltCurve_C9JA28_SSR3.pdf")</f>
        <v>Melting_Curves/meltCurve_C9JA28_SSR3.pdf</v>
      </c>
    </row>
    <row r="283" spans="1:28" x14ac:dyDescent="0.25">
      <c r="A283" t="s">
        <v>287</v>
      </c>
      <c r="B283">
        <v>0.99796759195183404</v>
      </c>
      <c r="C283">
        <v>0.97207690985039596</v>
      </c>
      <c r="D283">
        <v>0.98354842182931801</v>
      </c>
      <c r="E283">
        <v>0.89959086402435195</v>
      </c>
      <c r="F283">
        <v>0.717373716934261</v>
      </c>
      <c r="G283">
        <v>0.70553666478430699</v>
      </c>
      <c r="H283">
        <v>0.67736239502726403</v>
      </c>
      <c r="I283">
        <v>0.63810215248343405</v>
      </c>
      <c r="J283">
        <v>0.45121815360171003</v>
      </c>
      <c r="K283">
        <v>0.57627838727193803</v>
      </c>
      <c r="L283">
        <v>542.05110230426999</v>
      </c>
      <c r="M283">
        <v>10.495453931728999</v>
      </c>
      <c r="O283">
        <v>49.8769978276747</v>
      </c>
      <c r="P283">
        <v>-2.6273816148794E-2</v>
      </c>
      <c r="Q283">
        <v>0.50076300117109596</v>
      </c>
      <c r="R283">
        <v>0.92429344542082204</v>
      </c>
      <c r="S283" t="s">
        <v>5866</v>
      </c>
      <c r="T283" t="s">
        <v>11164</v>
      </c>
      <c r="U283" t="s">
        <v>11164</v>
      </c>
      <c r="V283" t="s">
        <v>11164</v>
      </c>
      <c r="W283" t="s">
        <v>11444</v>
      </c>
      <c r="X283">
        <v>3</v>
      </c>
      <c r="Y283" t="s">
        <v>16976</v>
      </c>
      <c r="Z283" t="s">
        <v>22433</v>
      </c>
      <c r="AA283">
        <v>0.75809070084878527</v>
      </c>
      <c r="AB283" t="str">
        <f>HYPERLINK("Melting_Curves/meltCurve_C9JAB2_SRSF7.pdf", "Melting_Curves/meltCurve_C9JAB2_SRSF7.pdf")</f>
        <v>Melting_Curves/meltCurve_C9JAB2_SRSF7.pdf</v>
      </c>
    </row>
    <row r="284" spans="1:28" x14ac:dyDescent="0.25">
      <c r="A284" t="s">
        <v>288</v>
      </c>
      <c r="B284">
        <v>0.99796759195183404</v>
      </c>
      <c r="C284">
        <v>1.03579276500229</v>
      </c>
      <c r="D284">
        <v>1.0254420172079901</v>
      </c>
      <c r="E284">
        <v>0.87198857235157801</v>
      </c>
      <c r="F284">
        <v>0.94007500923410903</v>
      </c>
      <c r="G284">
        <v>0.79668267152500405</v>
      </c>
      <c r="H284">
        <v>0.68556528771366698</v>
      </c>
      <c r="I284">
        <v>0.83438886731086404</v>
      </c>
      <c r="J284">
        <v>0.72843670431583396</v>
      </c>
      <c r="K284">
        <v>0.590846066106678</v>
      </c>
      <c r="L284">
        <v>486.96358883515302</v>
      </c>
      <c r="M284">
        <v>8.6843301335833996</v>
      </c>
      <c r="O284">
        <v>53.338533978617797</v>
      </c>
      <c r="P284">
        <v>-1.70777995442726E-2</v>
      </c>
      <c r="Q284">
        <v>0.58078602366561205</v>
      </c>
      <c r="R284">
        <v>0.80587678416246999</v>
      </c>
      <c r="S284" t="s">
        <v>5867</v>
      </c>
      <c r="T284" t="s">
        <v>11164</v>
      </c>
      <c r="U284" t="s">
        <v>11164</v>
      </c>
      <c r="V284" t="s">
        <v>11164</v>
      </c>
      <c r="W284" t="s">
        <v>11445</v>
      </c>
      <c r="X284">
        <v>1</v>
      </c>
      <c r="Y284" t="s">
        <v>16977</v>
      </c>
      <c r="Z284" t="s">
        <v>22434</v>
      </c>
      <c r="AA284">
        <v>0.84772087158760312</v>
      </c>
      <c r="AB284" t="str">
        <f>HYPERLINK("Melting_Curves/meltCurve_C9JAW5_HIGD1A.pdf", "Melting_Curves/meltCurve_C9JAW5_HIGD1A.pdf")</f>
        <v>Melting_Curves/meltCurve_C9JAW5_HIGD1A.pdf</v>
      </c>
    </row>
    <row r="285" spans="1:28" x14ac:dyDescent="0.25">
      <c r="A285" t="s">
        <v>289</v>
      </c>
      <c r="B285">
        <v>0.99796759195183404</v>
      </c>
      <c r="C285">
        <v>0.99610341131415603</v>
      </c>
      <c r="D285">
        <v>0.99503659212884998</v>
      </c>
      <c r="E285">
        <v>0.92670377009928395</v>
      </c>
      <c r="F285">
        <v>0.94730162101503601</v>
      </c>
      <c r="G285">
        <v>0.74807043542892604</v>
      </c>
      <c r="H285">
        <v>0.49635927029011201</v>
      </c>
      <c r="I285">
        <v>0.43182231259567999</v>
      </c>
      <c r="J285">
        <v>0.46787510821296702</v>
      </c>
      <c r="K285">
        <v>0.451807983695172</v>
      </c>
      <c r="L285">
        <v>1834.3374797874801</v>
      </c>
      <c r="M285">
        <v>33.985288160849301</v>
      </c>
      <c r="N285">
        <v>57.679596483872899</v>
      </c>
      <c r="O285">
        <v>53.788604721898203</v>
      </c>
      <c r="P285">
        <v>-8.7879447501001601E-2</v>
      </c>
      <c r="Q285">
        <v>0.44365408082686902</v>
      </c>
      <c r="R285">
        <v>0.98889708956287803</v>
      </c>
      <c r="S285" t="s">
        <v>5868</v>
      </c>
      <c r="T285" t="s">
        <v>11164</v>
      </c>
      <c r="U285" t="s">
        <v>11164</v>
      </c>
      <c r="V285" t="s">
        <v>11164</v>
      </c>
      <c r="W285" t="s">
        <v>11446</v>
      </c>
      <c r="X285">
        <v>4</v>
      </c>
      <c r="Y285" t="s">
        <v>16978</v>
      </c>
      <c r="Z285" t="s">
        <v>22435</v>
      </c>
      <c r="AA285">
        <v>0.76126292088011804</v>
      </c>
      <c r="AB285" t="str">
        <f>HYPERLINK("Melting_Curves/meltCurve_C9JCC6_DRAP1.pdf", "Melting_Curves/meltCurve_C9JCC6_DRAP1.pdf")</f>
        <v>Melting_Curves/meltCurve_C9JCC6_DRAP1.pdf</v>
      </c>
    </row>
    <row r="286" spans="1:28" x14ac:dyDescent="0.25">
      <c r="A286" t="s">
        <v>290</v>
      </c>
      <c r="B286">
        <v>0.99796759195183404</v>
      </c>
      <c r="C286">
        <v>1.0563794371550099</v>
      </c>
      <c r="D286">
        <v>1.18510763456777</v>
      </c>
      <c r="E286">
        <v>0.98575993504902504</v>
      </c>
      <c r="F286">
        <v>0.96180166932960698</v>
      </c>
      <c r="G286">
        <v>1.35838826074721</v>
      </c>
      <c r="H286">
        <v>2.2191546681518401</v>
      </c>
      <c r="I286">
        <v>2.9160494367982199</v>
      </c>
      <c r="J286">
        <v>0.66204556357870903</v>
      </c>
      <c r="K286">
        <v>0.37604983819875598</v>
      </c>
      <c r="L286">
        <v>15000</v>
      </c>
      <c r="M286">
        <v>234.17575432065701</v>
      </c>
      <c r="N286">
        <v>64.438152629268401</v>
      </c>
      <c r="O286">
        <v>64.049786177597298</v>
      </c>
      <c r="P286">
        <v>-0.57035018616420297</v>
      </c>
      <c r="Q286">
        <v>0.37601046506945601</v>
      </c>
      <c r="R286">
        <v>-4.6296539048689397E-2</v>
      </c>
      <c r="S286" t="s">
        <v>5869</v>
      </c>
      <c r="T286" t="s">
        <v>11164</v>
      </c>
      <c r="U286" t="s">
        <v>11164</v>
      </c>
      <c r="V286" t="s">
        <v>11164</v>
      </c>
      <c r="W286" t="s">
        <v>11447</v>
      </c>
      <c r="X286">
        <v>10</v>
      </c>
      <c r="Y286" t="s">
        <v>16762</v>
      </c>
      <c r="Z286" t="s">
        <v>22436</v>
      </c>
      <c r="AA286">
        <v>0.93881339941139985</v>
      </c>
      <c r="AB286" t="str">
        <f>HYPERLINK("Melting_Curves/meltCurve_C9JDS9_TUBA4A.pdf", "Melting_Curves/meltCurve_C9JDS9_TUBA4A.pdf")</f>
        <v>Melting_Curves/meltCurve_C9JDS9_TUBA4A.pdf</v>
      </c>
    </row>
    <row r="287" spans="1:28" x14ac:dyDescent="0.25">
      <c r="A287" t="s">
        <v>291</v>
      </c>
      <c r="B287">
        <v>0.99796759195183404</v>
      </c>
      <c r="C287">
        <v>1.0982312868074999</v>
      </c>
      <c r="D287">
        <v>0.99059176463481402</v>
      </c>
      <c r="E287">
        <v>1.0153881830335001</v>
      </c>
      <c r="F287">
        <v>0.93670749731631797</v>
      </c>
      <c r="G287">
        <v>0.60400118926644597</v>
      </c>
      <c r="H287">
        <v>0.61160294468876997</v>
      </c>
      <c r="I287">
        <v>0.59128872119718801</v>
      </c>
      <c r="J287">
        <v>0.648906937942201</v>
      </c>
      <c r="K287">
        <v>0.54586974316327697</v>
      </c>
      <c r="L287">
        <v>4629.5922496677103</v>
      </c>
      <c r="M287">
        <v>90.549228216302197</v>
      </c>
      <c r="O287">
        <v>51.102981285557902</v>
      </c>
      <c r="P287">
        <v>-0.17743501010665</v>
      </c>
      <c r="Q287">
        <v>0.59944629178321196</v>
      </c>
      <c r="R287">
        <v>0.96428057452958704</v>
      </c>
      <c r="S287" t="s">
        <v>5870</v>
      </c>
      <c r="T287" t="s">
        <v>11164</v>
      </c>
      <c r="U287" t="s">
        <v>11164</v>
      </c>
      <c r="V287" t="s">
        <v>11164</v>
      </c>
      <c r="W287" t="s">
        <v>11448</v>
      </c>
      <c r="X287">
        <v>5</v>
      </c>
      <c r="Y287" t="s">
        <v>16979</v>
      </c>
      <c r="Z287" t="s">
        <v>22437</v>
      </c>
      <c r="AA287">
        <v>0.78835347578978887</v>
      </c>
      <c r="AB287" t="str">
        <f>HYPERLINK("Melting_Curves/meltCurve_C9JE12_TMUB1.pdf", "Melting_Curves/meltCurve_C9JE12_TMUB1.pdf")</f>
        <v>Melting_Curves/meltCurve_C9JE12_TMUB1.pdf</v>
      </c>
    </row>
    <row r="288" spans="1:28" x14ac:dyDescent="0.25">
      <c r="A288" t="s">
        <v>292</v>
      </c>
      <c r="B288">
        <v>0.99796759195183404</v>
      </c>
      <c r="C288">
        <v>0.88874363421416702</v>
      </c>
      <c r="D288">
        <v>0.75263249243663899</v>
      </c>
      <c r="E288">
        <v>0.61143076213968495</v>
      </c>
      <c r="F288">
        <v>0.75573525695372701</v>
      </c>
      <c r="G288">
        <v>0.56767573237796798</v>
      </c>
      <c r="H288">
        <v>0.43154292827055701</v>
      </c>
      <c r="I288">
        <v>0.296242648752924</v>
      </c>
      <c r="J288">
        <v>0.44793786022696902</v>
      </c>
      <c r="K288">
        <v>0.166593342907873</v>
      </c>
      <c r="L288">
        <v>297.663872657708</v>
      </c>
      <c r="M288">
        <v>5.4175327824622697</v>
      </c>
      <c r="N288">
        <v>54.944544796985802</v>
      </c>
      <c r="O288">
        <v>48.8087127237498</v>
      </c>
      <c r="P288">
        <v>-2.7877659487193399E-2</v>
      </c>
      <c r="Q288">
        <v>0</v>
      </c>
      <c r="R288">
        <v>0.88020071541632405</v>
      </c>
      <c r="S288" t="s">
        <v>5871</v>
      </c>
      <c r="T288" t="s">
        <v>11164</v>
      </c>
      <c r="U288" t="s">
        <v>11164</v>
      </c>
      <c r="V288" t="s">
        <v>11164</v>
      </c>
      <c r="W288" t="s">
        <v>11449</v>
      </c>
      <c r="X288">
        <v>1</v>
      </c>
      <c r="Y288" t="s">
        <v>16980</v>
      </c>
      <c r="Z288" t="s">
        <v>22438</v>
      </c>
      <c r="AA288">
        <v>0.58946134093924774</v>
      </c>
      <c r="AB288" t="str">
        <f>HYPERLINK("Melting_Curves/meltCurve_C9JE15_ADCK2.pdf", "Melting_Curves/meltCurve_C9JE15_ADCK2.pdf")</f>
        <v>Melting_Curves/meltCurve_C9JE15_ADCK2.pdf</v>
      </c>
    </row>
    <row r="289" spans="1:28" x14ac:dyDescent="0.25">
      <c r="A289" t="s">
        <v>293</v>
      </c>
      <c r="B289">
        <v>0.99796759195183404</v>
      </c>
      <c r="C289">
        <v>1.3891785247047099</v>
      </c>
      <c r="D289">
        <v>1.1673646505725801</v>
      </c>
      <c r="E289">
        <v>1.1965682655647201</v>
      </c>
      <c r="F289">
        <v>0.86208692314931101</v>
      </c>
      <c r="G289">
        <v>0.42042092406576898</v>
      </c>
      <c r="H289">
        <v>0.30928386659388102</v>
      </c>
      <c r="I289">
        <v>0.23082576342755801</v>
      </c>
      <c r="J289">
        <v>0.24506988184388601</v>
      </c>
      <c r="K289">
        <v>0.20268858395741399</v>
      </c>
      <c r="L289">
        <v>2108.49771101738</v>
      </c>
      <c r="M289">
        <v>40.339849596331099</v>
      </c>
      <c r="N289">
        <v>53.130197685290099</v>
      </c>
      <c r="O289">
        <v>52.140410837337299</v>
      </c>
      <c r="P289">
        <v>-0.14697706773980601</v>
      </c>
      <c r="Q289">
        <v>0.24011334923046601</v>
      </c>
      <c r="R289">
        <v>0.88539842067180996</v>
      </c>
      <c r="S289" t="s">
        <v>5872</v>
      </c>
      <c r="T289" t="s">
        <v>11164</v>
      </c>
      <c r="U289" t="s">
        <v>11164</v>
      </c>
      <c r="V289" t="s">
        <v>11164</v>
      </c>
      <c r="W289" t="s">
        <v>11450</v>
      </c>
      <c r="X289">
        <v>1</v>
      </c>
      <c r="Y289" t="s">
        <v>16981</v>
      </c>
      <c r="Z289" t="s">
        <v>22439</v>
      </c>
      <c r="AA289">
        <v>0.62954569071399447</v>
      </c>
      <c r="AB289" t="str">
        <f>HYPERLINK("Melting_Curves/meltCurve_C9JEL3_EIF4E2.pdf", "Melting_Curves/meltCurve_C9JEL3_EIF4E2.pdf")</f>
        <v>Melting_Curves/meltCurve_C9JEL3_EIF4E2.pdf</v>
      </c>
    </row>
    <row r="290" spans="1:28" x14ac:dyDescent="0.25">
      <c r="A290" t="s">
        <v>294</v>
      </c>
      <c r="B290">
        <v>0.99796759195183404</v>
      </c>
      <c r="C290">
        <v>0.95506430509290696</v>
      </c>
      <c r="D290">
        <v>1.0023521559152799</v>
      </c>
      <c r="E290">
        <v>0.79454413364450704</v>
      </c>
      <c r="F290">
        <v>0.68764761544805597</v>
      </c>
      <c r="G290">
        <v>0.426875675575207</v>
      </c>
      <c r="H290">
        <v>0.85259678575499698</v>
      </c>
      <c r="I290">
        <v>1.02912242937377</v>
      </c>
      <c r="J290">
        <v>1.26908175885031</v>
      </c>
      <c r="K290">
        <v>0.51761707402219104</v>
      </c>
      <c r="L290">
        <v>6803.0652108854001</v>
      </c>
      <c r="M290">
        <v>152.12200898936101</v>
      </c>
      <c r="O290">
        <v>44.713384343255001</v>
      </c>
      <c r="P290">
        <v>-0.17289567944386899</v>
      </c>
      <c r="Q290">
        <v>0.79672236316063705</v>
      </c>
      <c r="R290">
        <v>0.12669657672852599</v>
      </c>
      <c r="S290" t="s">
        <v>5873</v>
      </c>
      <c r="T290" t="s">
        <v>11164</v>
      </c>
      <c r="U290" t="s">
        <v>11164</v>
      </c>
      <c r="V290" t="s">
        <v>11164</v>
      </c>
      <c r="W290" t="s">
        <v>11451</v>
      </c>
      <c r="X290">
        <v>7</v>
      </c>
      <c r="Y290" t="s">
        <v>16982</v>
      </c>
      <c r="Z290" t="s">
        <v>22440</v>
      </c>
      <c r="AA290">
        <v>0.84908310708672718</v>
      </c>
      <c r="AB290" t="str">
        <f>HYPERLINK("Melting_Curves/meltCurve_C9JFR7_CYCS.pdf", "Melting_Curves/meltCurve_C9JFR7_CYCS.pdf")</f>
        <v>Melting_Curves/meltCurve_C9JFR7_CYCS.pdf</v>
      </c>
    </row>
    <row r="291" spans="1:28" x14ac:dyDescent="0.25">
      <c r="A291" t="s">
        <v>295</v>
      </c>
      <c r="B291">
        <v>0.99796759195183404</v>
      </c>
      <c r="C291">
        <v>1.08876983476541</v>
      </c>
      <c r="D291">
        <v>1.0220584732195701</v>
      </c>
      <c r="E291">
        <v>0.94260930153247102</v>
      </c>
      <c r="F291">
        <v>0.774151493957842</v>
      </c>
      <c r="G291">
        <v>0.643226054505736</v>
      </c>
      <c r="H291">
        <v>0.39104423116792297</v>
      </c>
      <c r="I291">
        <v>0.34326791506606302</v>
      </c>
      <c r="J291">
        <v>0.21019921247783099</v>
      </c>
      <c r="K291">
        <v>9.8347463247384498E-2</v>
      </c>
      <c r="L291">
        <v>689.03937351643503</v>
      </c>
      <c r="M291">
        <v>12.314878611695899</v>
      </c>
      <c r="N291">
        <v>56.174767903423998</v>
      </c>
      <c r="O291">
        <v>54.537782306919098</v>
      </c>
      <c r="P291">
        <v>-5.5116539135977298E-2</v>
      </c>
      <c r="Q291">
        <v>2.3854422602158299E-2</v>
      </c>
      <c r="R291">
        <v>0.98310190616691095</v>
      </c>
      <c r="S291" t="s">
        <v>5874</v>
      </c>
      <c r="T291" t="s">
        <v>11164</v>
      </c>
      <c r="U291" t="s">
        <v>11164</v>
      </c>
      <c r="V291" t="s">
        <v>11164</v>
      </c>
      <c r="W291" t="s">
        <v>11452</v>
      </c>
      <c r="X291">
        <v>12</v>
      </c>
      <c r="Y291" t="s">
        <v>16983</v>
      </c>
      <c r="Z291" t="s">
        <v>22441</v>
      </c>
      <c r="AA291">
        <v>0.65062128870711811</v>
      </c>
      <c r="AB291" t="str">
        <f>HYPERLINK("Melting_Curves/meltCurve_C9JG97_AAMP.pdf", "Melting_Curves/meltCurve_C9JG97_AAMP.pdf")</f>
        <v>Melting_Curves/meltCurve_C9JG97_AAMP.pdf</v>
      </c>
    </row>
    <row r="292" spans="1:28" x14ac:dyDescent="0.25">
      <c r="A292" t="s">
        <v>296</v>
      </c>
      <c r="B292">
        <v>0.99796759195183404</v>
      </c>
      <c r="C292">
        <v>0.86843178894318795</v>
      </c>
      <c r="D292">
        <v>0.90466107385416605</v>
      </c>
      <c r="E292">
        <v>0.80416149561998296</v>
      </c>
      <c r="F292">
        <v>0.71791070682879299</v>
      </c>
      <c r="G292">
        <v>1.1488995503622501</v>
      </c>
      <c r="H292">
        <v>1.3761394564084199</v>
      </c>
      <c r="I292">
        <v>1.86679051684338</v>
      </c>
      <c r="J292">
        <v>2.09427533884273</v>
      </c>
      <c r="K292">
        <v>1.21128100646658</v>
      </c>
      <c r="L292">
        <v>2912.7558262366101</v>
      </c>
      <c r="M292">
        <v>52.929448826762403</v>
      </c>
      <c r="O292">
        <v>54.952528617635103</v>
      </c>
      <c r="P292">
        <v>0.120398207916979</v>
      </c>
      <c r="Q292">
        <v>1.5</v>
      </c>
      <c r="R292">
        <v>0.61891101475048704</v>
      </c>
      <c r="S292" t="s">
        <v>5875</v>
      </c>
      <c r="T292" t="s">
        <v>11164</v>
      </c>
      <c r="U292" t="s">
        <v>11164</v>
      </c>
      <c r="V292" t="s">
        <v>11164</v>
      </c>
      <c r="W292" t="s">
        <v>11453</v>
      </c>
      <c r="X292">
        <v>11</v>
      </c>
      <c r="Y292" t="s">
        <v>16984</v>
      </c>
      <c r="Z292" t="s">
        <v>22442</v>
      </c>
      <c r="AA292">
        <v>1.1984044832331679</v>
      </c>
      <c r="AB292" t="str">
        <f>HYPERLINK("Melting_Curves/meltCurve_C9JIF9_APEH.pdf", "Melting_Curves/meltCurve_C9JIF9_APEH.pdf")</f>
        <v>Melting_Curves/meltCurve_C9JIF9_APEH.pdf</v>
      </c>
    </row>
    <row r="293" spans="1:28" x14ac:dyDescent="0.25">
      <c r="A293" t="s">
        <v>297</v>
      </c>
      <c r="B293">
        <v>0.99796759195183404</v>
      </c>
      <c r="C293">
        <v>0.96479905363307605</v>
      </c>
      <c r="D293">
        <v>1.26723142141586</v>
      </c>
      <c r="E293">
        <v>1.0194802080615999</v>
      </c>
      <c r="F293">
        <v>1.0301460827403299</v>
      </c>
      <c r="G293">
        <v>0.74348726018623201</v>
      </c>
      <c r="H293">
        <v>0.464016392671107</v>
      </c>
      <c r="I293">
        <v>0.41871324905452101</v>
      </c>
      <c r="J293">
        <v>0.17558927175863101</v>
      </c>
      <c r="K293">
        <v>0</v>
      </c>
      <c r="L293">
        <v>996.88610522777901</v>
      </c>
      <c r="M293">
        <v>17.2011204848984</v>
      </c>
      <c r="N293">
        <v>57.954720060391402</v>
      </c>
      <c r="O293">
        <v>57.188427265672303</v>
      </c>
      <c r="P293">
        <v>-7.5199364687964607E-2</v>
      </c>
      <c r="Q293">
        <v>0</v>
      </c>
      <c r="R293">
        <v>0.92756013655046898</v>
      </c>
      <c r="S293" t="s">
        <v>5876</v>
      </c>
      <c r="T293" t="s">
        <v>11164</v>
      </c>
      <c r="U293" t="s">
        <v>11164</v>
      </c>
      <c r="V293" t="s">
        <v>11164</v>
      </c>
      <c r="W293" t="s">
        <v>11454</v>
      </c>
      <c r="X293">
        <v>1</v>
      </c>
      <c r="Y293" t="s">
        <v>16985</v>
      </c>
      <c r="Z293" t="s">
        <v>22443</v>
      </c>
      <c r="AA293">
        <v>0.70457282896115858</v>
      </c>
      <c r="AB293" t="str">
        <f>HYPERLINK("Melting_Curves/meltCurve_C9JIM0_PBLD.pdf", "Melting_Curves/meltCurve_C9JIM0_PBLD.pdf")</f>
        <v>Melting_Curves/meltCurve_C9JIM0_PBLD.pdf</v>
      </c>
    </row>
    <row r="294" spans="1:28" x14ac:dyDescent="0.25">
      <c r="A294" t="s">
        <v>298</v>
      </c>
      <c r="B294">
        <v>0.99796759195183404</v>
      </c>
      <c r="C294">
        <v>1.2733986110684601</v>
      </c>
      <c r="D294">
        <v>1.0213766547766501</v>
      </c>
      <c r="E294">
        <v>0.84960824836582804</v>
      </c>
      <c r="F294">
        <v>0.95548316816430501</v>
      </c>
      <c r="G294">
        <v>0.55326931642507304</v>
      </c>
      <c r="H294">
        <v>0.40689247811484602</v>
      </c>
      <c r="I294">
        <v>0.22395655787669799</v>
      </c>
      <c r="J294">
        <v>0.21383392552559599</v>
      </c>
      <c r="K294">
        <v>0.10991887452571</v>
      </c>
      <c r="L294">
        <v>1009.55348099209</v>
      </c>
      <c r="M294">
        <v>18.484634186733398</v>
      </c>
      <c r="N294">
        <v>55.439936432087997</v>
      </c>
      <c r="O294">
        <v>53.988647484485902</v>
      </c>
      <c r="P294">
        <v>-7.5315979123438195E-2</v>
      </c>
      <c r="Q294">
        <v>0.120128201519231</v>
      </c>
      <c r="R294">
        <v>0.92849273153700296</v>
      </c>
      <c r="S294" t="s">
        <v>5877</v>
      </c>
      <c r="T294" t="s">
        <v>11164</v>
      </c>
      <c r="U294" t="s">
        <v>11164</v>
      </c>
      <c r="V294" t="s">
        <v>11164</v>
      </c>
      <c r="W294" t="s">
        <v>11455</v>
      </c>
      <c r="X294">
        <v>1</v>
      </c>
      <c r="Y294" t="s">
        <v>16986</v>
      </c>
      <c r="Z294" t="s">
        <v>22444</v>
      </c>
      <c r="AA294">
        <v>0.6479707205868851</v>
      </c>
      <c r="AB294" t="str">
        <f>HYPERLINK("Melting_Curves/meltCurve_C9JIY2_KRIT1.pdf", "Melting_Curves/meltCurve_C9JIY2_KRIT1.pdf")</f>
        <v>Melting_Curves/meltCurve_C9JIY2_KRIT1.pdf</v>
      </c>
    </row>
    <row r="295" spans="1:28" x14ac:dyDescent="0.25">
      <c r="A295" t="s">
        <v>299</v>
      </c>
      <c r="B295">
        <v>0.99796759195183404</v>
      </c>
      <c r="C295">
        <v>1.0807284388148799</v>
      </c>
      <c r="D295">
        <v>0.95112800538797004</v>
      </c>
      <c r="E295">
        <v>0.94160607297652599</v>
      </c>
      <c r="F295">
        <v>0.87209958811599697</v>
      </c>
      <c r="G295">
        <v>0.70845466385344202</v>
      </c>
      <c r="H295">
        <v>0.78149987329079296</v>
      </c>
      <c r="I295">
        <v>0.74497873069267595</v>
      </c>
      <c r="J295">
        <v>0.90385310332536595</v>
      </c>
      <c r="K295">
        <v>1.11260603638927</v>
      </c>
      <c r="L295">
        <v>1871.7239900848001</v>
      </c>
      <c r="M295">
        <v>39.8965433020661</v>
      </c>
      <c r="O295">
        <v>46.797040497401603</v>
      </c>
      <c r="P295">
        <v>-3.1474375282334703E-2</v>
      </c>
      <c r="Q295">
        <v>0.85232761742308905</v>
      </c>
      <c r="R295">
        <v>0.29947800048656698</v>
      </c>
      <c r="S295" t="s">
        <v>5878</v>
      </c>
      <c r="T295" t="s">
        <v>11164</v>
      </c>
      <c r="U295" t="s">
        <v>11164</v>
      </c>
      <c r="V295" t="s">
        <v>11164</v>
      </c>
      <c r="W295" t="s">
        <v>11456</v>
      </c>
      <c r="X295">
        <v>10</v>
      </c>
      <c r="Y295" t="s">
        <v>16987</v>
      </c>
      <c r="Z295" t="s">
        <v>22445</v>
      </c>
      <c r="AA295">
        <v>0.90161210987849294</v>
      </c>
      <c r="AB295" t="str">
        <f>HYPERLINK("Melting_Curves/meltCurve_C9JIZ6_PSAP.pdf", "Melting_Curves/meltCurve_C9JIZ6_PSAP.pdf")</f>
        <v>Melting_Curves/meltCurve_C9JIZ6_PSAP.pdf</v>
      </c>
    </row>
    <row r="296" spans="1:28" x14ac:dyDescent="0.25">
      <c r="A296" t="s">
        <v>300</v>
      </c>
      <c r="B296">
        <v>0.99796759195183404</v>
      </c>
      <c r="C296">
        <v>0.78418072367295899</v>
      </c>
      <c r="D296">
        <v>1.4089961799158</v>
      </c>
      <c r="E296">
        <v>0.65800539693107096</v>
      </c>
      <c r="F296">
        <v>0.68865185758378</v>
      </c>
      <c r="G296">
        <v>0.30974921978070702</v>
      </c>
      <c r="H296">
        <v>0.31216182474236898</v>
      </c>
      <c r="I296">
        <v>0.30681154147225098</v>
      </c>
      <c r="J296">
        <v>0.33255311881809102</v>
      </c>
      <c r="K296">
        <v>0.21130770265884999</v>
      </c>
      <c r="L296">
        <v>1114.5000491487799</v>
      </c>
      <c r="M296">
        <v>22.511097990373099</v>
      </c>
      <c r="N296">
        <v>51.310188967032403</v>
      </c>
      <c r="O296">
        <v>49.123184249789801</v>
      </c>
      <c r="P296">
        <v>-8.3274334883992607E-2</v>
      </c>
      <c r="Q296">
        <v>0.27313770094095702</v>
      </c>
      <c r="R296">
        <v>0.77845408256049098</v>
      </c>
      <c r="S296" t="s">
        <v>5879</v>
      </c>
      <c r="T296" t="s">
        <v>11164</v>
      </c>
      <c r="U296" t="s">
        <v>11164</v>
      </c>
      <c r="V296" t="s">
        <v>11164</v>
      </c>
      <c r="W296" t="s">
        <v>11457</v>
      </c>
      <c r="X296">
        <v>1</v>
      </c>
      <c r="Y296" t="s">
        <v>16988</v>
      </c>
      <c r="Z296" t="s">
        <v>22446</v>
      </c>
      <c r="AA296">
        <v>0.58392743160758132</v>
      </c>
      <c r="AB296" t="str">
        <f>HYPERLINK("Melting_Curves/meltCurve_C9JJV6_MYADM.pdf", "Melting_Curves/meltCurve_C9JJV6_MYADM.pdf")</f>
        <v>Melting_Curves/meltCurve_C9JJV6_MYADM.pdf</v>
      </c>
    </row>
    <row r="297" spans="1:28" x14ac:dyDescent="0.25">
      <c r="A297" t="s">
        <v>301</v>
      </c>
      <c r="B297">
        <v>0.99796759195183404</v>
      </c>
      <c r="C297">
        <v>0.86373276541935695</v>
      </c>
      <c r="D297">
        <v>0.86138266423910703</v>
      </c>
      <c r="E297">
        <v>0.88030441789770297</v>
      </c>
      <c r="F297">
        <v>0.978712139000113</v>
      </c>
      <c r="G297">
        <v>0.28558005961023197</v>
      </c>
      <c r="H297">
        <v>0.23366291166049499</v>
      </c>
      <c r="I297">
        <v>0.21633643918768</v>
      </c>
      <c r="J297">
        <v>0.138016562377102</v>
      </c>
      <c r="K297">
        <v>0</v>
      </c>
      <c r="L297">
        <v>3732.4193608002302</v>
      </c>
      <c r="M297">
        <v>70.980366510751907</v>
      </c>
      <c r="N297">
        <v>52.8404325134128</v>
      </c>
      <c r="O297">
        <v>52.542135392234897</v>
      </c>
      <c r="P297">
        <v>-0.28849559809880598</v>
      </c>
      <c r="Q297">
        <v>0.14578229565133999</v>
      </c>
      <c r="R297">
        <v>0.94052850630972495</v>
      </c>
      <c r="S297" t="s">
        <v>5880</v>
      </c>
      <c r="T297" t="s">
        <v>11164</v>
      </c>
      <c r="U297" t="s">
        <v>11164</v>
      </c>
      <c r="V297" t="s">
        <v>11164</v>
      </c>
      <c r="W297" t="s">
        <v>11458</v>
      </c>
      <c r="X297">
        <v>3</v>
      </c>
      <c r="Y297" t="s">
        <v>16989</v>
      </c>
      <c r="Z297" t="s">
        <v>22447</v>
      </c>
      <c r="AA297">
        <v>0.59049539298897025</v>
      </c>
      <c r="AB297" t="str">
        <f>HYPERLINK("Melting_Curves/meltCurve_C9JK10_ITGA6.pdf", "Melting_Curves/meltCurve_C9JK10_ITGA6.pdf")</f>
        <v>Melting_Curves/meltCurve_C9JK10_ITGA6.pdf</v>
      </c>
    </row>
    <row r="298" spans="1:28" x14ac:dyDescent="0.25">
      <c r="A298" t="s">
        <v>302</v>
      </c>
      <c r="B298">
        <v>0.99796759195183404</v>
      </c>
      <c r="C298">
        <v>0.96065562671236904</v>
      </c>
      <c r="D298">
        <v>0.66334563826618298</v>
      </c>
      <c r="E298">
        <v>0.81807890618017998</v>
      </c>
      <c r="F298">
        <v>0.58200606870115601</v>
      </c>
      <c r="G298">
        <v>0.19510399948405099</v>
      </c>
      <c r="H298">
        <v>0.45029625315545802</v>
      </c>
      <c r="I298">
        <v>9.4600682373611397E-2</v>
      </c>
      <c r="J298">
        <v>0.17914148037345901</v>
      </c>
      <c r="K298">
        <v>0.15151014001281299</v>
      </c>
      <c r="L298">
        <v>460.32284020801802</v>
      </c>
      <c r="M298">
        <v>9.1505334610748701</v>
      </c>
      <c r="N298">
        <v>50.802073656666103</v>
      </c>
      <c r="O298">
        <v>48.077743427403497</v>
      </c>
      <c r="P298">
        <v>-4.5577725577673402E-2</v>
      </c>
      <c r="Q298">
        <v>4.27742513234666E-2</v>
      </c>
      <c r="R298">
        <v>0.87968479851262504</v>
      </c>
      <c r="S298" t="s">
        <v>5881</v>
      </c>
      <c r="T298" t="s">
        <v>11164</v>
      </c>
      <c r="U298" t="s">
        <v>11164</v>
      </c>
      <c r="V298" t="s">
        <v>11164</v>
      </c>
      <c r="W298" t="s">
        <v>11459</v>
      </c>
      <c r="X298">
        <v>1</v>
      </c>
      <c r="Y298" t="s">
        <v>16990</v>
      </c>
      <c r="Z298" t="s">
        <v>22448</v>
      </c>
      <c r="AA298">
        <v>0.50124578990164093</v>
      </c>
      <c r="AB298" t="str">
        <f>HYPERLINK("Melting_Curves/meltCurve_C9JK89_SH2B2.pdf", "Melting_Curves/meltCurve_C9JK89_SH2B2.pdf")</f>
        <v>Melting_Curves/meltCurve_C9JK89_SH2B2.pdf</v>
      </c>
    </row>
    <row r="299" spans="1:28" x14ac:dyDescent="0.25">
      <c r="A299" t="s">
        <v>303</v>
      </c>
      <c r="B299">
        <v>0.99796759195183404</v>
      </c>
      <c r="C299">
        <v>0.99464671807321003</v>
      </c>
      <c r="D299">
        <v>0.95868043241093104</v>
      </c>
      <c r="E299">
        <v>0.93966049588941802</v>
      </c>
      <c r="F299">
        <v>0.73393328501635702</v>
      </c>
      <c r="G299">
        <v>0.36149445625157101</v>
      </c>
      <c r="H299">
        <v>0.31673337944271002</v>
      </c>
      <c r="I299">
        <v>0.249066296021872</v>
      </c>
      <c r="J299">
        <v>0.22806763885864201</v>
      </c>
      <c r="K299">
        <v>0.13889275784604799</v>
      </c>
      <c r="L299">
        <v>1230.1931176491</v>
      </c>
      <c r="M299">
        <v>23.929386195606401</v>
      </c>
      <c r="N299">
        <v>52.554163497463499</v>
      </c>
      <c r="O299">
        <v>51.054311589711098</v>
      </c>
      <c r="P299">
        <v>-9.3376595659200395E-2</v>
      </c>
      <c r="Q299">
        <v>0.203121797840811</v>
      </c>
      <c r="R299">
        <v>0.98974040260382901</v>
      </c>
      <c r="S299" t="s">
        <v>5882</v>
      </c>
      <c r="T299" t="s">
        <v>11164</v>
      </c>
      <c r="U299" t="s">
        <v>11164</v>
      </c>
      <c r="V299" t="s">
        <v>11164</v>
      </c>
      <c r="W299" t="s">
        <v>11460</v>
      </c>
      <c r="X299">
        <v>4</v>
      </c>
      <c r="Y299" t="s">
        <v>16991</v>
      </c>
      <c r="Z299" t="s">
        <v>22449</v>
      </c>
      <c r="AA299">
        <v>0.59350136217842475</v>
      </c>
      <c r="AB299" t="str">
        <f>HYPERLINK("Melting_Curves/meltCurve_C9JLU1_POLR2H.pdf", "Melting_Curves/meltCurve_C9JLU1_POLR2H.pdf")</f>
        <v>Melting_Curves/meltCurve_C9JLU1_POLR2H.pdf</v>
      </c>
    </row>
    <row r="300" spans="1:28" x14ac:dyDescent="0.25">
      <c r="A300" t="s">
        <v>304</v>
      </c>
      <c r="B300">
        <v>0.99796759195183404</v>
      </c>
      <c r="C300">
        <v>1.1298919910282601</v>
      </c>
      <c r="D300">
        <v>1.01805325390944</v>
      </c>
      <c r="E300">
        <v>0.99954634460539304</v>
      </c>
      <c r="F300">
        <v>0.69843569129001803</v>
      </c>
      <c r="G300">
        <v>0.31192033998635998</v>
      </c>
      <c r="H300">
        <v>0.20574652351668399</v>
      </c>
      <c r="I300">
        <v>0.17540327513360501</v>
      </c>
      <c r="J300">
        <v>0.11944382636503199</v>
      </c>
      <c r="K300">
        <v>0.110227342986199</v>
      </c>
      <c r="L300">
        <v>1535.81653833683</v>
      </c>
      <c r="M300">
        <v>29.914823521209101</v>
      </c>
      <c r="N300">
        <v>51.909205466900097</v>
      </c>
      <c r="O300">
        <v>51.1118677785975</v>
      </c>
      <c r="P300">
        <v>-0.125850709610067</v>
      </c>
      <c r="Q300">
        <v>0.13990169021886101</v>
      </c>
      <c r="R300">
        <v>0.98670094358800897</v>
      </c>
      <c r="S300" t="s">
        <v>5883</v>
      </c>
      <c r="T300" t="s">
        <v>11164</v>
      </c>
      <c r="U300" t="s">
        <v>11164</v>
      </c>
      <c r="V300" t="s">
        <v>11164</v>
      </c>
      <c r="W300" t="s">
        <v>11461</v>
      </c>
      <c r="X300">
        <v>3</v>
      </c>
      <c r="Y300" t="s">
        <v>16992</v>
      </c>
      <c r="Z300" t="s">
        <v>22450</v>
      </c>
      <c r="AA300">
        <v>0.55643183486009329</v>
      </c>
      <c r="AB300" t="str">
        <f>HYPERLINK("Melting_Curves/meltCurve_C9JLV4_APAF1.pdf", "Melting_Curves/meltCurve_C9JLV4_APAF1.pdf")</f>
        <v>Melting_Curves/meltCurve_C9JLV4_APAF1.pdf</v>
      </c>
    </row>
    <row r="301" spans="1:28" x14ac:dyDescent="0.25">
      <c r="A301" t="s">
        <v>305</v>
      </c>
      <c r="B301">
        <v>0.99796759195183404</v>
      </c>
      <c r="C301">
        <v>0.97987990182115203</v>
      </c>
      <c r="D301">
        <v>0.88068457416805301</v>
      </c>
      <c r="E301">
        <v>0.83296330166341304</v>
      </c>
      <c r="F301">
        <v>0.598561579674459</v>
      </c>
      <c r="G301">
        <v>0.342963252872243</v>
      </c>
      <c r="H301">
        <v>0.25417860564237299</v>
      </c>
      <c r="I301">
        <v>0.229701550268257</v>
      </c>
      <c r="J301">
        <v>0.161381584481365</v>
      </c>
      <c r="K301">
        <v>0.13844918971030901</v>
      </c>
      <c r="L301">
        <v>739.61660121675504</v>
      </c>
      <c r="M301">
        <v>14.6511398364563</v>
      </c>
      <c r="N301">
        <v>51.528084642180303</v>
      </c>
      <c r="O301">
        <v>49.569353442832004</v>
      </c>
      <c r="P301">
        <v>-6.4392581704667301E-2</v>
      </c>
      <c r="Q301">
        <v>0.128656169559761</v>
      </c>
      <c r="R301">
        <v>0.99352558321951501</v>
      </c>
      <c r="S301" t="s">
        <v>5884</v>
      </c>
      <c r="T301" t="s">
        <v>11164</v>
      </c>
      <c r="U301" t="s">
        <v>11164</v>
      </c>
      <c r="V301" t="s">
        <v>11164</v>
      </c>
      <c r="W301" t="s">
        <v>11462</v>
      </c>
      <c r="X301">
        <v>2</v>
      </c>
      <c r="Y301" t="s">
        <v>16993</v>
      </c>
      <c r="Z301" t="s">
        <v>22451</v>
      </c>
      <c r="AA301">
        <v>0.5387301251861687</v>
      </c>
      <c r="AB301" t="str">
        <f>HYPERLINK("Melting_Curves/meltCurve_C9JN15_PPIG.pdf", "Melting_Curves/meltCurve_C9JN15_PPIG.pdf")</f>
        <v>Melting_Curves/meltCurve_C9JN15_PPIG.pdf</v>
      </c>
    </row>
    <row r="302" spans="1:28" x14ac:dyDescent="0.25">
      <c r="A302" t="s">
        <v>306</v>
      </c>
      <c r="B302">
        <v>0.99796759195183404</v>
      </c>
      <c r="C302">
        <v>0.98739937661615296</v>
      </c>
      <c r="D302">
        <v>0.99699741013871801</v>
      </c>
      <c r="E302">
        <v>0.97896439302462301</v>
      </c>
      <c r="F302">
        <v>0.75650967127730895</v>
      </c>
      <c r="G302">
        <v>0.27918431676601302</v>
      </c>
      <c r="H302">
        <v>0.17647203276253101</v>
      </c>
      <c r="I302">
        <v>0.148680014085638</v>
      </c>
      <c r="J302">
        <v>0.113938420138543</v>
      </c>
      <c r="K302">
        <v>0.115518483727684</v>
      </c>
      <c r="L302">
        <v>1829.2778931078301</v>
      </c>
      <c r="M302">
        <v>35.512673230517002</v>
      </c>
      <c r="N302">
        <v>51.9523274934852</v>
      </c>
      <c r="O302">
        <v>51.348053091824802</v>
      </c>
      <c r="P302">
        <v>-0.15036873858160099</v>
      </c>
      <c r="Q302">
        <v>0.13032562471557599</v>
      </c>
      <c r="R302">
        <v>0.99900309411243404</v>
      </c>
      <c r="S302" t="s">
        <v>5885</v>
      </c>
      <c r="T302" t="s">
        <v>11164</v>
      </c>
      <c r="U302" t="s">
        <v>11164</v>
      </c>
      <c r="V302" t="s">
        <v>11164</v>
      </c>
      <c r="W302" t="s">
        <v>11463</v>
      </c>
      <c r="X302">
        <v>2</v>
      </c>
      <c r="Y302" t="s">
        <v>16994</v>
      </c>
      <c r="Z302" t="s">
        <v>22452</v>
      </c>
      <c r="AA302">
        <v>0.55489272030076209</v>
      </c>
      <c r="AB302" t="str">
        <f>HYPERLINK("Melting_Curves/meltCurve_C9JNA8_IP6K1.pdf", "Melting_Curves/meltCurve_C9JNA8_IP6K1.pdf")</f>
        <v>Melting_Curves/meltCurve_C9JNA8_IP6K1.pdf</v>
      </c>
    </row>
    <row r="303" spans="1:28" x14ac:dyDescent="0.25">
      <c r="A303" t="s">
        <v>307</v>
      </c>
      <c r="B303">
        <v>0.99796759195183404</v>
      </c>
      <c r="C303">
        <v>1.0163454986932301</v>
      </c>
      <c r="D303">
        <v>0.98928164724865197</v>
      </c>
      <c r="E303">
        <v>0.92208098627338198</v>
      </c>
      <c r="F303">
        <v>0.68866675076040196</v>
      </c>
      <c r="G303">
        <v>0.24626692613707299</v>
      </c>
      <c r="H303">
        <v>0.19560421758364799</v>
      </c>
      <c r="I303">
        <v>0.20068986962207999</v>
      </c>
      <c r="J303">
        <v>0.26608562244028</v>
      </c>
      <c r="K303">
        <v>0.22042105887536201</v>
      </c>
      <c r="L303">
        <v>2274.5744517202802</v>
      </c>
      <c r="M303">
        <v>44.948875220781503</v>
      </c>
      <c r="N303">
        <v>51.247367510750202</v>
      </c>
      <c r="O303">
        <v>50.503738773493701</v>
      </c>
      <c r="P303">
        <v>-0.17450483055701799</v>
      </c>
      <c r="Q303">
        <v>0.21571927612843</v>
      </c>
      <c r="R303">
        <v>0.993745047334186</v>
      </c>
      <c r="S303" t="s">
        <v>5886</v>
      </c>
      <c r="T303" t="s">
        <v>11164</v>
      </c>
      <c r="U303" t="s">
        <v>11164</v>
      </c>
      <c r="V303" t="s">
        <v>11164</v>
      </c>
      <c r="W303" t="s">
        <v>11464</v>
      </c>
      <c r="X303">
        <v>4</v>
      </c>
      <c r="Y303" t="s">
        <v>16995</v>
      </c>
      <c r="Z303" t="s">
        <v>22453</v>
      </c>
      <c r="AA303">
        <v>0.57352190515054857</v>
      </c>
      <c r="AB303" t="str">
        <f>HYPERLINK("Melting_Curves/meltCurve_C9JNE2_OARD1.pdf", "Melting_Curves/meltCurve_C9JNE2_OARD1.pdf")</f>
        <v>Melting_Curves/meltCurve_C9JNE2_OARD1.pdf</v>
      </c>
    </row>
    <row r="304" spans="1:28" x14ac:dyDescent="0.25">
      <c r="A304" t="s">
        <v>308</v>
      </c>
      <c r="B304">
        <v>0.99796759195183404</v>
      </c>
      <c r="C304">
        <v>0.99065015522267896</v>
      </c>
      <c r="D304">
        <v>0.992804675101425</v>
      </c>
      <c r="E304">
        <v>0.96311501388398202</v>
      </c>
      <c r="F304">
        <v>0.77766107963784004</v>
      </c>
      <c r="G304">
        <v>0.48116307769682498</v>
      </c>
      <c r="H304">
        <v>0.41561473913159802</v>
      </c>
      <c r="I304">
        <v>0.25925339903045902</v>
      </c>
      <c r="J304">
        <v>0.20895410032046699</v>
      </c>
      <c r="K304">
        <v>0.15043646904572699</v>
      </c>
      <c r="L304">
        <v>855.74772185413701</v>
      </c>
      <c r="M304">
        <v>16.049008032715999</v>
      </c>
      <c r="N304">
        <v>54.535699848671399</v>
      </c>
      <c r="O304">
        <v>52.513665188368599</v>
      </c>
      <c r="P304">
        <v>-6.4926517307620404E-2</v>
      </c>
      <c r="Q304">
        <v>0.15028638111425799</v>
      </c>
      <c r="R304">
        <v>0.99089227957917403</v>
      </c>
      <c r="S304" t="s">
        <v>5887</v>
      </c>
      <c r="T304" t="s">
        <v>11164</v>
      </c>
      <c r="U304" t="s">
        <v>11164</v>
      </c>
      <c r="V304" t="s">
        <v>11164</v>
      </c>
      <c r="W304" t="s">
        <v>11465</v>
      </c>
      <c r="X304">
        <v>9</v>
      </c>
      <c r="Y304" t="s">
        <v>16996</v>
      </c>
      <c r="Z304" t="s">
        <v>22454</v>
      </c>
      <c r="AA304">
        <v>0.62638600146415158</v>
      </c>
      <c r="AB304" t="str">
        <f>HYPERLINK("Melting_Curves/meltCurve_C9JP00_MBNL1.pdf", "Melting_Curves/meltCurve_C9JP00_MBNL1.pdf")</f>
        <v>Melting_Curves/meltCurve_C9JP00_MBNL1.pdf</v>
      </c>
    </row>
    <row r="305" spans="1:28" x14ac:dyDescent="0.25">
      <c r="A305" t="s">
        <v>309</v>
      </c>
      <c r="B305">
        <v>0.99796759195183404</v>
      </c>
      <c r="C305">
        <v>0.99447560023609904</v>
      </c>
      <c r="D305">
        <v>0.92920082195853004</v>
      </c>
      <c r="E305">
        <v>0.84486175530289997</v>
      </c>
      <c r="F305">
        <v>0.75017298675954802</v>
      </c>
      <c r="G305">
        <v>0.746384731812332</v>
      </c>
      <c r="H305">
        <v>0.49954205495012799</v>
      </c>
      <c r="I305">
        <v>0.56291704881469096</v>
      </c>
      <c r="J305">
        <v>0.30710470711245802</v>
      </c>
      <c r="K305">
        <v>0.193147903218409</v>
      </c>
      <c r="L305">
        <v>467.42782437986898</v>
      </c>
      <c r="M305">
        <v>7.9500217124779198</v>
      </c>
      <c r="N305">
        <v>58.795789167492899</v>
      </c>
      <c r="O305">
        <v>55.4249655470447</v>
      </c>
      <c r="P305">
        <v>-3.5900899154799999E-2</v>
      </c>
      <c r="Q305">
        <v>0</v>
      </c>
      <c r="R305">
        <v>0.94761634711937104</v>
      </c>
      <c r="S305" t="s">
        <v>5888</v>
      </c>
      <c r="T305" t="s">
        <v>11164</v>
      </c>
      <c r="U305" t="s">
        <v>11164</v>
      </c>
      <c r="V305" t="s">
        <v>11164</v>
      </c>
      <c r="W305" t="s">
        <v>11466</v>
      </c>
      <c r="X305">
        <v>2</v>
      </c>
      <c r="Y305" t="s">
        <v>16997</v>
      </c>
      <c r="Z305" t="s">
        <v>22455</v>
      </c>
      <c r="AA305">
        <v>0.69664386996515859</v>
      </c>
      <c r="AB305" t="str">
        <f>HYPERLINK("Melting_Curves/meltCurve_C9JP16_CRTAP.pdf", "Melting_Curves/meltCurve_C9JP16_CRTAP.pdf")</f>
        <v>Melting_Curves/meltCurve_C9JP16_CRTAP.pdf</v>
      </c>
    </row>
    <row r="306" spans="1:28" x14ac:dyDescent="0.25">
      <c r="A306" t="s">
        <v>310</v>
      </c>
      <c r="B306">
        <v>0.99796759195183404</v>
      </c>
      <c r="C306">
        <v>0.98004893189588504</v>
      </c>
      <c r="D306">
        <v>0.84322485508384704</v>
      </c>
      <c r="E306">
        <v>0.85016106795802304</v>
      </c>
      <c r="F306">
        <v>0.60942439614994703</v>
      </c>
      <c r="G306">
        <v>0.31916630990675199</v>
      </c>
      <c r="H306">
        <v>0.14004359069458</v>
      </c>
      <c r="I306">
        <v>7.7593773038503497E-2</v>
      </c>
      <c r="J306">
        <v>7.9351415250485405E-2</v>
      </c>
      <c r="K306">
        <v>6.0239861524411797E-2</v>
      </c>
      <c r="L306">
        <v>795.719029603526</v>
      </c>
      <c r="M306">
        <v>15.5636839340213</v>
      </c>
      <c r="N306">
        <v>51.258715117585801</v>
      </c>
      <c r="O306">
        <v>50.304901360010199</v>
      </c>
      <c r="P306">
        <v>-7.5833322749822199E-2</v>
      </c>
      <c r="Q306">
        <v>1.9652569369280899E-2</v>
      </c>
      <c r="R306">
        <v>0.98945269980032802</v>
      </c>
      <c r="S306" t="s">
        <v>5889</v>
      </c>
      <c r="T306" t="s">
        <v>11164</v>
      </c>
      <c r="U306" t="s">
        <v>11164</v>
      </c>
      <c r="V306" t="s">
        <v>11164</v>
      </c>
      <c r="W306" t="s">
        <v>11467</v>
      </c>
      <c r="X306">
        <v>2</v>
      </c>
      <c r="Y306" t="s">
        <v>16998</v>
      </c>
      <c r="Z306" t="s">
        <v>22456</v>
      </c>
      <c r="AA306">
        <v>0.49998222107052642</v>
      </c>
      <c r="AB306" t="str">
        <f>HYPERLINK("Melting_Curves/meltCurve_C9JP85_NRF1.pdf", "Melting_Curves/meltCurve_C9JP85_NRF1.pdf")</f>
        <v>Melting_Curves/meltCurve_C9JP85_NRF1.pdf</v>
      </c>
    </row>
    <row r="307" spans="1:28" x14ac:dyDescent="0.25">
      <c r="A307" t="s">
        <v>311</v>
      </c>
      <c r="B307">
        <v>0.99796759195183404</v>
      </c>
      <c r="C307">
        <v>1.1078430234950301</v>
      </c>
      <c r="D307">
        <v>1.1126760219176901</v>
      </c>
      <c r="E307">
        <v>1.08318564775802</v>
      </c>
      <c r="F307">
        <v>0.97959135617583404</v>
      </c>
      <c r="G307">
        <v>0.414614372799186</v>
      </c>
      <c r="H307">
        <v>0.238509935651393</v>
      </c>
      <c r="I307">
        <v>0.11394707107855601</v>
      </c>
      <c r="J307">
        <v>9.2856565937665295E-2</v>
      </c>
      <c r="K307">
        <v>6.0082187568248402E-2</v>
      </c>
      <c r="L307">
        <v>2401.9938288564099</v>
      </c>
      <c r="M307">
        <v>45.195393915364498</v>
      </c>
      <c r="N307">
        <v>53.4533611959111</v>
      </c>
      <c r="O307">
        <v>53.043119166441201</v>
      </c>
      <c r="P307">
        <v>-0.18869971602819799</v>
      </c>
      <c r="Q307">
        <v>0.11413877291128401</v>
      </c>
      <c r="R307">
        <v>0.97711845983117196</v>
      </c>
      <c r="S307" t="s">
        <v>5890</v>
      </c>
      <c r="T307" t="s">
        <v>11164</v>
      </c>
      <c r="U307" t="s">
        <v>11164</v>
      </c>
      <c r="V307" t="s">
        <v>11164</v>
      </c>
      <c r="W307" t="s">
        <v>11468</v>
      </c>
      <c r="X307">
        <v>4</v>
      </c>
      <c r="Y307" t="s">
        <v>16999</v>
      </c>
      <c r="Z307" t="s">
        <v>22457</v>
      </c>
      <c r="AA307">
        <v>0.59347491441310263</v>
      </c>
      <c r="AB307" t="str">
        <f>HYPERLINK("Melting_Curves/meltCurve_C9JPM4_ARF4.pdf", "Melting_Curves/meltCurve_C9JPM4_ARF4.pdf")</f>
        <v>Melting_Curves/meltCurve_C9JPM4_ARF4.pdf</v>
      </c>
    </row>
    <row r="308" spans="1:28" x14ac:dyDescent="0.25">
      <c r="A308" t="s">
        <v>312</v>
      </c>
      <c r="B308">
        <v>0.99796759195183404</v>
      </c>
      <c r="C308">
        <v>1.0011034253931601</v>
      </c>
      <c r="D308">
        <v>0.96825654444125797</v>
      </c>
      <c r="E308">
        <v>0.93275592733867196</v>
      </c>
      <c r="F308">
        <v>1.0386978501198501</v>
      </c>
      <c r="G308">
        <v>0.66426828206274702</v>
      </c>
      <c r="H308">
        <v>0.607002375907717</v>
      </c>
      <c r="I308">
        <v>0.52615721989043795</v>
      </c>
      <c r="J308">
        <v>0.51056695821960096</v>
      </c>
      <c r="K308">
        <v>0.32564429558865399</v>
      </c>
      <c r="L308">
        <v>930.19491390309702</v>
      </c>
      <c r="M308">
        <v>16.793112979220599</v>
      </c>
      <c r="N308">
        <v>60.5142372153759</v>
      </c>
      <c r="O308">
        <v>54.623863678905501</v>
      </c>
      <c r="P308">
        <v>-4.7705975109610298E-2</v>
      </c>
      <c r="Q308">
        <v>0.37933706556235802</v>
      </c>
      <c r="R308">
        <v>0.92667906527683697</v>
      </c>
      <c r="S308" t="s">
        <v>5891</v>
      </c>
      <c r="T308" t="s">
        <v>11164</v>
      </c>
      <c r="U308" t="s">
        <v>11164</v>
      </c>
      <c r="V308" t="s">
        <v>11164</v>
      </c>
      <c r="W308" t="s">
        <v>11469</v>
      </c>
      <c r="X308">
        <v>1</v>
      </c>
      <c r="Y308" t="s">
        <v>17000</v>
      </c>
      <c r="Z308" t="s">
        <v>22458</v>
      </c>
      <c r="AA308">
        <v>0.76763619271284966</v>
      </c>
      <c r="AB308" t="str">
        <f>HYPERLINK("Melting_Curves/meltCurve_C9JQB1_NME6.pdf", "Melting_Curves/meltCurve_C9JQB1_NME6.pdf")</f>
        <v>Melting_Curves/meltCurve_C9JQB1_NME6.pdf</v>
      </c>
    </row>
    <row r="309" spans="1:28" x14ac:dyDescent="0.25">
      <c r="A309" t="s">
        <v>313</v>
      </c>
      <c r="B309">
        <v>0.99796759195183404</v>
      </c>
      <c r="C309">
        <v>1.04144015761344</v>
      </c>
      <c r="D309">
        <v>1.0306356020196199</v>
      </c>
      <c r="E309">
        <v>0.937034776209688</v>
      </c>
      <c r="F309">
        <v>0.84433802907062006</v>
      </c>
      <c r="G309">
        <v>0.475928111426695</v>
      </c>
      <c r="H309">
        <v>0.28565863437044398</v>
      </c>
      <c r="I309">
        <v>0.23192583873477499</v>
      </c>
      <c r="J309">
        <v>0.186347072049075</v>
      </c>
      <c r="K309">
        <v>0.106865770616434</v>
      </c>
      <c r="L309">
        <v>1210.1619241701801</v>
      </c>
      <c r="M309">
        <v>22.834009289068</v>
      </c>
      <c r="N309">
        <v>53.8525240536474</v>
      </c>
      <c r="O309">
        <v>52.5967565010275</v>
      </c>
      <c r="P309">
        <v>-9.2044805559745896E-2</v>
      </c>
      <c r="Q309">
        <v>0.15193781270555301</v>
      </c>
      <c r="R309">
        <v>0.99261698428047895</v>
      </c>
      <c r="S309" t="s">
        <v>5892</v>
      </c>
      <c r="T309" t="s">
        <v>11164</v>
      </c>
      <c r="U309" t="s">
        <v>11164</v>
      </c>
      <c r="V309" t="s">
        <v>11164</v>
      </c>
      <c r="W309" t="s">
        <v>11470</v>
      </c>
      <c r="X309">
        <v>7</v>
      </c>
      <c r="Y309" t="s">
        <v>17001</v>
      </c>
      <c r="Z309" t="s">
        <v>22459</v>
      </c>
      <c r="AA309">
        <v>0.61290636881302718</v>
      </c>
      <c r="AB309" t="str">
        <f>HYPERLINK("Melting_Curves/meltCurve_C9JQV3_STK11IP.pdf", "Melting_Curves/meltCurve_C9JQV3_STK11IP.pdf")</f>
        <v>Melting_Curves/meltCurve_C9JQV3_STK11IP.pdf</v>
      </c>
    </row>
    <row r="310" spans="1:28" x14ac:dyDescent="0.25">
      <c r="A310" t="s">
        <v>314</v>
      </c>
      <c r="B310">
        <v>0.99796759195183404</v>
      </c>
      <c r="C310">
        <v>0.988049314931575</v>
      </c>
      <c r="D310">
        <v>1.0504385131714</v>
      </c>
      <c r="E310">
        <v>0.958125216383925</v>
      </c>
      <c r="F310">
        <v>0.89902888366114697</v>
      </c>
      <c r="G310">
        <v>0.540285185664787</v>
      </c>
      <c r="H310">
        <v>0.30458749122189499</v>
      </c>
      <c r="I310">
        <v>0.25588432453548199</v>
      </c>
      <c r="J310">
        <v>0.208171934636524</v>
      </c>
      <c r="K310">
        <v>0.153060585598328</v>
      </c>
      <c r="L310">
        <v>1424.84946289605</v>
      </c>
      <c r="M310">
        <v>26.673183710362899</v>
      </c>
      <c r="N310">
        <v>54.397734153374302</v>
      </c>
      <c r="O310">
        <v>53.121259020915303</v>
      </c>
      <c r="P310">
        <v>-0.10160350257225099</v>
      </c>
      <c r="Q310">
        <v>0.19061046085736999</v>
      </c>
      <c r="R310">
        <v>0.99418647171627395</v>
      </c>
      <c r="S310" t="s">
        <v>5893</v>
      </c>
      <c r="T310" t="s">
        <v>11164</v>
      </c>
      <c r="U310" t="s">
        <v>11164</v>
      </c>
      <c r="V310" t="s">
        <v>11164</v>
      </c>
      <c r="W310" t="s">
        <v>11471</v>
      </c>
      <c r="X310">
        <v>2</v>
      </c>
      <c r="Y310" t="s">
        <v>17002</v>
      </c>
      <c r="Z310" t="s">
        <v>22460</v>
      </c>
      <c r="AA310">
        <v>0.63996152847028231</v>
      </c>
      <c r="AB310" t="str">
        <f>HYPERLINK("Melting_Curves/meltCurve_C9JRY4_SEC22A.pdf", "Melting_Curves/meltCurve_C9JRY4_SEC22A.pdf")</f>
        <v>Melting_Curves/meltCurve_C9JRY4_SEC22A.pdf</v>
      </c>
    </row>
    <row r="311" spans="1:28" x14ac:dyDescent="0.25">
      <c r="A311" t="s">
        <v>315</v>
      </c>
      <c r="B311">
        <v>0.99796759195183404</v>
      </c>
      <c r="C311">
        <v>0.99512966959503302</v>
      </c>
      <c r="D311">
        <v>0.99548566336223399</v>
      </c>
      <c r="E311">
        <v>0.98505554008823104</v>
      </c>
      <c r="F311">
        <v>0.82549122303415901</v>
      </c>
      <c r="G311">
        <v>1.03715586339193</v>
      </c>
      <c r="H311">
        <v>0.93625964870303802</v>
      </c>
      <c r="I311">
        <v>0.65131688000009103</v>
      </c>
      <c r="J311">
        <v>0.61447887313238003</v>
      </c>
      <c r="K311">
        <v>0.51380242333041404</v>
      </c>
      <c r="L311">
        <v>2746.1061978265898</v>
      </c>
      <c r="M311">
        <v>46.107664078547799</v>
      </c>
      <c r="O311">
        <v>59.446850714081201</v>
      </c>
      <c r="P311">
        <v>-8.7300327260549898E-2</v>
      </c>
      <c r="Q311">
        <v>0.54977346675017302</v>
      </c>
      <c r="R311">
        <v>0.89105758382330202</v>
      </c>
      <c r="S311" t="s">
        <v>5894</v>
      </c>
      <c r="T311" t="s">
        <v>11164</v>
      </c>
      <c r="U311" t="s">
        <v>11164</v>
      </c>
      <c r="V311" t="s">
        <v>11164</v>
      </c>
      <c r="W311" t="s">
        <v>11472</v>
      </c>
      <c r="X311">
        <v>25</v>
      </c>
      <c r="Y311" t="s">
        <v>17003</v>
      </c>
      <c r="Z311" t="s">
        <v>22461</v>
      </c>
      <c r="AA311">
        <v>0.8895608366978297</v>
      </c>
      <c r="AB311" t="str">
        <f>HYPERLINK("Melting_Curves/meltCurve_C9JRZ6_CHCHD3.pdf", "Melting_Curves/meltCurve_C9JRZ6_CHCHD3.pdf")</f>
        <v>Melting_Curves/meltCurve_C9JRZ6_CHCHD3.pdf</v>
      </c>
    </row>
    <row r="312" spans="1:28" x14ac:dyDescent="0.25">
      <c r="A312" t="s">
        <v>316</v>
      </c>
      <c r="B312">
        <v>0.99796759195183404</v>
      </c>
      <c r="C312">
        <v>0.80278801751222095</v>
      </c>
      <c r="D312">
        <v>0.924457354136619</v>
      </c>
      <c r="E312">
        <v>0.88267511562566003</v>
      </c>
      <c r="F312">
        <v>0.675783596280782</v>
      </c>
      <c r="G312">
        <v>0.47106258247477201</v>
      </c>
      <c r="H312">
        <v>0.30987075898314698</v>
      </c>
      <c r="I312">
        <v>0.17507486973584399</v>
      </c>
      <c r="J312">
        <v>0.172508305780465</v>
      </c>
      <c r="K312">
        <v>0.15877226818915499</v>
      </c>
      <c r="L312">
        <v>625.99878274225705</v>
      </c>
      <c r="M312">
        <v>11.889194280257099</v>
      </c>
      <c r="N312">
        <v>53.2564469429227</v>
      </c>
      <c r="O312">
        <v>51.229447925239903</v>
      </c>
      <c r="P312">
        <v>-5.43752482311591E-2</v>
      </c>
      <c r="Q312">
        <v>6.3042298047845599E-2</v>
      </c>
      <c r="R312">
        <v>0.96455957986886098</v>
      </c>
      <c r="S312" t="s">
        <v>5895</v>
      </c>
      <c r="T312" t="s">
        <v>11164</v>
      </c>
      <c r="U312" t="s">
        <v>11164</v>
      </c>
      <c r="V312" t="s">
        <v>11164</v>
      </c>
      <c r="W312" t="s">
        <v>11473</v>
      </c>
      <c r="X312">
        <v>2</v>
      </c>
      <c r="Y312" t="s">
        <v>17004</v>
      </c>
      <c r="Z312" t="s">
        <v>22462</v>
      </c>
      <c r="AA312">
        <v>0.57269372593967527</v>
      </c>
      <c r="AB312" t="str">
        <f>HYPERLINK("Melting_Curves/meltCurve_C9JSG1_DPP8.pdf", "Melting_Curves/meltCurve_C9JSG1_DPP8.pdf")</f>
        <v>Melting_Curves/meltCurve_C9JSG1_DPP8.pdf</v>
      </c>
    </row>
    <row r="313" spans="1:28" x14ac:dyDescent="0.25">
      <c r="A313" t="s">
        <v>317</v>
      </c>
      <c r="B313">
        <v>0.99796759195183404</v>
      </c>
      <c r="C313">
        <v>1.13159701053078</v>
      </c>
      <c r="D313">
        <v>1.1381006361461301</v>
      </c>
      <c r="E313">
        <v>0.56789540440289799</v>
      </c>
      <c r="F313">
        <v>0.63056193288803797</v>
      </c>
      <c r="G313">
        <v>0</v>
      </c>
      <c r="H313">
        <v>0.57311090258640296</v>
      </c>
      <c r="I313">
        <v>1.3297024225937999</v>
      </c>
      <c r="J313">
        <v>1.6797815253704</v>
      </c>
      <c r="K313">
        <v>1.1864241283639001</v>
      </c>
      <c r="L313">
        <v>15000</v>
      </c>
      <c r="M313">
        <v>247.06124345188101</v>
      </c>
      <c r="O313">
        <v>60.7097128016689</v>
      </c>
      <c r="P313">
        <v>0.44063297956863601</v>
      </c>
      <c r="Q313">
        <v>1.4331023551369499</v>
      </c>
      <c r="R313">
        <v>0.20362918211966</v>
      </c>
      <c r="S313" t="s">
        <v>5896</v>
      </c>
      <c r="T313" t="s">
        <v>11164</v>
      </c>
      <c r="U313" t="s">
        <v>11164</v>
      </c>
      <c r="V313" t="s">
        <v>11164</v>
      </c>
      <c r="W313" t="s">
        <v>11474</v>
      </c>
      <c r="X313">
        <v>1</v>
      </c>
      <c r="Y313" t="s">
        <v>17005</v>
      </c>
      <c r="Z313" t="s">
        <v>22463</v>
      </c>
      <c r="AA313">
        <v>1.0907065883307701</v>
      </c>
      <c r="AB313" t="str">
        <f>HYPERLINK("Melting_Curves/meltCurve_C9JUH5_SERP1.pdf", "Melting_Curves/meltCurve_C9JUH5_SERP1.pdf")</f>
        <v>Melting_Curves/meltCurve_C9JUH5_SERP1.pdf</v>
      </c>
    </row>
    <row r="314" spans="1:28" x14ac:dyDescent="0.25">
      <c r="A314" t="s">
        <v>318</v>
      </c>
      <c r="B314">
        <v>0.99796759195183404</v>
      </c>
      <c r="C314">
        <v>1.03171145556251</v>
      </c>
      <c r="D314">
        <v>0.95721747200681495</v>
      </c>
      <c r="E314">
        <v>0.899778889500359</v>
      </c>
      <c r="F314">
        <v>0.81742299604869495</v>
      </c>
      <c r="G314">
        <v>0.99363679012117301</v>
      </c>
      <c r="H314">
        <v>0.33394843885797298</v>
      </c>
      <c r="I314">
        <v>0.315116725342312</v>
      </c>
      <c r="J314">
        <v>0.25400528344874901</v>
      </c>
      <c r="K314">
        <v>0.22511730364480301</v>
      </c>
      <c r="L314">
        <v>5846.0709514668297</v>
      </c>
      <c r="M314">
        <v>104.10541147333301</v>
      </c>
      <c r="N314">
        <v>56.564599872963001</v>
      </c>
      <c r="O314">
        <v>56.134582493933898</v>
      </c>
      <c r="P314">
        <v>-0.34096495111120201</v>
      </c>
      <c r="Q314">
        <v>0.26459434611340299</v>
      </c>
      <c r="R314">
        <v>0.95450895857969398</v>
      </c>
      <c r="S314" t="s">
        <v>5897</v>
      </c>
      <c r="T314" t="s">
        <v>11164</v>
      </c>
      <c r="U314" t="s">
        <v>11164</v>
      </c>
      <c r="V314" t="s">
        <v>11164</v>
      </c>
      <c r="W314" t="s">
        <v>11475</v>
      </c>
      <c r="X314">
        <v>7</v>
      </c>
      <c r="Y314" t="s">
        <v>17006</v>
      </c>
      <c r="Z314" t="s">
        <v>22464</v>
      </c>
      <c r="AA314">
        <v>0.73457668090496031</v>
      </c>
      <c r="AB314" t="str">
        <f>HYPERLINK("Melting_Curves/meltCurve_C9JXB8_RPL24.pdf", "Melting_Curves/meltCurve_C9JXB8_RPL24.pdf")</f>
        <v>Melting_Curves/meltCurve_C9JXB8_RPL24.pdf</v>
      </c>
    </row>
    <row r="315" spans="1:28" x14ac:dyDescent="0.25">
      <c r="A315" t="s">
        <v>319</v>
      </c>
      <c r="B315">
        <v>0.99796759195183404</v>
      </c>
      <c r="C315">
        <v>1.06548680433513</v>
      </c>
      <c r="D315">
        <v>0.967167000203354</v>
      </c>
      <c r="E315">
        <v>0.80708777861938397</v>
      </c>
      <c r="F315">
        <v>0.73548562394200001</v>
      </c>
      <c r="G315">
        <v>0.27063903770539399</v>
      </c>
      <c r="H315">
        <v>0.189660781637532</v>
      </c>
      <c r="I315">
        <v>0.10211627860983501</v>
      </c>
      <c r="J315">
        <v>4.5368599560537202E-2</v>
      </c>
      <c r="K315">
        <v>6.5210070542299006E-2</v>
      </c>
      <c r="L315">
        <v>989.62944076950703</v>
      </c>
      <c r="M315">
        <v>19.180179575813899</v>
      </c>
      <c r="N315">
        <v>51.838734770970802</v>
      </c>
      <c r="O315">
        <v>51.045406177620102</v>
      </c>
      <c r="P315">
        <v>-8.9913273511526295E-2</v>
      </c>
      <c r="Q315">
        <v>4.2869556997636199E-2</v>
      </c>
      <c r="R315">
        <v>0.98374927835696402</v>
      </c>
      <c r="S315" t="s">
        <v>5898</v>
      </c>
      <c r="T315" t="s">
        <v>11164</v>
      </c>
      <c r="U315" t="s">
        <v>11164</v>
      </c>
      <c r="V315" t="s">
        <v>11164</v>
      </c>
      <c r="W315" t="s">
        <v>11476</v>
      </c>
      <c r="X315">
        <v>1</v>
      </c>
      <c r="Y315" t="s">
        <v>17007</v>
      </c>
      <c r="Z315" t="s">
        <v>22465</v>
      </c>
      <c r="AA315">
        <v>0.52185620417497458</v>
      </c>
      <c r="AB315" t="str">
        <f>HYPERLINK("Melting_Curves/meltCurve_C9JXI1_FOXJ3.pdf", "Melting_Curves/meltCurve_C9JXI1_FOXJ3.pdf")</f>
        <v>Melting_Curves/meltCurve_C9JXI1_FOXJ3.pdf</v>
      </c>
    </row>
    <row r="316" spans="1:28" x14ac:dyDescent="0.25">
      <c r="A316" t="s">
        <v>320</v>
      </c>
      <c r="B316">
        <v>0.99796759195183404</v>
      </c>
      <c r="C316">
        <v>1.0318521438252499</v>
      </c>
      <c r="D316">
        <v>0.97582924591015996</v>
      </c>
      <c r="E316">
        <v>0.84312566456912597</v>
      </c>
      <c r="F316">
        <v>0.54133864503053497</v>
      </c>
      <c r="G316">
        <v>0.63422643654368505</v>
      </c>
      <c r="H316">
        <v>0.52341153693758602</v>
      </c>
      <c r="I316">
        <v>0.42773284293208902</v>
      </c>
      <c r="J316">
        <v>0.290624812921501</v>
      </c>
      <c r="K316">
        <v>0.16834258635976301</v>
      </c>
      <c r="L316">
        <v>423.34615146751003</v>
      </c>
      <c r="M316">
        <v>7.4949980212551397</v>
      </c>
      <c r="N316">
        <v>56.483824313459401</v>
      </c>
      <c r="O316">
        <v>52.882177081409097</v>
      </c>
      <c r="P316">
        <v>-3.5483603813043302E-2</v>
      </c>
      <c r="Q316">
        <v>0</v>
      </c>
      <c r="R316">
        <v>0.93578751946038397</v>
      </c>
      <c r="S316" t="s">
        <v>5899</v>
      </c>
      <c r="T316" t="s">
        <v>11164</v>
      </c>
      <c r="U316" t="s">
        <v>11164</v>
      </c>
      <c r="V316" t="s">
        <v>11164</v>
      </c>
      <c r="W316" t="s">
        <v>11477</v>
      </c>
      <c r="X316">
        <v>1</v>
      </c>
      <c r="Y316" t="s">
        <v>17008</v>
      </c>
      <c r="Z316" t="s">
        <v>22466</v>
      </c>
      <c r="AA316">
        <v>0.64012997373647251</v>
      </c>
      <c r="AB316" t="str">
        <f>HYPERLINK("Melting_Curves/meltCurve_C9JYM0_POP7.pdf", "Melting_Curves/meltCurve_C9JYM0_POP7.pdf")</f>
        <v>Melting_Curves/meltCurve_C9JYM0_POP7.pdf</v>
      </c>
    </row>
    <row r="317" spans="1:28" x14ac:dyDescent="0.25">
      <c r="A317" t="s">
        <v>321</v>
      </c>
      <c r="B317">
        <v>0.99796759195183404</v>
      </c>
      <c r="C317">
        <v>0.93121228386950705</v>
      </c>
      <c r="D317">
        <v>0.96139320014285201</v>
      </c>
      <c r="E317">
        <v>0.79243093662990205</v>
      </c>
      <c r="F317">
        <v>0.49189317800278398</v>
      </c>
      <c r="G317">
        <v>0.33562988871968602</v>
      </c>
      <c r="H317">
        <v>0.23700132354633999</v>
      </c>
      <c r="I317">
        <v>0.15370066947146299</v>
      </c>
      <c r="J317">
        <v>0.104997809655084</v>
      </c>
      <c r="K317">
        <v>8.0078691931852006E-2</v>
      </c>
      <c r="L317">
        <v>728.264215147291</v>
      </c>
      <c r="M317">
        <v>14.520311110187199</v>
      </c>
      <c r="N317">
        <v>50.741106904374298</v>
      </c>
      <c r="O317">
        <v>49.232367657294503</v>
      </c>
      <c r="P317">
        <v>-6.8047471527237696E-2</v>
      </c>
      <c r="Q317">
        <v>7.7222579514636694E-2</v>
      </c>
      <c r="R317">
        <v>0.993948958907243</v>
      </c>
      <c r="S317" t="s">
        <v>5900</v>
      </c>
      <c r="T317" t="s">
        <v>11164</v>
      </c>
      <c r="U317" t="s">
        <v>11164</v>
      </c>
      <c r="V317" t="s">
        <v>11164</v>
      </c>
      <c r="W317" t="s">
        <v>11478</v>
      </c>
      <c r="X317">
        <v>3</v>
      </c>
      <c r="Y317" t="s">
        <v>17009</v>
      </c>
      <c r="Z317" t="s">
        <v>22467</v>
      </c>
      <c r="AA317">
        <v>0.50194336811412588</v>
      </c>
      <c r="AB317" t="str">
        <f>HYPERLINK("Melting_Curves/meltCurve_C9JYQ9_RPL22L1.pdf", "Melting_Curves/meltCurve_C9JYQ9_RPL22L1.pdf")</f>
        <v>Melting_Curves/meltCurve_C9JYQ9_RPL22L1.pdf</v>
      </c>
    </row>
    <row r="318" spans="1:28" x14ac:dyDescent="0.25">
      <c r="A318" t="s">
        <v>322</v>
      </c>
      <c r="B318">
        <v>0.99796759195183404</v>
      </c>
      <c r="C318">
        <v>0.93367312074034103</v>
      </c>
      <c r="D318">
        <v>0.93812541639602698</v>
      </c>
      <c r="E318">
        <v>0.91996690452764296</v>
      </c>
      <c r="F318">
        <v>0.77717287714112504</v>
      </c>
      <c r="G318">
        <v>0.62150065869800897</v>
      </c>
      <c r="H318">
        <v>0.58648888986844405</v>
      </c>
      <c r="I318">
        <v>0.51335430587859598</v>
      </c>
      <c r="J318">
        <v>0.51715896248596205</v>
      </c>
      <c r="K318">
        <v>0.45543223398236299</v>
      </c>
      <c r="L318">
        <v>632.46981000294204</v>
      </c>
      <c r="M318">
        <v>12.2390974331958</v>
      </c>
      <c r="N318">
        <v>62.869210376063698</v>
      </c>
      <c r="O318">
        <v>50.354698808737403</v>
      </c>
      <c r="P318">
        <v>-3.3827628722971702E-2</v>
      </c>
      <c r="Q318">
        <v>0.443423128720005</v>
      </c>
      <c r="R318">
        <v>0.98252631753977904</v>
      </c>
      <c r="S318" t="s">
        <v>5901</v>
      </c>
      <c r="T318" t="s">
        <v>11164</v>
      </c>
      <c r="U318" t="s">
        <v>11164</v>
      </c>
      <c r="V318" t="s">
        <v>11164</v>
      </c>
      <c r="W318" t="s">
        <v>11479</v>
      </c>
      <c r="X318">
        <v>3</v>
      </c>
      <c r="Y318" t="s">
        <v>17010</v>
      </c>
      <c r="Z318" t="s">
        <v>22468</v>
      </c>
      <c r="AA318">
        <v>0.72912565291585818</v>
      </c>
      <c r="AB318" t="str">
        <f>HYPERLINK("Melting_Curves/meltCurve_C9JYY6_NRCAM.pdf", "Melting_Curves/meltCurve_C9JYY6_NRCAM.pdf")</f>
        <v>Melting_Curves/meltCurve_C9JYY6_NRCAM.pdf</v>
      </c>
    </row>
    <row r="319" spans="1:28" x14ac:dyDescent="0.25">
      <c r="A319" t="s">
        <v>323</v>
      </c>
      <c r="B319">
        <v>0.99796759195183404</v>
      </c>
      <c r="C319">
        <v>1.00860066000712</v>
      </c>
      <c r="D319">
        <v>0.82082117408342703</v>
      </c>
      <c r="E319">
        <v>0.77740354207614204</v>
      </c>
      <c r="F319">
        <v>0.58850834769374505</v>
      </c>
      <c r="G319">
        <v>0.51211545668122305</v>
      </c>
      <c r="H319">
        <v>0.31747357434229101</v>
      </c>
      <c r="I319">
        <v>0.41900454703318502</v>
      </c>
      <c r="J319">
        <v>0.236623652850946</v>
      </c>
      <c r="K319">
        <v>0.218394500288488</v>
      </c>
      <c r="L319">
        <v>480.08945942620198</v>
      </c>
      <c r="M319">
        <v>9.4042927450523202</v>
      </c>
      <c r="N319">
        <v>53.271268906123296</v>
      </c>
      <c r="O319">
        <v>48.901351531726903</v>
      </c>
      <c r="P319">
        <v>-4.0304834928191403E-2</v>
      </c>
      <c r="Q319">
        <v>0.16219108963061499</v>
      </c>
      <c r="R319">
        <v>0.96609217908370404</v>
      </c>
      <c r="S319" t="s">
        <v>5902</v>
      </c>
      <c r="T319" t="s">
        <v>11164</v>
      </c>
      <c r="U319" t="s">
        <v>11164</v>
      </c>
      <c r="V319" t="s">
        <v>11164</v>
      </c>
      <c r="W319" t="s">
        <v>11480</v>
      </c>
      <c r="X319">
        <v>8</v>
      </c>
      <c r="Y319" t="s">
        <v>17011</v>
      </c>
      <c r="Z319" t="s">
        <v>22469</v>
      </c>
      <c r="AA319">
        <v>0.58104348618415891</v>
      </c>
      <c r="AB319" t="str">
        <f>HYPERLINK("Melting_Curves/meltCurve_C9JYY9_NUDT5.pdf", "Melting_Curves/meltCurve_C9JYY9_NUDT5.pdf")</f>
        <v>Melting_Curves/meltCurve_C9JYY9_NUDT5.pdf</v>
      </c>
    </row>
    <row r="320" spans="1:28" x14ac:dyDescent="0.25">
      <c r="A320" t="s">
        <v>324</v>
      </c>
      <c r="B320">
        <v>0.99796759195183404</v>
      </c>
      <c r="C320">
        <v>1.0313578751813199</v>
      </c>
      <c r="D320">
        <v>1.1607631893581301</v>
      </c>
      <c r="E320">
        <v>1.0545057817046399</v>
      </c>
      <c r="F320">
        <v>0.82761504757358195</v>
      </c>
      <c r="G320">
        <v>0.55467272031760095</v>
      </c>
      <c r="H320">
        <v>0.29378006317029898</v>
      </c>
      <c r="I320">
        <v>0.28447953401894799</v>
      </c>
      <c r="J320">
        <v>0.10764726112162</v>
      </c>
      <c r="K320">
        <v>5.9943056946829103E-2</v>
      </c>
      <c r="L320">
        <v>1100.41805109037</v>
      </c>
      <c r="M320">
        <v>20.332141365585802</v>
      </c>
      <c r="N320">
        <v>54.689118327457898</v>
      </c>
      <c r="O320">
        <v>53.606704151875398</v>
      </c>
      <c r="P320">
        <v>-8.5812230714352997E-2</v>
      </c>
      <c r="Q320">
        <v>9.5034745919063898E-2</v>
      </c>
      <c r="R320">
        <v>0.968288886003838</v>
      </c>
      <c r="S320" t="s">
        <v>5903</v>
      </c>
      <c r="T320" t="s">
        <v>11164</v>
      </c>
      <c r="U320" t="s">
        <v>11164</v>
      </c>
      <c r="V320" t="s">
        <v>11164</v>
      </c>
      <c r="W320" t="s">
        <v>11481</v>
      </c>
      <c r="X320">
        <v>3</v>
      </c>
      <c r="Y320" t="s">
        <v>17012</v>
      </c>
      <c r="Z320" t="s">
        <v>22470</v>
      </c>
      <c r="AA320">
        <v>0.6221788821077715</v>
      </c>
      <c r="AB320" t="str">
        <f>HYPERLINK("Melting_Curves/meltCurve_C9JZB0_INPP5K.pdf", "Melting_Curves/meltCurve_C9JZB0_INPP5K.pdf")</f>
        <v>Melting_Curves/meltCurve_C9JZB0_INPP5K.pdf</v>
      </c>
    </row>
    <row r="321" spans="1:28" x14ac:dyDescent="0.25">
      <c r="A321" t="s">
        <v>325</v>
      </c>
      <c r="B321">
        <v>0.99796759195183404</v>
      </c>
      <c r="C321">
        <v>0.98943304176663904</v>
      </c>
      <c r="D321">
        <v>0.96151290683636004</v>
      </c>
      <c r="E321">
        <v>0.85882295356628302</v>
      </c>
      <c r="F321">
        <v>0.89260159943736705</v>
      </c>
      <c r="G321">
        <v>0.73915675742697196</v>
      </c>
      <c r="H321">
        <v>0.50852858454683103</v>
      </c>
      <c r="I321">
        <v>0.33969893630274001</v>
      </c>
      <c r="J321">
        <v>0.17294574474112201</v>
      </c>
      <c r="K321">
        <v>0.111245674446606</v>
      </c>
      <c r="L321">
        <v>774.60049073927598</v>
      </c>
      <c r="M321">
        <v>13.463203391930101</v>
      </c>
      <c r="N321">
        <v>57.534634995219001</v>
      </c>
      <c r="O321">
        <v>56.309765239417899</v>
      </c>
      <c r="P321">
        <v>-5.9782164474317903E-2</v>
      </c>
      <c r="Q321">
        <v>0</v>
      </c>
      <c r="R321">
        <v>0.98769625882826495</v>
      </c>
      <c r="S321" t="s">
        <v>5904</v>
      </c>
      <c r="T321" t="s">
        <v>11164</v>
      </c>
      <c r="U321" t="s">
        <v>11164</v>
      </c>
      <c r="V321" t="s">
        <v>11164</v>
      </c>
      <c r="W321" t="s">
        <v>11482</v>
      </c>
      <c r="X321">
        <v>3</v>
      </c>
      <c r="Y321" t="s">
        <v>17013</v>
      </c>
      <c r="Z321" t="s">
        <v>22471</v>
      </c>
      <c r="AA321">
        <v>0.68882676642319141</v>
      </c>
      <c r="AB321" t="str">
        <f>HYPERLINK("Melting_Curves/meltCurve_C9K0J5_RAPH1.pdf", "Melting_Curves/meltCurve_C9K0J5_RAPH1.pdf")</f>
        <v>Melting_Curves/meltCurve_C9K0J5_RAPH1.pdf</v>
      </c>
    </row>
    <row r="322" spans="1:28" x14ac:dyDescent="0.25">
      <c r="A322" t="s">
        <v>326</v>
      </c>
      <c r="B322">
        <v>0.99796759195183404</v>
      </c>
      <c r="C322">
        <v>0.92104271090534895</v>
      </c>
      <c r="D322">
        <v>0.93852775720425397</v>
      </c>
      <c r="E322">
        <v>0.84830123587956996</v>
      </c>
      <c r="F322">
        <v>0.82520542046353496</v>
      </c>
      <c r="G322">
        <v>0.48537719445043798</v>
      </c>
      <c r="H322">
        <v>0.50595776124282998</v>
      </c>
      <c r="I322">
        <v>0.41994747106987601</v>
      </c>
      <c r="J322">
        <v>0.485747699671222</v>
      </c>
      <c r="K322">
        <v>0.59716983912329202</v>
      </c>
      <c r="L322">
        <v>1107.7781540885601</v>
      </c>
      <c r="M322">
        <v>22.1677244737037</v>
      </c>
      <c r="N322">
        <v>59.050850286284501</v>
      </c>
      <c r="O322">
        <v>49.571233956811398</v>
      </c>
      <c r="P322">
        <v>-5.77505838433423E-2</v>
      </c>
      <c r="Q322">
        <v>0.48344619281901602</v>
      </c>
      <c r="R322">
        <v>0.89553740742871102</v>
      </c>
      <c r="S322" t="s">
        <v>5905</v>
      </c>
      <c r="T322" t="s">
        <v>11164</v>
      </c>
      <c r="U322" t="s">
        <v>11164</v>
      </c>
      <c r="V322" t="s">
        <v>11164</v>
      </c>
      <c r="W322" t="s">
        <v>11483</v>
      </c>
      <c r="X322">
        <v>8</v>
      </c>
      <c r="Y322" t="s">
        <v>17014</v>
      </c>
      <c r="Z322" t="s">
        <v>22472</v>
      </c>
      <c r="AA322">
        <v>0.71246994021781718</v>
      </c>
      <c r="AB322" t="str">
        <f>HYPERLINK("Melting_Curves/meltCurve_D3YTA4_PALM2.pdf", "Melting_Curves/meltCurve_D3YTA4_PALM2.pdf")</f>
        <v>Melting_Curves/meltCurve_D3YTA4_PALM2.pdf</v>
      </c>
    </row>
    <row r="323" spans="1:28" x14ac:dyDescent="0.25">
      <c r="A323" t="s">
        <v>327</v>
      </c>
      <c r="B323">
        <v>0.99796759195183404</v>
      </c>
      <c r="C323">
        <v>0.98012900393600899</v>
      </c>
      <c r="D323">
        <v>0.85653972901071196</v>
      </c>
      <c r="E323">
        <v>0.87516268088574101</v>
      </c>
      <c r="F323">
        <v>0.91395945358872399</v>
      </c>
      <c r="G323">
        <v>0.59536356191471795</v>
      </c>
      <c r="H323">
        <v>0.46599754350490902</v>
      </c>
      <c r="I323">
        <v>0.45352359224411798</v>
      </c>
      <c r="J323">
        <v>0.24328533735438601</v>
      </c>
      <c r="K323">
        <v>0.239163469779618</v>
      </c>
      <c r="L323">
        <v>510.92724301946799</v>
      </c>
      <c r="M323">
        <v>8.8593111648839002</v>
      </c>
      <c r="N323">
        <v>57.671205392102301</v>
      </c>
      <c r="O323">
        <v>54.959631631805102</v>
      </c>
      <c r="P323">
        <v>-4.0330255201832602E-2</v>
      </c>
      <c r="Q323">
        <v>0</v>
      </c>
      <c r="R323">
        <v>0.95198567548517299</v>
      </c>
      <c r="S323" t="s">
        <v>5906</v>
      </c>
      <c r="T323" t="s">
        <v>11164</v>
      </c>
      <c r="U323" t="s">
        <v>11164</v>
      </c>
      <c r="V323" t="s">
        <v>11164</v>
      </c>
      <c r="W323" t="s">
        <v>11484</v>
      </c>
      <c r="X323">
        <v>1</v>
      </c>
      <c r="Y323" t="s">
        <v>17015</v>
      </c>
      <c r="Z323" t="s">
        <v>22473</v>
      </c>
      <c r="AA323">
        <v>0.67727093734021226</v>
      </c>
      <c r="AB323" t="str">
        <f>HYPERLINK("Melting_Curves/meltCurve_D3YTB1_RPL32.pdf", "Melting_Curves/meltCurve_D3YTB1_RPL32.pdf")</f>
        <v>Melting_Curves/meltCurve_D3YTB1_RPL32.pdf</v>
      </c>
    </row>
    <row r="324" spans="1:28" x14ac:dyDescent="0.25">
      <c r="A324" t="s">
        <v>328</v>
      </c>
      <c r="B324">
        <v>0.99796759195183404</v>
      </c>
      <c r="C324">
        <v>1.0073938047105699</v>
      </c>
      <c r="D324">
        <v>0.96115336607542101</v>
      </c>
      <c r="E324">
        <v>0.70694994729739302</v>
      </c>
      <c r="F324">
        <v>0.25527365717749001</v>
      </c>
      <c r="G324">
        <v>6.1229030723361196E-3</v>
      </c>
      <c r="H324">
        <v>4.3622163276469901E-2</v>
      </c>
      <c r="I324">
        <v>5.2286293168598598E-2</v>
      </c>
      <c r="J324">
        <v>5.2275421073704399E-2</v>
      </c>
      <c r="K324">
        <v>4.7940688603664301E-2</v>
      </c>
      <c r="L324">
        <v>1443.3809864873799</v>
      </c>
      <c r="M324">
        <v>30.113821816607999</v>
      </c>
      <c r="N324">
        <v>48.048072510267502</v>
      </c>
      <c r="O324">
        <v>47.720969867152903</v>
      </c>
      <c r="P324">
        <v>-0.15217369859442201</v>
      </c>
      <c r="Q324">
        <v>3.5415713331585399E-2</v>
      </c>
      <c r="R324">
        <v>0.99693844776331297</v>
      </c>
      <c r="S324" t="s">
        <v>5907</v>
      </c>
      <c r="T324" t="s">
        <v>11164</v>
      </c>
      <c r="U324" t="s">
        <v>11164</v>
      </c>
      <c r="V324" t="s">
        <v>11164</v>
      </c>
      <c r="W324" t="s">
        <v>11485</v>
      </c>
      <c r="X324">
        <v>7</v>
      </c>
      <c r="Y324" t="s">
        <v>17016</v>
      </c>
      <c r="Z324" t="s">
        <v>22474</v>
      </c>
      <c r="AA324">
        <v>0.39253532452891032</v>
      </c>
      <c r="AB324" t="str">
        <f>HYPERLINK("Melting_Curves/meltCurve_D3YTB5_IRAK1.pdf", "Melting_Curves/meltCurve_D3YTB5_IRAK1.pdf")</f>
        <v>Melting_Curves/meltCurve_D3YTB5_IRAK1.pdf</v>
      </c>
    </row>
    <row r="325" spans="1:28" x14ac:dyDescent="0.25">
      <c r="A325" t="s">
        <v>329</v>
      </c>
      <c r="B325">
        <v>0.99796759195183404</v>
      </c>
      <c r="C325">
        <v>1.0127114351615001</v>
      </c>
      <c r="D325">
        <v>1.11329980769675</v>
      </c>
      <c r="E325">
        <v>0.92230145198911495</v>
      </c>
      <c r="F325">
        <v>0.82363786415033802</v>
      </c>
      <c r="G325">
        <v>0.73865617012851004</v>
      </c>
      <c r="H325">
        <v>0.35493558354788601</v>
      </c>
      <c r="I325">
        <v>0.27858972588579101</v>
      </c>
      <c r="J325">
        <v>0.125696783781924</v>
      </c>
      <c r="K325">
        <v>0.13391225162245199</v>
      </c>
      <c r="L325">
        <v>950.54261090782802</v>
      </c>
      <c r="M325">
        <v>17.084849800032998</v>
      </c>
      <c r="N325">
        <v>56.124538675929401</v>
      </c>
      <c r="O325">
        <v>54.891138535995097</v>
      </c>
      <c r="P325">
        <v>-7.2446512010251901E-2</v>
      </c>
      <c r="Q325">
        <v>6.9016273185086199E-2</v>
      </c>
      <c r="R325">
        <v>0.97722257262436596</v>
      </c>
      <c r="S325" t="s">
        <v>5908</v>
      </c>
      <c r="T325" t="s">
        <v>11164</v>
      </c>
      <c r="U325" t="s">
        <v>11164</v>
      </c>
      <c r="V325" t="s">
        <v>11164</v>
      </c>
      <c r="W325" t="s">
        <v>11486</v>
      </c>
      <c r="X325">
        <v>2</v>
      </c>
      <c r="Y325" t="s">
        <v>17017</v>
      </c>
      <c r="Z325" t="s">
        <v>22475</v>
      </c>
      <c r="AA325">
        <v>0.6585323186529628</v>
      </c>
      <c r="AB325" t="str">
        <f>HYPERLINK("Melting_Curves/meltCurve_D6R938_CAMK2D.pdf", "Melting_Curves/meltCurve_D6R938_CAMK2D.pdf")</f>
        <v>Melting_Curves/meltCurve_D6R938_CAMK2D.pdf</v>
      </c>
    </row>
    <row r="326" spans="1:28" x14ac:dyDescent="0.25">
      <c r="A326" t="s">
        <v>330</v>
      </c>
      <c r="B326">
        <v>0.99796759195183404</v>
      </c>
      <c r="C326">
        <v>1.08565852621612</v>
      </c>
      <c r="D326">
        <v>0.99902589475881598</v>
      </c>
      <c r="E326">
        <v>1.03249723952952</v>
      </c>
      <c r="F326">
        <v>0.92856830400617296</v>
      </c>
      <c r="G326">
        <v>0.82975803301507001</v>
      </c>
      <c r="H326">
        <v>0.65626431274574404</v>
      </c>
      <c r="I326">
        <v>0.38403643449831598</v>
      </c>
      <c r="J326">
        <v>0.23581185808281699</v>
      </c>
      <c r="K326">
        <v>8.0354042861146502E-2</v>
      </c>
      <c r="L326">
        <v>1018.06671326623</v>
      </c>
      <c r="M326">
        <v>17.170392598077498</v>
      </c>
      <c r="N326">
        <v>59.291989587413397</v>
      </c>
      <c r="O326">
        <v>58.505274024593298</v>
      </c>
      <c r="P326">
        <v>-7.33754911939965E-2</v>
      </c>
      <c r="Q326">
        <v>0</v>
      </c>
      <c r="R326">
        <v>0.98926890474704599</v>
      </c>
      <c r="S326" t="s">
        <v>5909</v>
      </c>
      <c r="T326" t="s">
        <v>11164</v>
      </c>
      <c r="U326" t="s">
        <v>11164</v>
      </c>
      <c r="V326" t="s">
        <v>11164</v>
      </c>
      <c r="W326" t="s">
        <v>11487</v>
      </c>
      <c r="X326">
        <v>3</v>
      </c>
      <c r="Y326" t="s">
        <v>17018</v>
      </c>
      <c r="Z326" t="s">
        <v>22476</v>
      </c>
      <c r="AA326">
        <v>0.7438666478666931</v>
      </c>
      <c r="AB326" t="str">
        <f>HYPERLINK("Melting_Curves/meltCurve_D6R9G1_CDK7.pdf", "Melting_Curves/meltCurve_D6R9G1_CDK7.pdf")</f>
        <v>Melting_Curves/meltCurve_D6R9G1_CDK7.pdf</v>
      </c>
    </row>
    <row r="327" spans="1:28" x14ac:dyDescent="0.25">
      <c r="A327" t="s">
        <v>331</v>
      </c>
      <c r="B327">
        <v>0.99796759195183404</v>
      </c>
      <c r="C327">
        <v>1.0345301097454001</v>
      </c>
      <c r="D327">
        <v>1.0073037717432201</v>
      </c>
      <c r="E327">
        <v>1.0032114704773301</v>
      </c>
      <c r="F327">
        <v>0.81090695369216304</v>
      </c>
      <c r="G327">
        <v>0.93792501108779003</v>
      </c>
      <c r="H327">
        <v>1.1409681130261899</v>
      </c>
      <c r="I327">
        <v>0.89586638941691599</v>
      </c>
      <c r="J327">
        <v>1.25088922883361</v>
      </c>
      <c r="K327">
        <v>1.1680467779689501</v>
      </c>
      <c r="L327">
        <v>6997.4081058751899</v>
      </c>
      <c r="M327">
        <v>111.510892313532</v>
      </c>
      <c r="O327">
        <v>62.730718372424597</v>
      </c>
      <c r="P327">
        <v>9.5236030872949906E-2</v>
      </c>
      <c r="Q327">
        <v>1.2143010175822999</v>
      </c>
      <c r="R327">
        <v>0.49832899418395099</v>
      </c>
      <c r="S327" t="s">
        <v>5910</v>
      </c>
      <c r="T327" t="s">
        <v>11164</v>
      </c>
      <c r="U327" t="s">
        <v>11164</v>
      </c>
      <c r="V327" t="s">
        <v>11164</v>
      </c>
      <c r="W327" t="s">
        <v>11488</v>
      </c>
      <c r="X327">
        <v>4</v>
      </c>
      <c r="Y327" t="s">
        <v>17019</v>
      </c>
      <c r="Z327" t="s">
        <v>22477</v>
      </c>
      <c r="AA327">
        <v>1.0302381660771529</v>
      </c>
      <c r="AB327" t="str">
        <f>HYPERLINK("Melting_Curves/meltCurve_D6R9U7_POLR3G.pdf", "Melting_Curves/meltCurve_D6R9U7_POLR3G.pdf")</f>
        <v>Melting_Curves/meltCurve_D6R9U7_POLR3G.pdf</v>
      </c>
    </row>
    <row r="328" spans="1:28" x14ac:dyDescent="0.25">
      <c r="A328" t="s">
        <v>332</v>
      </c>
      <c r="B328">
        <v>0.99796759195183404</v>
      </c>
      <c r="C328">
        <v>0.96609242739564305</v>
      </c>
      <c r="D328">
        <v>0.97272823727938296</v>
      </c>
      <c r="E328">
        <v>0.93945548584142902</v>
      </c>
      <c r="F328">
        <v>0.74117153921180201</v>
      </c>
      <c r="G328">
        <v>0.55993560955147903</v>
      </c>
      <c r="H328">
        <v>0.534599373353841</v>
      </c>
      <c r="I328">
        <v>0.52674805832264004</v>
      </c>
      <c r="J328">
        <v>0.81822961961892604</v>
      </c>
      <c r="K328">
        <v>0.57819929964698502</v>
      </c>
      <c r="L328">
        <v>1921.2090666781401</v>
      </c>
      <c r="M328">
        <v>39.109723316542599</v>
      </c>
      <c r="O328">
        <v>48.995659379901703</v>
      </c>
      <c r="P328">
        <v>-7.9184620106266604E-2</v>
      </c>
      <c r="Q328">
        <v>0.60319904672593105</v>
      </c>
      <c r="R328">
        <v>0.82360019493790304</v>
      </c>
      <c r="S328" t="s">
        <v>5911</v>
      </c>
      <c r="T328" t="s">
        <v>11164</v>
      </c>
      <c r="U328" t="s">
        <v>11164</v>
      </c>
      <c r="V328" t="s">
        <v>11164</v>
      </c>
      <c r="W328" t="s">
        <v>11489</v>
      </c>
      <c r="X328">
        <v>4</v>
      </c>
      <c r="Y328" t="s">
        <v>17020</v>
      </c>
      <c r="Z328" t="s">
        <v>22478</v>
      </c>
      <c r="AA328">
        <v>0.76496322841474629</v>
      </c>
      <c r="AB328" t="str">
        <f>HYPERLINK("Melting_Curves/meltCurve_D6R9X7_ERCC6.pdf", "Melting_Curves/meltCurve_D6R9X7_ERCC6.pdf")</f>
        <v>Melting_Curves/meltCurve_D6R9X7_ERCC6.pdf</v>
      </c>
    </row>
    <row r="329" spans="1:28" x14ac:dyDescent="0.25">
      <c r="A329" t="s">
        <v>333</v>
      </c>
      <c r="B329">
        <v>0.99796759195183404</v>
      </c>
      <c r="C329">
        <v>0.90237351092979901</v>
      </c>
      <c r="D329">
        <v>0.97501046670595404</v>
      </c>
      <c r="E329">
        <v>0.94894401825411601</v>
      </c>
      <c r="F329">
        <v>0.81395158090180697</v>
      </c>
      <c r="G329">
        <v>0.570405804798087</v>
      </c>
      <c r="H329">
        <v>0.90064589492976399</v>
      </c>
      <c r="I329">
        <v>0.91308278628204798</v>
      </c>
      <c r="J329">
        <v>1.4841015682751999</v>
      </c>
      <c r="K329">
        <v>2.10640420691242</v>
      </c>
      <c r="L329">
        <v>15000</v>
      </c>
      <c r="M329">
        <v>237.391810959179</v>
      </c>
      <c r="O329">
        <v>63.182190639143101</v>
      </c>
      <c r="P329">
        <v>0.46965726511380002</v>
      </c>
      <c r="Q329">
        <v>1.5</v>
      </c>
      <c r="R329">
        <v>0.63053954399406298</v>
      </c>
      <c r="S329" t="s">
        <v>5912</v>
      </c>
      <c r="T329" t="s">
        <v>11164</v>
      </c>
      <c r="U329" t="s">
        <v>11164</v>
      </c>
      <c r="V329" t="s">
        <v>11164</v>
      </c>
      <c r="W329" t="s">
        <v>11490</v>
      </c>
      <c r="X329">
        <v>2</v>
      </c>
      <c r="Y329" t="s">
        <v>17021</v>
      </c>
      <c r="Z329" t="s">
        <v>22479</v>
      </c>
      <c r="AA329">
        <v>1.063493874492939</v>
      </c>
      <c r="AB329" t="str">
        <f>HYPERLINK("Melting_Curves/meltCurve_D6R9Z7_COX7C.pdf", "Melting_Curves/meltCurve_D6R9Z7_COX7C.pdf")</f>
        <v>Melting_Curves/meltCurve_D6R9Z7_COX7C.pdf</v>
      </c>
    </row>
    <row r="330" spans="1:28" x14ac:dyDescent="0.25">
      <c r="A330" t="s">
        <v>334</v>
      </c>
      <c r="B330">
        <v>0.99796759195183404</v>
      </c>
      <c r="C330">
        <v>0.94371212154200301</v>
      </c>
      <c r="D330">
        <v>0.89718557200585802</v>
      </c>
      <c r="E330">
        <v>1.39941020972728</v>
      </c>
      <c r="F330">
        <v>1.26153410768135</v>
      </c>
      <c r="G330">
        <v>1.80343612910314</v>
      </c>
      <c r="H330">
        <v>1.042279500749</v>
      </c>
      <c r="I330">
        <v>1.0246603216079699</v>
      </c>
      <c r="J330">
        <v>0.491660044724539</v>
      </c>
      <c r="K330">
        <v>0.53975367523357098</v>
      </c>
      <c r="L330">
        <v>11860.8812861151</v>
      </c>
      <c r="M330">
        <v>189.674483654108</v>
      </c>
      <c r="O330">
        <v>62.525881471190502</v>
      </c>
      <c r="P330">
        <v>-0.36895918914970899</v>
      </c>
      <c r="Q330">
        <v>0.51349290449431495</v>
      </c>
      <c r="R330">
        <v>0.33675809798450201</v>
      </c>
      <c r="S330" t="s">
        <v>5913</v>
      </c>
      <c r="T330" t="s">
        <v>11164</v>
      </c>
      <c r="U330" t="s">
        <v>11164</v>
      </c>
      <c r="V330" t="s">
        <v>11164</v>
      </c>
      <c r="W330" t="s">
        <v>11491</v>
      </c>
      <c r="X330">
        <v>5</v>
      </c>
      <c r="Y330" t="s">
        <v>17022</v>
      </c>
      <c r="Z330" t="s">
        <v>22480</v>
      </c>
      <c r="AA330">
        <v>0.92764900406654094</v>
      </c>
      <c r="AB330" t="str">
        <f>HYPERLINK("Melting_Curves/meltCurve_D6RAT0_RPS3A.pdf", "Melting_Curves/meltCurve_D6RAT0_RPS3A.pdf")</f>
        <v>Melting_Curves/meltCurve_D6RAT0_RPS3A.pdf</v>
      </c>
    </row>
    <row r="331" spans="1:28" x14ac:dyDescent="0.25">
      <c r="A331" t="s">
        <v>335</v>
      </c>
      <c r="B331">
        <v>0.99796759195183404</v>
      </c>
      <c r="C331">
        <v>0.99693932288436005</v>
      </c>
      <c r="D331">
        <v>0.96195382298064303</v>
      </c>
      <c r="E331">
        <v>0.87340768955693404</v>
      </c>
      <c r="F331">
        <v>0.79341006302871797</v>
      </c>
      <c r="G331">
        <v>0.61046449945411496</v>
      </c>
      <c r="H331">
        <v>0.34670018473966302</v>
      </c>
      <c r="I331">
        <v>0.37755325650556998</v>
      </c>
      <c r="J331">
        <v>0.230204525300615</v>
      </c>
      <c r="K331">
        <v>0.17903248650087999</v>
      </c>
      <c r="L331">
        <v>659.01464510716505</v>
      </c>
      <c r="M331">
        <v>12.092459568871799</v>
      </c>
      <c r="N331">
        <v>55.6624070315493</v>
      </c>
      <c r="O331">
        <v>53.071797065184199</v>
      </c>
      <c r="P331">
        <v>-5.0608804600298603E-2</v>
      </c>
      <c r="Q331">
        <v>0.111753312117274</v>
      </c>
      <c r="R331">
        <v>0.98604290537550998</v>
      </c>
      <c r="S331" t="s">
        <v>5914</v>
      </c>
      <c r="T331" t="s">
        <v>11164</v>
      </c>
      <c r="U331" t="s">
        <v>11164</v>
      </c>
      <c r="V331" t="s">
        <v>11164</v>
      </c>
      <c r="W331" t="s">
        <v>11492</v>
      </c>
      <c r="X331">
        <v>2</v>
      </c>
      <c r="Y331" t="s">
        <v>17023</v>
      </c>
      <c r="Z331" t="s">
        <v>22481</v>
      </c>
      <c r="AA331">
        <v>0.64417528352779585</v>
      </c>
      <c r="AB331" t="str">
        <f>HYPERLINK("Melting_Curves/meltCurve_D6RB01_FAM169A.pdf", "Melting_Curves/meltCurve_D6RB01_FAM169A.pdf")</f>
        <v>Melting_Curves/meltCurve_D6RB01_FAM169A.pdf</v>
      </c>
    </row>
    <row r="332" spans="1:28" x14ac:dyDescent="0.25">
      <c r="A332" t="s">
        <v>336</v>
      </c>
      <c r="B332">
        <v>0.99796759195183404</v>
      </c>
      <c r="C332">
        <v>0.99387255049283396</v>
      </c>
      <c r="D332">
        <v>0.958390892137991</v>
      </c>
      <c r="E332">
        <v>0.97109491763794498</v>
      </c>
      <c r="F332">
        <v>0.77433118396671496</v>
      </c>
      <c r="G332">
        <v>0.55526179150478105</v>
      </c>
      <c r="H332">
        <v>0.308499238886765</v>
      </c>
      <c r="I332">
        <v>0.187687690645855</v>
      </c>
      <c r="J332">
        <v>0.14223742209467199</v>
      </c>
      <c r="K332">
        <v>0.106284232907112</v>
      </c>
      <c r="L332">
        <v>924.303529785921</v>
      </c>
      <c r="M332">
        <v>17.168475445656899</v>
      </c>
      <c r="N332">
        <v>54.389662043261801</v>
      </c>
      <c r="O332">
        <v>53.122733387644203</v>
      </c>
      <c r="P332">
        <v>-7.4336316209589498E-2</v>
      </c>
      <c r="Q332">
        <v>8.0007921609729707E-2</v>
      </c>
      <c r="R332">
        <v>0.99809436420863695</v>
      </c>
      <c r="S332" t="s">
        <v>5915</v>
      </c>
      <c r="T332" t="s">
        <v>11164</v>
      </c>
      <c r="U332" t="s">
        <v>11164</v>
      </c>
      <c r="V332" t="s">
        <v>11164</v>
      </c>
      <c r="W332" t="s">
        <v>11493</v>
      </c>
      <c r="X332">
        <v>8</v>
      </c>
      <c r="Y332" t="s">
        <v>17024</v>
      </c>
      <c r="Z332" t="s">
        <v>22482</v>
      </c>
      <c r="AA332">
        <v>0.60977629949746182</v>
      </c>
      <c r="AB332" t="str">
        <f>HYPERLINK("Melting_Curves/meltCurve_D6RBS5_ELMOD2.pdf", "Melting_Curves/meltCurve_D6RBS5_ELMOD2.pdf")</f>
        <v>Melting_Curves/meltCurve_D6RBS5_ELMOD2.pdf</v>
      </c>
    </row>
    <row r="333" spans="1:28" x14ac:dyDescent="0.25">
      <c r="A333" t="s">
        <v>337</v>
      </c>
      <c r="B333">
        <v>0.99796759195183404</v>
      </c>
      <c r="C333">
        <v>1.085273065735</v>
      </c>
      <c r="D333">
        <v>1.06108456067735</v>
      </c>
      <c r="E333">
        <v>1.02758750281129</v>
      </c>
      <c r="F333">
        <v>0.93313899702182102</v>
      </c>
      <c r="G333">
        <v>0.69415012307676005</v>
      </c>
      <c r="H333">
        <v>0.57923057782194398</v>
      </c>
      <c r="I333">
        <v>0.255546168947827</v>
      </c>
      <c r="J333">
        <v>0.123813176160652</v>
      </c>
      <c r="K333">
        <v>9.4688138816451606E-2</v>
      </c>
      <c r="L333">
        <v>976.28564619068902</v>
      </c>
      <c r="M333">
        <v>16.968993167697001</v>
      </c>
      <c r="N333">
        <v>57.533504874196304</v>
      </c>
      <c r="O333">
        <v>56.752304519549398</v>
      </c>
      <c r="P333">
        <v>-7.4754891346851302E-2</v>
      </c>
      <c r="Q333">
        <v>0</v>
      </c>
      <c r="R333">
        <v>0.98282388006551002</v>
      </c>
      <c r="S333" t="s">
        <v>5916</v>
      </c>
      <c r="T333" t="s">
        <v>11164</v>
      </c>
      <c r="U333" t="s">
        <v>11164</v>
      </c>
      <c r="V333" t="s">
        <v>11164</v>
      </c>
      <c r="W333" t="s">
        <v>11494</v>
      </c>
      <c r="X333">
        <v>7</v>
      </c>
      <c r="Y333" t="s">
        <v>17025</v>
      </c>
      <c r="Z333" t="s">
        <v>22483</v>
      </c>
      <c r="AA333">
        <v>0.69178612222750457</v>
      </c>
      <c r="AB333" t="str">
        <f>HYPERLINK("Melting_Curves/meltCurve_D6RBW1_EIF4E.pdf", "Melting_Curves/meltCurve_D6RBW1_EIF4E.pdf")</f>
        <v>Melting_Curves/meltCurve_D6RBW1_EIF4E.pdf</v>
      </c>
    </row>
    <row r="334" spans="1:28" x14ac:dyDescent="0.25">
      <c r="A334" t="s">
        <v>338</v>
      </c>
      <c r="B334">
        <v>0.99796759195183404</v>
      </c>
      <c r="C334">
        <v>0.97635727657413796</v>
      </c>
      <c r="D334">
        <v>0.92548890809046003</v>
      </c>
      <c r="E334">
        <v>0.88921063285750801</v>
      </c>
      <c r="F334">
        <v>0.773038862888485</v>
      </c>
      <c r="G334">
        <v>0.643904655554836</v>
      </c>
      <c r="H334">
        <v>0.15859141581094399</v>
      </c>
      <c r="I334">
        <v>0.22967993039911799</v>
      </c>
      <c r="J334">
        <v>4.43054522604166E-2</v>
      </c>
      <c r="K334">
        <v>0</v>
      </c>
      <c r="L334">
        <v>912.61978934951003</v>
      </c>
      <c r="M334">
        <v>16.80881679654</v>
      </c>
      <c r="N334">
        <v>54.2941131269571</v>
      </c>
      <c r="O334">
        <v>53.543103288321902</v>
      </c>
      <c r="P334">
        <v>-7.8487712742632998E-2</v>
      </c>
      <c r="Q334">
        <v>0</v>
      </c>
      <c r="R334">
        <v>0.96929295615313904</v>
      </c>
      <c r="S334" t="s">
        <v>5917</v>
      </c>
      <c r="T334" t="s">
        <v>11164</v>
      </c>
      <c r="U334" t="s">
        <v>11164</v>
      </c>
      <c r="V334" t="s">
        <v>11164</v>
      </c>
      <c r="W334" t="s">
        <v>11495</v>
      </c>
      <c r="X334">
        <v>1</v>
      </c>
      <c r="Y334" t="s">
        <v>17026</v>
      </c>
      <c r="Z334" t="s">
        <v>22484</v>
      </c>
      <c r="AA334">
        <v>0.59079833795156012</v>
      </c>
      <c r="AB334" t="str">
        <f>HYPERLINK("Melting_Curves/meltCurve_D6RCD0_HSD17B11.pdf", "Melting_Curves/meltCurve_D6RCD0_HSD17B11.pdf")</f>
        <v>Melting_Curves/meltCurve_D6RCD0_HSD17B11.pdf</v>
      </c>
    </row>
    <row r="335" spans="1:28" x14ac:dyDescent="0.25">
      <c r="A335" t="s">
        <v>339</v>
      </c>
      <c r="B335">
        <v>0.99796759195183404</v>
      </c>
      <c r="C335">
        <v>1.0096508123825201</v>
      </c>
      <c r="D335">
        <v>0.78571542327082899</v>
      </c>
      <c r="E335">
        <v>1.04638747027773</v>
      </c>
      <c r="F335">
        <v>0.81775125183971797</v>
      </c>
      <c r="G335">
        <v>0.33742307275416999</v>
      </c>
      <c r="H335">
        <v>0.63843865057054505</v>
      </c>
      <c r="I335">
        <v>0</v>
      </c>
      <c r="J335">
        <v>0.70385912114943705</v>
      </c>
      <c r="K335">
        <v>0</v>
      </c>
      <c r="L335">
        <v>7878.1017704631804</v>
      </c>
      <c r="M335">
        <v>155.96210096921001</v>
      </c>
      <c r="N335">
        <v>50.876433011918799</v>
      </c>
      <c r="O335">
        <v>50.504619480992503</v>
      </c>
      <c r="P335">
        <v>-0.51267118947894497</v>
      </c>
      <c r="Q335">
        <v>0.33593448418830602</v>
      </c>
      <c r="R335">
        <v>0.64160448474613596</v>
      </c>
      <c r="S335" t="s">
        <v>5918</v>
      </c>
      <c r="T335" t="s">
        <v>11164</v>
      </c>
      <c r="U335" t="s">
        <v>11164</v>
      </c>
      <c r="V335" t="s">
        <v>11164</v>
      </c>
      <c r="W335" t="s">
        <v>11496</v>
      </c>
      <c r="X335">
        <v>1</v>
      </c>
      <c r="Y335" t="s">
        <v>17027</v>
      </c>
      <c r="Z335" t="s">
        <v>22485</v>
      </c>
      <c r="AA335">
        <v>0.6352013623114956</v>
      </c>
      <c r="AB335" t="str">
        <f>HYPERLINK("Melting_Curves/meltCurve_D6RCD9_TMEM175.pdf", "Melting_Curves/meltCurve_D6RCD9_TMEM175.pdf")</f>
        <v>Melting_Curves/meltCurve_D6RCD9_TMEM175.pdf</v>
      </c>
    </row>
    <row r="336" spans="1:28" x14ac:dyDescent="0.25">
      <c r="A336" t="s">
        <v>340</v>
      </c>
      <c r="B336">
        <v>0.99796759195183404</v>
      </c>
      <c r="C336">
        <v>0.96682508559503499</v>
      </c>
      <c r="D336">
        <v>0.66965854619238196</v>
      </c>
      <c r="E336">
        <v>0.68603658377661703</v>
      </c>
      <c r="F336">
        <v>0.91706826156466803</v>
      </c>
      <c r="G336">
        <v>0.45859903458925999</v>
      </c>
      <c r="H336">
        <v>0.44635573143129997</v>
      </c>
      <c r="I336">
        <v>0.43223971110200698</v>
      </c>
      <c r="J336">
        <v>0.34592384604613002</v>
      </c>
      <c r="K336">
        <v>0.201001518569352</v>
      </c>
      <c r="L336">
        <v>323.52603335296197</v>
      </c>
      <c r="M336">
        <v>5.7819812322577304</v>
      </c>
      <c r="N336">
        <v>55.954206969672299</v>
      </c>
      <c r="O336">
        <v>50.347787966454199</v>
      </c>
      <c r="P336">
        <v>-2.8816257286828899E-2</v>
      </c>
      <c r="Q336">
        <v>0</v>
      </c>
      <c r="R336">
        <v>0.81560913624277598</v>
      </c>
      <c r="S336" t="s">
        <v>5919</v>
      </c>
      <c r="T336" t="s">
        <v>11164</v>
      </c>
      <c r="U336" t="s">
        <v>11164</v>
      </c>
      <c r="V336" t="s">
        <v>11164</v>
      </c>
      <c r="W336" t="s">
        <v>11497</v>
      </c>
      <c r="X336">
        <v>1</v>
      </c>
      <c r="Y336" t="s">
        <v>17028</v>
      </c>
      <c r="Z336" t="s">
        <v>22486</v>
      </c>
      <c r="AA336">
        <v>0.61385341717448438</v>
      </c>
      <c r="AB336" t="str">
        <f>HYPERLINK("Melting_Curves/meltCurve_D6RDM3_SLC41A3.pdf", "Melting_Curves/meltCurve_D6RDM3_SLC41A3.pdf")</f>
        <v>Melting_Curves/meltCurve_D6RDM3_SLC41A3.pdf</v>
      </c>
    </row>
    <row r="337" spans="1:28" x14ac:dyDescent="0.25">
      <c r="A337" t="s">
        <v>341</v>
      </c>
      <c r="B337">
        <v>0.99796759195183404</v>
      </c>
      <c r="C337">
        <v>0.94085534589487796</v>
      </c>
      <c r="D337">
        <v>0.97685624932501103</v>
      </c>
      <c r="E337">
        <v>0.84826958200098201</v>
      </c>
      <c r="F337">
        <v>0.79003787887605803</v>
      </c>
      <c r="G337">
        <v>0.59362744168470905</v>
      </c>
      <c r="H337">
        <v>0.53187911196833304</v>
      </c>
      <c r="I337">
        <v>0.48078581486567401</v>
      </c>
      <c r="J337">
        <v>0.54578636677841097</v>
      </c>
      <c r="K337">
        <v>0.34647971173101999</v>
      </c>
      <c r="L337">
        <v>574.06401486129505</v>
      </c>
      <c r="M337">
        <v>11.011124150177199</v>
      </c>
      <c r="N337">
        <v>59.614082649952202</v>
      </c>
      <c r="O337">
        <v>50.5038915498451</v>
      </c>
      <c r="P337">
        <v>-3.4110974936668599E-2</v>
      </c>
      <c r="Q337">
        <v>0.37439335138490598</v>
      </c>
      <c r="R337">
        <v>0.95472168801953505</v>
      </c>
      <c r="S337" t="s">
        <v>5920</v>
      </c>
      <c r="T337" t="s">
        <v>11164</v>
      </c>
      <c r="U337" t="s">
        <v>11164</v>
      </c>
      <c r="V337" t="s">
        <v>11164</v>
      </c>
      <c r="W337" t="s">
        <v>11498</v>
      </c>
      <c r="X337">
        <v>1</v>
      </c>
      <c r="Y337" t="s">
        <v>17029</v>
      </c>
      <c r="Z337" t="s">
        <v>22487</v>
      </c>
      <c r="AA337">
        <v>0.70554296655867943</v>
      </c>
      <c r="AB337" t="str">
        <f>HYPERLINK("Melting_Curves/meltCurve_D6RDX7_EMB.pdf", "Melting_Curves/meltCurve_D6RDX7_EMB.pdf")</f>
        <v>Melting_Curves/meltCurve_D6RDX7_EMB.pdf</v>
      </c>
    </row>
    <row r="338" spans="1:28" x14ac:dyDescent="0.25">
      <c r="A338" t="s">
        <v>342</v>
      </c>
      <c r="B338">
        <v>0.99796759195183404</v>
      </c>
      <c r="C338">
        <v>0.83249751519840198</v>
      </c>
      <c r="D338">
        <v>0.84868426906250505</v>
      </c>
      <c r="E338">
        <v>0.86712921018544897</v>
      </c>
      <c r="F338">
        <v>0.70911121511717301</v>
      </c>
      <c r="G338">
        <v>0.472415255716639</v>
      </c>
      <c r="H338">
        <v>0.47768502851120398</v>
      </c>
      <c r="I338">
        <v>0.360162094861047</v>
      </c>
      <c r="J338">
        <v>0.214910693406828</v>
      </c>
      <c r="K338">
        <v>0.16200911369462201</v>
      </c>
      <c r="L338">
        <v>419.794601033719</v>
      </c>
      <c r="M338">
        <v>7.6315001202590702</v>
      </c>
      <c r="N338">
        <v>55.008141370020297</v>
      </c>
      <c r="O338">
        <v>51.612531663008198</v>
      </c>
      <c r="P338">
        <v>-3.7015164810270798E-2</v>
      </c>
      <c r="Q338">
        <v>0</v>
      </c>
      <c r="R338">
        <v>0.95621924293970795</v>
      </c>
      <c r="S338" t="s">
        <v>5921</v>
      </c>
      <c r="T338" t="s">
        <v>11164</v>
      </c>
      <c r="U338" t="s">
        <v>11164</v>
      </c>
      <c r="V338" t="s">
        <v>11164</v>
      </c>
      <c r="W338" t="s">
        <v>11499</v>
      </c>
      <c r="X338">
        <v>3</v>
      </c>
      <c r="Y338" t="s">
        <v>17030</v>
      </c>
      <c r="Z338" t="s">
        <v>22488</v>
      </c>
      <c r="AA338">
        <v>0.60542588394496544</v>
      </c>
      <c r="AB338" t="str">
        <f>HYPERLINK("Melting_Curves/meltCurve_D6RE84_ALG13.pdf", "Melting_Curves/meltCurve_D6RE84_ALG13.pdf")</f>
        <v>Melting_Curves/meltCurve_D6RE84_ALG13.pdf</v>
      </c>
    </row>
    <row r="339" spans="1:28" x14ac:dyDescent="0.25">
      <c r="A339" t="s">
        <v>343</v>
      </c>
      <c r="B339">
        <v>0.99796759195183404</v>
      </c>
      <c r="C339">
        <v>0.96340127488482596</v>
      </c>
      <c r="D339">
        <v>0.95457861151736501</v>
      </c>
      <c r="E339">
        <v>0.87557468690511098</v>
      </c>
      <c r="F339">
        <v>0.62127731020930099</v>
      </c>
      <c r="G339">
        <v>0.249303131471662</v>
      </c>
      <c r="H339">
        <v>0.205701126875385</v>
      </c>
      <c r="I339">
        <v>0.131104861968033</v>
      </c>
      <c r="J339">
        <v>0.121327436213403</v>
      </c>
      <c r="K339">
        <v>9.4254983623540595E-2</v>
      </c>
      <c r="L339">
        <v>1134.36567584675</v>
      </c>
      <c r="M339">
        <v>22.420836652855701</v>
      </c>
      <c r="N339">
        <v>51.155090899671698</v>
      </c>
      <c r="O339">
        <v>50.196938110081</v>
      </c>
      <c r="P339">
        <v>-9.9499181176472606E-2</v>
      </c>
      <c r="Q339">
        <v>0.10896268254896301</v>
      </c>
      <c r="R339">
        <v>0.99520941493533099</v>
      </c>
      <c r="S339" t="s">
        <v>5922</v>
      </c>
      <c r="T339" t="s">
        <v>11164</v>
      </c>
      <c r="U339" t="s">
        <v>11164</v>
      </c>
      <c r="V339" t="s">
        <v>11164</v>
      </c>
      <c r="W339" t="s">
        <v>11500</v>
      </c>
      <c r="X339">
        <v>7</v>
      </c>
      <c r="Y339" t="s">
        <v>17031</v>
      </c>
      <c r="Z339" t="s">
        <v>22489</v>
      </c>
      <c r="AA339">
        <v>0.5223068774822881</v>
      </c>
      <c r="AB339" t="str">
        <f>HYPERLINK("Melting_Curves/meltCurve_D6REA0_PET112.pdf", "Melting_Curves/meltCurve_D6REA0_PET112.pdf")</f>
        <v>Melting_Curves/meltCurve_D6REA0_PET112.pdf</v>
      </c>
    </row>
    <row r="340" spans="1:28" x14ac:dyDescent="0.25">
      <c r="A340" t="s">
        <v>344</v>
      </c>
      <c r="B340">
        <v>0.99796759195183404</v>
      </c>
      <c r="C340">
        <v>0.91968277922920905</v>
      </c>
      <c r="D340">
        <v>0.85533284966859302</v>
      </c>
      <c r="E340">
        <v>0.70145847214793999</v>
      </c>
      <c r="F340">
        <v>0.55933097948663602</v>
      </c>
      <c r="G340">
        <v>0.34472492135945998</v>
      </c>
      <c r="H340">
        <v>0.233838112252616</v>
      </c>
      <c r="I340">
        <v>0.14966122491061301</v>
      </c>
      <c r="J340">
        <v>9.2977097548252799E-2</v>
      </c>
      <c r="K340">
        <v>7.8224234130275294E-2</v>
      </c>
      <c r="L340">
        <v>518.95603120638805</v>
      </c>
      <c r="M340">
        <v>10.230599166488499</v>
      </c>
      <c r="N340">
        <v>50.7258680758328</v>
      </c>
      <c r="O340">
        <v>48.902348719710297</v>
      </c>
      <c r="P340">
        <v>-5.2324477887922299E-2</v>
      </c>
      <c r="Q340">
        <v>0</v>
      </c>
      <c r="R340">
        <v>0.99788864818935696</v>
      </c>
      <c r="S340" t="s">
        <v>5923</v>
      </c>
      <c r="T340" t="s">
        <v>11164</v>
      </c>
      <c r="U340" t="s">
        <v>11164</v>
      </c>
      <c r="V340" t="s">
        <v>11164</v>
      </c>
      <c r="W340" t="s">
        <v>11501</v>
      </c>
      <c r="X340">
        <v>15</v>
      </c>
      <c r="Y340" t="s">
        <v>17032</v>
      </c>
      <c r="Z340" t="s">
        <v>22490</v>
      </c>
      <c r="AA340">
        <v>0.48840876825947299</v>
      </c>
      <c r="AB340" t="str">
        <f>HYPERLINK("Melting_Curves/meltCurve_D6REX3_SEC31A.pdf", "Melting_Curves/meltCurve_D6REX3_SEC31A.pdf")</f>
        <v>Melting_Curves/meltCurve_D6REX3_SEC31A.pdf</v>
      </c>
    </row>
    <row r="341" spans="1:28" x14ac:dyDescent="0.25">
      <c r="A341" t="s">
        <v>345</v>
      </c>
      <c r="B341">
        <v>0.99796759195183404</v>
      </c>
      <c r="C341">
        <v>0.91684508120627095</v>
      </c>
      <c r="D341">
        <v>1.0017450348333701</v>
      </c>
      <c r="E341">
        <v>0.73626623382902301</v>
      </c>
      <c r="F341">
        <v>0.71032274914675098</v>
      </c>
      <c r="G341">
        <v>0.37787071538478501</v>
      </c>
      <c r="H341">
        <v>0.31724948461770902</v>
      </c>
      <c r="I341">
        <v>0.187838792540969</v>
      </c>
      <c r="J341">
        <v>0.23362258390785701</v>
      </c>
      <c r="K341">
        <v>0.14680896814816499</v>
      </c>
      <c r="L341">
        <v>670.23541433927596</v>
      </c>
      <c r="M341">
        <v>13.063753448001901</v>
      </c>
      <c r="N341">
        <v>52.45709117346</v>
      </c>
      <c r="O341">
        <v>50.147447879166997</v>
      </c>
      <c r="P341">
        <v>-5.7014348641212499E-2</v>
      </c>
      <c r="Q341">
        <v>0.124714847314291</v>
      </c>
      <c r="R341">
        <v>0.97281562740462402</v>
      </c>
      <c r="S341" t="s">
        <v>5924</v>
      </c>
      <c r="T341" t="s">
        <v>11164</v>
      </c>
      <c r="U341" t="s">
        <v>11164</v>
      </c>
      <c r="V341" t="s">
        <v>11164</v>
      </c>
      <c r="W341" t="s">
        <v>11502</v>
      </c>
      <c r="X341">
        <v>1</v>
      </c>
      <c r="Y341" t="s">
        <v>17033</v>
      </c>
      <c r="Z341" t="s">
        <v>22491</v>
      </c>
      <c r="AA341">
        <v>0.56248718121616603</v>
      </c>
      <c r="AB341" t="str">
        <f>HYPERLINK("Melting_Curves/meltCurve_D6RF85_ZNF652.pdf", "Melting_Curves/meltCurve_D6RF85_ZNF652.pdf")</f>
        <v>Melting_Curves/meltCurve_D6RF85_ZNF652.pdf</v>
      </c>
    </row>
    <row r="342" spans="1:28" x14ac:dyDescent="0.25">
      <c r="A342" t="s">
        <v>346</v>
      </c>
      <c r="B342">
        <v>0.99796759195183404</v>
      </c>
      <c r="C342">
        <v>1.51381536916839</v>
      </c>
      <c r="D342">
        <v>1.2672152345248</v>
      </c>
      <c r="E342">
        <v>1.30697056954312</v>
      </c>
      <c r="F342">
        <v>1.3243316811183099</v>
      </c>
      <c r="G342">
        <v>0.81363017648634595</v>
      </c>
      <c r="H342">
        <v>0.78327108445168803</v>
      </c>
      <c r="I342">
        <v>0.73459369205928504</v>
      </c>
      <c r="J342">
        <v>0.43598556860409099</v>
      </c>
      <c r="K342">
        <v>0.52387795873563503</v>
      </c>
      <c r="L342">
        <v>1307.63657768904</v>
      </c>
      <c r="M342">
        <v>22.098394830142201</v>
      </c>
      <c r="N342">
        <v>65.950316668093507</v>
      </c>
      <c r="O342">
        <v>58.695199042170699</v>
      </c>
      <c r="P342">
        <v>-5.1921111732520599E-2</v>
      </c>
      <c r="Q342">
        <v>0.44838471967375998</v>
      </c>
      <c r="R342">
        <v>0.52441027378726801</v>
      </c>
      <c r="S342" t="s">
        <v>5925</v>
      </c>
      <c r="T342" t="s">
        <v>11164</v>
      </c>
      <c r="U342" t="s">
        <v>11164</v>
      </c>
      <c r="V342" t="s">
        <v>11164</v>
      </c>
      <c r="W342" t="s">
        <v>11503</v>
      </c>
      <c r="X342">
        <v>1</v>
      </c>
      <c r="Y342" t="s">
        <v>17034</v>
      </c>
      <c r="Z342" t="s">
        <v>22492</v>
      </c>
      <c r="AA342">
        <v>0.85846261216610331</v>
      </c>
      <c r="AB342" t="str">
        <f>HYPERLINK("Melting_Curves/meltCurve_D6RF92_CXCL6.pdf", "Melting_Curves/meltCurve_D6RF92_CXCL6.pdf")</f>
        <v>Melting_Curves/meltCurve_D6RF92_CXCL6.pdf</v>
      </c>
    </row>
    <row r="343" spans="1:28" x14ac:dyDescent="0.25">
      <c r="A343" t="s">
        <v>347</v>
      </c>
      <c r="B343">
        <v>0.99796759195183404</v>
      </c>
      <c r="C343">
        <v>0.98640063094710295</v>
      </c>
      <c r="D343">
        <v>0.97664056326133397</v>
      </c>
      <c r="E343">
        <v>0.98523003934790798</v>
      </c>
      <c r="F343">
        <v>0.923771250569697</v>
      </c>
      <c r="G343">
        <v>0.69685297430528104</v>
      </c>
      <c r="H343">
        <v>0.63046737675521403</v>
      </c>
      <c r="I343">
        <v>0.428118133087938</v>
      </c>
      <c r="J343">
        <v>0.20834436397376799</v>
      </c>
      <c r="K343">
        <v>0.14143137030744601</v>
      </c>
      <c r="L343">
        <v>780.52740998813294</v>
      </c>
      <c r="M343">
        <v>13.273526950625</v>
      </c>
      <c r="N343">
        <v>58.803316813031401</v>
      </c>
      <c r="O343">
        <v>57.516698507192601</v>
      </c>
      <c r="P343">
        <v>-5.7703625125868303E-2</v>
      </c>
      <c r="Q343">
        <v>0</v>
      </c>
      <c r="R343">
        <v>0.98632986932569899</v>
      </c>
      <c r="S343" t="s">
        <v>5926</v>
      </c>
      <c r="T343" t="s">
        <v>11164</v>
      </c>
      <c r="U343" t="s">
        <v>11164</v>
      </c>
      <c r="V343" t="s">
        <v>11164</v>
      </c>
      <c r="W343" t="s">
        <v>11504</v>
      </c>
      <c r="X343">
        <v>5</v>
      </c>
      <c r="Y343" t="s">
        <v>17035</v>
      </c>
      <c r="Z343" t="s">
        <v>22493</v>
      </c>
      <c r="AA343">
        <v>0.72359920157543667</v>
      </c>
      <c r="AB343" t="str">
        <f>HYPERLINK("Melting_Curves/meltCurve_D6RFG8_DCK.pdf", "Melting_Curves/meltCurve_D6RFG8_DCK.pdf")</f>
        <v>Melting_Curves/meltCurve_D6RFG8_DCK.pdf</v>
      </c>
    </row>
    <row r="344" spans="1:28" x14ac:dyDescent="0.25">
      <c r="A344" t="s">
        <v>348</v>
      </c>
      <c r="B344">
        <v>0.99796759195183404</v>
      </c>
      <c r="C344">
        <v>0.95164254623911704</v>
      </c>
      <c r="D344">
        <v>1.07482684399796</v>
      </c>
      <c r="E344">
        <v>0.903350586851705</v>
      </c>
      <c r="F344">
        <v>0.84881200580461602</v>
      </c>
      <c r="G344">
        <v>0.67481011325392204</v>
      </c>
      <c r="H344">
        <v>0.68348424081815495</v>
      </c>
      <c r="I344">
        <v>0.62212123379764295</v>
      </c>
      <c r="J344">
        <v>0.57118834894247394</v>
      </c>
      <c r="K344">
        <v>0.49274579205045499</v>
      </c>
      <c r="L344">
        <v>657.648779462226</v>
      </c>
      <c r="M344">
        <v>12.364947584366099</v>
      </c>
      <c r="O344">
        <v>51.852840646308003</v>
      </c>
      <c r="P344">
        <v>-2.9677175719471201E-2</v>
      </c>
      <c r="Q344">
        <v>0.50229772127769501</v>
      </c>
      <c r="R344">
        <v>0.94169102055632803</v>
      </c>
      <c r="S344" t="s">
        <v>5927</v>
      </c>
      <c r="T344" t="s">
        <v>11164</v>
      </c>
      <c r="U344" t="s">
        <v>11164</v>
      </c>
      <c r="V344" t="s">
        <v>11164</v>
      </c>
      <c r="W344" t="s">
        <v>11505</v>
      </c>
      <c r="X344">
        <v>1</v>
      </c>
      <c r="Y344" t="s">
        <v>17036</v>
      </c>
      <c r="Z344" t="s">
        <v>22494</v>
      </c>
      <c r="AA344">
        <v>0.78089918342916742</v>
      </c>
      <c r="AB344" t="str">
        <f>HYPERLINK("Melting_Curves/meltCurve_D6RFH4_CYB5B.pdf", "Melting_Curves/meltCurve_D6RFH4_CYB5B.pdf")</f>
        <v>Melting_Curves/meltCurve_D6RFH4_CYB5B.pdf</v>
      </c>
    </row>
    <row r="345" spans="1:28" x14ac:dyDescent="0.25">
      <c r="A345" t="s">
        <v>349</v>
      </c>
      <c r="B345">
        <v>0.99796759195183404</v>
      </c>
      <c r="C345">
        <v>1.0084999086850099</v>
      </c>
      <c r="D345">
        <v>0.94344564498843697</v>
      </c>
      <c r="E345">
        <v>0.93830088863958805</v>
      </c>
      <c r="F345">
        <v>0.86458773917115905</v>
      </c>
      <c r="G345">
        <v>0.89920881086848203</v>
      </c>
      <c r="H345">
        <v>0.97966224715118899</v>
      </c>
      <c r="I345">
        <v>0.96856769353760397</v>
      </c>
      <c r="J345">
        <v>1.13939538207448</v>
      </c>
      <c r="K345">
        <v>0.69967131627909596</v>
      </c>
      <c r="L345">
        <v>10696.7414676751</v>
      </c>
      <c r="M345">
        <v>250</v>
      </c>
      <c r="O345">
        <v>42.784204414573402</v>
      </c>
      <c r="P345">
        <v>-0.10655752537289701</v>
      </c>
      <c r="Q345">
        <v>0.927056296734593</v>
      </c>
      <c r="R345">
        <v>7.8200055738681495E-2</v>
      </c>
      <c r="S345" t="s">
        <v>5928</v>
      </c>
      <c r="T345" t="s">
        <v>11164</v>
      </c>
      <c r="U345" t="s">
        <v>11164</v>
      </c>
      <c r="V345" t="s">
        <v>11164</v>
      </c>
      <c r="W345" t="s">
        <v>11506</v>
      </c>
      <c r="X345">
        <v>12</v>
      </c>
      <c r="Y345" t="s">
        <v>17037</v>
      </c>
      <c r="Z345" t="s">
        <v>22495</v>
      </c>
      <c r="AA345">
        <v>0.94113253148674902</v>
      </c>
      <c r="AB345" t="str">
        <f>HYPERLINK("Melting_Curves/meltCurve_D6RGI3_SEPT11.pdf", "Melting_Curves/meltCurve_D6RGI3_SEPT11.pdf")</f>
        <v>Melting_Curves/meltCurve_D6RGI3_SEPT11.pdf</v>
      </c>
    </row>
    <row r="346" spans="1:28" x14ac:dyDescent="0.25">
      <c r="A346" t="s">
        <v>350</v>
      </c>
      <c r="B346">
        <v>0.99796759195183404</v>
      </c>
      <c r="C346">
        <v>0.96971810735054398</v>
      </c>
      <c r="D346">
        <v>1.0252229914423301</v>
      </c>
      <c r="E346">
        <v>0.94047162519128502</v>
      </c>
      <c r="F346">
        <v>0.87783648025489303</v>
      </c>
      <c r="G346">
        <v>0.54579483430905296</v>
      </c>
      <c r="H346">
        <v>0.69092980404211601</v>
      </c>
      <c r="I346">
        <v>0.47877340133558399</v>
      </c>
      <c r="J346">
        <v>0.64730906329966498</v>
      </c>
      <c r="K346">
        <v>0.49995259959347399</v>
      </c>
      <c r="L346">
        <v>12595.9773583363</v>
      </c>
      <c r="M346">
        <v>250</v>
      </c>
      <c r="O346">
        <v>50.380671554142403</v>
      </c>
      <c r="P346">
        <v>-0.53027274647830802</v>
      </c>
      <c r="Q346">
        <v>0.572551931065719</v>
      </c>
      <c r="R346">
        <v>0.90751632168950103</v>
      </c>
      <c r="S346" t="s">
        <v>5929</v>
      </c>
      <c r="T346" t="s">
        <v>11164</v>
      </c>
      <c r="U346" t="s">
        <v>11164</v>
      </c>
      <c r="V346" t="s">
        <v>11164</v>
      </c>
      <c r="W346" t="s">
        <v>11507</v>
      </c>
      <c r="X346">
        <v>2</v>
      </c>
      <c r="Y346" t="s">
        <v>17038</v>
      </c>
      <c r="Z346" t="s">
        <v>22496</v>
      </c>
      <c r="AA346">
        <v>0.76328726869893737</v>
      </c>
      <c r="AB346" t="str">
        <f>HYPERLINK("Melting_Curves/meltCurve_D6RGJ7_SLC9B2.pdf", "Melting_Curves/meltCurve_D6RGJ7_SLC9B2.pdf")</f>
        <v>Melting_Curves/meltCurve_D6RGJ7_SLC9B2.pdf</v>
      </c>
    </row>
    <row r="347" spans="1:28" x14ac:dyDescent="0.25">
      <c r="A347" t="s">
        <v>351</v>
      </c>
      <c r="B347">
        <v>0.99796759195183404</v>
      </c>
      <c r="C347">
        <v>1.49452971904693</v>
      </c>
      <c r="D347">
        <v>1.2545515669464899</v>
      </c>
      <c r="E347">
        <v>1.1457240420113499</v>
      </c>
      <c r="F347">
        <v>1.18229378841692</v>
      </c>
      <c r="G347">
        <v>0.76082254679799999</v>
      </c>
      <c r="H347">
        <v>0.73217897044713898</v>
      </c>
      <c r="I347">
        <v>0.83756750829307103</v>
      </c>
      <c r="J347">
        <v>0.90744279207203904</v>
      </c>
      <c r="K347">
        <v>0.77970657175153801</v>
      </c>
      <c r="L347">
        <v>4598.95498098385</v>
      </c>
      <c r="M347">
        <v>87.876840001797007</v>
      </c>
      <c r="O347">
        <v>52.307035080325299</v>
      </c>
      <c r="P347">
        <v>-8.3147050301380698E-2</v>
      </c>
      <c r="Q347">
        <v>0.80203323979598595</v>
      </c>
      <c r="R347">
        <v>0.32804281267624302</v>
      </c>
      <c r="S347" t="s">
        <v>5930</v>
      </c>
      <c r="T347" t="s">
        <v>11164</v>
      </c>
      <c r="U347" t="s">
        <v>11164</v>
      </c>
      <c r="V347" t="s">
        <v>11164</v>
      </c>
      <c r="W347" t="s">
        <v>11508</v>
      </c>
      <c r="X347">
        <v>3</v>
      </c>
      <c r="Y347" t="s">
        <v>17039</v>
      </c>
      <c r="Z347" t="s">
        <v>22497</v>
      </c>
      <c r="AA347">
        <v>0.90336867225087913</v>
      </c>
      <c r="AB347" t="str">
        <f>HYPERLINK("Melting_Curves/meltCurve_D6RHD2_SPRY1.pdf", "Melting_Curves/meltCurve_D6RHD2_SPRY1.pdf")</f>
        <v>Melting_Curves/meltCurve_D6RHD2_SPRY1.pdf</v>
      </c>
    </row>
    <row r="348" spans="1:28" x14ac:dyDescent="0.25">
      <c r="A348" t="s">
        <v>352</v>
      </c>
      <c r="B348">
        <v>0.99796759195183404</v>
      </c>
      <c r="C348">
        <v>1.03995154165562</v>
      </c>
      <c r="D348">
        <v>0.87092155846647701</v>
      </c>
      <c r="E348">
        <v>0.91197045179787295</v>
      </c>
      <c r="F348">
        <v>0.54741182275655298</v>
      </c>
      <c r="G348">
        <v>0.30400164573184202</v>
      </c>
      <c r="H348">
        <v>0.26203984139590197</v>
      </c>
      <c r="I348">
        <v>0.21772838642905601</v>
      </c>
      <c r="J348">
        <v>0.139215618610771</v>
      </c>
      <c r="K348">
        <v>0.13142039991153101</v>
      </c>
      <c r="L348">
        <v>1020.84170260743</v>
      </c>
      <c r="M348">
        <v>20.3700936629727</v>
      </c>
      <c r="N348">
        <v>51.063331797126203</v>
      </c>
      <c r="O348">
        <v>49.639246374458601</v>
      </c>
      <c r="P348">
        <v>-8.64324607836265E-2</v>
      </c>
      <c r="Q348">
        <v>0.157527226648283</v>
      </c>
      <c r="R348">
        <v>0.98250233850930202</v>
      </c>
      <c r="S348" t="s">
        <v>5931</v>
      </c>
      <c r="T348" t="s">
        <v>11164</v>
      </c>
      <c r="U348" t="s">
        <v>11164</v>
      </c>
      <c r="V348" t="s">
        <v>11164</v>
      </c>
      <c r="W348" t="s">
        <v>11509</v>
      </c>
      <c r="X348">
        <v>2</v>
      </c>
      <c r="Y348" t="s">
        <v>17040</v>
      </c>
      <c r="Z348" t="s">
        <v>22498</v>
      </c>
      <c r="AA348">
        <v>0.53656120064600699</v>
      </c>
      <c r="AB348" t="str">
        <f>HYPERLINK("Melting_Curves/meltCurve_D6RHD3_CENPK.pdf", "Melting_Curves/meltCurve_D6RHD3_CENPK.pdf")</f>
        <v>Melting_Curves/meltCurve_D6RHD3_CENPK.pdf</v>
      </c>
    </row>
    <row r="349" spans="1:28" x14ac:dyDescent="0.25">
      <c r="A349" t="s">
        <v>353</v>
      </c>
      <c r="B349">
        <v>0.99796759195183404</v>
      </c>
      <c r="C349">
        <v>1.0536028269046001</v>
      </c>
      <c r="D349">
        <v>1.00568056390553</v>
      </c>
      <c r="E349">
        <v>1.00118087897505</v>
      </c>
      <c r="F349">
        <v>0.830932555710996</v>
      </c>
      <c r="G349">
        <v>0.68401050403097496</v>
      </c>
      <c r="H349">
        <v>0.70303518185446101</v>
      </c>
      <c r="I349">
        <v>0.608728159291266</v>
      </c>
      <c r="J349">
        <v>0.71261953527821098</v>
      </c>
      <c r="K349">
        <v>0.54591955810831705</v>
      </c>
      <c r="L349">
        <v>1564.6573683929701</v>
      </c>
      <c r="M349">
        <v>30.925368276246601</v>
      </c>
      <c r="O349">
        <v>50.384477630577003</v>
      </c>
      <c r="P349">
        <v>-5.5557043508144603E-2</v>
      </c>
      <c r="Q349">
        <v>0.63794171354499196</v>
      </c>
      <c r="R349">
        <v>0.93123638189595404</v>
      </c>
      <c r="S349" t="s">
        <v>5932</v>
      </c>
      <c r="T349" t="s">
        <v>11164</v>
      </c>
      <c r="U349" t="s">
        <v>11164</v>
      </c>
      <c r="V349" t="s">
        <v>11164</v>
      </c>
      <c r="W349" t="s">
        <v>11510</v>
      </c>
      <c r="X349">
        <v>9</v>
      </c>
      <c r="Y349" t="s">
        <v>17041</v>
      </c>
      <c r="Z349" t="s">
        <v>22499</v>
      </c>
      <c r="AA349">
        <v>0.8041223022068259</v>
      </c>
      <c r="AB349" t="str">
        <f>HYPERLINK("Melting_Curves/meltCurve_D6RHI9_RNASET2.pdf", "Melting_Curves/meltCurve_D6RHI9_RNASET2.pdf")</f>
        <v>Melting_Curves/meltCurve_D6RHI9_RNASET2.pdf</v>
      </c>
    </row>
    <row r="350" spans="1:28" x14ac:dyDescent="0.25">
      <c r="A350" t="s">
        <v>354</v>
      </c>
      <c r="B350">
        <v>0.99796759195183404</v>
      </c>
      <c r="C350">
        <v>0.93616522158903903</v>
      </c>
      <c r="D350">
        <v>0.94939010102344201</v>
      </c>
      <c r="E350">
        <v>0.84997517061934602</v>
      </c>
      <c r="F350">
        <v>0.81557848035659197</v>
      </c>
      <c r="G350">
        <v>0.74522631807300899</v>
      </c>
      <c r="H350">
        <v>1.8809487765451001</v>
      </c>
      <c r="I350">
        <v>2.5079642015719701</v>
      </c>
      <c r="J350">
        <v>2.8683940253453901</v>
      </c>
      <c r="K350">
        <v>1.84787980153467</v>
      </c>
      <c r="L350">
        <v>4181.1214788706602</v>
      </c>
      <c r="M350">
        <v>75.484342767114995</v>
      </c>
      <c r="O350">
        <v>55.351739989083697</v>
      </c>
      <c r="P350">
        <v>0.17046518190651</v>
      </c>
      <c r="Q350">
        <v>1.5</v>
      </c>
      <c r="R350">
        <v>0.38791980153746602</v>
      </c>
      <c r="S350" t="s">
        <v>5933</v>
      </c>
      <c r="T350" t="s">
        <v>11164</v>
      </c>
      <c r="U350" t="s">
        <v>11164</v>
      </c>
      <c r="V350" t="s">
        <v>11164</v>
      </c>
      <c r="W350" t="s">
        <v>11511</v>
      </c>
      <c r="X350">
        <v>4</v>
      </c>
      <c r="Y350" t="s">
        <v>17042</v>
      </c>
      <c r="Z350" t="s">
        <v>22500</v>
      </c>
      <c r="AA350">
        <v>1.192956055548728</v>
      </c>
      <c r="AB350" t="str">
        <f>HYPERLINK("Melting_Curves/meltCurve_D6RIE3_COX7A2.pdf", "Melting_Curves/meltCurve_D6RIE3_COX7A2.pdf")</f>
        <v>Melting_Curves/meltCurve_D6RIE3_COX7A2.pdf</v>
      </c>
    </row>
    <row r="351" spans="1:28" x14ac:dyDescent="0.25">
      <c r="A351" t="s">
        <v>355</v>
      </c>
      <c r="B351">
        <v>0.99796759195183404</v>
      </c>
      <c r="C351">
        <v>1.0777743631838199</v>
      </c>
      <c r="D351">
        <v>1.00714236670065</v>
      </c>
      <c r="E351">
        <v>1.0128377520988801</v>
      </c>
      <c r="F351">
        <v>0.70565456892131595</v>
      </c>
      <c r="G351">
        <v>0.32099365169380001</v>
      </c>
      <c r="H351">
        <v>0.24960556555190899</v>
      </c>
      <c r="I351">
        <v>0.17585245705528299</v>
      </c>
      <c r="J351">
        <v>0.177320582518742</v>
      </c>
      <c r="K351">
        <v>0.102435995590726</v>
      </c>
      <c r="L351">
        <v>1559.35880133262</v>
      </c>
      <c r="M351">
        <v>30.383049215710901</v>
      </c>
      <c r="N351">
        <v>51.999799993152202</v>
      </c>
      <c r="O351">
        <v>51.102520995321903</v>
      </c>
      <c r="P351">
        <v>-0.124373521576155</v>
      </c>
      <c r="Q351">
        <v>0.16324910265141501</v>
      </c>
      <c r="R351">
        <v>0.98975935484227096</v>
      </c>
      <c r="S351" t="s">
        <v>5934</v>
      </c>
      <c r="T351" t="s">
        <v>11164</v>
      </c>
      <c r="U351" t="s">
        <v>11164</v>
      </c>
      <c r="V351" t="s">
        <v>11164</v>
      </c>
      <c r="W351" t="s">
        <v>11512</v>
      </c>
      <c r="X351">
        <v>2</v>
      </c>
      <c r="Y351" t="s">
        <v>17043</v>
      </c>
      <c r="Z351" t="s">
        <v>22501</v>
      </c>
      <c r="AA351">
        <v>0.56785938813753656</v>
      </c>
      <c r="AB351" t="str">
        <f>HYPERLINK("Melting_Curves/meltCurve_D6W592_HNRPLL.pdf", "Melting_Curves/meltCurve_D6W592_HNRPLL.pdf")</f>
        <v>Melting_Curves/meltCurve_D6W592_HNRPLL.pdf</v>
      </c>
    </row>
    <row r="352" spans="1:28" x14ac:dyDescent="0.25">
      <c r="A352" t="s">
        <v>356</v>
      </c>
      <c r="B352">
        <v>0.99796759195183404</v>
      </c>
      <c r="C352">
        <v>0.95412946528475195</v>
      </c>
      <c r="D352">
        <v>0.87086175080634298</v>
      </c>
      <c r="E352">
        <v>0.85881057314708398</v>
      </c>
      <c r="F352">
        <v>0.76550309836012698</v>
      </c>
      <c r="G352">
        <v>1.1621203587645299</v>
      </c>
      <c r="H352">
        <v>0.918228301928811</v>
      </c>
      <c r="I352">
        <v>1.00219275075439</v>
      </c>
      <c r="J352">
        <v>0.66098354723931296</v>
      </c>
      <c r="K352">
        <v>0.333555402421713</v>
      </c>
      <c r="L352">
        <v>15000</v>
      </c>
      <c r="M352">
        <v>234.044061496392</v>
      </c>
      <c r="N352">
        <v>64.393084933630405</v>
      </c>
      <c r="O352">
        <v>64.085801909719294</v>
      </c>
      <c r="P352">
        <v>-0.60849430628763701</v>
      </c>
      <c r="Q352">
        <v>0.33352969254319598</v>
      </c>
      <c r="R352">
        <v>0.72931624425938502</v>
      </c>
      <c r="S352" t="s">
        <v>5935</v>
      </c>
      <c r="T352" t="s">
        <v>11164</v>
      </c>
      <c r="U352" t="s">
        <v>11164</v>
      </c>
      <c r="V352" t="s">
        <v>11164</v>
      </c>
      <c r="W352" t="s">
        <v>11513</v>
      </c>
      <c r="X352">
        <v>7</v>
      </c>
      <c r="Y352" t="s">
        <v>17044</v>
      </c>
      <c r="Z352" t="s">
        <v>22502</v>
      </c>
      <c r="AA352">
        <v>0.93544867716189017</v>
      </c>
      <c r="AB352" t="str">
        <f>HYPERLINK("Melting_Curves/meltCurve_E2QRB3_PYCR1.pdf", "Melting_Curves/meltCurve_E2QRB3_PYCR1.pdf")</f>
        <v>Melting_Curves/meltCurve_E2QRB3_PYCR1.pdf</v>
      </c>
    </row>
    <row r="353" spans="1:28" x14ac:dyDescent="0.25">
      <c r="A353" t="s">
        <v>357</v>
      </c>
      <c r="B353">
        <v>0.99796759195183404</v>
      </c>
      <c r="C353">
        <v>1.0187963617937701</v>
      </c>
      <c r="D353">
        <v>0.97133351673951995</v>
      </c>
      <c r="E353">
        <v>0.85933102865543998</v>
      </c>
      <c r="F353">
        <v>0.78826096934606704</v>
      </c>
      <c r="G353">
        <v>0.55458519297999997</v>
      </c>
      <c r="H353">
        <v>0.31787435986128199</v>
      </c>
      <c r="I353">
        <v>0.20784280489086299</v>
      </c>
      <c r="J353">
        <v>0.149553466749974</v>
      </c>
      <c r="K353">
        <v>0.12674403702534701</v>
      </c>
      <c r="L353">
        <v>769.12731914389497</v>
      </c>
      <c r="M353">
        <v>14.2554690380605</v>
      </c>
      <c r="N353">
        <v>54.447562091617002</v>
      </c>
      <c r="O353">
        <v>52.924739349470102</v>
      </c>
      <c r="P353">
        <v>-6.3257973842177101E-2</v>
      </c>
      <c r="Q353">
        <v>6.0711639639873603E-2</v>
      </c>
      <c r="R353">
        <v>0.99598301947850798</v>
      </c>
      <c r="S353" t="s">
        <v>5936</v>
      </c>
      <c r="T353" t="s">
        <v>11164</v>
      </c>
      <c r="U353" t="s">
        <v>11164</v>
      </c>
      <c r="V353" t="s">
        <v>11164</v>
      </c>
      <c r="W353" t="s">
        <v>11514</v>
      </c>
      <c r="X353">
        <v>5</v>
      </c>
      <c r="Y353" t="s">
        <v>17045</v>
      </c>
      <c r="Z353" t="s">
        <v>22503</v>
      </c>
      <c r="AA353">
        <v>0.60733743928260908</v>
      </c>
      <c r="AB353" t="str">
        <f>HYPERLINK("Melting_Curves/meltCurve_E2QRD5_C15orf38_AP3S2.pdf", "Melting_Curves/meltCurve_E2QRD5_C15orf38_AP3S2.pdf")</f>
        <v>Melting_Curves/meltCurve_E2QRD5_C15orf38_AP3S2.pdf</v>
      </c>
    </row>
    <row r="354" spans="1:28" x14ac:dyDescent="0.25">
      <c r="A354" t="s">
        <v>358</v>
      </c>
      <c r="B354">
        <v>0.99796759195183404</v>
      </c>
      <c r="C354">
        <v>0.99942791849870505</v>
      </c>
      <c r="D354">
        <v>0.92234689579867601</v>
      </c>
      <c r="E354">
        <v>0.97388935070379601</v>
      </c>
      <c r="F354">
        <v>0.89832007149469395</v>
      </c>
      <c r="G354">
        <v>0.582855871118238</v>
      </c>
      <c r="H354">
        <v>0.69420353072407404</v>
      </c>
      <c r="I354">
        <v>0.75327988949160296</v>
      </c>
      <c r="J354">
        <v>0.89869995546026904</v>
      </c>
      <c r="K354">
        <v>1.01220979300778</v>
      </c>
      <c r="L354">
        <v>12553.9802626862</v>
      </c>
      <c r="M354">
        <v>250</v>
      </c>
      <c r="O354">
        <v>50.212728756434799</v>
      </c>
      <c r="P354">
        <v>-0.26356648266911498</v>
      </c>
      <c r="Q354">
        <v>0.78824981216869605</v>
      </c>
      <c r="R354">
        <v>0.37901408809061998</v>
      </c>
      <c r="S354" t="s">
        <v>5937</v>
      </c>
      <c r="T354" t="s">
        <v>11164</v>
      </c>
      <c r="U354" t="s">
        <v>11164</v>
      </c>
      <c r="V354" t="s">
        <v>11164</v>
      </c>
      <c r="W354" t="s">
        <v>11515</v>
      </c>
      <c r="X354">
        <v>5</v>
      </c>
      <c r="Y354" t="s">
        <v>17046</v>
      </c>
      <c r="Z354" t="s">
        <v>22504</v>
      </c>
      <c r="AA354">
        <v>0.88155093215174074</v>
      </c>
      <c r="AB354" t="str">
        <f>HYPERLINK("Melting_Curves/meltCurve_E2QRF9_GMNN.pdf", "Melting_Curves/meltCurve_E2QRF9_GMNN.pdf")</f>
        <v>Melting_Curves/meltCurve_E2QRF9_GMNN.pdf</v>
      </c>
    </row>
    <row r="355" spans="1:28" x14ac:dyDescent="0.25">
      <c r="A355" t="s">
        <v>359</v>
      </c>
      <c r="B355">
        <v>0.99796759195183404</v>
      </c>
      <c r="C355">
        <v>1.0655634723657801</v>
      </c>
      <c r="D355">
        <v>0.99318210517830396</v>
      </c>
      <c r="E355">
        <v>0.98024034653293401</v>
      </c>
      <c r="F355">
        <v>0.79410306349283799</v>
      </c>
      <c r="G355">
        <v>0.47255106039283601</v>
      </c>
      <c r="H355">
        <v>0.220972479486018</v>
      </c>
      <c r="I355">
        <v>0.17550863686635801</v>
      </c>
      <c r="J355">
        <v>0.15613136481149401</v>
      </c>
      <c r="K355">
        <v>0.11553934529819</v>
      </c>
      <c r="L355">
        <v>1282.82792407436</v>
      </c>
      <c r="M355">
        <v>24.320665498116401</v>
      </c>
      <c r="N355">
        <v>53.4069101076498</v>
      </c>
      <c r="O355">
        <v>52.393689712701999</v>
      </c>
      <c r="P355">
        <v>-0.100977151962585</v>
      </c>
      <c r="Q355">
        <v>0.129878129249094</v>
      </c>
      <c r="R355">
        <v>0.99611650193531198</v>
      </c>
      <c r="S355" t="s">
        <v>5938</v>
      </c>
      <c r="T355" t="s">
        <v>11164</v>
      </c>
      <c r="U355" t="s">
        <v>11164</v>
      </c>
      <c r="V355" t="s">
        <v>11164</v>
      </c>
      <c r="W355" t="s">
        <v>11516</v>
      </c>
      <c r="X355">
        <v>27</v>
      </c>
      <c r="Y355" t="s">
        <v>17047</v>
      </c>
      <c r="Z355" t="s">
        <v>22505</v>
      </c>
      <c r="AA355">
        <v>0.59466344386305037</v>
      </c>
      <c r="AB355" t="str">
        <f>HYPERLINK("Melting_Curves/meltCurve_E5KLJ5_OPA1.pdf", "Melting_Curves/meltCurve_E5KLJ5_OPA1.pdf")</f>
        <v>Melting_Curves/meltCurve_E5KLJ5_OPA1.pdf</v>
      </c>
    </row>
    <row r="356" spans="1:28" x14ac:dyDescent="0.25">
      <c r="A356" t="s">
        <v>360</v>
      </c>
      <c r="B356">
        <v>0.99796759195183404</v>
      </c>
      <c r="C356">
        <v>1.0465581567859601</v>
      </c>
      <c r="D356">
        <v>1.0178699842844099</v>
      </c>
      <c r="E356">
        <v>0.84957065803394805</v>
      </c>
      <c r="F356">
        <v>0.59405560189864504</v>
      </c>
      <c r="G356">
        <v>0.51014457502967403</v>
      </c>
      <c r="H356">
        <v>0.33288170617809199</v>
      </c>
      <c r="I356">
        <v>0.273868228509415</v>
      </c>
      <c r="J356">
        <v>0.20526158044859499</v>
      </c>
      <c r="K356">
        <v>0.17314618342087801</v>
      </c>
      <c r="L356">
        <v>723.75458678308496</v>
      </c>
      <c r="M356">
        <v>14.0248021315097</v>
      </c>
      <c r="N356">
        <v>53.110490269689301</v>
      </c>
      <c r="O356">
        <v>50.590112887316501</v>
      </c>
      <c r="P356">
        <v>-5.7948215219823303E-2</v>
      </c>
      <c r="Q356">
        <v>0.16398906241602301</v>
      </c>
      <c r="R356">
        <v>0.98584553875893299</v>
      </c>
      <c r="S356" t="s">
        <v>5939</v>
      </c>
      <c r="T356" t="s">
        <v>11164</v>
      </c>
      <c r="U356" t="s">
        <v>11164</v>
      </c>
      <c r="V356" t="s">
        <v>11164</v>
      </c>
      <c r="W356" t="s">
        <v>11517</v>
      </c>
      <c r="X356">
        <v>5</v>
      </c>
      <c r="Y356" t="s">
        <v>17048</v>
      </c>
      <c r="Z356" t="s">
        <v>22506</v>
      </c>
      <c r="AA356">
        <v>0.58868164908406817</v>
      </c>
      <c r="AB356" t="str">
        <f>HYPERLINK("Melting_Curves/meltCurve_E5RFJ1_NSMCE2.pdf", "Melting_Curves/meltCurve_E5RFJ1_NSMCE2.pdf")</f>
        <v>Melting_Curves/meltCurve_E5RFJ1_NSMCE2.pdf</v>
      </c>
    </row>
    <row r="357" spans="1:28" x14ac:dyDescent="0.25">
      <c r="A357" t="s">
        <v>361</v>
      </c>
      <c r="B357">
        <v>0.99796759195183404</v>
      </c>
      <c r="C357">
        <v>0.81097294580992196</v>
      </c>
      <c r="D357">
        <v>0.75132933559938397</v>
      </c>
      <c r="E357">
        <v>0.77411855497200999</v>
      </c>
      <c r="F357">
        <v>0.78637507819177999</v>
      </c>
      <c r="G357">
        <v>0.75938827869287595</v>
      </c>
      <c r="H357">
        <v>0.51537932176485701</v>
      </c>
      <c r="I357">
        <v>0.21395976136852601</v>
      </c>
      <c r="J357">
        <v>0.15278213540532501</v>
      </c>
      <c r="K357">
        <v>5.0889094112478599E-2</v>
      </c>
      <c r="L357">
        <v>606.55130477144996</v>
      </c>
      <c r="M357">
        <v>10.8288603268111</v>
      </c>
      <c r="N357">
        <v>56.012478379023896</v>
      </c>
      <c r="O357">
        <v>54.203817076525901</v>
      </c>
      <c r="P357">
        <v>-4.9963005947006603E-2</v>
      </c>
      <c r="Q357">
        <v>0</v>
      </c>
      <c r="R357">
        <v>0.85745102267065798</v>
      </c>
      <c r="S357" t="s">
        <v>5940</v>
      </c>
      <c r="T357" t="s">
        <v>11164</v>
      </c>
      <c r="U357" t="s">
        <v>11164</v>
      </c>
      <c r="V357" t="s">
        <v>11164</v>
      </c>
      <c r="W357" t="s">
        <v>11518</v>
      </c>
      <c r="X357">
        <v>2</v>
      </c>
      <c r="Y357" t="s">
        <v>17049</v>
      </c>
      <c r="Z357" t="s">
        <v>22507</v>
      </c>
      <c r="AA357">
        <v>0.64164992014648947</v>
      </c>
      <c r="AB357" t="str">
        <f>HYPERLINK("Melting_Curves/meltCurve_E5RFQ1_EBF1.pdf", "Melting_Curves/meltCurve_E5RFQ1_EBF1.pdf")</f>
        <v>Melting_Curves/meltCurve_E5RFQ1_EBF1.pdf</v>
      </c>
    </row>
    <row r="358" spans="1:28" x14ac:dyDescent="0.25">
      <c r="A358" t="s">
        <v>362</v>
      </c>
      <c r="B358">
        <v>0.99796759195183404</v>
      </c>
      <c r="C358">
        <v>0.94970741409848702</v>
      </c>
      <c r="D358">
        <v>0.97619145367619198</v>
      </c>
      <c r="E358">
        <v>0.76424434626233795</v>
      </c>
      <c r="F358">
        <v>0.70290467661882605</v>
      </c>
      <c r="G358">
        <v>0.65310427840312002</v>
      </c>
      <c r="H358">
        <v>0.47764494487508202</v>
      </c>
      <c r="I358">
        <v>0.37884139206775802</v>
      </c>
      <c r="J358">
        <v>0.39811410029952699</v>
      </c>
      <c r="K358">
        <v>0.303723030829888</v>
      </c>
      <c r="L358">
        <v>449.39576924952001</v>
      </c>
      <c r="M358">
        <v>8.3239066845469001</v>
      </c>
      <c r="N358">
        <v>57.162783053157199</v>
      </c>
      <c r="O358">
        <v>51.1419328792933</v>
      </c>
      <c r="P358">
        <v>-3.3192464250806103E-2</v>
      </c>
      <c r="Q358">
        <v>0.18505879405569201</v>
      </c>
      <c r="R358">
        <v>0.97616771485014298</v>
      </c>
      <c r="S358" t="s">
        <v>5941</v>
      </c>
      <c r="T358" t="s">
        <v>11164</v>
      </c>
      <c r="U358" t="s">
        <v>11164</v>
      </c>
      <c r="V358" t="s">
        <v>11164</v>
      </c>
      <c r="W358" t="s">
        <v>11519</v>
      </c>
      <c r="X358">
        <v>11</v>
      </c>
      <c r="Y358" t="s">
        <v>17050</v>
      </c>
      <c r="Z358" t="s">
        <v>22508</v>
      </c>
      <c r="AA358">
        <v>0.65911903725059562</v>
      </c>
      <c r="AB358" t="str">
        <f>HYPERLINK("Melting_Curves/meltCurve_E5RG13_IMPA1.pdf", "Melting_Curves/meltCurve_E5RG13_IMPA1.pdf")</f>
        <v>Melting_Curves/meltCurve_E5RG13_IMPA1.pdf</v>
      </c>
    </row>
    <row r="359" spans="1:28" x14ac:dyDescent="0.25">
      <c r="A359" t="s">
        <v>363</v>
      </c>
      <c r="B359">
        <v>0.99796759195183404</v>
      </c>
      <c r="C359">
        <v>0.95913701640017202</v>
      </c>
      <c r="D359">
        <v>0.97759407226784301</v>
      </c>
      <c r="E359">
        <v>0.91290281070081503</v>
      </c>
      <c r="F359">
        <v>0.78542090915358198</v>
      </c>
      <c r="G359">
        <v>0.60174242814537804</v>
      </c>
      <c r="H359">
        <v>0.535089463695542</v>
      </c>
      <c r="I359">
        <v>0.45534117838274502</v>
      </c>
      <c r="J359">
        <v>0.50524911176749498</v>
      </c>
      <c r="K359">
        <v>0.224072155225883</v>
      </c>
      <c r="L359">
        <v>487.15158132606399</v>
      </c>
      <c r="M359">
        <v>8.64179638223208</v>
      </c>
      <c r="N359">
        <v>58.8917993455632</v>
      </c>
      <c r="O359">
        <v>53.596775133678499</v>
      </c>
      <c r="P359">
        <v>-3.4107531201000199E-2</v>
      </c>
      <c r="Q359">
        <v>0.154570546923744</v>
      </c>
      <c r="R359">
        <v>0.94791011318274299</v>
      </c>
      <c r="S359" t="s">
        <v>5942</v>
      </c>
      <c r="T359" t="s">
        <v>11164</v>
      </c>
      <c r="U359" t="s">
        <v>11164</v>
      </c>
      <c r="V359" t="s">
        <v>11164</v>
      </c>
      <c r="W359" t="s">
        <v>11520</v>
      </c>
      <c r="X359">
        <v>14</v>
      </c>
      <c r="Y359" t="s">
        <v>17051</v>
      </c>
      <c r="Z359" t="s">
        <v>22509</v>
      </c>
      <c r="AA359">
        <v>0.69907471398950283</v>
      </c>
      <c r="AB359" t="str">
        <f>HYPERLINK("Melting_Curves/meltCurve_E5RG17_TATDN1.pdf", "Melting_Curves/meltCurve_E5RG17_TATDN1.pdf")</f>
        <v>Melting_Curves/meltCurve_E5RG17_TATDN1.pdf</v>
      </c>
    </row>
    <row r="360" spans="1:28" x14ac:dyDescent="0.25">
      <c r="A360" t="s">
        <v>364</v>
      </c>
      <c r="B360">
        <v>0.99796759195183404</v>
      </c>
      <c r="C360">
        <v>1.03839043539112</v>
      </c>
      <c r="D360">
        <v>0.97871104008826404</v>
      </c>
      <c r="E360">
        <v>0.78758856943475097</v>
      </c>
      <c r="F360">
        <v>0.79572144077227402</v>
      </c>
      <c r="G360">
        <v>0.65664234821829204</v>
      </c>
      <c r="H360">
        <v>0.50757306808416502</v>
      </c>
      <c r="I360">
        <v>0.32093631705854597</v>
      </c>
      <c r="J360">
        <v>0.266929090664072</v>
      </c>
      <c r="K360">
        <v>0.147129263278241</v>
      </c>
      <c r="L360">
        <v>546.59164342041595</v>
      </c>
      <c r="M360">
        <v>9.6185203493980094</v>
      </c>
      <c r="N360">
        <v>56.826978986246203</v>
      </c>
      <c r="O360">
        <v>54.5336022579135</v>
      </c>
      <c r="P360">
        <v>-4.4119360554388899E-2</v>
      </c>
      <c r="Q360">
        <v>0</v>
      </c>
      <c r="R360">
        <v>0.98038524710626396</v>
      </c>
      <c r="S360" t="s">
        <v>5943</v>
      </c>
      <c r="T360" t="s">
        <v>11164</v>
      </c>
      <c r="U360" t="s">
        <v>11164</v>
      </c>
      <c r="V360" t="s">
        <v>11164</v>
      </c>
      <c r="W360" t="s">
        <v>11521</v>
      </c>
      <c r="X360">
        <v>1</v>
      </c>
      <c r="Y360" t="s">
        <v>17052</v>
      </c>
      <c r="Z360" t="s">
        <v>22510</v>
      </c>
      <c r="AA360">
        <v>0.65988877252576161</v>
      </c>
      <c r="AB360" t="str">
        <f>HYPERLINK("Melting_Curves/meltCurve_E5RGQ3_RWDD1.pdf", "Melting_Curves/meltCurve_E5RGQ3_RWDD1.pdf")</f>
        <v>Melting_Curves/meltCurve_E5RGQ3_RWDD1.pdf</v>
      </c>
    </row>
    <row r="361" spans="1:28" x14ac:dyDescent="0.25">
      <c r="A361" t="s">
        <v>365</v>
      </c>
      <c r="B361">
        <v>0.99796759195183404</v>
      </c>
      <c r="C361">
        <v>0.87991995822220404</v>
      </c>
      <c r="D361">
        <v>0.81469380749987497</v>
      </c>
      <c r="E361">
        <v>0.91751808567875304</v>
      </c>
      <c r="F361">
        <v>0.769676148344966</v>
      </c>
      <c r="G361">
        <v>0.56223032820081897</v>
      </c>
      <c r="H361">
        <v>0.80209514923010305</v>
      </c>
      <c r="I361">
        <v>0.70189788220157401</v>
      </c>
      <c r="J361">
        <v>0.89722193252638405</v>
      </c>
      <c r="K361">
        <v>1.0041736855446901</v>
      </c>
      <c r="L361">
        <v>1932.6820392898801</v>
      </c>
      <c r="M361">
        <v>48.926691919789</v>
      </c>
      <c r="O361">
        <v>39.435776873651903</v>
      </c>
      <c r="P361">
        <v>-5.9505869878952303E-2</v>
      </c>
      <c r="Q361">
        <v>0.80814910894723202</v>
      </c>
      <c r="R361">
        <v>0.20599394724101699</v>
      </c>
      <c r="S361" t="s">
        <v>5944</v>
      </c>
      <c r="T361" t="s">
        <v>11164</v>
      </c>
      <c r="U361" t="s">
        <v>11164</v>
      </c>
      <c r="V361" t="s">
        <v>11164</v>
      </c>
      <c r="W361" t="s">
        <v>11375</v>
      </c>
      <c r="X361">
        <v>9</v>
      </c>
      <c r="Y361" t="s">
        <v>17053</v>
      </c>
      <c r="Z361" t="s">
        <v>22511</v>
      </c>
      <c r="AA361">
        <v>0.82465288146207327</v>
      </c>
      <c r="AB361" t="str">
        <f>HYPERLINK("Melting_Curves/meltCurve_E5RGX5_STMN2.pdf", "Melting_Curves/meltCurve_E5RGX5_STMN2.pdf")</f>
        <v>Melting_Curves/meltCurve_E5RGX5_STMN2.pdf</v>
      </c>
    </row>
    <row r="362" spans="1:28" x14ac:dyDescent="0.25">
      <c r="A362" t="s">
        <v>366</v>
      </c>
      <c r="B362">
        <v>0.99796759195183404</v>
      </c>
      <c r="C362">
        <v>1.07444796700755</v>
      </c>
      <c r="D362">
        <v>0.956475047197207</v>
      </c>
      <c r="E362">
        <v>1.0950964643659</v>
      </c>
      <c r="F362">
        <v>0.92361797071737695</v>
      </c>
      <c r="G362">
        <v>0.71904195991322795</v>
      </c>
      <c r="H362">
        <v>0.420650470354137</v>
      </c>
      <c r="I362">
        <v>0.29840377147020702</v>
      </c>
      <c r="J362">
        <v>0.40341316988270098</v>
      </c>
      <c r="K362">
        <v>0.314254269050534</v>
      </c>
      <c r="L362">
        <v>1828.10946801964</v>
      </c>
      <c r="M362">
        <v>33.724588053919803</v>
      </c>
      <c r="N362">
        <v>56.028358922895997</v>
      </c>
      <c r="O362">
        <v>54.017487515183497</v>
      </c>
      <c r="P362">
        <v>-0.104115438684068</v>
      </c>
      <c r="Q362">
        <v>0.332945868488352</v>
      </c>
      <c r="R362">
        <v>0.97369732442427703</v>
      </c>
      <c r="S362" t="s">
        <v>5945</v>
      </c>
      <c r="T362" t="s">
        <v>11164</v>
      </c>
      <c r="U362" t="s">
        <v>11164</v>
      </c>
      <c r="V362" t="s">
        <v>11164</v>
      </c>
      <c r="W362" t="s">
        <v>11522</v>
      </c>
      <c r="X362">
        <v>4</v>
      </c>
      <c r="Y362" t="s">
        <v>17054</v>
      </c>
      <c r="Z362" t="s">
        <v>22512</v>
      </c>
      <c r="AA362">
        <v>0.71898200244858379</v>
      </c>
      <c r="AB362" t="str">
        <f>HYPERLINK("Melting_Curves/meltCurve_E5RGY0_DERL1.pdf", "Melting_Curves/meltCurve_E5RGY0_DERL1.pdf")</f>
        <v>Melting_Curves/meltCurve_E5RGY0_DERL1.pdf</v>
      </c>
    </row>
    <row r="363" spans="1:28" x14ac:dyDescent="0.25">
      <c r="A363" t="s">
        <v>367</v>
      </c>
      <c r="B363">
        <v>0.99796759195183404</v>
      </c>
      <c r="C363">
        <v>1.0036718559295099</v>
      </c>
      <c r="D363">
        <v>1.0125705064574599</v>
      </c>
      <c r="E363">
        <v>0.96105882182049995</v>
      </c>
      <c r="F363">
        <v>0.85531611093696502</v>
      </c>
      <c r="G363">
        <v>0.63735729669033903</v>
      </c>
      <c r="H363">
        <v>0.39236955329409301</v>
      </c>
      <c r="I363">
        <v>0.16383468332590301</v>
      </c>
      <c r="J363">
        <v>0.11160769162753</v>
      </c>
      <c r="K363">
        <v>7.1501044023462607E-2</v>
      </c>
      <c r="L363">
        <v>949.28602095049303</v>
      </c>
      <c r="M363">
        <v>17.094946045217998</v>
      </c>
      <c r="N363">
        <v>55.6289702134263</v>
      </c>
      <c r="O363">
        <v>54.7870405695665</v>
      </c>
      <c r="P363">
        <v>-7.6845129756886593E-2</v>
      </c>
      <c r="Q363">
        <v>1.49456679330424E-2</v>
      </c>
      <c r="R363">
        <v>0.998915415122276</v>
      </c>
      <c r="S363" t="s">
        <v>5946</v>
      </c>
      <c r="T363" t="s">
        <v>11164</v>
      </c>
      <c r="U363" t="s">
        <v>11164</v>
      </c>
      <c r="V363" t="s">
        <v>11164</v>
      </c>
      <c r="W363" t="s">
        <v>11523</v>
      </c>
      <c r="X363">
        <v>6</v>
      </c>
      <c r="Y363" t="s">
        <v>17055</v>
      </c>
      <c r="Z363" t="s">
        <v>22513</v>
      </c>
      <c r="AA363">
        <v>0.63539864094789489</v>
      </c>
      <c r="AB363" t="str">
        <f>HYPERLINK("Melting_Curves/meltCurve_E5RHG8_TCEB1.pdf", "Melting_Curves/meltCurve_E5RHG8_TCEB1.pdf")</f>
        <v>Melting_Curves/meltCurve_E5RHG8_TCEB1.pdf</v>
      </c>
    </row>
    <row r="364" spans="1:28" x14ac:dyDescent="0.25">
      <c r="A364" t="s">
        <v>368</v>
      </c>
      <c r="B364">
        <v>0.99796759195183404</v>
      </c>
      <c r="C364">
        <v>1.0419513651960799</v>
      </c>
      <c r="D364">
        <v>1.12868110188399</v>
      </c>
      <c r="E364">
        <v>1.12166389925933</v>
      </c>
      <c r="F364">
        <v>1.06552293333776</v>
      </c>
      <c r="G364">
        <v>0.92380842752960901</v>
      </c>
      <c r="H364">
        <v>1.01689112384533</v>
      </c>
      <c r="I364">
        <v>0.76403029586889504</v>
      </c>
      <c r="J364">
        <v>0.89829186413080497</v>
      </c>
      <c r="K364">
        <v>0.86356907768339697</v>
      </c>
      <c r="L364">
        <v>14742.859642568401</v>
      </c>
      <c r="M364">
        <v>250</v>
      </c>
      <c r="O364">
        <v>58.967664802954801</v>
      </c>
      <c r="P364">
        <v>-0.16750360400425901</v>
      </c>
      <c r="Q364">
        <v>0.84196325823433005</v>
      </c>
      <c r="R364">
        <v>0.57410767907444604</v>
      </c>
      <c r="S364" t="s">
        <v>5947</v>
      </c>
      <c r="T364" t="s">
        <v>11164</v>
      </c>
      <c r="U364" t="s">
        <v>11164</v>
      </c>
      <c r="V364" t="s">
        <v>11164</v>
      </c>
      <c r="W364" t="s">
        <v>11524</v>
      </c>
      <c r="X364">
        <v>1</v>
      </c>
      <c r="Y364" t="s">
        <v>17056</v>
      </c>
      <c r="Z364" t="s">
        <v>22514</v>
      </c>
      <c r="AA364">
        <v>0.95772276620042285</v>
      </c>
      <c r="AB364" t="str">
        <f>HYPERLINK("Melting_Curves/meltCurve_E5RHT1_PSEN2.pdf", "Melting_Curves/meltCurve_E5RHT1_PSEN2.pdf")</f>
        <v>Melting_Curves/meltCurve_E5RHT1_PSEN2.pdf</v>
      </c>
    </row>
    <row r="365" spans="1:28" x14ac:dyDescent="0.25">
      <c r="A365" t="s">
        <v>369</v>
      </c>
      <c r="B365">
        <v>0.99796759195183404</v>
      </c>
      <c r="C365">
        <v>1.2046935232202101</v>
      </c>
      <c r="D365">
        <v>0.96833157629912603</v>
      </c>
      <c r="E365">
        <v>0.892247267923992</v>
      </c>
      <c r="F365">
        <v>0.75865880751880699</v>
      </c>
      <c r="G365">
        <v>0.46335098996683</v>
      </c>
      <c r="H365">
        <v>0.46400702368528701</v>
      </c>
      <c r="I365">
        <v>0.28568969924087201</v>
      </c>
      <c r="J365">
        <v>0.99237323273793099</v>
      </c>
      <c r="K365">
        <v>0.32799169539741402</v>
      </c>
      <c r="L365">
        <v>1715.2729809223899</v>
      </c>
      <c r="M365">
        <v>34.4697325566461</v>
      </c>
      <c r="O365">
        <v>49.595124012468098</v>
      </c>
      <c r="P365">
        <v>-8.6255216264907994E-2</v>
      </c>
      <c r="Q365">
        <v>0.50358511896948599</v>
      </c>
      <c r="R365">
        <v>0.60666139574165701</v>
      </c>
      <c r="S365" t="s">
        <v>5948</v>
      </c>
      <c r="T365" t="s">
        <v>11164</v>
      </c>
      <c r="U365" t="s">
        <v>11164</v>
      </c>
      <c r="V365" t="s">
        <v>11164</v>
      </c>
      <c r="W365" t="s">
        <v>11525</v>
      </c>
      <c r="X365">
        <v>6</v>
      </c>
      <c r="Y365" t="s">
        <v>17057</v>
      </c>
      <c r="Z365" t="s">
        <v>22515</v>
      </c>
      <c r="AA365">
        <v>0.71705590739829173</v>
      </c>
      <c r="AB365" t="str">
        <f>HYPERLINK("Melting_Curves/meltCurve_E5RIH5_TTI2.pdf", "Melting_Curves/meltCurve_E5RIH5_TTI2.pdf")</f>
        <v>Melting_Curves/meltCurve_E5RIH5_TTI2.pdf</v>
      </c>
    </row>
    <row r="366" spans="1:28" x14ac:dyDescent="0.25">
      <c r="A366" t="s">
        <v>370</v>
      </c>
      <c r="B366">
        <v>0.99796759195183404</v>
      </c>
      <c r="C366">
        <v>1.1901568047679201</v>
      </c>
      <c r="D366">
        <v>0.96428359273147202</v>
      </c>
      <c r="E366">
        <v>1.04664940897998</v>
      </c>
      <c r="F366">
        <v>0.82055786882019099</v>
      </c>
      <c r="G366">
        <v>0.53279396313483096</v>
      </c>
      <c r="H366">
        <v>0.420988051852415</v>
      </c>
      <c r="I366">
        <v>0.27665396593269798</v>
      </c>
      <c r="J366">
        <v>0.25523098539661798</v>
      </c>
      <c r="K366">
        <v>0.16095519037776901</v>
      </c>
      <c r="L366">
        <v>1042.0360248767599</v>
      </c>
      <c r="M366">
        <v>19.452262870062</v>
      </c>
      <c r="N366">
        <v>54.9917895593453</v>
      </c>
      <c r="O366">
        <v>53.012381049794399</v>
      </c>
      <c r="P366">
        <v>-7.3597647030381005E-2</v>
      </c>
      <c r="Q366">
        <v>0.197739640452819</v>
      </c>
      <c r="R366">
        <v>0.95844698253194105</v>
      </c>
      <c r="S366" t="s">
        <v>5949</v>
      </c>
      <c r="T366" t="s">
        <v>11164</v>
      </c>
      <c r="U366" t="s">
        <v>11164</v>
      </c>
      <c r="V366" t="s">
        <v>11164</v>
      </c>
      <c r="W366" t="s">
        <v>11526</v>
      </c>
      <c r="X366">
        <v>3</v>
      </c>
      <c r="Y366" t="s">
        <v>17058</v>
      </c>
      <c r="Z366" t="s">
        <v>22516</v>
      </c>
      <c r="AA366">
        <v>0.65109606620182747</v>
      </c>
      <c r="AB366" t="str">
        <f>HYPERLINK("Melting_Curves/meltCurve_E5RIJ0_POLB.pdf", "Melting_Curves/meltCurve_E5RIJ0_POLB.pdf")</f>
        <v>Melting_Curves/meltCurve_E5RIJ0_POLB.pdf</v>
      </c>
    </row>
    <row r="367" spans="1:28" x14ac:dyDescent="0.25">
      <c r="A367" t="s">
        <v>371</v>
      </c>
      <c r="B367">
        <v>0.99796759195183404</v>
      </c>
      <c r="C367">
        <v>1.0837205940041299</v>
      </c>
      <c r="D367">
        <v>0.95733097246593202</v>
      </c>
      <c r="E367">
        <v>0.97890800832660396</v>
      </c>
      <c r="F367">
        <v>0.88927153511201495</v>
      </c>
      <c r="G367">
        <v>1.0981428741321799</v>
      </c>
      <c r="H367">
        <v>0.44741337443545598</v>
      </c>
      <c r="I367">
        <v>0.42213632717244098</v>
      </c>
      <c r="J367">
        <v>0.37661919471389799</v>
      </c>
      <c r="K367">
        <v>0.31472896171536602</v>
      </c>
      <c r="L367">
        <v>14236.315893253</v>
      </c>
      <c r="M367">
        <v>250</v>
      </c>
      <c r="N367">
        <v>57.255829835546997</v>
      </c>
      <c r="O367">
        <v>56.941619476919698</v>
      </c>
      <c r="P367">
        <v>-0.69022299600417603</v>
      </c>
      <c r="Q367">
        <v>0.37116135790879501</v>
      </c>
      <c r="R367">
        <v>0.96050060676854598</v>
      </c>
      <c r="S367" t="s">
        <v>5950</v>
      </c>
      <c r="T367" t="s">
        <v>11164</v>
      </c>
      <c r="U367" t="s">
        <v>11164</v>
      </c>
      <c r="V367" t="s">
        <v>11164</v>
      </c>
      <c r="W367" t="s">
        <v>11527</v>
      </c>
      <c r="X367">
        <v>4</v>
      </c>
      <c r="Y367" t="s">
        <v>17059</v>
      </c>
      <c r="Z367" t="s">
        <v>22517</v>
      </c>
      <c r="AA367">
        <v>0.78930261819740666</v>
      </c>
      <c r="AB367" t="str">
        <f>HYPERLINK("Melting_Curves/meltCurve_E5RJ68_AP3B1.pdf", "Melting_Curves/meltCurve_E5RJ68_AP3B1.pdf")</f>
        <v>Melting_Curves/meltCurve_E5RJ68_AP3B1.pdf</v>
      </c>
    </row>
    <row r="368" spans="1:28" x14ac:dyDescent="0.25">
      <c r="A368" t="s">
        <v>372</v>
      </c>
      <c r="B368">
        <v>0.99796759195183404</v>
      </c>
      <c r="C368">
        <v>0.91629446647726198</v>
      </c>
      <c r="D368">
        <v>0.98558439823926802</v>
      </c>
      <c r="E368">
        <v>0.92908803004913698</v>
      </c>
      <c r="F368">
        <v>0.73399808613824402</v>
      </c>
      <c r="G368">
        <v>0.759401458785112</v>
      </c>
      <c r="H368">
        <v>0.61351353621803495</v>
      </c>
      <c r="I368">
        <v>0.57187700074996795</v>
      </c>
      <c r="J368">
        <v>0.40120516405628598</v>
      </c>
      <c r="K368">
        <v>0.12505826495721301</v>
      </c>
      <c r="L368">
        <v>530.62832843840397</v>
      </c>
      <c r="M368">
        <v>8.8552295433011707</v>
      </c>
      <c r="N368">
        <v>59.922579358775103</v>
      </c>
      <c r="O368">
        <v>57.102716608755202</v>
      </c>
      <c r="P368">
        <v>-3.87987882268594E-2</v>
      </c>
      <c r="Q368">
        <v>0</v>
      </c>
      <c r="R368">
        <v>0.91927317718332802</v>
      </c>
      <c r="S368" t="s">
        <v>5951</v>
      </c>
      <c r="T368" t="s">
        <v>11164</v>
      </c>
      <c r="U368" t="s">
        <v>11164</v>
      </c>
      <c r="V368" t="s">
        <v>11164</v>
      </c>
      <c r="W368" t="s">
        <v>11528</v>
      </c>
      <c r="X368">
        <v>1</v>
      </c>
      <c r="Y368" t="s">
        <v>17060</v>
      </c>
      <c r="Z368" t="s">
        <v>22518</v>
      </c>
      <c r="AA368">
        <v>0.72953656913992404</v>
      </c>
      <c r="AB368" t="str">
        <f>HYPERLINK("Melting_Curves/meltCurve_E5RJ97_TRPS1.pdf", "Melting_Curves/meltCurve_E5RJ97_TRPS1.pdf")</f>
        <v>Melting_Curves/meltCurve_E5RJ97_TRPS1.pdf</v>
      </c>
    </row>
    <row r="369" spans="1:28" x14ac:dyDescent="0.25">
      <c r="A369" t="s">
        <v>373</v>
      </c>
      <c r="B369">
        <v>0.99796759195183404</v>
      </c>
      <c r="C369">
        <v>1.0333159471033899</v>
      </c>
      <c r="D369">
        <v>1.0359201378510801</v>
      </c>
      <c r="E369">
        <v>1.07469171612553</v>
      </c>
      <c r="F369">
        <v>0.93281876077053805</v>
      </c>
      <c r="G369">
        <v>0.54648824953285702</v>
      </c>
      <c r="H369">
        <v>0.38416839379936502</v>
      </c>
      <c r="I369">
        <v>0.38872439045825002</v>
      </c>
      <c r="J369">
        <v>0.34020087254142201</v>
      </c>
      <c r="K369">
        <v>0.26380805442201999</v>
      </c>
      <c r="L369">
        <v>2128.3532223529301</v>
      </c>
      <c r="M369">
        <v>40.269714772107797</v>
      </c>
      <c r="N369">
        <v>54.351077366250998</v>
      </c>
      <c r="O369">
        <v>52.7225972393598</v>
      </c>
      <c r="P369">
        <v>-0.126928642025566</v>
      </c>
      <c r="Q369">
        <v>0.33528240100406898</v>
      </c>
      <c r="R369">
        <v>0.98403852999101404</v>
      </c>
      <c r="S369" t="s">
        <v>5952</v>
      </c>
      <c r="T369" t="s">
        <v>11164</v>
      </c>
      <c r="U369" t="s">
        <v>11164</v>
      </c>
      <c r="V369" t="s">
        <v>11164</v>
      </c>
      <c r="W369" t="s">
        <v>11529</v>
      </c>
      <c r="X369">
        <v>6</v>
      </c>
      <c r="Y369" t="s">
        <v>17061</v>
      </c>
      <c r="Z369" t="s">
        <v>22519</v>
      </c>
      <c r="AA369">
        <v>0.68891549437165378</v>
      </c>
      <c r="AB369" t="str">
        <f>HYPERLINK("Melting_Curves/meltCurve_E5RJ99_ZFAND1.pdf", "Melting_Curves/meltCurve_E5RJ99_ZFAND1.pdf")</f>
        <v>Melting_Curves/meltCurve_E5RJ99_ZFAND1.pdf</v>
      </c>
    </row>
    <row r="370" spans="1:28" x14ac:dyDescent="0.25">
      <c r="A370" t="s">
        <v>374</v>
      </c>
      <c r="B370">
        <v>0.99796759195183404</v>
      </c>
      <c r="C370">
        <v>0.91692124883208403</v>
      </c>
      <c r="D370">
        <v>0.86540553805499598</v>
      </c>
      <c r="E370">
        <v>0.89840354826096203</v>
      </c>
      <c r="F370">
        <v>0.96352725230505998</v>
      </c>
      <c r="G370">
        <v>1.0124653607262699</v>
      </c>
      <c r="H370">
        <v>1.14872970742029</v>
      </c>
      <c r="I370">
        <v>1.06493111874793</v>
      </c>
      <c r="J370">
        <v>0.68276632456870501</v>
      </c>
      <c r="K370">
        <v>0.33320079034683697</v>
      </c>
      <c r="L370">
        <v>15000</v>
      </c>
      <c r="M370">
        <v>233.91221330227501</v>
      </c>
      <c r="N370">
        <v>64.428945059166395</v>
      </c>
      <c r="O370">
        <v>64.121931698114196</v>
      </c>
      <c r="P370">
        <v>-0.60813599716546696</v>
      </c>
      <c r="Q370">
        <v>0.33317109437762299</v>
      </c>
      <c r="R370">
        <v>0.86947721166421399</v>
      </c>
      <c r="S370" t="s">
        <v>5953</v>
      </c>
      <c r="T370" t="s">
        <v>11164</v>
      </c>
      <c r="U370" t="s">
        <v>11164</v>
      </c>
      <c r="V370" t="s">
        <v>11164</v>
      </c>
      <c r="W370" t="s">
        <v>11530</v>
      </c>
      <c r="X370">
        <v>1</v>
      </c>
      <c r="Y370" t="s">
        <v>17062</v>
      </c>
      <c r="Z370" t="s">
        <v>22520</v>
      </c>
      <c r="AA370">
        <v>0.93621703950988899</v>
      </c>
      <c r="AB370" t="str">
        <f>HYPERLINK("Melting_Curves/meltCurve_E5RJB8_SDC2.pdf", "Melting_Curves/meltCurve_E5RJB8_SDC2.pdf")</f>
        <v>Melting_Curves/meltCurve_E5RJB8_SDC2.pdf</v>
      </c>
    </row>
    <row r="371" spans="1:28" x14ac:dyDescent="0.25">
      <c r="A371" t="s">
        <v>375</v>
      </c>
      <c r="B371">
        <v>0.99796759195183404</v>
      </c>
      <c r="C371">
        <v>0.98227258308195897</v>
      </c>
      <c r="D371">
        <v>0.98028242639432805</v>
      </c>
      <c r="E371">
        <v>0.82416826594465797</v>
      </c>
      <c r="F371">
        <v>0.73888560327928299</v>
      </c>
      <c r="G371">
        <v>0.81836112119247395</v>
      </c>
      <c r="H371">
        <v>0.54366315833978596</v>
      </c>
      <c r="I371">
        <v>0.409938315902037</v>
      </c>
      <c r="J371">
        <v>0.3573825899525</v>
      </c>
      <c r="K371">
        <v>0.209453829636494</v>
      </c>
      <c r="L371">
        <v>501.43366600260299</v>
      </c>
      <c r="M371">
        <v>8.5226962140660696</v>
      </c>
      <c r="N371">
        <v>58.8350887403192</v>
      </c>
      <c r="O371">
        <v>55.864234399801902</v>
      </c>
      <c r="P371">
        <v>-3.8174246273803801E-2</v>
      </c>
      <c r="Q371">
        <v>0</v>
      </c>
      <c r="R371">
        <v>0.95624262064574705</v>
      </c>
      <c r="S371" t="s">
        <v>5954</v>
      </c>
      <c r="T371" t="s">
        <v>11164</v>
      </c>
      <c r="U371" t="s">
        <v>11164</v>
      </c>
      <c r="V371" t="s">
        <v>11164</v>
      </c>
      <c r="W371" t="s">
        <v>11531</v>
      </c>
      <c r="X371">
        <v>1</v>
      </c>
      <c r="Y371" t="s">
        <v>17063</v>
      </c>
      <c r="Z371" t="s">
        <v>22521</v>
      </c>
      <c r="AA371">
        <v>0.70235194853993133</v>
      </c>
      <c r="AB371" t="str">
        <f>HYPERLINK("Melting_Curves/meltCurve_E5RJJ3_NUDT18.pdf", "Melting_Curves/meltCurve_E5RJJ3_NUDT18.pdf")</f>
        <v>Melting_Curves/meltCurve_E5RJJ3_NUDT18.pdf</v>
      </c>
    </row>
    <row r="372" spans="1:28" x14ac:dyDescent="0.25">
      <c r="A372" t="s">
        <v>376</v>
      </c>
      <c r="B372">
        <v>0.99796759195183404</v>
      </c>
      <c r="C372">
        <v>0.98366181864605995</v>
      </c>
      <c r="D372">
        <v>0.97787802567198201</v>
      </c>
      <c r="E372">
        <v>0.93253441231692802</v>
      </c>
      <c r="F372">
        <v>0.884294621248221</v>
      </c>
      <c r="G372">
        <v>0.78333748094053701</v>
      </c>
      <c r="H372">
        <v>0.79668647082288102</v>
      </c>
      <c r="I372">
        <v>0.75908154343807799</v>
      </c>
      <c r="J372">
        <v>0.948118186530723</v>
      </c>
      <c r="K372">
        <v>0.74760499065262598</v>
      </c>
      <c r="L372">
        <v>1114.05051950149</v>
      </c>
      <c r="M372">
        <v>23.1634293655043</v>
      </c>
      <c r="O372">
        <v>47.741069328042101</v>
      </c>
      <c r="P372">
        <v>-2.3489994447660301E-2</v>
      </c>
      <c r="Q372">
        <v>0.80634697470299399</v>
      </c>
      <c r="R372">
        <v>0.68452975488377099</v>
      </c>
      <c r="S372" t="s">
        <v>5955</v>
      </c>
      <c r="T372" t="s">
        <v>11164</v>
      </c>
      <c r="U372" t="s">
        <v>11164</v>
      </c>
      <c r="V372" t="s">
        <v>11164</v>
      </c>
      <c r="W372" t="s">
        <v>11532</v>
      </c>
      <c r="X372">
        <v>19</v>
      </c>
      <c r="Y372" t="s">
        <v>17064</v>
      </c>
      <c r="Z372" t="s">
        <v>22522</v>
      </c>
      <c r="AA372">
        <v>0.87988748968025687</v>
      </c>
      <c r="AB372" t="str">
        <f>HYPERLINK("Melting_Curves/meltCurve_E5RJR5_SKP1.pdf", "Melting_Curves/meltCurve_E5RJR5_SKP1.pdf")</f>
        <v>Melting_Curves/meltCurve_E5RJR5_SKP1.pdf</v>
      </c>
    </row>
    <row r="373" spans="1:28" x14ac:dyDescent="0.25">
      <c r="A373" t="s">
        <v>377</v>
      </c>
      <c r="B373">
        <v>0.99796759195183404</v>
      </c>
      <c r="C373">
        <v>1.12721613814813</v>
      </c>
      <c r="D373">
        <v>1.0819209353177499</v>
      </c>
      <c r="E373">
        <v>1.00170436796717</v>
      </c>
      <c r="F373">
        <v>0.81339695568700299</v>
      </c>
      <c r="G373">
        <v>0.60573031281613698</v>
      </c>
      <c r="H373">
        <v>0.35229183636982703</v>
      </c>
      <c r="I373">
        <v>0.31979330488978103</v>
      </c>
      <c r="J373">
        <v>0.17354059607869199</v>
      </c>
      <c r="K373">
        <v>0.15915223340357099</v>
      </c>
      <c r="L373">
        <v>1004.58201370913</v>
      </c>
      <c r="M373">
        <v>18.553002569181601</v>
      </c>
      <c r="N373">
        <v>55.2593661005874</v>
      </c>
      <c r="O373">
        <v>53.529301024751703</v>
      </c>
      <c r="P373">
        <v>-7.3145731243617104E-2</v>
      </c>
      <c r="Q373">
        <v>0.155873903559683</v>
      </c>
      <c r="R373">
        <v>0.97525943733237797</v>
      </c>
      <c r="S373" t="s">
        <v>5956</v>
      </c>
      <c r="T373" t="s">
        <v>11164</v>
      </c>
      <c r="U373" t="s">
        <v>11164</v>
      </c>
      <c r="V373" t="s">
        <v>11164</v>
      </c>
      <c r="W373" t="s">
        <v>11533</v>
      </c>
      <c r="X373">
        <v>6</v>
      </c>
      <c r="Y373" t="s">
        <v>17065</v>
      </c>
      <c r="Z373" t="s">
        <v>22523</v>
      </c>
      <c r="AA373">
        <v>0.64941655033122991</v>
      </c>
      <c r="AB373" t="str">
        <f>HYPERLINK("Melting_Curves/meltCurve_E5RJS5_MTFR1.pdf", "Melting_Curves/meltCurve_E5RJS5_MTFR1.pdf")</f>
        <v>Melting_Curves/meltCurve_E5RJS5_MTFR1.pdf</v>
      </c>
    </row>
    <row r="374" spans="1:28" x14ac:dyDescent="0.25">
      <c r="A374" t="s">
        <v>378</v>
      </c>
      <c r="B374">
        <v>0.99796759195183404</v>
      </c>
      <c r="C374">
        <v>0.98453558168492605</v>
      </c>
      <c r="D374">
        <v>0.97143055434765002</v>
      </c>
      <c r="E374">
        <v>0.81114290180498705</v>
      </c>
      <c r="F374">
        <v>0.66822713984057003</v>
      </c>
      <c r="G374">
        <v>0.33498221663929001</v>
      </c>
      <c r="H374">
        <v>0.216690256669716</v>
      </c>
      <c r="I374">
        <v>0.154808535173627</v>
      </c>
      <c r="J374">
        <v>0.13532692400494201</v>
      </c>
      <c r="K374">
        <v>0.105914918603843</v>
      </c>
      <c r="L374">
        <v>860.73160767783202</v>
      </c>
      <c r="M374">
        <v>16.8318385385789</v>
      </c>
      <c r="N374">
        <v>51.780881077754799</v>
      </c>
      <c r="O374">
        <v>50.431659927632701</v>
      </c>
      <c r="P374">
        <v>-7.5566320523399497E-2</v>
      </c>
      <c r="Q374">
        <v>9.4409059864087805E-2</v>
      </c>
      <c r="R374">
        <v>0.99569983919281102</v>
      </c>
      <c r="S374" t="s">
        <v>5957</v>
      </c>
      <c r="T374" t="s">
        <v>11164</v>
      </c>
      <c r="U374" t="s">
        <v>11164</v>
      </c>
      <c r="V374" t="s">
        <v>11164</v>
      </c>
      <c r="W374" t="s">
        <v>11534</v>
      </c>
      <c r="X374">
        <v>1</v>
      </c>
      <c r="Y374" t="s">
        <v>17066</v>
      </c>
      <c r="Z374" t="s">
        <v>22524</v>
      </c>
      <c r="AA374">
        <v>0.53663412159719082</v>
      </c>
      <c r="AB374" t="str">
        <f>HYPERLINK("Melting_Curves/meltCurve_E5RJV7_SGK3.pdf", "Melting_Curves/meltCurve_E5RJV7_SGK3.pdf")</f>
        <v>Melting_Curves/meltCurve_E5RJV7_SGK3.pdf</v>
      </c>
    </row>
    <row r="375" spans="1:28" x14ac:dyDescent="0.25">
      <c r="A375" t="s">
        <v>379</v>
      </c>
      <c r="B375">
        <v>0.99796759195183404</v>
      </c>
      <c r="C375">
        <v>0.90723976971531495</v>
      </c>
      <c r="D375">
        <v>0.86494960553421496</v>
      </c>
      <c r="E375">
        <v>0.77616789210382997</v>
      </c>
      <c r="F375">
        <v>0.76341933908791204</v>
      </c>
      <c r="G375">
        <v>0.76958910629245103</v>
      </c>
      <c r="H375">
        <v>0.76583588091084198</v>
      </c>
      <c r="I375">
        <v>0.46263702869456802</v>
      </c>
      <c r="J375">
        <v>0.194317660637642</v>
      </c>
      <c r="K375">
        <v>0.153340006414594</v>
      </c>
      <c r="L375">
        <v>577.36551200741906</v>
      </c>
      <c r="M375">
        <v>9.7731062755734595</v>
      </c>
      <c r="N375">
        <v>59.076975433185602</v>
      </c>
      <c r="O375">
        <v>56.762791480390703</v>
      </c>
      <c r="P375">
        <v>-4.3066483171834702E-2</v>
      </c>
      <c r="Q375">
        <v>0</v>
      </c>
      <c r="R375">
        <v>0.85204478013089502</v>
      </c>
      <c r="S375" t="s">
        <v>5958</v>
      </c>
      <c r="T375" t="s">
        <v>11164</v>
      </c>
      <c r="U375" t="s">
        <v>11164</v>
      </c>
      <c r="V375" t="s">
        <v>11164</v>
      </c>
      <c r="W375" t="s">
        <v>11535</v>
      </c>
      <c r="X375">
        <v>3</v>
      </c>
      <c r="Y375" t="s">
        <v>17067</v>
      </c>
      <c r="Z375" t="s">
        <v>22525</v>
      </c>
      <c r="AA375">
        <v>0.71662262485476902</v>
      </c>
      <c r="AB375" t="str">
        <f>HYPERLINK("Melting_Curves/meltCurve_E7EM64_COPS6.pdf", "Melting_Curves/meltCurve_E7EM64_COPS6.pdf")</f>
        <v>Melting_Curves/meltCurve_E7EM64_COPS6.pdf</v>
      </c>
    </row>
    <row r="376" spans="1:28" x14ac:dyDescent="0.25">
      <c r="A376" t="s">
        <v>380</v>
      </c>
      <c r="B376">
        <v>0.99796759195183404</v>
      </c>
      <c r="C376">
        <v>1.23561029730312</v>
      </c>
      <c r="D376">
        <v>1.0981385140912701</v>
      </c>
      <c r="E376">
        <v>1.11148123274293</v>
      </c>
      <c r="F376">
        <v>1.00460252788043</v>
      </c>
      <c r="G376">
        <v>0.86861319277097004</v>
      </c>
      <c r="H376">
        <v>0.72317984015161796</v>
      </c>
      <c r="I376">
        <v>0.75294693801190204</v>
      </c>
      <c r="J376">
        <v>0.48886111835607898</v>
      </c>
      <c r="K376">
        <v>0.36109506831351001</v>
      </c>
      <c r="L376">
        <v>782.69773174460499</v>
      </c>
      <c r="M376">
        <v>12.1873897497209</v>
      </c>
      <c r="N376">
        <v>64.221939793365607</v>
      </c>
      <c r="O376">
        <v>62.566250243295599</v>
      </c>
      <c r="P376">
        <v>-4.8708994282074501E-2</v>
      </c>
      <c r="Q376">
        <v>0</v>
      </c>
      <c r="R376">
        <v>0.85854741462714801</v>
      </c>
      <c r="S376" t="s">
        <v>5959</v>
      </c>
      <c r="T376" t="s">
        <v>11164</v>
      </c>
      <c r="U376" t="s">
        <v>11164</v>
      </c>
      <c r="V376" t="s">
        <v>11164</v>
      </c>
      <c r="W376" t="s">
        <v>11536</v>
      </c>
      <c r="X376">
        <v>2</v>
      </c>
      <c r="Y376" t="s">
        <v>17068</v>
      </c>
      <c r="Z376" t="s">
        <v>22526</v>
      </c>
      <c r="AA376">
        <v>0.84497069008803449</v>
      </c>
      <c r="AB376" t="str">
        <f>HYPERLINK("Melting_Curves/meltCurve_E7EM95_RNF5.pdf", "Melting_Curves/meltCurve_E7EM95_RNF5.pdf")</f>
        <v>Melting_Curves/meltCurve_E7EM95_RNF5.pdf</v>
      </c>
    </row>
    <row r="377" spans="1:28" x14ac:dyDescent="0.25">
      <c r="A377" t="s">
        <v>381</v>
      </c>
      <c r="B377">
        <v>0.99796759195183404</v>
      </c>
      <c r="C377">
        <v>0.99840151793484799</v>
      </c>
      <c r="D377">
        <v>0.95845314417705896</v>
      </c>
      <c r="E377">
        <v>0.99332358084215899</v>
      </c>
      <c r="F377">
        <v>0.85926718066776797</v>
      </c>
      <c r="G377">
        <v>0.69233546999687501</v>
      </c>
      <c r="H377">
        <v>0.52582105025238701</v>
      </c>
      <c r="I377">
        <v>0.29280511230848499</v>
      </c>
      <c r="J377">
        <v>0.201746094561916</v>
      </c>
      <c r="K377">
        <v>0.18916271172031501</v>
      </c>
      <c r="L377">
        <v>831.79066382333804</v>
      </c>
      <c r="M377">
        <v>14.7198569713412</v>
      </c>
      <c r="N377">
        <v>57.231300273482297</v>
      </c>
      <c r="O377">
        <v>55.495877970253296</v>
      </c>
      <c r="P377">
        <v>-6.0689453151478098E-2</v>
      </c>
      <c r="Q377">
        <v>8.4869314580357597E-2</v>
      </c>
      <c r="R377">
        <v>0.99513406583407304</v>
      </c>
      <c r="S377" t="s">
        <v>5960</v>
      </c>
      <c r="T377" t="s">
        <v>11164</v>
      </c>
      <c r="U377" t="s">
        <v>11164</v>
      </c>
      <c r="V377" t="s">
        <v>11164</v>
      </c>
      <c r="W377" t="s">
        <v>11537</v>
      </c>
      <c r="X377">
        <v>5</v>
      </c>
      <c r="Y377" t="s">
        <v>17069</v>
      </c>
      <c r="Z377" t="s">
        <v>22527</v>
      </c>
      <c r="AA377">
        <v>0.68890393551783524</v>
      </c>
      <c r="AB377" t="str">
        <f>HYPERLINK("Melting_Curves/meltCurve_E7EMB1_SWAP70.pdf", "Melting_Curves/meltCurve_E7EMB1_SWAP70.pdf")</f>
        <v>Melting_Curves/meltCurve_E7EMB1_SWAP70.pdf</v>
      </c>
    </row>
    <row r="378" spans="1:28" x14ac:dyDescent="0.25">
      <c r="A378" t="s">
        <v>382</v>
      </c>
      <c r="B378">
        <v>0.99796759195183404</v>
      </c>
      <c r="C378">
        <v>0.98782773638993204</v>
      </c>
      <c r="D378">
        <v>1.0119290916283601</v>
      </c>
      <c r="E378">
        <v>0.82561550472316103</v>
      </c>
      <c r="F378">
        <v>0.27715445801038002</v>
      </c>
      <c r="G378">
        <v>0.15933186315683801</v>
      </c>
      <c r="H378">
        <v>0.102087181547311</v>
      </c>
      <c r="I378">
        <v>8.8453724235685899E-2</v>
      </c>
      <c r="J378">
        <v>7.1079476941427605E-2</v>
      </c>
      <c r="K378">
        <v>4.5880931824631703E-2</v>
      </c>
      <c r="L378">
        <v>1723.8532232189</v>
      </c>
      <c r="M378">
        <v>35.579229641258102</v>
      </c>
      <c r="N378">
        <v>48.706803489404997</v>
      </c>
      <c r="O378">
        <v>48.298816674400101</v>
      </c>
      <c r="P378">
        <v>-0.16847456505579</v>
      </c>
      <c r="Q378">
        <v>8.5185938366173705E-2</v>
      </c>
      <c r="R378">
        <v>0.99703835092201798</v>
      </c>
      <c r="S378" t="s">
        <v>5961</v>
      </c>
      <c r="T378" t="s">
        <v>11164</v>
      </c>
      <c r="U378" t="s">
        <v>11164</v>
      </c>
      <c r="V378" t="s">
        <v>11164</v>
      </c>
      <c r="W378" t="s">
        <v>11538</v>
      </c>
      <c r="X378">
        <v>5</v>
      </c>
      <c r="Y378" t="s">
        <v>17070</v>
      </c>
      <c r="Z378" t="s">
        <v>22528</v>
      </c>
      <c r="AA378">
        <v>0.43825241681666549</v>
      </c>
      <c r="AB378" t="str">
        <f>HYPERLINK("Melting_Curves/meltCurve_E7EMD6_AKAP10.pdf", "Melting_Curves/meltCurve_E7EMD6_AKAP10.pdf")</f>
        <v>Melting_Curves/meltCurve_E7EMD6_AKAP10.pdf</v>
      </c>
    </row>
    <row r="379" spans="1:28" x14ac:dyDescent="0.25">
      <c r="A379" t="s">
        <v>383</v>
      </c>
      <c r="B379">
        <v>0.99796759195183404</v>
      </c>
      <c r="C379">
        <v>0.99718690040235902</v>
      </c>
      <c r="D379">
        <v>1.03492691912399</v>
      </c>
      <c r="E379">
        <v>0.97082411328496399</v>
      </c>
      <c r="F379">
        <v>0.72217415773164895</v>
      </c>
      <c r="G379">
        <v>0.67488102588754595</v>
      </c>
      <c r="H379">
        <v>0.65466087271478701</v>
      </c>
      <c r="I379">
        <v>0.54856792179691305</v>
      </c>
      <c r="J379">
        <v>0.76636493161753005</v>
      </c>
      <c r="K379">
        <v>0.58041437239899296</v>
      </c>
      <c r="L379">
        <v>2296.83990837792</v>
      </c>
      <c r="M379">
        <v>46.957793575618297</v>
      </c>
      <c r="O379">
        <v>48.824396466458701</v>
      </c>
      <c r="P379">
        <v>-8.5752041963945799E-2</v>
      </c>
      <c r="Q379">
        <v>0.64335742458329603</v>
      </c>
      <c r="R379">
        <v>0.90490861028511704</v>
      </c>
      <c r="S379" t="s">
        <v>5962</v>
      </c>
      <c r="T379" t="s">
        <v>11164</v>
      </c>
      <c r="U379" t="s">
        <v>11164</v>
      </c>
      <c r="V379" t="s">
        <v>11164</v>
      </c>
      <c r="W379" t="s">
        <v>11539</v>
      </c>
      <c r="X379">
        <v>1</v>
      </c>
      <c r="Y379" t="s">
        <v>17071</v>
      </c>
      <c r="Z379" t="s">
        <v>22529</v>
      </c>
      <c r="AA379">
        <v>0.78585150526928449</v>
      </c>
      <c r="AB379" t="str">
        <f>HYPERLINK("Melting_Curves/meltCurve_E7EMM4_ASAH1.pdf", "Melting_Curves/meltCurve_E7EMM4_ASAH1.pdf")</f>
        <v>Melting_Curves/meltCurve_E7EMM4_ASAH1.pdf</v>
      </c>
    </row>
    <row r="380" spans="1:28" x14ac:dyDescent="0.25">
      <c r="A380" t="s">
        <v>384</v>
      </c>
      <c r="B380">
        <v>0.99796759195183404</v>
      </c>
      <c r="C380">
        <v>0.93419317603466501</v>
      </c>
      <c r="D380">
        <v>1.0164953997217601</v>
      </c>
      <c r="E380">
        <v>0.85622228478512696</v>
      </c>
      <c r="F380">
        <v>0.77862949038787099</v>
      </c>
      <c r="G380">
        <v>0.29353940786142402</v>
      </c>
      <c r="H380">
        <v>0.30194350357328398</v>
      </c>
      <c r="I380">
        <v>0.25132342007427899</v>
      </c>
      <c r="J380">
        <v>0.232122220990848</v>
      </c>
      <c r="K380">
        <v>0.214189096876403</v>
      </c>
      <c r="L380">
        <v>1970.9207305486</v>
      </c>
      <c r="M380">
        <v>38.559227784025303</v>
      </c>
      <c r="N380">
        <v>51.990960118912398</v>
      </c>
      <c r="O380">
        <v>50.977212109431498</v>
      </c>
      <c r="P380">
        <v>-0.14389468494393201</v>
      </c>
      <c r="Q380">
        <v>0.239058155421395</v>
      </c>
      <c r="R380">
        <v>0.97630014341189197</v>
      </c>
      <c r="S380" t="s">
        <v>5963</v>
      </c>
      <c r="T380" t="s">
        <v>11164</v>
      </c>
      <c r="U380" t="s">
        <v>11164</v>
      </c>
      <c r="V380" t="s">
        <v>11164</v>
      </c>
      <c r="W380" t="s">
        <v>11540</v>
      </c>
      <c r="X380">
        <v>6</v>
      </c>
      <c r="Y380" t="s">
        <v>17072</v>
      </c>
      <c r="Z380" t="s">
        <v>22530</v>
      </c>
      <c r="AA380">
        <v>0.59994814597889856</v>
      </c>
      <c r="AB380" t="str">
        <f>HYPERLINK("Melting_Curves/meltCurve_E7EMX7_RAI14.pdf", "Melting_Curves/meltCurve_E7EMX7_RAI14.pdf")</f>
        <v>Melting_Curves/meltCurve_E7EMX7_RAI14.pdf</v>
      </c>
    </row>
    <row r="381" spans="1:28" x14ac:dyDescent="0.25">
      <c r="A381" t="s">
        <v>385</v>
      </c>
      <c r="B381">
        <v>0.99796759195183404</v>
      </c>
      <c r="C381">
        <v>0.93104421734923604</v>
      </c>
      <c r="D381">
        <v>0.94340158991149803</v>
      </c>
      <c r="E381">
        <v>0.72489667568091998</v>
      </c>
      <c r="F381">
        <v>0.69783286114221499</v>
      </c>
      <c r="G381">
        <v>0.58304207934929198</v>
      </c>
      <c r="H381">
        <v>0.33026061906098297</v>
      </c>
      <c r="I381">
        <v>0.11035197685164</v>
      </c>
      <c r="J381">
        <v>6.6269542410542406E-2</v>
      </c>
      <c r="K381">
        <v>8.0001598908045105E-2</v>
      </c>
      <c r="L381">
        <v>616.43368416696296</v>
      </c>
      <c r="M381">
        <v>11.548924297948499</v>
      </c>
      <c r="N381">
        <v>53.375868528118303</v>
      </c>
      <c r="O381">
        <v>51.850785607676599</v>
      </c>
      <c r="P381">
        <v>-5.5699033959604502E-2</v>
      </c>
      <c r="Q381">
        <v>0</v>
      </c>
      <c r="R381">
        <v>0.96902648281095305</v>
      </c>
      <c r="S381" t="s">
        <v>5964</v>
      </c>
      <c r="T381" t="s">
        <v>11164</v>
      </c>
      <c r="U381" t="s">
        <v>11164</v>
      </c>
      <c r="V381" t="s">
        <v>11164</v>
      </c>
      <c r="W381" t="s">
        <v>11541</v>
      </c>
      <c r="X381">
        <v>1</v>
      </c>
      <c r="Y381" t="s">
        <v>17073</v>
      </c>
      <c r="Z381" t="s">
        <v>22531</v>
      </c>
      <c r="AA381">
        <v>0.56608995053184274</v>
      </c>
      <c r="AB381" t="str">
        <f>HYPERLINK("Melting_Curves/meltCurve_E7EN68_SETMAR.pdf", "Melting_Curves/meltCurve_E7EN68_SETMAR.pdf")</f>
        <v>Melting_Curves/meltCurve_E7EN68_SETMAR.pdf</v>
      </c>
    </row>
    <row r="382" spans="1:28" x14ac:dyDescent="0.25">
      <c r="A382" t="s">
        <v>386</v>
      </c>
      <c r="B382">
        <v>0.99796759195183404</v>
      </c>
      <c r="C382">
        <v>1.0943293235645699</v>
      </c>
      <c r="D382">
        <v>1.0518931915893499</v>
      </c>
      <c r="E382">
        <v>1.1491772114279</v>
      </c>
      <c r="F382">
        <v>1.1402241385812699</v>
      </c>
      <c r="G382">
        <v>0.60688476455798102</v>
      </c>
      <c r="H382">
        <v>0.33393048430460298</v>
      </c>
      <c r="I382">
        <v>0.231042012489067</v>
      </c>
      <c r="J382">
        <v>0.23335817642878701</v>
      </c>
      <c r="K382">
        <v>0.273863485964569</v>
      </c>
      <c r="L382">
        <v>7106.3491415808603</v>
      </c>
      <c r="M382">
        <v>132.23610352818201</v>
      </c>
      <c r="N382">
        <v>54.053739114702601</v>
      </c>
      <c r="O382">
        <v>53.727550704460398</v>
      </c>
      <c r="P382">
        <v>-0.45040966537580202</v>
      </c>
      <c r="Q382">
        <v>0.26799369685362001</v>
      </c>
      <c r="R382">
        <v>0.96033949712545896</v>
      </c>
      <c r="S382" t="s">
        <v>5965</v>
      </c>
      <c r="T382" t="s">
        <v>11164</v>
      </c>
      <c r="U382" t="s">
        <v>11164</v>
      </c>
      <c r="V382" t="s">
        <v>11164</v>
      </c>
      <c r="W382" t="s">
        <v>11542</v>
      </c>
      <c r="X382">
        <v>1</v>
      </c>
      <c r="Y382" t="s">
        <v>17074</v>
      </c>
      <c r="Z382" t="s">
        <v>22532</v>
      </c>
      <c r="AA382">
        <v>0.67669659158285989</v>
      </c>
      <c r="AB382" t="str">
        <f>HYPERLINK("Melting_Curves/meltCurve_E7EN86_ZNF143.pdf", "Melting_Curves/meltCurve_E7EN86_ZNF143.pdf")</f>
        <v>Melting_Curves/meltCurve_E7EN86_ZNF143.pdf</v>
      </c>
    </row>
    <row r="383" spans="1:28" x14ac:dyDescent="0.25">
      <c r="A383" t="s">
        <v>387</v>
      </c>
      <c r="B383">
        <v>0.99796759195183404</v>
      </c>
      <c r="C383">
        <v>0.83443039508964501</v>
      </c>
      <c r="D383">
        <v>0.67840765466530795</v>
      </c>
      <c r="E383">
        <v>0.620153853658169</v>
      </c>
      <c r="F383">
        <v>0.58920043623626805</v>
      </c>
      <c r="G383">
        <v>0.56044091247529504</v>
      </c>
      <c r="H383">
        <v>0.35397768359856702</v>
      </c>
      <c r="I383">
        <v>0.24728775348196899</v>
      </c>
      <c r="J383">
        <v>0.24177785564660401</v>
      </c>
      <c r="K383">
        <v>0.22385222003248001</v>
      </c>
      <c r="L383">
        <v>294.83367705715398</v>
      </c>
      <c r="M383">
        <v>5.6687796099321002</v>
      </c>
      <c r="N383">
        <v>52.010079271458203</v>
      </c>
      <c r="O383">
        <v>46.623088857518297</v>
      </c>
      <c r="P383">
        <v>-3.0517235409219998E-2</v>
      </c>
      <c r="Q383">
        <v>0</v>
      </c>
      <c r="R383">
        <v>0.94653166089486995</v>
      </c>
      <c r="S383" t="s">
        <v>5966</v>
      </c>
      <c r="T383" t="s">
        <v>11164</v>
      </c>
      <c r="U383" t="s">
        <v>11164</v>
      </c>
      <c r="V383" t="s">
        <v>11164</v>
      </c>
      <c r="W383" t="s">
        <v>11543</v>
      </c>
      <c r="X383">
        <v>4</v>
      </c>
      <c r="Y383" t="s">
        <v>17075</v>
      </c>
      <c r="Z383" t="s">
        <v>22533</v>
      </c>
      <c r="AA383">
        <v>0.5278975617339392</v>
      </c>
      <c r="AB383" t="str">
        <f>HYPERLINK("Melting_Curves/meltCurve_E7ENA9_NCSTN.pdf", "Melting_Curves/meltCurve_E7ENA9_NCSTN.pdf")</f>
        <v>Melting_Curves/meltCurve_E7ENA9_NCSTN.pdf</v>
      </c>
    </row>
    <row r="384" spans="1:28" x14ac:dyDescent="0.25">
      <c r="A384" t="s">
        <v>388</v>
      </c>
      <c r="B384">
        <v>0.99796759195183404</v>
      </c>
      <c r="C384">
        <v>1.0441704695005101</v>
      </c>
      <c r="D384">
        <v>1.0829850971814501</v>
      </c>
      <c r="E384">
        <v>0.98508001425500502</v>
      </c>
      <c r="F384">
        <v>1.00374070758585</v>
      </c>
      <c r="G384">
        <v>0.445444184591753</v>
      </c>
      <c r="H384">
        <v>0.60236151839988905</v>
      </c>
      <c r="I384">
        <v>0.85423668548862997</v>
      </c>
      <c r="J384">
        <v>1.3958534070929101</v>
      </c>
      <c r="K384">
        <v>1.2463338526413501</v>
      </c>
      <c r="L384">
        <v>6626.4703479059899</v>
      </c>
      <c r="M384">
        <v>105.689109864835</v>
      </c>
      <c r="O384">
        <v>62.675318043580198</v>
      </c>
      <c r="P384">
        <v>0.13853653265024099</v>
      </c>
      <c r="Q384">
        <v>1.3286174420980099</v>
      </c>
      <c r="R384">
        <v>0.262966218255133</v>
      </c>
      <c r="S384" t="s">
        <v>5967</v>
      </c>
      <c r="T384" t="s">
        <v>11164</v>
      </c>
      <c r="U384" t="s">
        <v>11164</v>
      </c>
      <c r="V384" t="s">
        <v>11164</v>
      </c>
      <c r="W384" t="s">
        <v>11544</v>
      </c>
      <c r="X384">
        <v>1</v>
      </c>
      <c r="Y384" t="s">
        <v>17076</v>
      </c>
      <c r="Z384" t="s">
        <v>22534</v>
      </c>
      <c r="AA384">
        <v>1.0469324021712361</v>
      </c>
      <c r="AB384" t="str">
        <f>HYPERLINK("Melting_Curves/meltCurve_E7ENN3_SYNE1.pdf", "Melting_Curves/meltCurve_E7ENN3_SYNE1.pdf")</f>
        <v>Melting_Curves/meltCurve_E7ENN3_SYNE1.pdf</v>
      </c>
    </row>
    <row r="385" spans="1:28" x14ac:dyDescent="0.25">
      <c r="A385" t="s">
        <v>389</v>
      </c>
      <c r="B385">
        <v>0.99796759195183404</v>
      </c>
      <c r="C385">
        <v>1.0017849738912501</v>
      </c>
      <c r="D385">
        <v>0.98886416426718204</v>
      </c>
      <c r="E385">
        <v>0.94895764140955297</v>
      </c>
      <c r="F385">
        <v>0.83283955635950802</v>
      </c>
      <c r="G385">
        <v>0.71582418845583495</v>
      </c>
      <c r="H385">
        <v>0.38555098553634798</v>
      </c>
      <c r="I385">
        <v>0.176058471764518</v>
      </c>
      <c r="J385">
        <v>0.11757801118356601</v>
      </c>
      <c r="K385">
        <v>8.3153761162919101E-2</v>
      </c>
      <c r="L385">
        <v>962.09632455375402</v>
      </c>
      <c r="M385">
        <v>17.216987177118</v>
      </c>
      <c r="N385">
        <v>55.980522596286598</v>
      </c>
      <c r="O385">
        <v>55.143113617966002</v>
      </c>
      <c r="P385">
        <v>-7.6879833609104997E-2</v>
      </c>
      <c r="Q385">
        <v>1.5125214483365601E-2</v>
      </c>
      <c r="R385">
        <v>0.99563671651184604</v>
      </c>
      <c r="S385" t="s">
        <v>5968</v>
      </c>
      <c r="T385" t="s">
        <v>11164</v>
      </c>
      <c r="U385" t="s">
        <v>11164</v>
      </c>
      <c r="V385" t="s">
        <v>11164</v>
      </c>
      <c r="W385" t="s">
        <v>11545</v>
      </c>
      <c r="X385">
        <v>52</v>
      </c>
      <c r="Y385" t="s">
        <v>17077</v>
      </c>
      <c r="Z385" t="s">
        <v>22535</v>
      </c>
      <c r="AA385">
        <v>0.64627306227404835</v>
      </c>
      <c r="AB385" t="str">
        <f>HYPERLINK("Melting_Curves/meltCurve_E7ENR4_HK1.pdf", "Melting_Curves/meltCurve_E7ENR4_HK1.pdf")</f>
        <v>Melting_Curves/meltCurve_E7ENR4_HK1.pdf</v>
      </c>
    </row>
    <row r="386" spans="1:28" x14ac:dyDescent="0.25">
      <c r="A386" t="s">
        <v>390</v>
      </c>
      <c r="B386">
        <v>0.99796759195183404</v>
      </c>
      <c r="C386">
        <v>1.08942181974958</v>
      </c>
      <c r="D386">
        <v>0.86542716879428105</v>
      </c>
      <c r="E386">
        <v>0.85532065324669804</v>
      </c>
      <c r="F386">
        <v>0.80354141014535496</v>
      </c>
      <c r="G386">
        <v>0.98032114934652304</v>
      </c>
      <c r="H386">
        <v>0.583430261128428</v>
      </c>
      <c r="I386">
        <v>0.38844899583987902</v>
      </c>
      <c r="J386">
        <v>0.140243675295355</v>
      </c>
      <c r="K386">
        <v>3.20605264850553E-2</v>
      </c>
      <c r="L386">
        <v>1210.21633365461</v>
      </c>
      <c r="M386">
        <v>20.529930954596999</v>
      </c>
      <c r="N386">
        <v>58.948886024411301</v>
      </c>
      <c r="O386">
        <v>58.398116848307801</v>
      </c>
      <c r="P386">
        <v>-8.7890392272571102E-2</v>
      </c>
      <c r="Q386">
        <v>0</v>
      </c>
      <c r="R386">
        <v>0.92509509642963805</v>
      </c>
      <c r="S386" t="s">
        <v>5969</v>
      </c>
      <c r="T386" t="s">
        <v>11164</v>
      </c>
      <c r="U386" t="s">
        <v>11164</v>
      </c>
      <c r="V386" t="s">
        <v>11164</v>
      </c>
      <c r="W386" t="s">
        <v>11546</v>
      </c>
      <c r="X386">
        <v>3</v>
      </c>
      <c r="Y386" t="s">
        <v>17078</v>
      </c>
      <c r="Z386" t="s">
        <v>22536</v>
      </c>
      <c r="AA386">
        <v>0.73605548632073037</v>
      </c>
      <c r="AB386" t="str">
        <f>HYPERLINK("Melting_Curves/meltCurve_E7EP87_NARF.pdf", "Melting_Curves/meltCurve_E7EP87_NARF.pdf")</f>
        <v>Melting_Curves/meltCurve_E7EP87_NARF.pdf</v>
      </c>
    </row>
    <row r="387" spans="1:28" x14ac:dyDescent="0.25">
      <c r="A387" t="s">
        <v>391</v>
      </c>
      <c r="B387">
        <v>0.99796759195183404</v>
      </c>
      <c r="C387">
        <v>0.67032501623793195</v>
      </c>
      <c r="D387">
        <v>0.59549997043564695</v>
      </c>
      <c r="E387">
        <v>0.68228140476990995</v>
      </c>
      <c r="F387">
        <v>0.79719931053915305</v>
      </c>
      <c r="G387">
        <v>0.86062718897430202</v>
      </c>
      <c r="H387">
        <v>0.88813389434967305</v>
      </c>
      <c r="I387">
        <v>1.2726742334915999</v>
      </c>
      <c r="J387">
        <v>0.38172958189502898</v>
      </c>
      <c r="K387">
        <v>0.25845577909995898</v>
      </c>
      <c r="L387">
        <v>96.087238934377893</v>
      </c>
      <c r="M387">
        <v>0.82477886759502606</v>
      </c>
      <c r="Q387">
        <v>0</v>
      </c>
      <c r="R387">
        <v>5.4503787136510502E-2</v>
      </c>
      <c r="S387" t="s">
        <v>5970</v>
      </c>
      <c r="T387" t="s">
        <v>11164</v>
      </c>
      <c r="U387" t="s">
        <v>11164</v>
      </c>
      <c r="V387" t="s">
        <v>11164</v>
      </c>
      <c r="W387" t="s">
        <v>11547</v>
      </c>
      <c r="X387">
        <v>1</v>
      </c>
      <c r="Y387" t="s">
        <v>17079</v>
      </c>
      <c r="Z387" t="s">
        <v>22537</v>
      </c>
      <c r="AA387">
        <v>0.7409651637717497</v>
      </c>
      <c r="AB387" t="str">
        <f>HYPERLINK("Melting_Curves/meltCurve_E7EPB3_RPL14.pdf", "Melting_Curves/meltCurve_E7EPB3_RPL14.pdf")</f>
        <v>Melting_Curves/meltCurve_E7EPB3_RPL14.pdf</v>
      </c>
    </row>
    <row r="388" spans="1:28" x14ac:dyDescent="0.25">
      <c r="A388" t="s">
        <v>392</v>
      </c>
      <c r="B388">
        <v>0.99796759195183404</v>
      </c>
      <c r="C388">
        <v>0.99158425185510402</v>
      </c>
      <c r="D388">
        <v>0.92171016660837002</v>
      </c>
      <c r="E388">
        <v>0.92836623775799099</v>
      </c>
      <c r="F388">
        <v>0.86208948071845803</v>
      </c>
      <c r="G388">
        <v>0.680759978186943</v>
      </c>
      <c r="H388">
        <v>0.62415066893678595</v>
      </c>
      <c r="I388">
        <v>0.58200803934894196</v>
      </c>
      <c r="J388">
        <v>0.67950676567623203</v>
      </c>
      <c r="K388">
        <v>0.62241560356303904</v>
      </c>
      <c r="L388">
        <v>1097.9764401308501</v>
      </c>
      <c r="M388">
        <v>21.6798273376601</v>
      </c>
      <c r="O388">
        <v>50.2200818221215</v>
      </c>
      <c r="P388">
        <v>-4.1454256672108197E-2</v>
      </c>
      <c r="Q388">
        <v>0.61590342837191703</v>
      </c>
      <c r="R388">
        <v>0.94802719323992701</v>
      </c>
      <c r="S388" t="s">
        <v>5971</v>
      </c>
      <c r="T388" t="s">
        <v>11164</v>
      </c>
      <c r="U388" t="s">
        <v>11164</v>
      </c>
      <c r="V388" t="s">
        <v>11164</v>
      </c>
      <c r="W388" t="s">
        <v>11548</v>
      </c>
      <c r="X388">
        <v>14</v>
      </c>
      <c r="Y388" t="s">
        <v>17080</v>
      </c>
      <c r="Z388" t="s">
        <v>22538</v>
      </c>
      <c r="AA388">
        <v>0.79498875392141632</v>
      </c>
      <c r="AB388" t="str">
        <f>HYPERLINK("Melting_Curves/meltCurve_E7EPC6_CD44.pdf", "Melting_Curves/meltCurve_E7EPC6_CD44.pdf")</f>
        <v>Melting_Curves/meltCurve_E7EPC6_CD44.pdf</v>
      </c>
    </row>
    <row r="389" spans="1:28" x14ac:dyDescent="0.25">
      <c r="A389" t="s">
        <v>393</v>
      </c>
      <c r="B389">
        <v>0.99796759195183404</v>
      </c>
      <c r="C389">
        <v>0.98718403708512004</v>
      </c>
      <c r="D389">
        <v>0.96826131101459001</v>
      </c>
      <c r="E389">
        <v>0.92405798286309104</v>
      </c>
      <c r="F389">
        <v>0.83311666345898505</v>
      </c>
      <c r="G389">
        <v>0.427200493600086</v>
      </c>
      <c r="H389">
        <v>0.27339382879864899</v>
      </c>
      <c r="I389">
        <v>0.245333376055205</v>
      </c>
      <c r="J389">
        <v>0.20219134246769599</v>
      </c>
      <c r="K389">
        <v>0.120001981668502</v>
      </c>
      <c r="L389">
        <v>1316.0800395858</v>
      </c>
      <c r="M389">
        <v>25.103635765490399</v>
      </c>
      <c r="N389">
        <v>53.348657923446197</v>
      </c>
      <c r="O389">
        <v>52.096590591909298</v>
      </c>
      <c r="P389">
        <v>-9.9251939728794494E-2</v>
      </c>
      <c r="Q389">
        <v>0.17611626846912301</v>
      </c>
      <c r="R389">
        <v>0.99099531051921597</v>
      </c>
      <c r="S389" t="s">
        <v>5972</v>
      </c>
      <c r="T389" t="s">
        <v>11164</v>
      </c>
      <c r="U389" t="s">
        <v>11164</v>
      </c>
      <c r="V389" t="s">
        <v>11164</v>
      </c>
      <c r="W389" t="s">
        <v>11549</v>
      </c>
      <c r="X389">
        <v>10</v>
      </c>
      <c r="Y389" t="s">
        <v>17081</v>
      </c>
      <c r="Z389" t="s">
        <v>22539</v>
      </c>
      <c r="AA389">
        <v>0.60699880400697226</v>
      </c>
      <c r="AB389" t="str">
        <f>HYPERLINK("Melting_Curves/meltCurve_E7EPD0_TOM1.pdf", "Melting_Curves/meltCurve_E7EPD0_TOM1.pdf")</f>
        <v>Melting_Curves/meltCurve_E7EPD0_TOM1.pdf</v>
      </c>
    </row>
    <row r="390" spans="1:28" x14ac:dyDescent="0.25">
      <c r="A390" t="s">
        <v>394</v>
      </c>
      <c r="B390">
        <v>0.99796759195183404</v>
      </c>
      <c r="C390">
        <v>0.94846515320684399</v>
      </c>
      <c r="D390">
        <v>0.92758919425280795</v>
      </c>
      <c r="E390">
        <v>0.81481482480305001</v>
      </c>
      <c r="F390">
        <v>0.32217050212646903</v>
      </c>
      <c r="G390">
        <v>0.21909763699953499</v>
      </c>
      <c r="H390">
        <v>0.14967489653145899</v>
      </c>
      <c r="I390">
        <v>0.13686638006038801</v>
      </c>
      <c r="J390">
        <v>0.12384531152710899</v>
      </c>
      <c r="K390">
        <v>8.5712066388640998E-2</v>
      </c>
      <c r="L390">
        <v>1411.8929331152699</v>
      </c>
      <c r="M390">
        <v>29.1695079930305</v>
      </c>
      <c r="N390">
        <v>48.8966917741107</v>
      </c>
      <c r="O390">
        <v>48.177260610965298</v>
      </c>
      <c r="P390">
        <v>-0.13206049940690501</v>
      </c>
      <c r="Q390">
        <v>0.127545551323821</v>
      </c>
      <c r="R390">
        <v>0.99205705005659095</v>
      </c>
      <c r="S390" t="s">
        <v>5973</v>
      </c>
      <c r="T390" t="s">
        <v>11164</v>
      </c>
      <c r="U390" t="s">
        <v>11164</v>
      </c>
      <c r="V390" t="s">
        <v>11164</v>
      </c>
      <c r="W390" t="s">
        <v>11550</v>
      </c>
      <c r="X390">
        <v>17</v>
      </c>
      <c r="Y390" t="s">
        <v>17082</v>
      </c>
      <c r="Z390" t="s">
        <v>22540</v>
      </c>
      <c r="AA390">
        <v>0.46467332749401369</v>
      </c>
      <c r="AB390" t="str">
        <f>HYPERLINK("Melting_Curves/meltCurve_E7EPL4_PDXDC1.pdf", "Melting_Curves/meltCurve_E7EPL4_PDXDC1.pdf")</f>
        <v>Melting_Curves/meltCurve_E7EPL4_PDXDC1.pdf</v>
      </c>
    </row>
    <row r="391" spans="1:28" x14ac:dyDescent="0.25">
      <c r="A391" t="s">
        <v>395</v>
      </c>
      <c r="B391">
        <v>0.99796759195183404</v>
      </c>
      <c r="C391">
        <v>0.98733856748302795</v>
      </c>
      <c r="D391">
        <v>0.94413323144967598</v>
      </c>
      <c r="E391">
        <v>0.91855988958853096</v>
      </c>
      <c r="F391">
        <v>0.87817249533334896</v>
      </c>
      <c r="G391">
        <v>0.81440927461327595</v>
      </c>
      <c r="H391">
        <v>0.68893800395369797</v>
      </c>
      <c r="I391">
        <v>0.52515511055966602</v>
      </c>
      <c r="J391">
        <v>0.42860909224521798</v>
      </c>
      <c r="K391">
        <v>0.31197754327472499</v>
      </c>
      <c r="L391">
        <v>559.78416935482005</v>
      </c>
      <c r="M391">
        <v>9.0512646020182395</v>
      </c>
      <c r="N391">
        <v>61.845953732072097</v>
      </c>
      <c r="O391">
        <v>59.0511110000743</v>
      </c>
      <c r="P391">
        <v>-3.8346853321507703E-2</v>
      </c>
      <c r="Q391">
        <v>0</v>
      </c>
      <c r="R391">
        <v>0.99286050542741699</v>
      </c>
      <c r="S391" t="s">
        <v>5974</v>
      </c>
      <c r="T391" t="s">
        <v>11164</v>
      </c>
      <c r="U391" t="s">
        <v>11164</v>
      </c>
      <c r="V391" t="s">
        <v>11164</v>
      </c>
      <c r="W391" t="s">
        <v>11551</v>
      </c>
      <c r="X391">
        <v>41</v>
      </c>
      <c r="Y391" t="s">
        <v>17083</v>
      </c>
      <c r="Z391" t="s">
        <v>22541</v>
      </c>
      <c r="AA391">
        <v>0.77225822486952111</v>
      </c>
      <c r="AB391" t="str">
        <f>HYPERLINK("Melting_Curves/meltCurve_E7EPN9_PRRC2C.pdf", "Melting_Curves/meltCurve_E7EPN9_PRRC2C.pdf")</f>
        <v>Melting_Curves/meltCurve_E7EPN9_PRRC2C.pdf</v>
      </c>
    </row>
    <row r="392" spans="1:28" x14ac:dyDescent="0.25">
      <c r="A392" t="s">
        <v>396</v>
      </c>
      <c r="B392">
        <v>0.99796759195183404</v>
      </c>
      <c r="C392">
        <v>0.94396795247190701</v>
      </c>
      <c r="D392">
        <v>0.90960797284760697</v>
      </c>
      <c r="E392">
        <v>0.87717052858493005</v>
      </c>
      <c r="F392">
        <v>0.79912756825958098</v>
      </c>
      <c r="G392">
        <v>1.13137069474772</v>
      </c>
      <c r="H392">
        <v>1.6242964205314001</v>
      </c>
      <c r="I392">
        <v>1.2916195254752101</v>
      </c>
      <c r="J392">
        <v>1.11788601456508</v>
      </c>
      <c r="K392">
        <v>0.58534605229268699</v>
      </c>
      <c r="L392">
        <v>15000</v>
      </c>
      <c r="M392">
        <v>223.535781521453</v>
      </c>
      <c r="Q392">
        <v>0</v>
      </c>
      <c r="R392">
        <v>0.22280680952051801</v>
      </c>
      <c r="S392" t="s">
        <v>5975</v>
      </c>
      <c r="T392" t="s">
        <v>11164</v>
      </c>
      <c r="U392" t="s">
        <v>11164</v>
      </c>
      <c r="V392" t="s">
        <v>11164</v>
      </c>
      <c r="W392" t="s">
        <v>11552</v>
      </c>
      <c r="X392">
        <v>7</v>
      </c>
      <c r="Y392" t="s">
        <v>17084</v>
      </c>
      <c r="Z392" t="s">
        <v>22542</v>
      </c>
      <c r="AA392">
        <v>0.99471152774340621</v>
      </c>
      <c r="AB392" t="str">
        <f>HYPERLINK("Melting_Curves/meltCurve_E7EPT4_NDUFV2.pdf", "Melting_Curves/meltCurve_E7EPT4_NDUFV2.pdf")</f>
        <v>Melting_Curves/meltCurve_E7EPT4_NDUFV2.pdf</v>
      </c>
    </row>
    <row r="393" spans="1:28" x14ac:dyDescent="0.25">
      <c r="A393" t="s">
        <v>397</v>
      </c>
      <c r="B393">
        <v>0.99796759195183404</v>
      </c>
      <c r="C393">
        <v>1.00841046555297</v>
      </c>
      <c r="D393">
        <v>1.0311485222130199</v>
      </c>
      <c r="E393">
        <v>0.98305826574174204</v>
      </c>
      <c r="F393">
        <v>0.79218291987020495</v>
      </c>
      <c r="G393">
        <v>0.56698933649791905</v>
      </c>
      <c r="H393">
        <v>0.687888426348777</v>
      </c>
      <c r="I393">
        <v>0.58492943800863795</v>
      </c>
      <c r="J393">
        <v>0.78176445679338202</v>
      </c>
      <c r="K393">
        <v>0.83517756372504903</v>
      </c>
      <c r="L393">
        <v>12513.695757969201</v>
      </c>
      <c r="M393">
        <v>250</v>
      </c>
      <c r="O393">
        <v>50.051563355470002</v>
      </c>
      <c r="P393">
        <v>-0.385415100256218</v>
      </c>
      <c r="Q393">
        <v>0.69134984513502196</v>
      </c>
      <c r="R393">
        <v>0.79427598010977296</v>
      </c>
      <c r="S393" t="s">
        <v>5976</v>
      </c>
      <c r="T393" t="s">
        <v>11164</v>
      </c>
      <c r="U393" t="s">
        <v>11164</v>
      </c>
      <c r="V393" t="s">
        <v>11164</v>
      </c>
      <c r="W393" t="s">
        <v>11553</v>
      </c>
      <c r="X393">
        <v>9</v>
      </c>
      <c r="Y393" t="s">
        <v>17085</v>
      </c>
      <c r="Z393" t="s">
        <v>22543</v>
      </c>
      <c r="AA393">
        <v>0.82568898543784264</v>
      </c>
      <c r="AB393" t="str">
        <f>HYPERLINK("Melting_Curves/meltCurve_E7EPV7_SNCA.pdf", "Melting_Curves/meltCurve_E7EPV7_SNCA.pdf")</f>
        <v>Melting_Curves/meltCurve_E7EPV7_SNCA.pdf</v>
      </c>
    </row>
    <row r="394" spans="1:28" x14ac:dyDescent="0.25">
      <c r="A394" t="s">
        <v>398</v>
      </c>
      <c r="B394">
        <v>0.99796759195183404</v>
      </c>
      <c r="C394">
        <v>0.98222625445565204</v>
      </c>
      <c r="D394">
        <v>0.94893177758551805</v>
      </c>
      <c r="E394">
        <v>0.82247212438492801</v>
      </c>
      <c r="F394">
        <v>0.60931430583288004</v>
      </c>
      <c r="G394">
        <v>0.40916079823435297</v>
      </c>
      <c r="H394">
        <v>0.24686567368262499</v>
      </c>
      <c r="I394">
        <v>0.16586061781986899</v>
      </c>
      <c r="J394">
        <v>0.17831249864659299</v>
      </c>
      <c r="K394">
        <v>0.11347121774610799</v>
      </c>
      <c r="L394">
        <v>736.85825012842497</v>
      </c>
      <c r="M394">
        <v>14.396417765125699</v>
      </c>
      <c r="N394">
        <v>51.985845123794299</v>
      </c>
      <c r="O394">
        <v>50.226260109944498</v>
      </c>
      <c r="P394">
        <v>-6.4526475221094406E-2</v>
      </c>
      <c r="Q394">
        <v>9.9626283027342694E-2</v>
      </c>
      <c r="R394">
        <v>0.99860219420313101</v>
      </c>
      <c r="S394" t="s">
        <v>5977</v>
      </c>
      <c r="T394" t="s">
        <v>11164</v>
      </c>
      <c r="U394" t="s">
        <v>11164</v>
      </c>
      <c r="V394" t="s">
        <v>11164</v>
      </c>
      <c r="W394" t="s">
        <v>11554</v>
      </c>
      <c r="X394">
        <v>7</v>
      </c>
      <c r="Y394" t="s">
        <v>17086</v>
      </c>
      <c r="Z394" t="s">
        <v>22544</v>
      </c>
      <c r="AA394">
        <v>0.54423419405115647</v>
      </c>
      <c r="AB394" t="str">
        <f>HYPERLINK("Melting_Curves/meltCurve_E7EPY1_TNIP1.pdf", "Melting_Curves/meltCurve_E7EPY1_TNIP1.pdf")</f>
        <v>Melting_Curves/meltCurve_E7EPY1_TNIP1.pdf</v>
      </c>
    </row>
    <row r="395" spans="1:28" x14ac:dyDescent="0.25">
      <c r="A395" t="s">
        <v>399</v>
      </c>
      <c r="B395">
        <v>0.99796759195183404</v>
      </c>
      <c r="C395">
        <v>0.84420686426848301</v>
      </c>
      <c r="D395">
        <v>0.76526942266449505</v>
      </c>
      <c r="E395">
        <v>0.57998149185711501</v>
      </c>
      <c r="F395">
        <v>0.64015439214876502</v>
      </c>
      <c r="G395">
        <v>0.63783898704268904</v>
      </c>
      <c r="H395">
        <v>0.46607672939748801</v>
      </c>
      <c r="I395">
        <v>0.48127182043932598</v>
      </c>
      <c r="J395">
        <v>0.52912520946876695</v>
      </c>
      <c r="K395">
        <v>0.27413715345172601</v>
      </c>
      <c r="L395">
        <v>272.87332048719998</v>
      </c>
      <c r="M395">
        <v>5.4417606380008499</v>
      </c>
      <c r="N395">
        <v>57.232034423966901</v>
      </c>
      <c r="O395">
        <v>44.5855977601531</v>
      </c>
      <c r="P395">
        <v>-2.3138155498397001E-2</v>
      </c>
      <c r="Q395">
        <v>0.24514622387195001</v>
      </c>
      <c r="R395">
        <v>0.846401118042033</v>
      </c>
      <c r="S395" t="s">
        <v>5978</v>
      </c>
      <c r="T395" t="s">
        <v>11164</v>
      </c>
      <c r="U395" t="s">
        <v>11164</v>
      </c>
      <c r="V395" t="s">
        <v>11164</v>
      </c>
      <c r="W395" t="s">
        <v>11555</v>
      </c>
      <c r="X395">
        <v>3</v>
      </c>
      <c r="Y395" t="s">
        <v>17087</v>
      </c>
      <c r="Z395" t="s">
        <v>22545</v>
      </c>
      <c r="AA395">
        <v>0.61244481194715505</v>
      </c>
      <c r="AB395" t="str">
        <f>HYPERLINK("Melting_Curves/meltCurve_E7EQ29_GLB1.pdf", "Melting_Curves/meltCurve_E7EQ29_GLB1.pdf")</f>
        <v>Melting_Curves/meltCurve_E7EQ29_GLB1.pdf</v>
      </c>
    </row>
    <row r="396" spans="1:28" x14ac:dyDescent="0.25">
      <c r="A396" t="s">
        <v>400</v>
      </c>
      <c r="B396">
        <v>0.99796759195183404</v>
      </c>
      <c r="C396">
        <v>1.01962236085378</v>
      </c>
      <c r="D396">
        <v>1.04778974415052</v>
      </c>
      <c r="E396">
        <v>0.95853673452691701</v>
      </c>
      <c r="F396">
        <v>0.87896796338582595</v>
      </c>
      <c r="G396">
        <v>0.77501839624497504</v>
      </c>
      <c r="H396">
        <v>0.53673973828193</v>
      </c>
      <c r="I396">
        <v>0.22152352733925901</v>
      </c>
      <c r="J396">
        <v>0.16247229529651</v>
      </c>
      <c r="K396">
        <v>0.142510451801977</v>
      </c>
      <c r="L396">
        <v>1048.02474021028</v>
      </c>
      <c r="M396">
        <v>18.3948302780048</v>
      </c>
      <c r="N396">
        <v>57.368163363376297</v>
      </c>
      <c r="O396">
        <v>56.313342931420898</v>
      </c>
      <c r="P396">
        <v>-7.6817207887279401E-2</v>
      </c>
      <c r="Q396">
        <v>5.9379727574322499E-2</v>
      </c>
      <c r="R396">
        <v>0.99113912335777898</v>
      </c>
      <c r="S396" t="s">
        <v>5979</v>
      </c>
      <c r="T396" t="s">
        <v>11164</v>
      </c>
      <c r="U396" t="s">
        <v>11164</v>
      </c>
      <c r="V396" t="s">
        <v>11164</v>
      </c>
      <c r="W396" t="s">
        <v>11556</v>
      </c>
      <c r="X396">
        <v>10</v>
      </c>
      <c r="Y396" t="s">
        <v>17088</v>
      </c>
      <c r="Z396" t="s">
        <v>22546</v>
      </c>
      <c r="AA396">
        <v>0.69413061888632777</v>
      </c>
      <c r="AB396" t="str">
        <f>HYPERLINK("Melting_Curves/meltCurve_E7EQ69_NAA50.pdf", "Melting_Curves/meltCurve_E7EQ69_NAA50.pdf")</f>
        <v>Melting_Curves/meltCurve_E7EQ69_NAA50.pdf</v>
      </c>
    </row>
    <row r="397" spans="1:28" x14ac:dyDescent="0.25">
      <c r="A397" t="s">
        <v>401</v>
      </c>
      <c r="B397">
        <v>0.99796759195183404</v>
      </c>
      <c r="C397">
        <v>1.02937455739749</v>
      </c>
      <c r="D397">
        <v>1.1293342971542599</v>
      </c>
      <c r="E397">
        <v>0.99469836960007396</v>
      </c>
      <c r="F397">
        <v>0.89581988160096404</v>
      </c>
      <c r="G397">
        <v>0.56076499613716801</v>
      </c>
      <c r="H397">
        <v>0.50556990499636301</v>
      </c>
      <c r="I397">
        <v>0.32446698007022301</v>
      </c>
      <c r="J397">
        <v>0.13554154597079399</v>
      </c>
      <c r="K397">
        <v>0.14960076147547599</v>
      </c>
      <c r="L397">
        <v>851.88392216115801</v>
      </c>
      <c r="M397">
        <v>15.253940047393399</v>
      </c>
      <c r="N397">
        <v>56.468578937556202</v>
      </c>
      <c r="O397">
        <v>54.9133907593719</v>
      </c>
      <c r="P397">
        <v>-6.4082995042776703E-2</v>
      </c>
      <c r="Q397">
        <v>7.7305487445162399E-2</v>
      </c>
      <c r="R397">
        <v>0.96681986825361399</v>
      </c>
      <c r="S397" t="s">
        <v>5980</v>
      </c>
      <c r="T397" t="s">
        <v>11164</v>
      </c>
      <c r="U397" t="s">
        <v>11164</v>
      </c>
      <c r="V397" t="s">
        <v>11164</v>
      </c>
      <c r="W397" t="s">
        <v>11557</v>
      </c>
      <c r="X397">
        <v>2</v>
      </c>
      <c r="Y397" t="s">
        <v>17089</v>
      </c>
      <c r="Z397" t="s">
        <v>22547</v>
      </c>
      <c r="AA397">
        <v>0.66795535785651527</v>
      </c>
      <c r="AB397" t="str">
        <f>HYPERLINK("Melting_Curves/meltCurve_E7EQ72_TMED2.pdf", "Melting_Curves/meltCurve_E7EQ72_TMED2.pdf")</f>
        <v>Melting_Curves/meltCurve_E7EQ72_TMED2.pdf</v>
      </c>
    </row>
    <row r="398" spans="1:28" x14ac:dyDescent="0.25">
      <c r="A398" t="s">
        <v>402</v>
      </c>
      <c r="B398">
        <v>0.99796759195183404</v>
      </c>
      <c r="C398">
        <v>1.1473470709681199</v>
      </c>
      <c r="D398">
        <v>1.09980978411755</v>
      </c>
      <c r="E398">
        <v>1.07843163281653</v>
      </c>
      <c r="F398">
        <v>1.00505954633531</v>
      </c>
      <c r="G398">
        <v>0.49609831929054499</v>
      </c>
      <c r="H398">
        <v>0.55119858875608896</v>
      </c>
      <c r="I398">
        <v>0.84838107578667998</v>
      </c>
      <c r="J398">
        <v>1.0332589267052299</v>
      </c>
      <c r="K398">
        <v>0.97356158625364098</v>
      </c>
      <c r="L398">
        <v>12882.961094905801</v>
      </c>
      <c r="M398">
        <v>250</v>
      </c>
      <c r="O398">
        <v>51.528522423821798</v>
      </c>
      <c r="P398">
        <v>-0.26623416098187902</v>
      </c>
      <c r="Q398">
        <v>0.78050144921050202</v>
      </c>
      <c r="R398">
        <v>0.396141576770912</v>
      </c>
      <c r="S398" t="s">
        <v>5981</v>
      </c>
      <c r="T398" t="s">
        <v>11164</v>
      </c>
      <c r="U398" t="s">
        <v>11164</v>
      </c>
      <c r="V398" t="s">
        <v>11164</v>
      </c>
      <c r="W398" t="s">
        <v>11558</v>
      </c>
      <c r="X398">
        <v>2</v>
      </c>
      <c r="Y398" t="s">
        <v>17090</v>
      </c>
      <c r="Z398" t="s">
        <v>22548</v>
      </c>
      <c r="AA398">
        <v>0.88684525951684501</v>
      </c>
      <c r="AB398" t="str">
        <f>HYPERLINK("Melting_Curves/meltCurve_E7EQA9_TANK.pdf", "Melting_Curves/meltCurve_E7EQA9_TANK.pdf")</f>
        <v>Melting_Curves/meltCurve_E7EQA9_TANK.pdf</v>
      </c>
    </row>
    <row r="399" spans="1:28" x14ac:dyDescent="0.25">
      <c r="A399" t="s">
        <v>403</v>
      </c>
      <c r="B399">
        <v>0.99796759195183404</v>
      </c>
      <c r="C399">
        <v>1.2553558608969699</v>
      </c>
      <c r="D399">
        <v>0.81896335237755702</v>
      </c>
      <c r="E399">
        <v>0.662937258262841</v>
      </c>
      <c r="F399">
        <v>1.0247328022687801</v>
      </c>
      <c r="G399">
        <v>0.98970900278054696</v>
      </c>
      <c r="H399">
        <v>0.36668535447617001</v>
      </c>
      <c r="I399">
        <v>0.37609917566608497</v>
      </c>
      <c r="J399">
        <v>7.4284314048522093E-2</v>
      </c>
      <c r="K399">
        <v>0.13865475927538501</v>
      </c>
      <c r="L399">
        <v>3714.7000881487402</v>
      </c>
      <c r="M399">
        <v>65.917411702302701</v>
      </c>
      <c r="N399">
        <v>56.769548704435401</v>
      </c>
      <c r="O399">
        <v>56.302051989319203</v>
      </c>
      <c r="P399">
        <v>-0.23666443620260999</v>
      </c>
      <c r="Q399">
        <v>0.191431233408806</v>
      </c>
      <c r="R399">
        <v>0.82740694046345498</v>
      </c>
      <c r="S399" t="s">
        <v>5982</v>
      </c>
      <c r="T399" t="s">
        <v>11164</v>
      </c>
      <c r="U399" t="s">
        <v>11164</v>
      </c>
      <c r="V399" t="s">
        <v>11164</v>
      </c>
      <c r="W399" t="s">
        <v>11559</v>
      </c>
      <c r="X399">
        <v>1</v>
      </c>
      <c r="Y399" t="s">
        <v>17091</v>
      </c>
      <c r="Z399" t="s">
        <v>22549</v>
      </c>
      <c r="AA399">
        <v>0.71421464551250247</v>
      </c>
      <c r="AB399" t="str">
        <f>HYPERLINK("Melting_Curves/meltCurve_E7EQI7_KIAA0196.pdf", "Melting_Curves/meltCurve_E7EQI7_KIAA0196.pdf")</f>
        <v>Melting_Curves/meltCurve_E7EQI7_KIAA0196.pdf</v>
      </c>
    </row>
    <row r="400" spans="1:28" x14ac:dyDescent="0.25">
      <c r="A400" t="s">
        <v>404</v>
      </c>
      <c r="B400">
        <v>0.99796759195183404</v>
      </c>
      <c r="C400">
        <v>1.07309128711007</v>
      </c>
      <c r="D400">
        <v>0.98967713953380099</v>
      </c>
      <c r="E400">
        <v>0.80837831601827104</v>
      </c>
      <c r="F400">
        <v>0.97393311954661999</v>
      </c>
      <c r="G400">
        <v>0.57644846321248799</v>
      </c>
      <c r="H400">
        <v>0.46306940232690202</v>
      </c>
      <c r="I400">
        <v>0.22371188069745199</v>
      </c>
      <c r="J400">
        <v>0.25891946984592901</v>
      </c>
      <c r="K400">
        <v>0.178928447253697</v>
      </c>
      <c r="L400">
        <v>952.33963098959396</v>
      </c>
      <c r="M400">
        <v>17.3959524673521</v>
      </c>
      <c r="N400">
        <v>55.946208136939099</v>
      </c>
      <c r="O400">
        <v>54.0368303445685</v>
      </c>
      <c r="P400">
        <v>-6.7942487413634206E-2</v>
      </c>
      <c r="Q400">
        <v>0.15585204301532299</v>
      </c>
      <c r="R400">
        <v>0.95254875933831196</v>
      </c>
      <c r="S400" t="s">
        <v>5983</v>
      </c>
      <c r="T400" t="s">
        <v>11164</v>
      </c>
      <c r="U400" t="s">
        <v>11164</v>
      </c>
      <c r="V400" t="s">
        <v>11164</v>
      </c>
      <c r="W400" t="s">
        <v>11560</v>
      </c>
      <c r="X400">
        <v>3</v>
      </c>
      <c r="Y400" t="s">
        <v>17092</v>
      </c>
      <c r="Z400" t="s">
        <v>22550</v>
      </c>
      <c r="AA400">
        <v>0.66638351620600156</v>
      </c>
      <c r="AB400" t="str">
        <f>HYPERLINK("Melting_Curves/meltCurve_E7EQN6_SENP6.pdf", "Melting_Curves/meltCurve_E7EQN6_SENP6.pdf")</f>
        <v>Melting_Curves/meltCurve_E7EQN6_SENP6.pdf</v>
      </c>
    </row>
    <row r="401" spans="1:28" x14ac:dyDescent="0.25">
      <c r="A401" t="s">
        <v>405</v>
      </c>
      <c r="B401">
        <v>0.99796759195183404</v>
      </c>
      <c r="C401">
        <v>1.02618842374976</v>
      </c>
      <c r="D401">
        <v>1.0372518499269501</v>
      </c>
      <c r="E401">
        <v>1.0044310207223901</v>
      </c>
      <c r="F401">
        <v>0.87404900461934898</v>
      </c>
      <c r="G401">
        <v>0.74714491538776795</v>
      </c>
      <c r="H401">
        <v>0.75019571219630399</v>
      </c>
      <c r="I401">
        <v>0.73310889944438695</v>
      </c>
      <c r="J401">
        <v>0.70324311298013797</v>
      </c>
      <c r="K401">
        <v>0.474741402614203</v>
      </c>
      <c r="L401">
        <v>409.18845326186198</v>
      </c>
      <c r="M401">
        <v>5.9219236613489299</v>
      </c>
      <c r="O401">
        <v>62.447937384806202</v>
      </c>
      <c r="P401">
        <v>-2.3787883387257E-2</v>
      </c>
      <c r="Q401">
        <v>0</v>
      </c>
      <c r="R401">
        <v>0.88631774840986699</v>
      </c>
      <c r="S401" t="s">
        <v>5984</v>
      </c>
      <c r="T401" t="s">
        <v>11164</v>
      </c>
      <c r="U401" t="s">
        <v>11164</v>
      </c>
      <c r="V401" t="s">
        <v>11164</v>
      </c>
      <c r="W401" t="s">
        <v>11561</v>
      </c>
      <c r="X401">
        <v>4</v>
      </c>
      <c r="Y401" t="s">
        <v>17093</v>
      </c>
      <c r="Z401" t="s">
        <v>22551</v>
      </c>
      <c r="AA401">
        <v>0.83602503708179143</v>
      </c>
      <c r="AB401" t="str">
        <f>HYPERLINK("Melting_Curves/meltCurve_E7EQR8_YIPF3.pdf", "Melting_Curves/meltCurve_E7EQR8_YIPF3.pdf")</f>
        <v>Melting_Curves/meltCurve_E7EQR8_YIPF3.pdf</v>
      </c>
    </row>
    <row r="402" spans="1:28" x14ac:dyDescent="0.25">
      <c r="A402" t="s">
        <v>406</v>
      </c>
      <c r="B402">
        <v>0.99796759195183404</v>
      </c>
      <c r="C402">
        <v>0.99011849746565705</v>
      </c>
      <c r="D402">
        <v>0.96073342491679103</v>
      </c>
      <c r="E402">
        <v>0.90004873511976502</v>
      </c>
      <c r="F402">
        <v>0.75843039087564201</v>
      </c>
      <c r="G402">
        <v>0.37384342509131002</v>
      </c>
      <c r="H402">
        <v>0.209892045947351</v>
      </c>
      <c r="I402">
        <v>0.15647522705988201</v>
      </c>
      <c r="J402">
        <v>9.0506552248590805E-2</v>
      </c>
      <c r="K402">
        <v>6.4181259479741196E-2</v>
      </c>
      <c r="L402">
        <v>1058.97426550302</v>
      </c>
      <c r="M402">
        <v>20.257715318186602</v>
      </c>
      <c r="N402">
        <v>52.690598213090901</v>
      </c>
      <c r="O402">
        <v>51.7736994620399</v>
      </c>
      <c r="P402">
        <v>-9.0600605443125398E-2</v>
      </c>
      <c r="Q402">
        <v>7.3817897217736003E-2</v>
      </c>
      <c r="R402">
        <v>0.99605657635422695</v>
      </c>
      <c r="S402" t="s">
        <v>5985</v>
      </c>
      <c r="T402" t="s">
        <v>11164</v>
      </c>
      <c r="U402" t="s">
        <v>11164</v>
      </c>
      <c r="V402" t="s">
        <v>11164</v>
      </c>
      <c r="W402" t="s">
        <v>11562</v>
      </c>
      <c r="X402">
        <v>4</v>
      </c>
      <c r="Y402" t="s">
        <v>17094</v>
      </c>
      <c r="Z402" t="s">
        <v>22552</v>
      </c>
      <c r="AA402">
        <v>0.55706421838209852</v>
      </c>
      <c r="AB402" t="str">
        <f>HYPERLINK("Melting_Curves/meltCurve_E7EQR9_DMD.pdf", "Melting_Curves/meltCurve_E7EQR9_DMD.pdf")</f>
        <v>Melting_Curves/meltCurve_E7EQR9_DMD.pdf</v>
      </c>
    </row>
    <row r="403" spans="1:28" x14ac:dyDescent="0.25">
      <c r="A403" t="s">
        <v>407</v>
      </c>
      <c r="B403">
        <v>0.99796759195183404</v>
      </c>
      <c r="C403">
        <v>0.95134755135739801</v>
      </c>
      <c r="D403">
        <v>0.96634231331485498</v>
      </c>
      <c r="E403">
        <v>0.915588043840175</v>
      </c>
      <c r="F403">
        <v>0.81924065000027801</v>
      </c>
      <c r="G403">
        <v>0.73212592737305904</v>
      </c>
      <c r="H403">
        <v>0.58867498307718802</v>
      </c>
      <c r="I403">
        <v>0.44256579817506603</v>
      </c>
      <c r="J403">
        <v>0.41944636804137198</v>
      </c>
      <c r="K403">
        <v>0.34619218852829398</v>
      </c>
      <c r="L403">
        <v>531.96955557944796</v>
      </c>
      <c r="M403">
        <v>9.2644632551422497</v>
      </c>
      <c r="N403">
        <v>60.1495759913877</v>
      </c>
      <c r="O403">
        <v>54.935315168250803</v>
      </c>
      <c r="P403">
        <v>-3.4949051296488898E-2</v>
      </c>
      <c r="Q403">
        <v>0.17159213818025801</v>
      </c>
      <c r="R403">
        <v>0.99428113925324202</v>
      </c>
      <c r="S403" t="s">
        <v>5986</v>
      </c>
      <c r="T403" t="s">
        <v>11164</v>
      </c>
      <c r="U403" t="s">
        <v>11164</v>
      </c>
      <c r="V403" t="s">
        <v>11164</v>
      </c>
      <c r="W403" t="s">
        <v>11563</v>
      </c>
      <c r="X403">
        <v>20</v>
      </c>
      <c r="Y403" t="s">
        <v>17095</v>
      </c>
      <c r="Z403" t="s">
        <v>22553</v>
      </c>
      <c r="AA403">
        <v>0.72938988256514592</v>
      </c>
      <c r="AB403" t="str">
        <f>HYPERLINK("Melting_Curves/meltCurve_E7EQT4_ACIN1.pdf", "Melting_Curves/meltCurve_E7EQT4_ACIN1.pdf")</f>
        <v>Melting_Curves/meltCurve_E7EQT4_ACIN1.pdf</v>
      </c>
    </row>
    <row r="404" spans="1:28" x14ac:dyDescent="0.25">
      <c r="A404" t="s">
        <v>408</v>
      </c>
      <c r="B404">
        <v>0.99796759195183404</v>
      </c>
      <c r="C404">
        <v>1.08779941113946</v>
      </c>
      <c r="D404">
        <v>0.56345760414329005</v>
      </c>
      <c r="E404">
        <v>0.367695462149849</v>
      </c>
      <c r="F404">
        <v>0.21305140321765301</v>
      </c>
      <c r="G404">
        <v>0.15572814292954701</v>
      </c>
      <c r="H404">
        <v>0.14637745906764699</v>
      </c>
      <c r="I404">
        <v>0.14666633435137499</v>
      </c>
      <c r="J404">
        <v>0</v>
      </c>
      <c r="K404">
        <v>0</v>
      </c>
      <c r="L404">
        <v>882.052820002668</v>
      </c>
      <c r="M404">
        <v>19.891782940152599</v>
      </c>
      <c r="N404">
        <v>44.778231868101201</v>
      </c>
      <c r="O404">
        <v>43.901717507973601</v>
      </c>
      <c r="P404">
        <v>-0.103312225483532</v>
      </c>
      <c r="Q404">
        <v>8.79785245959991E-2</v>
      </c>
      <c r="R404">
        <v>0.94870567071955503</v>
      </c>
      <c r="S404" t="s">
        <v>5987</v>
      </c>
      <c r="T404" t="s">
        <v>11164</v>
      </c>
      <c r="U404" t="s">
        <v>11164</v>
      </c>
      <c r="V404" t="s">
        <v>11164</v>
      </c>
      <c r="W404" t="s">
        <v>11564</v>
      </c>
      <c r="X404">
        <v>2</v>
      </c>
      <c r="Y404" t="s">
        <v>17096</v>
      </c>
      <c r="Z404" t="s">
        <v>22554</v>
      </c>
      <c r="AA404">
        <v>0.32344546132612989</v>
      </c>
      <c r="AB404" t="str">
        <f>HYPERLINK("Melting_Curves/meltCurve_E7EQX7_TP53.pdf", "Melting_Curves/meltCurve_E7EQX7_TP53.pdf")</f>
        <v>Melting_Curves/meltCurve_E7EQX7_TP53.pdf</v>
      </c>
    </row>
    <row r="405" spans="1:28" x14ac:dyDescent="0.25">
      <c r="A405" t="s">
        <v>409</v>
      </c>
      <c r="B405">
        <v>0.99796759195183404</v>
      </c>
      <c r="C405">
        <v>0.93312759689369595</v>
      </c>
      <c r="D405">
        <v>0.94847360364668698</v>
      </c>
      <c r="E405">
        <v>0.94397231688465799</v>
      </c>
      <c r="F405">
        <v>0.84107255858807195</v>
      </c>
      <c r="G405">
        <v>0.63445707020272002</v>
      </c>
      <c r="H405">
        <v>0.57931477735562498</v>
      </c>
      <c r="I405">
        <v>0.43705059763663401</v>
      </c>
      <c r="J405">
        <v>0.52023469718625304</v>
      </c>
      <c r="K405">
        <v>0.55504805383202405</v>
      </c>
      <c r="L405">
        <v>1138.29024455123</v>
      </c>
      <c r="M405">
        <v>22.067630916789401</v>
      </c>
      <c r="O405">
        <v>51.163919850319999</v>
      </c>
      <c r="P405">
        <v>-5.3554218046022201E-2</v>
      </c>
      <c r="Q405">
        <v>0.50334800581960104</v>
      </c>
      <c r="R405">
        <v>0.95849943158644502</v>
      </c>
      <c r="S405" t="s">
        <v>5988</v>
      </c>
      <c r="T405" t="s">
        <v>11164</v>
      </c>
      <c r="U405" t="s">
        <v>11164</v>
      </c>
      <c r="V405" t="s">
        <v>11164</v>
      </c>
      <c r="W405" t="s">
        <v>11565</v>
      </c>
      <c r="X405">
        <v>15</v>
      </c>
      <c r="Y405" t="s">
        <v>17097</v>
      </c>
      <c r="Z405" t="s">
        <v>22555</v>
      </c>
      <c r="AA405">
        <v>0.75023528588258304</v>
      </c>
      <c r="AB405" t="str">
        <f>HYPERLINK("Melting_Curves/meltCurve_E7EQY1_FAM136A.pdf", "Melting_Curves/meltCurve_E7EQY1_FAM136A.pdf")</f>
        <v>Melting_Curves/meltCurve_E7EQY1_FAM136A.pdf</v>
      </c>
    </row>
    <row r="406" spans="1:28" x14ac:dyDescent="0.25">
      <c r="A406" t="s">
        <v>410</v>
      </c>
      <c r="B406">
        <v>0.99796759195183404</v>
      </c>
      <c r="C406">
        <v>0.94768635106447396</v>
      </c>
      <c r="D406">
        <v>0.84888737649345603</v>
      </c>
      <c r="E406">
        <v>0.78309878268389399</v>
      </c>
      <c r="F406">
        <v>0.69853988714577098</v>
      </c>
      <c r="G406">
        <v>0.391635076197897</v>
      </c>
      <c r="H406">
        <v>0.16890590864393701</v>
      </c>
      <c r="I406">
        <v>7.3959970400213404E-2</v>
      </c>
      <c r="J406">
        <v>0.17930098044832399</v>
      </c>
      <c r="K406">
        <v>0.11097174469967599</v>
      </c>
      <c r="L406">
        <v>683.95832977014504</v>
      </c>
      <c r="M406">
        <v>13.273274618633501</v>
      </c>
      <c r="N406">
        <v>51.864335244023003</v>
      </c>
      <c r="O406">
        <v>50.401507032102998</v>
      </c>
      <c r="P406">
        <v>-6.3140596819590902E-2</v>
      </c>
      <c r="Q406">
        <v>4.1122297147817302E-2</v>
      </c>
      <c r="R406">
        <v>0.97211705981049401</v>
      </c>
      <c r="S406" t="s">
        <v>5989</v>
      </c>
      <c r="T406" t="s">
        <v>11164</v>
      </c>
      <c r="U406" t="s">
        <v>11164</v>
      </c>
      <c r="V406" t="s">
        <v>11164</v>
      </c>
      <c r="W406" t="s">
        <v>11566</v>
      </c>
      <c r="X406">
        <v>3</v>
      </c>
      <c r="Y406" t="s">
        <v>17098</v>
      </c>
      <c r="Z406" t="s">
        <v>22556</v>
      </c>
      <c r="AA406">
        <v>0.52714402269548333</v>
      </c>
      <c r="AB406" t="str">
        <f>HYPERLINK("Melting_Curves/meltCurve_E7ER60_SYNJ2.pdf", "Melting_Curves/meltCurve_E7ER60_SYNJ2.pdf")</f>
        <v>Melting_Curves/meltCurve_E7ER60_SYNJ2.pdf</v>
      </c>
    </row>
    <row r="407" spans="1:28" x14ac:dyDescent="0.25">
      <c r="A407" t="s">
        <v>411</v>
      </c>
      <c r="B407">
        <v>0.99796759195183404</v>
      </c>
      <c r="C407">
        <v>0.83995329024590204</v>
      </c>
      <c r="D407">
        <v>0.91233730150655601</v>
      </c>
      <c r="E407">
        <v>0.7218302449749</v>
      </c>
      <c r="F407">
        <v>0.74838000984127395</v>
      </c>
      <c r="G407">
        <v>1.08425720008635</v>
      </c>
      <c r="H407">
        <v>0.50815937997363103</v>
      </c>
      <c r="I407">
        <v>0.38089784714213798</v>
      </c>
      <c r="J407">
        <v>0.22471461342872201</v>
      </c>
      <c r="K407">
        <v>0.16952729506651701</v>
      </c>
      <c r="L407">
        <v>852.95994691255703</v>
      </c>
      <c r="M407">
        <v>14.437531170745499</v>
      </c>
      <c r="N407">
        <v>59.079349297752998</v>
      </c>
      <c r="O407">
        <v>57.980593776785902</v>
      </c>
      <c r="P407">
        <v>-6.2258870757047301E-2</v>
      </c>
      <c r="Q407">
        <v>0</v>
      </c>
      <c r="R407">
        <v>0.76548646848125002</v>
      </c>
      <c r="S407" t="s">
        <v>5990</v>
      </c>
      <c r="T407" t="s">
        <v>11164</v>
      </c>
      <c r="U407" t="s">
        <v>11164</v>
      </c>
      <c r="V407" t="s">
        <v>11164</v>
      </c>
      <c r="W407" t="s">
        <v>11567</v>
      </c>
      <c r="X407">
        <v>1</v>
      </c>
      <c r="Y407" t="s">
        <v>17099</v>
      </c>
      <c r="Z407" t="s">
        <v>22557</v>
      </c>
      <c r="AA407">
        <v>0.73370674900073163</v>
      </c>
      <c r="AB407" t="str">
        <f>HYPERLINK("Melting_Curves/meltCurve_E7ER68_FAM91A1.pdf", "Melting_Curves/meltCurve_E7ER68_FAM91A1.pdf")</f>
        <v>Melting_Curves/meltCurve_E7ER68_FAM91A1.pdf</v>
      </c>
    </row>
    <row r="408" spans="1:28" x14ac:dyDescent="0.25">
      <c r="A408" t="s">
        <v>412</v>
      </c>
      <c r="B408">
        <v>0.99796759195183404</v>
      </c>
      <c r="C408">
        <v>0.97489492439555503</v>
      </c>
      <c r="D408">
        <v>1.09990022669385</v>
      </c>
      <c r="E408">
        <v>1.11707316626474</v>
      </c>
      <c r="F408">
        <v>0.88814726038190095</v>
      </c>
      <c r="G408">
        <v>0.57058572749343095</v>
      </c>
      <c r="H408">
        <v>0.66051284190369797</v>
      </c>
      <c r="I408">
        <v>0.50826484905894898</v>
      </c>
      <c r="J408">
        <v>0.47191422410348499</v>
      </c>
      <c r="K408">
        <v>0.382151717820639</v>
      </c>
      <c r="L408">
        <v>1903.98647927314</v>
      </c>
      <c r="M408">
        <v>36.651173903247702</v>
      </c>
      <c r="N408">
        <v>58.985339163730501</v>
      </c>
      <c r="O408">
        <v>51.794928225047201</v>
      </c>
      <c r="P408">
        <v>-8.9569453715969E-2</v>
      </c>
      <c r="Q408">
        <v>0.49368827270660898</v>
      </c>
      <c r="R408">
        <v>0.90882735871724296</v>
      </c>
      <c r="S408" t="s">
        <v>5991</v>
      </c>
      <c r="T408" t="s">
        <v>11164</v>
      </c>
      <c r="U408" t="s">
        <v>11164</v>
      </c>
      <c r="V408" t="s">
        <v>11164</v>
      </c>
      <c r="W408" t="s">
        <v>11568</v>
      </c>
      <c r="X408">
        <v>4</v>
      </c>
      <c r="Y408" t="s">
        <v>17100</v>
      </c>
      <c r="Z408" t="s">
        <v>22558</v>
      </c>
      <c r="AA408">
        <v>0.74813937949135323</v>
      </c>
      <c r="AB408" t="str">
        <f>HYPERLINK("Melting_Curves/meltCurve_E7ER77_ERMP1.pdf", "Melting_Curves/meltCurve_E7ER77_ERMP1.pdf")</f>
        <v>Melting_Curves/meltCurve_E7ER77_ERMP1.pdf</v>
      </c>
    </row>
    <row r="409" spans="1:28" x14ac:dyDescent="0.25">
      <c r="A409" t="s">
        <v>413</v>
      </c>
      <c r="B409">
        <v>0.99796759195183404</v>
      </c>
      <c r="C409">
        <v>1.03428194002316</v>
      </c>
      <c r="D409">
        <v>1.0484864018033</v>
      </c>
      <c r="E409">
        <v>0.96898625390686899</v>
      </c>
      <c r="F409">
        <v>0.85070433170107795</v>
      </c>
      <c r="G409">
        <v>0.764116186716984</v>
      </c>
      <c r="H409">
        <v>0.31816960689670898</v>
      </c>
      <c r="I409">
        <v>0.17543894054651599</v>
      </c>
      <c r="J409">
        <v>0.146949974130931</v>
      </c>
      <c r="K409">
        <v>0.110093512266387</v>
      </c>
      <c r="L409">
        <v>1408.39774547209</v>
      </c>
      <c r="M409">
        <v>25.465592309799899</v>
      </c>
      <c r="N409">
        <v>55.804448917117398</v>
      </c>
      <c r="O409">
        <v>54.968242298123499</v>
      </c>
      <c r="P409">
        <v>-0.104037534448346</v>
      </c>
      <c r="Q409">
        <v>0.101738712162963</v>
      </c>
      <c r="R409">
        <v>0.98837421226062505</v>
      </c>
      <c r="S409" t="s">
        <v>5992</v>
      </c>
      <c r="T409" t="s">
        <v>11164</v>
      </c>
      <c r="U409" t="s">
        <v>11164</v>
      </c>
      <c r="V409" t="s">
        <v>11164</v>
      </c>
      <c r="W409" t="s">
        <v>11569</v>
      </c>
      <c r="X409">
        <v>23</v>
      </c>
      <c r="Y409" t="s">
        <v>17101</v>
      </c>
      <c r="Z409" t="s">
        <v>22559</v>
      </c>
      <c r="AA409">
        <v>0.65720522669807935</v>
      </c>
      <c r="AB409" t="str">
        <f>HYPERLINK("Melting_Curves/meltCurve_E7ER89_PAPSS2.pdf", "Melting_Curves/meltCurve_E7ER89_PAPSS2.pdf")</f>
        <v>Melting_Curves/meltCurve_E7ER89_PAPSS2.pdf</v>
      </c>
    </row>
    <row r="410" spans="1:28" x14ac:dyDescent="0.25">
      <c r="A410" t="s">
        <v>414</v>
      </c>
      <c r="B410">
        <v>0.99796759195183404</v>
      </c>
      <c r="C410">
        <v>0.92328525680649498</v>
      </c>
      <c r="D410">
        <v>0.95170974648741902</v>
      </c>
      <c r="E410">
        <v>0.77482768071211605</v>
      </c>
      <c r="F410">
        <v>0.87221717537726295</v>
      </c>
      <c r="G410">
        <v>0.36889170922583298</v>
      </c>
      <c r="H410">
        <v>0.28970301894899297</v>
      </c>
      <c r="I410">
        <v>0.32576347627546398</v>
      </c>
      <c r="J410">
        <v>0.22039320170479201</v>
      </c>
      <c r="K410">
        <v>0.17061925506382</v>
      </c>
      <c r="L410">
        <v>878.59375936645904</v>
      </c>
      <c r="M410">
        <v>16.918906964216902</v>
      </c>
      <c r="N410">
        <v>53.371797580825103</v>
      </c>
      <c r="O410">
        <v>51.220505609875502</v>
      </c>
      <c r="P410">
        <v>-6.7433449017000394E-2</v>
      </c>
      <c r="Q410">
        <v>0.183456078770831</v>
      </c>
      <c r="R410">
        <v>0.93529937761579895</v>
      </c>
      <c r="S410" t="s">
        <v>5993</v>
      </c>
      <c r="T410" t="s">
        <v>11164</v>
      </c>
      <c r="U410" t="s">
        <v>11164</v>
      </c>
      <c r="V410" t="s">
        <v>11164</v>
      </c>
      <c r="W410" t="s">
        <v>11570</v>
      </c>
      <c r="X410">
        <v>4</v>
      </c>
      <c r="Y410" t="s">
        <v>17102</v>
      </c>
      <c r="Z410" t="s">
        <v>22560</v>
      </c>
      <c r="AA410">
        <v>0.6033018176267404</v>
      </c>
      <c r="AB410" t="str">
        <f>HYPERLINK("Melting_Curves/meltCurve_E7ERB7_GMIP.pdf", "Melting_Curves/meltCurve_E7ERB7_GMIP.pdf")</f>
        <v>Melting_Curves/meltCurve_E7ERB7_GMIP.pdf</v>
      </c>
    </row>
    <row r="411" spans="1:28" x14ac:dyDescent="0.25">
      <c r="A411" t="s">
        <v>415</v>
      </c>
      <c r="B411">
        <v>0.99796759195183404</v>
      </c>
      <c r="C411">
        <v>0.95152924608622202</v>
      </c>
      <c r="D411">
        <v>0.96037125335415197</v>
      </c>
      <c r="E411">
        <v>0.94986507003721499</v>
      </c>
      <c r="F411">
        <v>0.80332997372048598</v>
      </c>
      <c r="G411">
        <v>0.72156675340315402</v>
      </c>
      <c r="H411">
        <v>0.486104576842117</v>
      </c>
      <c r="I411">
        <v>0.203373174376515</v>
      </c>
      <c r="J411">
        <v>0.113048108333065</v>
      </c>
      <c r="K411">
        <v>9.1747851782750106E-2</v>
      </c>
      <c r="L411">
        <v>859.37049194573501</v>
      </c>
      <c r="M411">
        <v>15.2063417782662</v>
      </c>
      <c r="N411">
        <v>56.513953922128103</v>
      </c>
      <c r="O411">
        <v>55.563623061072697</v>
      </c>
      <c r="P411">
        <v>-6.8425153748471093E-2</v>
      </c>
      <c r="Q411">
        <v>0</v>
      </c>
      <c r="R411">
        <v>0.98867337303517999</v>
      </c>
      <c r="S411" t="s">
        <v>5994</v>
      </c>
      <c r="T411" t="s">
        <v>11164</v>
      </c>
      <c r="U411" t="s">
        <v>11164</v>
      </c>
      <c r="V411" t="s">
        <v>11164</v>
      </c>
      <c r="W411" t="s">
        <v>11571</v>
      </c>
      <c r="X411">
        <v>9</v>
      </c>
      <c r="Y411" t="s">
        <v>17103</v>
      </c>
      <c r="Z411" t="s">
        <v>22561</v>
      </c>
      <c r="AA411">
        <v>0.66040246786829615</v>
      </c>
      <c r="AB411" t="str">
        <f>HYPERLINK("Melting_Curves/meltCurve_E7ERC6_ATP2C1.pdf", "Melting_Curves/meltCurve_E7ERC6_ATP2C1.pdf")</f>
        <v>Melting_Curves/meltCurve_E7ERC6_ATP2C1.pdf</v>
      </c>
    </row>
    <row r="412" spans="1:28" x14ac:dyDescent="0.25">
      <c r="A412" t="s">
        <v>416</v>
      </c>
      <c r="B412">
        <v>0.99796759195183404</v>
      </c>
      <c r="C412">
        <v>1.0157156145133499</v>
      </c>
      <c r="D412">
        <v>0.99470658945658996</v>
      </c>
      <c r="E412">
        <v>0.92379112355414295</v>
      </c>
      <c r="F412">
        <v>0.82622611134408697</v>
      </c>
      <c r="G412">
        <v>0.41681166733525099</v>
      </c>
      <c r="H412">
        <v>0.299900722357754</v>
      </c>
      <c r="I412">
        <v>0.19362057014785899</v>
      </c>
      <c r="J412">
        <v>0.14832620649651199</v>
      </c>
      <c r="K412">
        <v>0.117853407197911</v>
      </c>
      <c r="L412">
        <v>1170.6191314749301</v>
      </c>
      <c r="M412">
        <v>22.230057381715898</v>
      </c>
      <c r="N412">
        <v>53.430772012785603</v>
      </c>
      <c r="O412">
        <v>52.2387202728397</v>
      </c>
      <c r="P412">
        <v>-9.1784324805266104E-2</v>
      </c>
      <c r="Q412">
        <v>0.137277505739137</v>
      </c>
      <c r="R412">
        <v>0.993582073105723</v>
      </c>
      <c r="S412" t="s">
        <v>5995</v>
      </c>
      <c r="T412" t="s">
        <v>11164</v>
      </c>
      <c r="U412" t="s">
        <v>11164</v>
      </c>
      <c r="V412" t="s">
        <v>11164</v>
      </c>
      <c r="W412" t="s">
        <v>11572</v>
      </c>
      <c r="X412">
        <v>14</v>
      </c>
      <c r="Y412" t="s">
        <v>17104</v>
      </c>
      <c r="Z412" t="s">
        <v>22562</v>
      </c>
      <c r="AA412">
        <v>0.59690941833841038</v>
      </c>
      <c r="AB412" t="str">
        <f>HYPERLINK("Melting_Curves/meltCurve_E7ERI8_CLASP2.pdf", "Melting_Curves/meltCurve_E7ERI8_CLASP2.pdf")</f>
        <v>Melting_Curves/meltCurve_E7ERI8_CLASP2.pdf</v>
      </c>
    </row>
    <row r="413" spans="1:28" x14ac:dyDescent="0.25">
      <c r="A413" t="s">
        <v>417</v>
      </c>
      <c r="B413">
        <v>0.99796759195183404</v>
      </c>
      <c r="C413">
        <v>1.03261312852743</v>
      </c>
      <c r="D413">
        <v>0.98909558571277501</v>
      </c>
      <c r="E413">
        <v>0.84733421344730697</v>
      </c>
      <c r="F413">
        <v>0.71060845702027797</v>
      </c>
      <c r="G413">
        <v>0.90968446975698103</v>
      </c>
      <c r="H413">
        <v>0.40001757314352698</v>
      </c>
      <c r="I413">
        <v>0.29171637918921001</v>
      </c>
      <c r="J413">
        <v>0.22681628076538499</v>
      </c>
      <c r="K413">
        <v>0.178966359558968</v>
      </c>
      <c r="L413">
        <v>658.88648374070203</v>
      </c>
      <c r="M413">
        <v>11.507425302819801</v>
      </c>
      <c r="N413">
        <v>57.257506979861802</v>
      </c>
      <c r="O413">
        <v>55.610263572131501</v>
      </c>
      <c r="P413">
        <v>-5.17471375846816E-2</v>
      </c>
      <c r="Q413">
        <v>0</v>
      </c>
      <c r="R413">
        <v>0.91779851994874495</v>
      </c>
      <c r="S413" t="s">
        <v>5996</v>
      </c>
      <c r="T413" t="s">
        <v>11164</v>
      </c>
      <c r="U413" t="s">
        <v>11164</v>
      </c>
      <c r="V413" t="s">
        <v>11164</v>
      </c>
      <c r="W413" t="s">
        <v>11573</v>
      </c>
      <c r="X413">
        <v>3</v>
      </c>
      <c r="Y413" t="s">
        <v>17105</v>
      </c>
      <c r="Z413" t="s">
        <v>22563</v>
      </c>
      <c r="AA413">
        <v>0.67729687767753499</v>
      </c>
      <c r="AB413" t="str">
        <f>HYPERLINK("Melting_Curves/meltCurve_E7ERK9_EIF2B4.pdf", "Melting_Curves/meltCurve_E7ERK9_EIF2B4.pdf")</f>
        <v>Melting_Curves/meltCurve_E7ERK9_EIF2B4.pdf</v>
      </c>
    </row>
    <row r="414" spans="1:28" x14ac:dyDescent="0.25">
      <c r="A414" t="s">
        <v>418</v>
      </c>
      <c r="B414">
        <v>0.99796759195183404</v>
      </c>
      <c r="C414">
        <v>0.99257943914582103</v>
      </c>
      <c r="D414">
        <v>0.962894999014139</v>
      </c>
      <c r="E414">
        <v>0.998985988569418</v>
      </c>
      <c r="F414">
        <v>0.89497234402042403</v>
      </c>
      <c r="G414">
        <v>0.59243478843543496</v>
      </c>
      <c r="H414">
        <v>0.53972798273697098</v>
      </c>
      <c r="I414">
        <v>0.59992330812844497</v>
      </c>
      <c r="J414">
        <v>0.56952804467489404</v>
      </c>
      <c r="K414">
        <v>0.59323196919658705</v>
      </c>
      <c r="L414">
        <v>3310.5112252261501</v>
      </c>
      <c r="M414">
        <v>64.833636451245496</v>
      </c>
      <c r="O414">
        <v>51.013117348012798</v>
      </c>
      <c r="P414">
        <v>-0.13475816393822099</v>
      </c>
      <c r="Q414">
        <v>0.57587250583805505</v>
      </c>
      <c r="R414">
        <v>0.99058029296747596</v>
      </c>
      <c r="S414" t="s">
        <v>5997</v>
      </c>
      <c r="T414" t="s">
        <v>11164</v>
      </c>
      <c r="U414" t="s">
        <v>11164</v>
      </c>
      <c r="V414" t="s">
        <v>11164</v>
      </c>
      <c r="W414" t="s">
        <v>11574</v>
      </c>
      <c r="X414">
        <v>3</v>
      </c>
      <c r="Y414" t="s">
        <v>17106</v>
      </c>
      <c r="Z414" t="s">
        <v>22564</v>
      </c>
      <c r="AA414">
        <v>0.77523685023900335</v>
      </c>
      <c r="AB414" t="str">
        <f>HYPERLINK("Melting_Curves/meltCurve_E7ERS3_ZC3H18.pdf", "Melting_Curves/meltCurve_E7ERS3_ZC3H18.pdf")</f>
        <v>Melting_Curves/meltCurve_E7ERS3_ZC3H18.pdf</v>
      </c>
    </row>
    <row r="415" spans="1:28" x14ac:dyDescent="0.25">
      <c r="A415" t="s">
        <v>419</v>
      </c>
      <c r="B415">
        <v>0.99796759195183404</v>
      </c>
      <c r="C415">
        <v>0.98456719331130504</v>
      </c>
      <c r="D415">
        <v>0.95334352009297296</v>
      </c>
      <c r="E415">
        <v>0.89250459847491403</v>
      </c>
      <c r="F415">
        <v>0.74537085259520297</v>
      </c>
      <c r="G415">
        <v>0.532147481501278</v>
      </c>
      <c r="H415">
        <v>0.35256668844976502</v>
      </c>
      <c r="I415">
        <v>0.26039371069945699</v>
      </c>
      <c r="J415">
        <v>0.17742144077066199</v>
      </c>
      <c r="K415">
        <v>0.188825783598355</v>
      </c>
      <c r="L415">
        <v>741.26849203852498</v>
      </c>
      <c r="M415">
        <v>13.9191195291243</v>
      </c>
      <c r="N415">
        <v>54.3706139899314</v>
      </c>
      <c r="O415">
        <v>52.192298142577698</v>
      </c>
      <c r="P415">
        <v>-5.8400876271403397E-2</v>
      </c>
      <c r="Q415">
        <v>0.12417925425740001</v>
      </c>
      <c r="R415">
        <v>0.998784486433547</v>
      </c>
      <c r="S415" t="s">
        <v>5998</v>
      </c>
      <c r="T415" t="s">
        <v>11164</v>
      </c>
      <c r="U415" t="s">
        <v>11164</v>
      </c>
      <c r="V415" t="s">
        <v>11164</v>
      </c>
      <c r="W415" t="s">
        <v>11575</v>
      </c>
      <c r="X415">
        <v>9</v>
      </c>
      <c r="Y415" t="s">
        <v>17107</v>
      </c>
      <c r="Z415" t="s">
        <v>22565</v>
      </c>
      <c r="AA415">
        <v>0.6150167795184871</v>
      </c>
      <c r="AB415" t="str">
        <f>HYPERLINK("Melting_Curves/meltCurve_E7ES35_TTC38.pdf", "Melting_Curves/meltCurve_E7ES35_TTC38.pdf")</f>
        <v>Melting_Curves/meltCurve_E7ES35_TTC38.pdf</v>
      </c>
    </row>
    <row r="416" spans="1:28" x14ac:dyDescent="0.25">
      <c r="A416" t="s">
        <v>420</v>
      </c>
      <c r="B416">
        <v>0.99796759195183404</v>
      </c>
      <c r="C416">
        <v>1.01436134671736</v>
      </c>
      <c r="D416">
        <v>0.99989489682544797</v>
      </c>
      <c r="E416">
        <v>0.93523881011169696</v>
      </c>
      <c r="F416">
        <v>0.86309161724655803</v>
      </c>
      <c r="G416">
        <v>0.49952368113342899</v>
      </c>
      <c r="H416">
        <v>0.227679023476342</v>
      </c>
      <c r="I416">
        <v>0.17620432438943101</v>
      </c>
      <c r="J416">
        <v>0.129118583804993</v>
      </c>
      <c r="K416">
        <v>9.1906070637422205E-2</v>
      </c>
      <c r="L416">
        <v>1330.4047483874499</v>
      </c>
      <c r="M416">
        <v>24.9533787678184</v>
      </c>
      <c r="N416">
        <v>53.852055353114203</v>
      </c>
      <c r="O416">
        <v>52.976764518883002</v>
      </c>
      <c r="P416">
        <v>-0.10479953408546699</v>
      </c>
      <c r="Q416">
        <v>0.110042341166965</v>
      </c>
      <c r="R416">
        <v>0.99737933150985503</v>
      </c>
      <c r="S416" t="s">
        <v>5999</v>
      </c>
      <c r="T416" t="s">
        <v>11164</v>
      </c>
      <c r="U416" t="s">
        <v>11164</v>
      </c>
      <c r="V416" t="s">
        <v>11164</v>
      </c>
      <c r="W416" t="s">
        <v>11576</v>
      </c>
      <c r="X416">
        <v>53</v>
      </c>
      <c r="Y416" t="s">
        <v>17108</v>
      </c>
      <c r="Z416" t="s">
        <v>22566</v>
      </c>
      <c r="AA416">
        <v>0.60191797135710334</v>
      </c>
      <c r="AB416" t="str">
        <f>HYPERLINK("Melting_Curves/meltCurve_E7ES43_HSPA4L.pdf", "Melting_Curves/meltCurve_E7ES43_HSPA4L.pdf")</f>
        <v>Melting_Curves/meltCurve_E7ES43_HSPA4L.pdf</v>
      </c>
    </row>
    <row r="417" spans="1:28" x14ac:dyDescent="0.25">
      <c r="A417" t="s">
        <v>421</v>
      </c>
      <c r="B417">
        <v>0.99796759195183404</v>
      </c>
      <c r="C417">
        <v>1.0667911144923901</v>
      </c>
      <c r="D417">
        <v>0.93399567499969005</v>
      </c>
      <c r="E417">
        <v>0.87005760425966205</v>
      </c>
      <c r="F417">
        <v>0.84726356506746703</v>
      </c>
      <c r="G417">
        <v>0.86261790589558496</v>
      </c>
      <c r="H417">
        <v>0.68735266306851495</v>
      </c>
      <c r="I417">
        <v>0.61466308403349501</v>
      </c>
      <c r="J417">
        <v>0.82114425306588701</v>
      </c>
      <c r="K417">
        <v>0.53528073968775902</v>
      </c>
      <c r="L417">
        <v>425.49757912770798</v>
      </c>
      <c r="M417">
        <v>7.5976878857816699</v>
      </c>
      <c r="O417">
        <v>52.518785664296097</v>
      </c>
      <c r="P417">
        <v>-1.74923402534598E-2</v>
      </c>
      <c r="Q417">
        <v>0.51700084717591499</v>
      </c>
      <c r="R417">
        <v>0.76383694012538506</v>
      </c>
      <c r="S417" t="s">
        <v>6000</v>
      </c>
      <c r="T417" t="s">
        <v>11164</v>
      </c>
      <c r="U417" t="s">
        <v>11164</v>
      </c>
      <c r="V417" t="s">
        <v>11164</v>
      </c>
      <c r="W417" t="s">
        <v>11577</v>
      </c>
      <c r="X417">
        <v>1</v>
      </c>
      <c r="Y417" t="s">
        <v>17109</v>
      </c>
      <c r="Z417" t="s">
        <v>22567</v>
      </c>
      <c r="AA417">
        <v>0.82101165981400848</v>
      </c>
      <c r="AB417" t="str">
        <f>HYPERLINK("Melting_Curves/meltCurve_E7ES96_PSEN1.pdf", "Melting_Curves/meltCurve_E7ES96_PSEN1.pdf")</f>
        <v>Melting_Curves/meltCurve_E7ES96_PSEN1.pdf</v>
      </c>
    </row>
    <row r="418" spans="1:28" x14ac:dyDescent="0.25">
      <c r="A418" t="s">
        <v>422</v>
      </c>
      <c r="B418">
        <v>0.99796759195183404</v>
      </c>
      <c r="C418">
        <v>1.0131854836065499</v>
      </c>
      <c r="D418">
        <v>0.98284294416435602</v>
      </c>
      <c r="E418">
        <v>0.87914354565748298</v>
      </c>
      <c r="F418">
        <v>0.86029011852326298</v>
      </c>
      <c r="G418">
        <v>0.62132441653795201</v>
      </c>
      <c r="H418">
        <v>0.62518263030386401</v>
      </c>
      <c r="I418">
        <v>0.56682742015355403</v>
      </c>
      <c r="J418">
        <v>0.58582479347562</v>
      </c>
      <c r="K418">
        <v>0.51249346973971599</v>
      </c>
      <c r="L418">
        <v>823.86273619387703</v>
      </c>
      <c r="M418">
        <v>16.1129761725464</v>
      </c>
      <c r="O418">
        <v>50.362287902106601</v>
      </c>
      <c r="P418">
        <v>-3.7244880744931798E-2</v>
      </c>
      <c r="Q418">
        <v>0.53438910601602696</v>
      </c>
      <c r="R418">
        <v>0.96837392363424801</v>
      </c>
      <c r="S418" t="s">
        <v>6001</v>
      </c>
      <c r="T418" t="s">
        <v>11164</v>
      </c>
      <c r="U418" t="s">
        <v>11164</v>
      </c>
      <c r="V418" t="s">
        <v>11164</v>
      </c>
      <c r="W418" t="s">
        <v>11578</v>
      </c>
      <c r="X418">
        <v>10</v>
      </c>
      <c r="Y418" t="s">
        <v>17110</v>
      </c>
      <c r="Z418" t="s">
        <v>22568</v>
      </c>
      <c r="AA418">
        <v>0.76216521714584651</v>
      </c>
      <c r="AB418" t="str">
        <f>HYPERLINK("Melting_Curves/meltCurve_E7ESG2_CLSPN.pdf", "Melting_Curves/meltCurve_E7ESG2_CLSPN.pdf")</f>
        <v>Melting_Curves/meltCurve_E7ESG2_CLSPN.pdf</v>
      </c>
    </row>
    <row r="419" spans="1:28" x14ac:dyDescent="0.25">
      <c r="A419" t="s">
        <v>423</v>
      </c>
      <c r="B419">
        <v>0.99796759195183404</v>
      </c>
      <c r="C419">
        <v>0.96026386408745201</v>
      </c>
      <c r="D419">
        <v>0.95305663484851699</v>
      </c>
      <c r="E419">
        <v>0.94460470577425104</v>
      </c>
      <c r="F419">
        <v>0.80147580940582897</v>
      </c>
      <c r="G419">
        <v>1.15575783051638</v>
      </c>
      <c r="H419">
        <v>1.2967610710041899</v>
      </c>
      <c r="I419">
        <v>0.70701260808868605</v>
      </c>
      <c r="J419">
        <v>0.51820120916438495</v>
      </c>
      <c r="K419">
        <v>0.44305055930662601</v>
      </c>
      <c r="L419">
        <v>12079.7091856281</v>
      </c>
      <c r="M419">
        <v>198.28571095380599</v>
      </c>
      <c r="N419">
        <v>61.935796839575502</v>
      </c>
      <c r="O419">
        <v>60.9145275239174</v>
      </c>
      <c r="P419">
        <v>-0.42267460920530903</v>
      </c>
      <c r="Q419">
        <v>0.48060757366699502</v>
      </c>
      <c r="R419">
        <v>0.74678221607415896</v>
      </c>
      <c r="S419" t="s">
        <v>6002</v>
      </c>
      <c r="T419" t="s">
        <v>11164</v>
      </c>
      <c r="U419" t="s">
        <v>11164</v>
      </c>
      <c r="V419" t="s">
        <v>11164</v>
      </c>
      <c r="W419" t="s">
        <v>11579</v>
      </c>
      <c r="X419">
        <v>59</v>
      </c>
      <c r="Y419" t="s">
        <v>17111</v>
      </c>
      <c r="Z419" t="s">
        <v>22569</v>
      </c>
      <c r="AA419">
        <v>0.89483729809265367</v>
      </c>
      <c r="AB419" t="str">
        <f>HYPERLINK("Melting_Curves/meltCurve_E7ESP9_NEFM.pdf", "Melting_Curves/meltCurve_E7ESP9_NEFM.pdf")</f>
        <v>Melting_Curves/meltCurve_E7ESP9_NEFM.pdf</v>
      </c>
    </row>
    <row r="420" spans="1:28" x14ac:dyDescent="0.25">
      <c r="A420" t="s">
        <v>424</v>
      </c>
      <c r="B420">
        <v>0.99796759195183404</v>
      </c>
      <c r="C420">
        <v>1.03997913660778</v>
      </c>
      <c r="D420">
        <v>0.99351342728301295</v>
      </c>
      <c r="E420">
        <v>0.90608248894321897</v>
      </c>
      <c r="F420">
        <v>0.90163130883013298</v>
      </c>
      <c r="G420">
        <v>0.58110710702484103</v>
      </c>
      <c r="H420">
        <v>0.25925209807320698</v>
      </c>
      <c r="I420">
        <v>0.15621155192403099</v>
      </c>
      <c r="J420">
        <v>0.13493027767809701</v>
      </c>
      <c r="K420">
        <v>9.6024476849552398E-2</v>
      </c>
      <c r="L420">
        <v>1338.4553044709701</v>
      </c>
      <c r="M420">
        <v>24.758834694140401</v>
      </c>
      <c r="N420">
        <v>54.5551269559354</v>
      </c>
      <c r="O420">
        <v>53.710739199940903</v>
      </c>
      <c r="P420">
        <v>-0.10364077970581601</v>
      </c>
      <c r="Q420">
        <v>0.100677369101684</v>
      </c>
      <c r="R420">
        <v>0.99420202005126501</v>
      </c>
      <c r="S420" t="s">
        <v>6003</v>
      </c>
      <c r="T420" t="s">
        <v>11164</v>
      </c>
      <c r="U420" t="s">
        <v>11164</v>
      </c>
      <c r="V420" t="s">
        <v>11164</v>
      </c>
      <c r="W420" t="s">
        <v>11384</v>
      </c>
      <c r="X420">
        <v>18</v>
      </c>
      <c r="Y420" t="s">
        <v>17112</v>
      </c>
      <c r="Z420" t="s">
        <v>22570</v>
      </c>
      <c r="AA420">
        <v>0.62004877526818869</v>
      </c>
      <c r="AB420" t="str">
        <f>HYPERLINK("Melting_Curves/meltCurve_E7EST9_USP19.pdf", "Melting_Curves/meltCurve_E7EST9_USP19.pdf")</f>
        <v>Melting_Curves/meltCurve_E7EST9_USP19.pdf</v>
      </c>
    </row>
    <row r="421" spans="1:28" x14ac:dyDescent="0.25">
      <c r="A421" t="s">
        <v>425</v>
      </c>
      <c r="B421">
        <v>0.99796759195183404</v>
      </c>
      <c r="C421">
        <v>1.01258345596774</v>
      </c>
      <c r="D421">
        <v>0.99539117771126995</v>
      </c>
      <c r="E421">
        <v>0.82355358231892895</v>
      </c>
      <c r="F421">
        <v>0.62103717233559896</v>
      </c>
      <c r="G421">
        <v>0.40856866589997298</v>
      </c>
      <c r="H421">
        <v>0.191494460027653</v>
      </c>
      <c r="I421">
        <v>0.25392336614918998</v>
      </c>
      <c r="J421">
        <v>0.14141972718235099</v>
      </c>
      <c r="K421">
        <v>9.9643556163402203E-2</v>
      </c>
      <c r="L421">
        <v>816.28337466457003</v>
      </c>
      <c r="M421">
        <v>15.9642803023577</v>
      </c>
      <c r="N421">
        <v>51.967690413013997</v>
      </c>
      <c r="O421">
        <v>50.349726779161401</v>
      </c>
      <c r="P421">
        <v>-7.0297573642848096E-2</v>
      </c>
      <c r="Q421">
        <v>0.113224390918833</v>
      </c>
      <c r="R421">
        <v>0.99010972329430402</v>
      </c>
      <c r="S421" t="s">
        <v>6004</v>
      </c>
      <c r="T421" t="s">
        <v>11164</v>
      </c>
      <c r="U421" t="s">
        <v>11164</v>
      </c>
      <c r="V421" t="s">
        <v>11164</v>
      </c>
      <c r="W421" t="s">
        <v>11580</v>
      </c>
      <c r="X421">
        <v>3</v>
      </c>
      <c r="Y421" t="s">
        <v>17113</v>
      </c>
      <c r="Z421" t="s">
        <v>22571</v>
      </c>
      <c r="AA421">
        <v>0.54728434643012347</v>
      </c>
      <c r="AB421" t="str">
        <f>HYPERLINK("Melting_Curves/meltCurve_E7ESZ7_NDUFA10.pdf", "Melting_Curves/meltCurve_E7ESZ7_NDUFA10.pdf")</f>
        <v>Melting_Curves/meltCurve_E7ESZ7_NDUFA10.pdf</v>
      </c>
    </row>
    <row r="422" spans="1:28" x14ac:dyDescent="0.25">
      <c r="A422" t="s">
        <v>426</v>
      </c>
      <c r="B422">
        <v>0.99796759195183404</v>
      </c>
      <c r="C422">
        <v>0.97274569059232396</v>
      </c>
      <c r="D422">
        <v>0.91615750660575701</v>
      </c>
      <c r="E422">
        <v>0.72956510623871995</v>
      </c>
      <c r="F422">
        <v>0.54989636323133895</v>
      </c>
      <c r="G422">
        <v>0.33128738867528101</v>
      </c>
      <c r="H422">
        <v>0.19962057075400999</v>
      </c>
      <c r="I422">
        <v>0.17847650760515199</v>
      </c>
      <c r="J422">
        <v>0.12153395766000601</v>
      </c>
      <c r="K422">
        <v>0.12769578743917201</v>
      </c>
      <c r="L422">
        <v>687.75966871716503</v>
      </c>
      <c r="M422">
        <v>13.7901057935527</v>
      </c>
      <c r="N422">
        <v>50.627270881427798</v>
      </c>
      <c r="O422">
        <v>48.859723143277797</v>
      </c>
      <c r="P422">
        <v>-6.4019715083451306E-2</v>
      </c>
      <c r="Q422">
        <v>9.2814350662064102E-2</v>
      </c>
      <c r="R422">
        <v>0.99827993939706605</v>
      </c>
      <c r="S422" t="s">
        <v>6005</v>
      </c>
      <c r="T422" t="s">
        <v>11164</v>
      </c>
      <c r="U422" t="s">
        <v>11164</v>
      </c>
      <c r="V422" t="s">
        <v>11164</v>
      </c>
      <c r="W422" t="s">
        <v>11581</v>
      </c>
      <c r="X422">
        <v>3</v>
      </c>
      <c r="Y422" t="s">
        <v>17114</v>
      </c>
      <c r="Z422" t="s">
        <v>22572</v>
      </c>
      <c r="AA422">
        <v>0.50354105922381842</v>
      </c>
      <c r="AB422" t="str">
        <f>HYPERLINK("Melting_Curves/meltCurve_E7ET15_U2SURP.pdf", "Melting_Curves/meltCurve_E7ET15_U2SURP.pdf")</f>
        <v>Melting_Curves/meltCurve_E7ET15_U2SURP.pdf</v>
      </c>
    </row>
    <row r="423" spans="1:28" x14ac:dyDescent="0.25">
      <c r="A423" t="s">
        <v>427</v>
      </c>
      <c r="B423">
        <v>0.99796759195183404</v>
      </c>
      <c r="C423">
        <v>1.1239719238574899</v>
      </c>
      <c r="D423">
        <v>1.10877177818439</v>
      </c>
      <c r="E423">
        <v>1.0341994686336</v>
      </c>
      <c r="F423">
        <v>0.96254735426259996</v>
      </c>
      <c r="G423">
        <v>0.77443532437427598</v>
      </c>
      <c r="H423">
        <v>0.65112552543194702</v>
      </c>
      <c r="I423">
        <v>0.50823430041092199</v>
      </c>
      <c r="J423">
        <v>0.27008502614288299</v>
      </c>
      <c r="K423">
        <v>0.21658028157474399</v>
      </c>
      <c r="L423">
        <v>824.19482577189399</v>
      </c>
      <c r="M423">
        <v>13.7434367087991</v>
      </c>
      <c r="N423">
        <v>60.171695718219901</v>
      </c>
      <c r="O423">
        <v>58.743145499446797</v>
      </c>
      <c r="P423">
        <v>-5.7181408347077703E-2</v>
      </c>
      <c r="Q423">
        <v>2.25041565924918E-2</v>
      </c>
      <c r="R423">
        <v>0.96184170698405602</v>
      </c>
      <c r="S423" t="s">
        <v>6006</v>
      </c>
      <c r="T423" t="s">
        <v>11164</v>
      </c>
      <c r="U423" t="s">
        <v>11164</v>
      </c>
      <c r="V423" t="s">
        <v>11164</v>
      </c>
      <c r="W423" t="s">
        <v>11582</v>
      </c>
      <c r="X423">
        <v>5</v>
      </c>
      <c r="Y423" t="s">
        <v>17115</v>
      </c>
      <c r="Z423" t="s">
        <v>22573</v>
      </c>
      <c r="AA423">
        <v>0.76133709218549916</v>
      </c>
      <c r="AB423" t="str">
        <f>HYPERLINK("Melting_Curves/meltCurve_E7ET49_DAGLB.pdf", "Melting_Curves/meltCurve_E7ET49_DAGLB.pdf")</f>
        <v>Melting_Curves/meltCurve_E7ET49_DAGLB.pdf</v>
      </c>
    </row>
    <row r="424" spans="1:28" x14ac:dyDescent="0.25">
      <c r="A424" t="s">
        <v>428</v>
      </c>
      <c r="B424">
        <v>0.99796759195183404</v>
      </c>
      <c r="C424">
        <v>0.89950521622866098</v>
      </c>
      <c r="D424">
        <v>0.94374418275088401</v>
      </c>
      <c r="E424">
        <v>0.86783099659361995</v>
      </c>
      <c r="F424">
        <v>0.86504943282950997</v>
      </c>
      <c r="G424">
        <v>1.2792923629424899</v>
      </c>
      <c r="H424">
        <v>1.06517173979222</v>
      </c>
      <c r="I424">
        <v>1.69780827237739</v>
      </c>
      <c r="J424">
        <v>1.61972746220351</v>
      </c>
      <c r="K424">
        <v>0.95903775723109697</v>
      </c>
      <c r="L424">
        <v>1712.5841631026401</v>
      </c>
      <c r="M424">
        <v>31.341049107438799</v>
      </c>
      <c r="O424">
        <v>54.422465931021101</v>
      </c>
      <c r="P424">
        <v>5.40285413662316E-2</v>
      </c>
      <c r="Q424">
        <v>1.37527144448838</v>
      </c>
      <c r="R424">
        <v>0.44246873231273398</v>
      </c>
      <c r="S424" t="s">
        <v>6007</v>
      </c>
      <c r="T424" t="s">
        <v>11164</v>
      </c>
      <c r="U424" t="s">
        <v>11164</v>
      </c>
      <c r="V424" t="s">
        <v>11164</v>
      </c>
      <c r="W424" t="s">
        <v>11583</v>
      </c>
      <c r="X424">
        <v>1</v>
      </c>
      <c r="Y424" t="s">
        <v>17116</v>
      </c>
      <c r="Z424" t="s">
        <v>22574</v>
      </c>
      <c r="AA424">
        <v>1.1523557176376511</v>
      </c>
      <c r="AB424" t="str">
        <f>HYPERLINK("Melting_Curves/meltCurve_E7ETB3_DNPEP.pdf", "Melting_Curves/meltCurve_E7ETB3_DNPEP.pdf")</f>
        <v>Melting_Curves/meltCurve_E7ETB3_DNPEP.pdf</v>
      </c>
    </row>
    <row r="425" spans="1:28" x14ac:dyDescent="0.25">
      <c r="A425" t="s">
        <v>429</v>
      </c>
      <c r="B425">
        <v>0.99796759195183404</v>
      </c>
      <c r="C425">
        <v>0.9231487699616</v>
      </c>
      <c r="D425">
        <v>0.96727429173630497</v>
      </c>
      <c r="E425">
        <v>1.0575619302436301</v>
      </c>
      <c r="F425">
        <v>0.71252031505098601</v>
      </c>
      <c r="G425">
        <v>0.36061936268899802</v>
      </c>
      <c r="H425">
        <v>0.356877677495888</v>
      </c>
      <c r="I425">
        <v>0.328929961203831</v>
      </c>
      <c r="J425">
        <v>0.21753114142532201</v>
      </c>
      <c r="K425">
        <v>0.163829212435431</v>
      </c>
      <c r="L425">
        <v>1802.9222280890101</v>
      </c>
      <c r="M425">
        <v>35.357233055334397</v>
      </c>
      <c r="N425">
        <v>52.078392698404002</v>
      </c>
      <c r="O425">
        <v>50.829318810735103</v>
      </c>
      <c r="P425">
        <v>-0.128525956744868</v>
      </c>
      <c r="Q425">
        <v>0.26093032290374002</v>
      </c>
      <c r="R425">
        <v>0.96806679288073605</v>
      </c>
      <c r="S425" t="s">
        <v>6008</v>
      </c>
      <c r="T425" t="s">
        <v>11164</v>
      </c>
      <c r="U425" t="s">
        <v>11164</v>
      </c>
      <c r="V425" t="s">
        <v>11164</v>
      </c>
      <c r="W425" t="s">
        <v>11584</v>
      </c>
      <c r="X425">
        <v>2</v>
      </c>
      <c r="Y425" t="s">
        <v>17117</v>
      </c>
      <c r="Z425" t="s">
        <v>22575</v>
      </c>
      <c r="AA425">
        <v>0.6089519396569596</v>
      </c>
      <c r="AB425" t="str">
        <f>HYPERLINK("Melting_Curves/meltCurve_E7ETE0_METTL8.pdf", "Melting_Curves/meltCurve_E7ETE0_METTL8.pdf")</f>
        <v>Melting_Curves/meltCurve_E7ETE0_METTL8.pdf</v>
      </c>
    </row>
    <row r="426" spans="1:28" x14ac:dyDescent="0.25">
      <c r="A426" t="s">
        <v>430</v>
      </c>
      <c r="B426">
        <v>0.99796759195183404</v>
      </c>
      <c r="C426">
        <v>0.98491626184030301</v>
      </c>
      <c r="D426">
        <v>1.0428645794176301</v>
      </c>
      <c r="E426">
        <v>0.93111207538769603</v>
      </c>
      <c r="F426">
        <v>0.79830850117496599</v>
      </c>
      <c r="G426">
        <v>0.60173265746149096</v>
      </c>
      <c r="H426">
        <v>0.405233164101162</v>
      </c>
      <c r="I426">
        <v>0.23921524588574</v>
      </c>
      <c r="J426">
        <v>0.26844785717971897</v>
      </c>
      <c r="K426">
        <v>0.22095992071986101</v>
      </c>
      <c r="L426">
        <v>923.56702740416495</v>
      </c>
      <c r="M426">
        <v>17.208607101755401</v>
      </c>
      <c r="N426">
        <v>55.248001166629102</v>
      </c>
      <c r="O426">
        <v>52.959886560615303</v>
      </c>
      <c r="P426">
        <v>-6.5457884837786903E-2</v>
      </c>
      <c r="Q426">
        <v>0.194254839162255</v>
      </c>
      <c r="R426">
        <v>0.99367145021868197</v>
      </c>
      <c r="S426" t="s">
        <v>6009</v>
      </c>
      <c r="T426" t="s">
        <v>11164</v>
      </c>
      <c r="U426" t="s">
        <v>11164</v>
      </c>
      <c r="V426" t="s">
        <v>11164</v>
      </c>
      <c r="W426" t="s">
        <v>11585</v>
      </c>
      <c r="X426">
        <v>2</v>
      </c>
      <c r="Y426" t="s">
        <v>17118</v>
      </c>
      <c r="Z426" t="s">
        <v>22576</v>
      </c>
      <c r="AA426">
        <v>0.65383097761484898</v>
      </c>
      <c r="AB426" t="str">
        <f>HYPERLINK("Melting_Curves/meltCurve_E7ETU5_RBMS1.pdf", "Melting_Curves/meltCurve_E7ETU5_RBMS1.pdf")</f>
        <v>Melting_Curves/meltCurve_E7ETU5_RBMS1.pdf</v>
      </c>
    </row>
    <row r="427" spans="1:28" x14ac:dyDescent="0.25">
      <c r="A427" t="s">
        <v>431</v>
      </c>
      <c r="B427">
        <v>0.99796759195183404</v>
      </c>
      <c r="C427">
        <v>0.96124292634901398</v>
      </c>
      <c r="D427">
        <v>0.99130747508696104</v>
      </c>
      <c r="E427">
        <v>0.96419352721431695</v>
      </c>
      <c r="F427">
        <v>0.77592481143819003</v>
      </c>
      <c r="G427">
        <v>0.65410718126902401</v>
      </c>
      <c r="H427">
        <v>0.39360785260471498</v>
      </c>
      <c r="I427">
        <v>0.36090529816525502</v>
      </c>
      <c r="J427">
        <v>0.225830239885673</v>
      </c>
      <c r="K427">
        <v>0.12993934796408499</v>
      </c>
      <c r="L427">
        <v>672.23492963192496</v>
      </c>
      <c r="M427">
        <v>12.0205714498495</v>
      </c>
      <c r="N427">
        <v>56.362877910319703</v>
      </c>
      <c r="O427">
        <v>54.4434186049223</v>
      </c>
      <c r="P427">
        <v>-5.2742571458272901E-2</v>
      </c>
      <c r="Q427">
        <v>4.47048424032057E-2</v>
      </c>
      <c r="R427">
        <v>0.98845932891418098</v>
      </c>
      <c r="S427" t="s">
        <v>6010</v>
      </c>
      <c r="T427" t="s">
        <v>11164</v>
      </c>
      <c r="U427" t="s">
        <v>11164</v>
      </c>
      <c r="V427" t="s">
        <v>11164</v>
      </c>
      <c r="W427" t="s">
        <v>11586</v>
      </c>
      <c r="X427">
        <v>7</v>
      </c>
      <c r="Y427" t="s">
        <v>17119</v>
      </c>
      <c r="Z427" t="s">
        <v>22577</v>
      </c>
      <c r="AA427">
        <v>0.65701688624665033</v>
      </c>
      <c r="AB427" t="str">
        <f>HYPERLINK("Melting_Curves/meltCurve_E7ETU9_PLOD2.pdf", "Melting_Curves/meltCurve_E7ETU9_PLOD2.pdf")</f>
        <v>Melting_Curves/meltCurve_E7ETU9_PLOD2.pdf</v>
      </c>
    </row>
    <row r="428" spans="1:28" x14ac:dyDescent="0.25">
      <c r="A428" t="s">
        <v>432</v>
      </c>
      <c r="B428">
        <v>0.99796759195183404</v>
      </c>
      <c r="C428">
        <v>1.3897815692736999</v>
      </c>
      <c r="D428">
        <v>1.5252005761911001</v>
      </c>
      <c r="E428">
        <v>1.2298168136213601</v>
      </c>
      <c r="F428">
        <v>1.1080024030622</v>
      </c>
      <c r="G428">
        <v>0.39777361409152701</v>
      </c>
      <c r="H428">
        <v>0.326834632971154</v>
      </c>
      <c r="I428">
        <v>0.38042406350345698</v>
      </c>
      <c r="J428">
        <v>0.39162871531995402</v>
      </c>
      <c r="K428">
        <v>0.40517258888174401</v>
      </c>
      <c r="L428">
        <v>13271.356620700401</v>
      </c>
      <c r="M428">
        <v>250</v>
      </c>
      <c r="N428">
        <v>53.383179916966</v>
      </c>
      <c r="O428">
        <v>53.082027482763301</v>
      </c>
      <c r="P428">
        <v>-0.73469480684342603</v>
      </c>
      <c r="Q428">
        <v>0.37601453970942</v>
      </c>
      <c r="R428">
        <v>0.76102287191467299</v>
      </c>
      <c r="S428" t="s">
        <v>6011</v>
      </c>
      <c r="T428" t="s">
        <v>11164</v>
      </c>
      <c r="U428" t="s">
        <v>11164</v>
      </c>
      <c r="V428" t="s">
        <v>11164</v>
      </c>
      <c r="W428" t="s">
        <v>11587</v>
      </c>
      <c r="X428">
        <v>3</v>
      </c>
      <c r="Y428" t="s">
        <v>17120</v>
      </c>
      <c r="Z428" t="s">
        <v>22578</v>
      </c>
      <c r="AA428">
        <v>0.71064174767958854</v>
      </c>
      <c r="AB428" t="str">
        <f>HYPERLINK("Melting_Curves/meltCurve_E7ETY4_MARK2.pdf", "Melting_Curves/meltCurve_E7ETY4_MARK2.pdf")</f>
        <v>Melting_Curves/meltCurve_E7ETY4_MARK2.pdf</v>
      </c>
    </row>
    <row r="429" spans="1:28" x14ac:dyDescent="0.25">
      <c r="A429" t="s">
        <v>433</v>
      </c>
      <c r="B429">
        <v>0.99796759195183404</v>
      </c>
      <c r="C429">
        <v>0.90670677462812199</v>
      </c>
      <c r="D429">
        <v>0.92824283427272303</v>
      </c>
      <c r="E429">
        <v>0.87196958198735097</v>
      </c>
      <c r="F429">
        <v>0.67779164972066896</v>
      </c>
      <c r="G429">
        <v>0.37109766861882298</v>
      </c>
      <c r="H429">
        <v>0.26618268139372497</v>
      </c>
      <c r="I429">
        <v>0.21413958599671601</v>
      </c>
      <c r="J429">
        <v>0.144070961190603</v>
      </c>
      <c r="K429">
        <v>8.9189085712823801E-2</v>
      </c>
      <c r="L429">
        <v>754.07194363847395</v>
      </c>
      <c r="M429">
        <v>14.555181192911601</v>
      </c>
      <c r="N429">
        <v>52.468565184395899</v>
      </c>
      <c r="O429">
        <v>50.859328715491401</v>
      </c>
      <c r="P429">
        <v>-6.5562384526814205E-2</v>
      </c>
      <c r="Q429">
        <v>8.3740773808849797E-2</v>
      </c>
      <c r="R429">
        <v>0.988534343257366</v>
      </c>
      <c r="S429" t="s">
        <v>6012</v>
      </c>
      <c r="T429" t="s">
        <v>11164</v>
      </c>
      <c r="U429" t="s">
        <v>11164</v>
      </c>
      <c r="V429" t="s">
        <v>11164</v>
      </c>
      <c r="W429" t="s">
        <v>11588</v>
      </c>
      <c r="X429">
        <v>5</v>
      </c>
      <c r="Y429" t="s">
        <v>17121</v>
      </c>
      <c r="Z429" t="s">
        <v>22579</v>
      </c>
      <c r="AA429">
        <v>0.55435780885036545</v>
      </c>
      <c r="AB429" t="str">
        <f>HYPERLINK("Melting_Curves/meltCurve_E7ETY7_GPX8.pdf", "Melting_Curves/meltCurve_E7ETY7_GPX8.pdf")</f>
        <v>Melting_Curves/meltCurve_E7ETY7_GPX8.pdf</v>
      </c>
    </row>
    <row r="430" spans="1:28" x14ac:dyDescent="0.25">
      <c r="A430" t="s">
        <v>434</v>
      </c>
      <c r="B430">
        <v>0.99796759195183404</v>
      </c>
      <c r="C430">
        <v>1.0377400508479899</v>
      </c>
      <c r="D430">
        <v>1.04315733716203</v>
      </c>
      <c r="E430">
        <v>1.00827654478883</v>
      </c>
      <c r="F430">
        <v>0.928754186907361</v>
      </c>
      <c r="G430">
        <v>0.70026220249383597</v>
      </c>
      <c r="H430">
        <v>0.83562416184691701</v>
      </c>
      <c r="I430">
        <v>0.84705317800295998</v>
      </c>
      <c r="J430">
        <v>1.1402477821322801</v>
      </c>
      <c r="K430">
        <v>1.07439232508336</v>
      </c>
      <c r="L430">
        <v>5481.1387414932897</v>
      </c>
      <c r="M430">
        <v>86.953029767267793</v>
      </c>
      <c r="O430">
        <v>63.002284706983701</v>
      </c>
      <c r="P430">
        <v>3.7464049481242101E-2</v>
      </c>
      <c r="Q430">
        <v>1.10857914263091</v>
      </c>
      <c r="R430">
        <v>2.9084269550404201E-2</v>
      </c>
      <c r="S430" t="s">
        <v>6013</v>
      </c>
      <c r="T430" t="s">
        <v>11164</v>
      </c>
      <c r="U430" t="s">
        <v>11164</v>
      </c>
      <c r="V430" t="s">
        <v>11164</v>
      </c>
      <c r="W430" t="s">
        <v>11589</v>
      </c>
      <c r="X430">
        <v>10</v>
      </c>
      <c r="Y430" t="s">
        <v>17122</v>
      </c>
      <c r="Z430" t="s">
        <v>22580</v>
      </c>
      <c r="AA430">
        <v>1.0142664864574831</v>
      </c>
      <c r="AB430" t="str">
        <f>HYPERLINK("Melting_Curves/meltCurve_E7ETZ0_CALM1.pdf", "Melting_Curves/meltCurve_E7ETZ0_CALM1.pdf")</f>
        <v>Melting_Curves/meltCurve_E7ETZ0_CALM1.pdf</v>
      </c>
    </row>
    <row r="431" spans="1:28" x14ac:dyDescent="0.25">
      <c r="A431" t="s">
        <v>435</v>
      </c>
      <c r="B431">
        <v>0.99796759195183404</v>
      </c>
      <c r="C431">
        <v>0.98520635049543304</v>
      </c>
      <c r="D431">
        <v>0.94652014509634697</v>
      </c>
      <c r="E431">
        <v>0.87962640770205203</v>
      </c>
      <c r="F431">
        <v>0.79513751518009401</v>
      </c>
      <c r="G431">
        <v>0.48190639185474299</v>
      </c>
      <c r="H431">
        <v>0.204690327040049</v>
      </c>
      <c r="I431">
        <v>0.12972362244562199</v>
      </c>
      <c r="J431">
        <v>9.1929406554753207E-2</v>
      </c>
      <c r="K431">
        <v>7.6458205830298803E-2</v>
      </c>
      <c r="L431">
        <v>995.74916349323701</v>
      </c>
      <c r="M431">
        <v>18.734327021736</v>
      </c>
      <c r="N431">
        <v>53.441617278650199</v>
      </c>
      <c r="O431">
        <v>52.556557149488299</v>
      </c>
      <c r="P431">
        <v>-8.4803479250499594E-2</v>
      </c>
      <c r="Q431">
        <v>4.8422477354766597E-2</v>
      </c>
      <c r="R431">
        <v>0.994746132351778</v>
      </c>
      <c r="S431" t="s">
        <v>6014</v>
      </c>
      <c r="T431" t="s">
        <v>11164</v>
      </c>
      <c r="U431" t="s">
        <v>11164</v>
      </c>
      <c r="V431" t="s">
        <v>11164</v>
      </c>
      <c r="W431" t="s">
        <v>11590</v>
      </c>
      <c r="X431">
        <v>14</v>
      </c>
      <c r="Y431" t="s">
        <v>17123</v>
      </c>
      <c r="Z431" t="s">
        <v>22581</v>
      </c>
      <c r="AA431">
        <v>0.57376698811826443</v>
      </c>
      <c r="AB431" t="str">
        <f>HYPERLINK("Melting_Curves/meltCurve_E7ETZ4_BZW2.pdf", "Melting_Curves/meltCurve_E7ETZ4_BZW2.pdf")</f>
        <v>Melting_Curves/meltCurve_E7ETZ4_BZW2.pdf</v>
      </c>
    </row>
    <row r="432" spans="1:28" x14ac:dyDescent="0.25">
      <c r="A432" t="s">
        <v>436</v>
      </c>
      <c r="B432">
        <v>0.99796759195183404</v>
      </c>
      <c r="C432">
        <v>0.96600420712088897</v>
      </c>
      <c r="D432">
        <v>0.91648618270133897</v>
      </c>
      <c r="E432">
        <v>0.88557845585886497</v>
      </c>
      <c r="F432">
        <v>0.60891411789641903</v>
      </c>
      <c r="G432">
        <v>0.36251340151802902</v>
      </c>
      <c r="H432">
        <v>0.22955930035373001</v>
      </c>
      <c r="I432">
        <v>0.31408600340510301</v>
      </c>
      <c r="J432">
        <v>0.24510398320292701</v>
      </c>
      <c r="K432">
        <v>0.12994087058198001</v>
      </c>
      <c r="L432">
        <v>981.23140492975199</v>
      </c>
      <c r="M432">
        <v>19.516463021638302</v>
      </c>
      <c r="N432">
        <v>51.6394212056775</v>
      </c>
      <c r="O432">
        <v>49.758184532021801</v>
      </c>
      <c r="P432">
        <v>-7.8329401388637004E-2</v>
      </c>
      <c r="Q432">
        <v>0.20121005983402501</v>
      </c>
      <c r="R432">
        <v>0.98077606743691503</v>
      </c>
      <c r="S432" t="s">
        <v>6015</v>
      </c>
      <c r="T432" t="s">
        <v>11164</v>
      </c>
      <c r="U432" t="s">
        <v>11164</v>
      </c>
      <c r="V432" t="s">
        <v>11164</v>
      </c>
      <c r="W432" t="s">
        <v>11591</v>
      </c>
      <c r="X432">
        <v>3</v>
      </c>
      <c r="Y432" t="s">
        <v>17124</v>
      </c>
      <c r="Z432" t="s">
        <v>22582</v>
      </c>
      <c r="AA432">
        <v>0.56569081574016089</v>
      </c>
      <c r="AB432" t="str">
        <f>HYPERLINK("Melting_Curves/meltCurve_E7EU09_FGFR1.pdf", "Melting_Curves/meltCurve_E7EU09_FGFR1.pdf")</f>
        <v>Melting_Curves/meltCurve_E7EU09_FGFR1.pdf</v>
      </c>
    </row>
    <row r="433" spans="1:28" x14ac:dyDescent="0.25">
      <c r="A433" t="s">
        <v>437</v>
      </c>
      <c r="B433">
        <v>0.99796759195183404</v>
      </c>
      <c r="C433">
        <v>1.00339197286036</v>
      </c>
      <c r="D433">
        <v>1.0110222680216201</v>
      </c>
      <c r="E433">
        <v>0.97562950358187295</v>
      </c>
      <c r="F433">
        <v>0.83535660046293303</v>
      </c>
      <c r="G433">
        <v>0.72210466127735395</v>
      </c>
      <c r="H433">
        <v>0.53678146000400295</v>
      </c>
      <c r="I433">
        <v>0.266855673655846</v>
      </c>
      <c r="J433">
        <v>0.117548738158121</v>
      </c>
      <c r="K433">
        <v>8.8716427699274E-2</v>
      </c>
      <c r="L433">
        <v>880.00037709430296</v>
      </c>
      <c r="M433">
        <v>15.395394561316699</v>
      </c>
      <c r="N433">
        <v>57.159975699401002</v>
      </c>
      <c r="O433">
        <v>56.2216064671643</v>
      </c>
      <c r="P433">
        <v>-6.8464776437431193E-2</v>
      </c>
      <c r="Q433">
        <v>0</v>
      </c>
      <c r="R433">
        <v>0.99342321133452205</v>
      </c>
      <c r="S433" t="s">
        <v>6016</v>
      </c>
      <c r="T433" t="s">
        <v>11164</v>
      </c>
      <c r="U433" t="s">
        <v>11164</v>
      </c>
      <c r="V433" t="s">
        <v>11164</v>
      </c>
      <c r="W433" t="s">
        <v>11592</v>
      </c>
      <c r="X433">
        <v>48</v>
      </c>
      <c r="Y433" t="s">
        <v>17125</v>
      </c>
      <c r="Z433" t="s">
        <v>22583</v>
      </c>
      <c r="AA433">
        <v>0.67984480977977713</v>
      </c>
      <c r="AB433" t="str">
        <f>HYPERLINK("Melting_Curves/meltCurve_E7EU23_GDI2.pdf", "Melting_Curves/meltCurve_E7EU23_GDI2.pdf")</f>
        <v>Melting_Curves/meltCurve_E7EU23_GDI2.pdf</v>
      </c>
    </row>
    <row r="434" spans="1:28" x14ac:dyDescent="0.25">
      <c r="A434" t="s">
        <v>438</v>
      </c>
      <c r="B434">
        <v>0.99796759195183404</v>
      </c>
      <c r="C434">
        <v>1.0037898275961601</v>
      </c>
      <c r="D434">
        <v>0.96396424067307795</v>
      </c>
      <c r="E434">
        <v>0.88401032697019399</v>
      </c>
      <c r="F434">
        <v>0.79702818749419402</v>
      </c>
      <c r="G434">
        <v>0.91580720530002802</v>
      </c>
      <c r="H434">
        <v>0.54593730755422898</v>
      </c>
      <c r="I434">
        <v>0.32502476311178902</v>
      </c>
      <c r="J434">
        <v>0.19169777561274501</v>
      </c>
      <c r="K434">
        <v>0.14901793078019701</v>
      </c>
      <c r="L434">
        <v>873.18187037140103</v>
      </c>
      <c r="M434">
        <v>14.9430848847002</v>
      </c>
      <c r="N434">
        <v>58.433842626308298</v>
      </c>
      <c r="O434">
        <v>57.417302739823</v>
      </c>
      <c r="P434">
        <v>-6.5070178658263297E-2</v>
      </c>
      <c r="Q434">
        <v>0</v>
      </c>
      <c r="R434">
        <v>0.95826751924794495</v>
      </c>
      <c r="S434" t="s">
        <v>6017</v>
      </c>
      <c r="T434" t="s">
        <v>11164</v>
      </c>
      <c r="U434" t="s">
        <v>11164</v>
      </c>
      <c r="V434" t="s">
        <v>11164</v>
      </c>
      <c r="W434" t="s">
        <v>11593</v>
      </c>
      <c r="X434">
        <v>12</v>
      </c>
      <c r="Y434" t="s">
        <v>17126</v>
      </c>
      <c r="Z434" t="s">
        <v>22584</v>
      </c>
      <c r="AA434">
        <v>0.71651246949226821</v>
      </c>
      <c r="AB434" t="str">
        <f>HYPERLINK("Melting_Curves/meltCurve_E7EU96_CSNK2A1.pdf", "Melting_Curves/meltCurve_E7EU96_CSNK2A1.pdf")</f>
        <v>Melting_Curves/meltCurve_E7EU96_CSNK2A1.pdf</v>
      </c>
    </row>
    <row r="435" spans="1:28" x14ac:dyDescent="0.25">
      <c r="A435" t="s">
        <v>439</v>
      </c>
      <c r="B435">
        <v>0.99796759195183404</v>
      </c>
      <c r="C435">
        <v>0.96105638242984204</v>
      </c>
      <c r="D435">
        <v>0.87473043563384201</v>
      </c>
      <c r="E435">
        <v>0.88712556712896995</v>
      </c>
      <c r="F435">
        <v>0.72409865874953305</v>
      </c>
      <c r="G435">
        <v>2.8779188693739099</v>
      </c>
      <c r="H435">
        <v>2.1014137082932298</v>
      </c>
      <c r="I435">
        <v>0.69824644757892096</v>
      </c>
      <c r="J435">
        <v>0.21833873164199599</v>
      </c>
      <c r="K435">
        <v>0.15359290041036699</v>
      </c>
      <c r="L435">
        <v>11601.418296461599</v>
      </c>
      <c r="M435">
        <v>189.65754839561001</v>
      </c>
      <c r="N435">
        <v>61.320646923963999</v>
      </c>
      <c r="O435">
        <v>61.163547234481001</v>
      </c>
      <c r="P435">
        <v>-0.63110551318736696</v>
      </c>
      <c r="Q435">
        <v>0.18588736356722099</v>
      </c>
      <c r="R435">
        <v>0.223070523418095</v>
      </c>
      <c r="S435" t="s">
        <v>6018</v>
      </c>
      <c r="T435" t="s">
        <v>11164</v>
      </c>
      <c r="U435" t="s">
        <v>11164</v>
      </c>
      <c r="V435" t="s">
        <v>11164</v>
      </c>
      <c r="W435" t="s">
        <v>11594</v>
      </c>
      <c r="X435">
        <v>12</v>
      </c>
      <c r="Y435" t="s">
        <v>17127</v>
      </c>
      <c r="Z435" t="s">
        <v>22585</v>
      </c>
      <c r="AA435">
        <v>0.84195211232910638</v>
      </c>
      <c r="AB435" t="str">
        <f>HYPERLINK("Melting_Curves/meltCurve_E7EUC7_UGP2.pdf", "Melting_Curves/meltCurve_E7EUC7_UGP2.pdf")</f>
        <v>Melting_Curves/meltCurve_E7EUC7_UGP2.pdf</v>
      </c>
    </row>
    <row r="436" spans="1:28" x14ac:dyDescent="0.25">
      <c r="A436" t="s">
        <v>440</v>
      </c>
      <c r="B436">
        <v>0.99796759195183404</v>
      </c>
      <c r="C436">
        <v>1.0029636916370901</v>
      </c>
      <c r="D436">
        <v>1.01288267719577</v>
      </c>
      <c r="E436">
        <v>0.88058077018328695</v>
      </c>
      <c r="F436">
        <v>0.78794075262994701</v>
      </c>
      <c r="G436">
        <v>0.35304311461171201</v>
      </c>
      <c r="H436">
        <v>0.21024849944458801</v>
      </c>
      <c r="I436">
        <v>0.187277256758733</v>
      </c>
      <c r="J436">
        <v>0.129674174154742</v>
      </c>
      <c r="K436">
        <v>6.7939277064040904E-2</v>
      </c>
      <c r="L436">
        <v>1227.7428282165499</v>
      </c>
      <c r="M436">
        <v>23.581867075507901</v>
      </c>
      <c r="N436">
        <v>52.6231941762099</v>
      </c>
      <c r="O436">
        <v>51.692948272514101</v>
      </c>
      <c r="P436">
        <v>-0.10139004515246</v>
      </c>
      <c r="Q436">
        <v>0.11100143540092</v>
      </c>
      <c r="R436">
        <v>0.99066908108561502</v>
      </c>
      <c r="S436" t="s">
        <v>6019</v>
      </c>
      <c r="T436" t="s">
        <v>11164</v>
      </c>
      <c r="U436" t="s">
        <v>11164</v>
      </c>
      <c r="V436" t="s">
        <v>11164</v>
      </c>
      <c r="W436" t="s">
        <v>11595</v>
      </c>
      <c r="X436">
        <v>7</v>
      </c>
      <c r="Y436" t="s">
        <v>17128</v>
      </c>
      <c r="Z436" t="s">
        <v>22586</v>
      </c>
      <c r="AA436">
        <v>0.56610031609608014</v>
      </c>
      <c r="AB436" t="str">
        <f>HYPERLINK("Melting_Curves/meltCurve_E7EUM5_NUP54.pdf", "Melting_Curves/meltCurve_E7EUM5_NUP54.pdf")</f>
        <v>Melting_Curves/meltCurve_E7EUM5_NUP54.pdf</v>
      </c>
    </row>
    <row r="437" spans="1:28" x14ac:dyDescent="0.25">
      <c r="A437" t="s">
        <v>441</v>
      </c>
      <c r="B437">
        <v>0.99796759195183404</v>
      </c>
      <c r="C437">
        <v>1.0406926541405499</v>
      </c>
      <c r="D437">
        <v>1.0117565310208501</v>
      </c>
      <c r="E437">
        <v>0.94807091274865396</v>
      </c>
      <c r="F437">
        <v>0.63148139413105298</v>
      </c>
      <c r="G437">
        <v>0.238590649662071</v>
      </c>
      <c r="H437">
        <v>0.17686456930900599</v>
      </c>
      <c r="I437">
        <v>0.14213764561258099</v>
      </c>
      <c r="J437">
        <v>0.124692976677336</v>
      </c>
      <c r="K437">
        <v>9.5456636115689594E-2</v>
      </c>
      <c r="L437">
        <v>1587.9098239611201</v>
      </c>
      <c r="M437">
        <v>31.322325430055901</v>
      </c>
      <c r="N437">
        <v>51.1682545261991</v>
      </c>
      <c r="O437">
        <v>50.490484760111698</v>
      </c>
      <c r="P437">
        <v>-0.13561530967517499</v>
      </c>
      <c r="Q437">
        <v>0.12557639630761699</v>
      </c>
      <c r="R437">
        <v>0.99754374070295804</v>
      </c>
      <c r="S437" t="s">
        <v>6020</v>
      </c>
      <c r="T437" t="s">
        <v>11164</v>
      </c>
      <c r="U437" t="s">
        <v>11164</v>
      </c>
      <c r="V437" t="s">
        <v>11164</v>
      </c>
      <c r="W437" t="s">
        <v>11596</v>
      </c>
      <c r="X437">
        <v>67</v>
      </c>
      <c r="Y437" t="s">
        <v>17129</v>
      </c>
      <c r="Z437" t="s">
        <v>22587</v>
      </c>
      <c r="AA437">
        <v>0.52975671499121302</v>
      </c>
      <c r="AB437" t="str">
        <f>HYPERLINK("Melting_Curves/meltCurve_E7EUU4_EIF4G1.pdf", "Melting_Curves/meltCurve_E7EUU4_EIF4G1.pdf")</f>
        <v>Melting_Curves/meltCurve_E7EUU4_EIF4G1.pdf</v>
      </c>
    </row>
    <row r="438" spans="1:28" x14ac:dyDescent="0.25">
      <c r="A438" t="s">
        <v>442</v>
      </c>
      <c r="B438">
        <v>0.99796759195183404</v>
      </c>
      <c r="C438">
        <v>1.2958493253522301</v>
      </c>
      <c r="D438">
        <v>1.17889716313787</v>
      </c>
      <c r="E438">
        <v>0.76451050646212104</v>
      </c>
      <c r="F438">
        <v>0.67083770636482598</v>
      </c>
      <c r="G438">
        <v>1.57380057554715</v>
      </c>
      <c r="H438">
        <v>1.81831269646206</v>
      </c>
      <c r="I438">
        <v>1.60435938681544</v>
      </c>
      <c r="J438">
        <v>0.68430849354689705</v>
      </c>
      <c r="K438">
        <v>0.54151890500447397</v>
      </c>
      <c r="L438">
        <v>15000</v>
      </c>
      <c r="M438">
        <v>234.80212114426399</v>
      </c>
      <c r="O438">
        <v>63.878939372919</v>
      </c>
      <c r="P438">
        <v>-0.42133999999615102</v>
      </c>
      <c r="Q438">
        <v>0.54149043279035702</v>
      </c>
      <c r="R438">
        <v>9.9524046330327298E-2</v>
      </c>
      <c r="S438" t="s">
        <v>6021</v>
      </c>
      <c r="T438" t="s">
        <v>11164</v>
      </c>
      <c r="U438" t="s">
        <v>11164</v>
      </c>
      <c r="V438" t="s">
        <v>11164</v>
      </c>
      <c r="W438" t="s">
        <v>11597</v>
      </c>
      <c r="X438">
        <v>1</v>
      </c>
      <c r="Y438" t="s">
        <v>17130</v>
      </c>
      <c r="Z438" t="s">
        <v>22588</v>
      </c>
      <c r="AA438">
        <v>0.95242790857545878</v>
      </c>
      <c r="AB438" t="str">
        <f>HYPERLINK("Melting_Curves/meltCurve_E7EUY3_PCCB.pdf", "Melting_Curves/meltCurve_E7EUY3_PCCB.pdf")</f>
        <v>Melting_Curves/meltCurve_E7EUY3_PCCB.pdf</v>
      </c>
    </row>
    <row r="439" spans="1:28" x14ac:dyDescent="0.25">
      <c r="A439" t="s">
        <v>443</v>
      </c>
      <c r="B439">
        <v>0.99796759195183404</v>
      </c>
      <c r="C439">
        <v>0.92430734510922397</v>
      </c>
      <c r="D439">
        <v>0.99802728222560599</v>
      </c>
      <c r="E439">
        <v>0.84452532447182604</v>
      </c>
      <c r="F439">
        <v>0.77743300827262096</v>
      </c>
      <c r="G439">
        <v>0.69244330009439403</v>
      </c>
      <c r="H439">
        <v>0.57816287425781399</v>
      </c>
      <c r="I439">
        <v>0.428702405560765</v>
      </c>
      <c r="J439">
        <v>0.30280050976898998</v>
      </c>
      <c r="K439">
        <v>0.16354973630858599</v>
      </c>
      <c r="L439">
        <v>521.20330181368502</v>
      </c>
      <c r="M439">
        <v>8.9548694542198692</v>
      </c>
      <c r="N439">
        <v>58.2033237192909</v>
      </c>
      <c r="O439">
        <v>55.520447094974301</v>
      </c>
      <c r="P439">
        <v>-4.0352239971972098E-2</v>
      </c>
      <c r="Q439">
        <v>0</v>
      </c>
      <c r="R439">
        <v>0.97705942867138995</v>
      </c>
      <c r="S439" t="s">
        <v>6022</v>
      </c>
      <c r="T439" t="s">
        <v>11164</v>
      </c>
      <c r="U439" t="s">
        <v>11164</v>
      </c>
      <c r="V439" t="s">
        <v>11164</v>
      </c>
      <c r="W439" t="s">
        <v>11598</v>
      </c>
      <c r="X439">
        <v>6</v>
      </c>
      <c r="Y439" t="s">
        <v>17131</v>
      </c>
      <c r="Z439" t="s">
        <v>22589</v>
      </c>
      <c r="AA439">
        <v>0.69066689544535242</v>
      </c>
      <c r="AB439" t="str">
        <f>HYPERLINK("Melting_Curves/meltCurve_E7EV56_PCM1.pdf", "Melting_Curves/meltCurve_E7EV56_PCM1.pdf")</f>
        <v>Melting_Curves/meltCurve_E7EV56_PCM1.pdf</v>
      </c>
    </row>
    <row r="440" spans="1:28" x14ac:dyDescent="0.25">
      <c r="A440" t="s">
        <v>444</v>
      </c>
      <c r="B440">
        <v>0.99796759195183404</v>
      </c>
      <c r="C440">
        <v>0.77547605593541602</v>
      </c>
      <c r="D440">
        <v>0.87669140687738101</v>
      </c>
      <c r="E440">
        <v>0.66245276206703596</v>
      </c>
      <c r="F440">
        <v>0.47655246934851497</v>
      </c>
      <c r="G440">
        <v>0.38334604570306302</v>
      </c>
      <c r="H440">
        <v>0.29192964130541998</v>
      </c>
      <c r="I440">
        <v>0.27340505826871597</v>
      </c>
      <c r="J440">
        <v>0.198077847666917</v>
      </c>
      <c r="K440">
        <v>0.19124520254153199</v>
      </c>
      <c r="L440">
        <v>438.24001516214702</v>
      </c>
      <c r="M440">
        <v>8.9830204975175896</v>
      </c>
      <c r="N440">
        <v>50.316379548686001</v>
      </c>
      <c r="O440">
        <v>46.549628277212499</v>
      </c>
      <c r="P440">
        <v>-4.2506347523661399E-2</v>
      </c>
      <c r="Q440">
        <v>0.119579689732783</v>
      </c>
      <c r="R440">
        <v>0.968620300831743</v>
      </c>
      <c r="S440" t="s">
        <v>6023</v>
      </c>
      <c r="T440" t="s">
        <v>11164</v>
      </c>
      <c r="U440" t="s">
        <v>11164</v>
      </c>
      <c r="V440" t="s">
        <v>11164</v>
      </c>
      <c r="W440" t="s">
        <v>11599</v>
      </c>
      <c r="X440">
        <v>1</v>
      </c>
      <c r="Y440" t="s">
        <v>17132</v>
      </c>
      <c r="Z440" t="s">
        <v>22590</v>
      </c>
      <c r="AA440">
        <v>0.50286306874843634</v>
      </c>
      <c r="AB440" t="str">
        <f>HYPERLINK("Melting_Curves/meltCurve_E7EV87_DEPTOR.pdf", "Melting_Curves/meltCurve_E7EV87_DEPTOR.pdf")</f>
        <v>Melting_Curves/meltCurve_E7EV87_DEPTOR.pdf</v>
      </c>
    </row>
    <row r="441" spans="1:28" x14ac:dyDescent="0.25">
      <c r="A441" t="s">
        <v>445</v>
      </c>
      <c r="B441">
        <v>0.99796759195183404</v>
      </c>
      <c r="C441">
        <v>0.97116507453735501</v>
      </c>
      <c r="D441">
        <v>1.0104381168933201</v>
      </c>
      <c r="E441">
        <v>0.94779794123852401</v>
      </c>
      <c r="F441">
        <v>0.842115131709122</v>
      </c>
      <c r="G441">
        <v>0.61364181465124001</v>
      </c>
      <c r="H441">
        <v>0.61157229238710697</v>
      </c>
      <c r="I441">
        <v>0.52705275955244102</v>
      </c>
      <c r="J441">
        <v>0.56944353717324403</v>
      </c>
      <c r="K441">
        <v>0.41897406083396199</v>
      </c>
      <c r="L441">
        <v>960.41056523083796</v>
      </c>
      <c r="M441">
        <v>18.507554924940699</v>
      </c>
      <c r="N441">
        <v>66.656156824942201</v>
      </c>
      <c r="O441">
        <v>51.2984364034143</v>
      </c>
      <c r="P441">
        <v>-4.5847826734783999E-2</v>
      </c>
      <c r="Q441">
        <v>0.49170645291859</v>
      </c>
      <c r="R441">
        <v>0.962962949863295</v>
      </c>
      <c r="S441" t="s">
        <v>6024</v>
      </c>
      <c r="T441" t="s">
        <v>11164</v>
      </c>
      <c r="U441" t="s">
        <v>11164</v>
      </c>
      <c r="V441" t="s">
        <v>11164</v>
      </c>
      <c r="W441" t="s">
        <v>11600</v>
      </c>
      <c r="X441">
        <v>48</v>
      </c>
      <c r="Y441" t="s">
        <v>17133</v>
      </c>
      <c r="Z441" t="s">
        <v>22591</v>
      </c>
      <c r="AA441">
        <v>0.75144296185119452</v>
      </c>
      <c r="AB441" t="str">
        <f>HYPERLINK("Melting_Curves/meltCurve_E7EVA0_MAP4.pdf", "Melting_Curves/meltCurve_E7EVA0_MAP4.pdf")</f>
        <v>Melting_Curves/meltCurve_E7EVA0_MAP4.pdf</v>
      </c>
    </row>
    <row r="442" spans="1:28" x14ac:dyDescent="0.25">
      <c r="A442" t="s">
        <v>446</v>
      </c>
      <c r="B442">
        <v>0.99796759195183404</v>
      </c>
      <c r="C442">
        <v>1.0832240057426901</v>
      </c>
      <c r="D442">
        <v>1.0878351695766999</v>
      </c>
      <c r="E442">
        <v>0.95764086967261597</v>
      </c>
      <c r="F442">
        <v>0.90311738418913001</v>
      </c>
      <c r="G442">
        <v>0.89421515877422797</v>
      </c>
      <c r="H442">
        <v>0.78934774123178997</v>
      </c>
      <c r="I442">
        <v>0.36766850926208</v>
      </c>
      <c r="J442">
        <v>0.32852756756986101</v>
      </c>
      <c r="K442">
        <v>0.15728783594809301</v>
      </c>
      <c r="L442">
        <v>1234.9760995669601</v>
      </c>
      <c r="M442">
        <v>20.693091606408402</v>
      </c>
      <c r="N442">
        <v>60.270627416630496</v>
      </c>
      <c r="O442">
        <v>59.131628902670101</v>
      </c>
      <c r="P442">
        <v>-7.9468062209482507E-2</v>
      </c>
      <c r="Q442">
        <v>9.1688689696353395E-2</v>
      </c>
      <c r="R442">
        <v>0.96419477015869504</v>
      </c>
      <c r="S442" t="s">
        <v>6025</v>
      </c>
      <c r="T442" t="s">
        <v>11164</v>
      </c>
      <c r="U442" t="s">
        <v>11164</v>
      </c>
      <c r="V442" t="s">
        <v>11164</v>
      </c>
      <c r="W442" t="s">
        <v>11601</v>
      </c>
      <c r="X442">
        <v>9</v>
      </c>
      <c r="Y442" t="s">
        <v>17134</v>
      </c>
      <c r="Z442" t="s">
        <v>22592</v>
      </c>
      <c r="AA442">
        <v>0.78036532509214185</v>
      </c>
      <c r="AB442" t="str">
        <f>HYPERLINK("Melting_Curves/meltCurve_E7EVC7_ATG16L1.pdf", "Melting_Curves/meltCurve_E7EVC7_ATG16L1.pdf")</f>
        <v>Melting_Curves/meltCurve_E7EVC7_ATG16L1.pdf</v>
      </c>
    </row>
    <row r="443" spans="1:28" x14ac:dyDescent="0.25">
      <c r="A443" t="s">
        <v>447</v>
      </c>
      <c r="B443">
        <v>0.99796759195183404</v>
      </c>
      <c r="C443">
        <v>1.1535859300978999</v>
      </c>
      <c r="D443">
        <v>1.1044876708690099</v>
      </c>
      <c r="E443">
        <v>0.94216444776397801</v>
      </c>
      <c r="F443">
        <v>0.83457015123230505</v>
      </c>
      <c r="G443">
        <v>0.91883064839960404</v>
      </c>
      <c r="H443">
        <v>0.60598526923563201</v>
      </c>
      <c r="I443">
        <v>0.586465530850376</v>
      </c>
      <c r="J443">
        <v>0.51984442155948496</v>
      </c>
      <c r="K443">
        <v>0.496190812578507</v>
      </c>
      <c r="L443">
        <v>885.94136278526696</v>
      </c>
      <c r="M443">
        <v>15.833611570514901</v>
      </c>
      <c r="N443">
        <v>66.007465396015107</v>
      </c>
      <c r="O443">
        <v>55.0835040151835</v>
      </c>
      <c r="P443">
        <v>-3.9155551552888801E-2</v>
      </c>
      <c r="Q443">
        <v>0.455172002828162</v>
      </c>
      <c r="R443">
        <v>0.88695281116001701</v>
      </c>
      <c r="S443" t="s">
        <v>6026</v>
      </c>
      <c r="T443" t="s">
        <v>11164</v>
      </c>
      <c r="U443" t="s">
        <v>11164</v>
      </c>
      <c r="V443" t="s">
        <v>11164</v>
      </c>
      <c r="W443" t="s">
        <v>11602</v>
      </c>
      <c r="X443">
        <v>1</v>
      </c>
      <c r="Y443" t="s">
        <v>17135</v>
      </c>
      <c r="Z443" t="s">
        <v>22593</v>
      </c>
      <c r="AA443">
        <v>0.80569727388617551</v>
      </c>
      <c r="AB443" t="str">
        <f>HYPERLINK("Melting_Curves/meltCurve_E7EVD6_LPHN3.pdf", "Melting_Curves/meltCurve_E7EVD6_LPHN3.pdf")</f>
        <v>Melting_Curves/meltCurve_E7EVD6_LPHN3.pdf</v>
      </c>
    </row>
    <row r="444" spans="1:28" x14ac:dyDescent="0.25">
      <c r="A444" t="s">
        <v>448</v>
      </c>
      <c r="B444">
        <v>0.99796759195183404</v>
      </c>
      <c r="C444">
        <v>1.2913461064429701</v>
      </c>
      <c r="D444">
        <v>1.46786608950692</v>
      </c>
      <c r="E444">
        <v>1.2382709170247199</v>
      </c>
      <c r="F444">
        <v>1.0066634294452801</v>
      </c>
      <c r="G444">
        <v>0.37698022652587199</v>
      </c>
      <c r="H444">
        <v>0.253087925863275</v>
      </c>
      <c r="I444">
        <v>0.14517340668763101</v>
      </c>
      <c r="J444">
        <v>0.28245696333888398</v>
      </c>
      <c r="K444">
        <v>0.17696615703075699</v>
      </c>
      <c r="L444">
        <v>6720.64010537797</v>
      </c>
      <c r="M444">
        <v>126.261965598223</v>
      </c>
      <c r="N444">
        <v>53.464871192769301</v>
      </c>
      <c r="O444">
        <v>53.214381184220599</v>
      </c>
      <c r="P444">
        <v>-0.46600381197845298</v>
      </c>
      <c r="Q444">
        <v>0.21439170054784501</v>
      </c>
      <c r="R444">
        <v>0.84877840710455699</v>
      </c>
      <c r="S444" t="s">
        <v>6027</v>
      </c>
      <c r="T444" t="s">
        <v>11164</v>
      </c>
      <c r="U444" t="s">
        <v>11164</v>
      </c>
      <c r="V444" t="s">
        <v>11164</v>
      </c>
      <c r="W444" t="s">
        <v>11603</v>
      </c>
      <c r="X444">
        <v>17</v>
      </c>
      <c r="Y444" t="s">
        <v>17136</v>
      </c>
      <c r="Z444" t="s">
        <v>22594</v>
      </c>
      <c r="AA444">
        <v>0.63963471584750531</v>
      </c>
      <c r="AB444" t="str">
        <f>HYPERLINK("Melting_Curves/meltCurve_E7EVH7_KLC1.pdf", "Melting_Curves/meltCurve_E7EVH7_KLC1.pdf")</f>
        <v>Melting_Curves/meltCurve_E7EVH7_KLC1.pdf</v>
      </c>
    </row>
    <row r="445" spans="1:28" x14ac:dyDescent="0.25">
      <c r="A445" t="s">
        <v>449</v>
      </c>
      <c r="B445">
        <v>0.99796759195183404</v>
      </c>
      <c r="C445">
        <v>0.94806724120261598</v>
      </c>
      <c r="D445">
        <v>0.91649177440844898</v>
      </c>
      <c r="E445">
        <v>0.85421198224163697</v>
      </c>
      <c r="F445">
        <v>0.73548072446061197</v>
      </c>
      <c r="G445">
        <v>0.56258511879724105</v>
      </c>
      <c r="H445">
        <v>0.71369677815599097</v>
      </c>
      <c r="I445">
        <v>0.61307421563414499</v>
      </c>
      <c r="J445">
        <v>0.249216787554563</v>
      </c>
      <c r="K445">
        <v>0.14542831312468801</v>
      </c>
      <c r="L445">
        <v>438.91261600959598</v>
      </c>
      <c r="M445">
        <v>7.4683853593414904</v>
      </c>
      <c r="N445">
        <v>58.7694111322309</v>
      </c>
      <c r="O445">
        <v>54.998028156056897</v>
      </c>
      <c r="P445">
        <v>-3.39979947368119E-2</v>
      </c>
      <c r="Q445">
        <v>0</v>
      </c>
      <c r="R445">
        <v>0.85983098968340099</v>
      </c>
      <c r="S445" t="s">
        <v>6028</v>
      </c>
      <c r="T445" t="s">
        <v>11164</v>
      </c>
      <c r="U445" t="s">
        <v>11164</v>
      </c>
      <c r="V445" t="s">
        <v>11164</v>
      </c>
      <c r="W445" t="s">
        <v>11604</v>
      </c>
      <c r="X445">
        <v>3</v>
      </c>
      <c r="Y445" t="s">
        <v>17137</v>
      </c>
      <c r="Z445" t="s">
        <v>22595</v>
      </c>
      <c r="AA445">
        <v>0.69146345236191109</v>
      </c>
      <c r="AB445" t="str">
        <f>HYPERLINK("Melting_Curves/meltCurve_E7EVH9_HDHD1.pdf", "Melting_Curves/meltCurve_E7EVH9_HDHD1.pdf")</f>
        <v>Melting_Curves/meltCurve_E7EVH9_HDHD1.pdf</v>
      </c>
    </row>
    <row r="446" spans="1:28" x14ac:dyDescent="0.25">
      <c r="A446" t="s">
        <v>450</v>
      </c>
      <c r="B446">
        <v>0.99796759195183404</v>
      </c>
      <c r="C446">
        <v>0.994990122854579</v>
      </c>
      <c r="D446">
        <v>0.89086998727565503</v>
      </c>
      <c r="E446">
        <v>0.88217209662483298</v>
      </c>
      <c r="F446">
        <v>0.71902455336452897</v>
      </c>
      <c r="G446">
        <v>1.5459257498347001</v>
      </c>
      <c r="H446">
        <v>0.69358414659131695</v>
      </c>
      <c r="I446">
        <v>0.227184811255948</v>
      </c>
      <c r="J446">
        <v>0.18646569163070001</v>
      </c>
      <c r="K446">
        <v>0.13465723522320999</v>
      </c>
      <c r="L446">
        <v>11753.3480998419</v>
      </c>
      <c r="M446">
        <v>204.251075255514</v>
      </c>
      <c r="N446">
        <v>57.672092796880001</v>
      </c>
      <c r="O446">
        <v>57.538112604022999</v>
      </c>
      <c r="P446">
        <v>-0.72526224494103697</v>
      </c>
      <c r="Q446">
        <v>0.18276620063857099</v>
      </c>
      <c r="R446">
        <v>0.76880255916541496</v>
      </c>
      <c r="S446" t="s">
        <v>6029</v>
      </c>
      <c r="T446" t="s">
        <v>11164</v>
      </c>
      <c r="U446" t="s">
        <v>11164</v>
      </c>
      <c r="V446" t="s">
        <v>11164</v>
      </c>
      <c r="W446" t="s">
        <v>11605</v>
      </c>
      <c r="X446">
        <v>7</v>
      </c>
      <c r="Y446" t="s">
        <v>17138</v>
      </c>
      <c r="Z446" t="s">
        <v>22596</v>
      </c>
      <c r="AA446">
        <v>0.742521456551822</v>
      </c>
      <c r="AB446" t="str">
        <f>HYPERLINK("Melting_Curves/meltCurve_E7EVJ5_CYFIP2.pdf", "Melting_Curves/meltCurve_E7EVJ5_CYFIP2.pdf")</f>
        <v>Melting_Curves/meltCurve_E7EVJ5_CYFIP2.pdf</v>
      </c>
    </row>
    <row r="447" spans="1:28" x14ac:dyDescent="0.25">
      <c r="A447" t="s">
        <v>451</v>
      </c>
      <c r="B447">
        <v>0.99796759195183404</v>
      </c>
      <c r="C447">
        <v>1.08119605008713</v>
      </c>
      <c r="D447">
        <v>0.97914812061870304</v>
      </c>
      <c r="E447">
        <v>0.99736625627975894</v>
      </c>
      <c r="F447">
        <v>0.99410820766999597</v>
      </c>
      <c r="G447">
        <v>0.68509356686732104</v>
      </c>
      <c r="H447">
        <v>0.62109925163018598</v>
      </c>
      <c r="I447">
        <v>0.432767140311556</v>
      </c>
      <c r="J447">
        <v>0.437676085587555</v>
      </c>
      <c r="K447">
        <v>0.45912325330938802</v>
      </c>
      <c r="L447">
        <v>1385.10162453935</v>
      </c>
      <c r="M447">
        <v>25.561559704744202</v>
      </c>
      <c r="N447">
        <v>59.144337670165001</v>
      </c>
      <c r="O447">
        <v>53.858510864971102</v>
      </c>
      <c r="P447">
        <v>-6.6288713695602297E-2</v>
      </c>
      <c r="Q447">
        <v>0.44132237453808199</v>
      </c>
      <c r="R447">
        <v>0.96688214100733505</v>
      </c>
      <c r="S447" t="s">
        <v>6030</v>
      </c>
      <c r="T447" t="s">
        <v>11164</v>
      </c>
      <c r="U447" t="s">
        <v>11164</v>
      </c>
      <c r="V447" t="s">
        <v>11164</v>
      </c>
      <c r="W447" t="s">
        <v>11606</v>
      </c>
      <c r="X447">
        <v>3</v>
      </c>
      <c r="Y447" t="s">
        <v>17139</v>
      </c>
      <c r="Z447" t="s">
        <v>22597</v>
      </c>
      <c r="AA447">
        <v>0.76607605542174306</v>
      </c>
      <c r="AB447" t="str">
        <f>HYPERLINK("Melting_Curves/meltCurve_E7EVW7_HCLS1.pdf", "Melting_Curves/meltCurve_E7EVW7_HCLS1.pdf")</f>
        <v>Melting_Curves/meltCurve_E7EVW7_HCLS1.pdf</v>
      </c>
    </row>
    <row r="448" spans="1:28" x14ac:dyDescent="0.25">
      <c r="A448" t="s">
        <v>452</v>
      </c>
      <c r="B448">
        <v>0.99796759195183404</v>
      </c>
      <c r="C448">
        <v>1.11640018516763</v>
      </c>
      <c r="D448">
        <v>1.1385925409748601</v>
      </c>
      <c r="E448">
        <v>0.91205891472226797</v>
      </c>
      <c r="F448">
        <v>0.184600382593299</v>
      </c>
      <c r="G448">
        <v>0.196041962920187</v>
      </c>
      <c r="H448">
        <v>0.10750276341571199</v>
      </c>
      <c r="I448">
        <v>0.111700688100394</v>
      </c>
      <c r="J448">
        <v>6.1708721050249202E-2</v>
      </c>
      <c r="K448">
        <v>6.3530350738284197E-2</v>
      </c>
      <c r="L448">
        <v>2945.8090199312701</v>
      </c>
      <c r="M448">
        <v>60.997956368798199</v>
      </c>
      <c r="N448">
        <v>48.485405807791501</v>
      </c>
      <c r="O448">
        <v>48.241741269735201</v>
      </c>
      <c r="P448">
        <v>-0.28221476552561098</v>
      </c>
      <c r="Q448">
        <v>0.107214208385622</v>
      </c>
      <c r="R448">
        <v>0.97864767845119005</v>
      </c>
      <c r="S448" t="s">
        <v>6031</v>
      </c>
      <c r="T448" t="s">
        <v>11164</v>
      </c>
      <c r="U448" t="s">
        <v>11164</v>
      </c>
      <c r="V448" t="s">
        <v>11164</v>
      </c>
      <c r="W448" t="s">
        <v>11607</v>
      </c>
      <c r="X448">
        <v>2</v>
      </c>
      <c r="Y448" t="s">
        <v>17140</v>
      </c>
      <c r="Z448" t="s">
        <v>22598</v>
      </c>
      <c r="AA448">
        <v>0.44458099223091357</v>
      </c>
      <c r="AB448" t="str">
        <f>HYPERLINK("Melting_Curves/meltCurve_E7EVX8_PRPF31.pdf", "Melting_Curves/meltCurve_E7EVX8_PRPF31.pdf")</f>
        <v>Melting_Curves/meltCurve_E7EVX8_PRPF31.pdf</v>
      </c>
    </row>
    <row r="449" spans="1:28" x14ac:dyDescent="0.25">
      <c r="A449" t="s">
        <v>453</v>
      </c>
      <c r="B449">
        <v>0.99796759195183404</v>
      </c>
      <c r="C449">
        <v>1.16391457979632</v>
      </c>
      <c r="D449">
        <v>1.0338199060709301</v>
      </c>
      <c r="E449">
        <v>1.0323205866168299</v>
      </c>
      <c r="F449">
        <v>0.85026623833826098</v>
      </c>
      <c r="G449">
        <v>0.26590564624836599</v>
      </c>
      <c r="H449">
        <v>0.21271444490848601</v>
      </c>
      <c r="I449">
        <v>0.155911654053599</v>
      </c>
      <c r="J449">
        <v>0.13018449406347199</v>
      </c>
      <c r="K449">
        <v>6.9300584721394901E-2</v>
      </c>
      <c r="L449">
        <v>2409.3232383644299</v>
      </c>
      <c r="M449">
        <v>46.447497437623802</v>
      </c>
      <c r="N449">
        <v>52.2334075615722</v>
      </c>
      <c r="O449">
        <v>51.776093300600898</v>
      </c>
      <c r="P449">
        <v>-0.19344887064432501</v>
      </c>
      <c r="Q449">
        <v>0.13743341035446399</v>
      </c>
      <c r="R449">
        <v>0.97932125731916397</v>
      </c>
      <c r="S449" t="s">
        <v>6032</v>
      </c>
      <c r="T449" t="s">
        <v>11164</v>
      </c>
      <c r="U449" t="s">
        <v>11164</v>
      </c>
      <c r="V449" t="s">
        <v>11164</v>
      </c>
      <c r="W449" t="s">
        <v>11608</v>
      </c>
      <c r="X449">
        <v>2</v>
      </c>
      <c r="Y449" t="s">
        <v>17141</v>
      </c>
      <c r="Z449" t="s">
        <v>22599</v>
      </c>
      <c r="AA449">
        <v>0.56732313846876359</v>
      </c>
      <c r="AB449" t="str">
        <f>HYPERLINK("Melting_Curves/meltCurve_E7EW05_SDAD1.pdf", "Melting_Curves/meltCurve_E7EW05_SDAD1.pdf")</f>
        <v>Melting_Curves/meltCurve_E7EW05_SDAD1.pdf</v>
      </c>
    </row>
    <row r="450" spans="1:28" x14ac:dyDescent="0.25">
      <c r="A450" t="s">
        <v>454</v>
      </c>
      <c r="B450">
        <v>0.99796759195183404</v>
      </c>
      <c r="C450">
        <v>1.07874366586368</v>
      </c>
      <c r="D450">
        <v>1.0655485102129001</v>
      </c>
      <c r="E450">
        <v>0.99982940237741202</v>
      </c>
      <c r="F450">
        <v>0.94429786494647905</v>
      </c>
      <c r="G450">
        <v>0.85020046530211202</v>
      </c>
      <c r="H450">
        <v>0.25073364346649402</v>
      </c>
      <c r="I450">
        <v>0.18654016682385999</v>
      </c>
      <c r="J450">
        <v>0.13862534170183499</v>
      </c>
      <c r="K450">
        <v>0.107298029234666</v>
      </c>
      <c r="L450">
        <v>2870.7746634228301</v>
      </c>
      <c r="M450">
        <v>51.846495982395197</v>
      </c>
      <c r="N450">
        <v>55.722222861968298</v>
      </c>
      <c r="O450">
        <v>55.288468087360997</v>
      </c>
      <c r="P450">
        <v>-0.20173221402772301</v>
      </c>
      <c r="Q450">
        <v>0.13950158810306701</v>
      </c>
      <c r="R450">
        <v>0.99040319929065201</v>
      </c>
      <c r="S450" t="s">
        <v>6033</v>
      </c>
      <c r="T450" t="s">
        <v>11164</v>
      </c>
      <c r="U450" t="s">
        <v>11164</v>
      </c>
      <c r="V450" t="s">
        <v>11164</v>
      </c>
      <c r="W450" t="s">
        <v>11609</v>
      </c>
      <c r="X450">
        <v>28</v>
      </c>
      <c r="Y450" t="s">
        <v>17142</v>
      </c>
      <c r="Z450" t="s">
        <v>22600</v>
      </c>
      <c r="AA450">
        <v>0.66838043574004924</v>
      </c>
      <c r="AB450" t="str">
        <f>HYPERLINK("Melting_Curves/meltCurve_E7EW20_MYO6.pdf", "Melting_Curves/meltCurve_E7EW20_MYO6.pdf")</f>
        <v>Melting_Curves/meltCurve_E7EW20_MYO6.pdf</v>
      </c>
    </row>
    <row r="451" spans="1:28" x14ac:dyDescent="0.25">
      <c r="A451" t="s">
        <v>455</v>
      </c>
      <c r="B451">
        <v>0.99796759195183404</v>
      </c>
      <c r="C451">
        <v>0.74557052685402703</v>
      </c>
      <c r="D451">
        <v>0.75019896469222203</v>
      </c>
      <c r="E451">
        <v>0.69174608074660704</v>
      </c>
      <c r="F451">
        <v>0.48625371836519499</v>
      </c>
      <c r="G451">
        <v>0.109637380023581</v>
      </c>
      <c r="H451">
        <v>0</v>
      </c>
      <c r="I451">
        <v>0</v>
      </c>
      <c r="J451">
        <v>0</v>
      </c>
      <c r="K451">
        <v>0</v>
      </c>
      <c r="L451">
        <v>640.25527648908701</v>
      </c>
      <c r="M451">
        <v>13.317280151441301</v>
      </c>
      <c r="N451">
        <v>48.077030030161303</v>
      </c>
      <c r="O451">
        <v>47.0317610701372</v>
      </c>
      <c r="P451">
        <v>-7.08001449452689E-2</v>
      </c>
      <c r="Q451">
        <v>0</v>
      </c>
      <c r="R451">
        <v>0.93666693777921595</v>
      </c>
      <c r="S451" t="s">
        <v>6034</v>
      </c>
      <c r="T451" t="s">
        <v>11164</v>
      </c>
      <c r="U451" t="s">
        <v>11164</v>
      </c>
      <c r="V451" t="s">
        <v>11164</v>
      </c>
      <c r="W451" t="s">
        <v>11610</v>
      </c>
      <c r="X451">
        <v>1</v>
      </c>
      <c r="Y451" t="s">
        <v>17143</v>
      </c>
      <c r="Z451" t="s">
        <v>22601</v>
      </c>
      <c r="AA451">
        <v>0.39589076795822797</v>
      </c>
      <c r="AB451" t="str">
        <f>HYPERLINK("Melting_Curves/meltCurve_E7EW59_SALL2.pdf", "Melting_Curves/meltCurve_E7EW59_SALL2.pdf")</f>
        <v>Melting_Curves/meltCurve_E7EW59_SALL2.pdf</v>
      </c>
    </row>
    <row r="452" spans="1:28" x14ac:dyDescent="0.25">
      <c r="A452" t="s">
        <v>456</v>
      </c>
      <c r="B452">
        <v>0.99796759195183404</v>
      </c>
      <c r="C452">
        <v>1.12844249171021</v>
      </c>
      <c r="D452">
        <v>0.97258506027080704</v>
      </c>
      <c r="E452">
        <v>0.89370732852260004</v>
      </c>
      <c r="F452">
        <v>0.82691104184311603</v>
      </c>
      <c r="G452">
        <v>1.4055376884044899</v>
      </c>
      <c r="H452">
        <v>0.95551525526305303</v>
      </c>
      <c r="I452">
        <v>0.47558964646928897</v>
      </c>
      <c r="J452">
        <v>0.123485356610462</v>
      </c>
      <c r="K452">
        <v>9.0347413386073702E-2</v>
      </c>
      <c r="L452">
        <v>3589.7509607524999</v>
      </c>
      <c r="M452">
        <v>59.1523120069266</v>
      </c>
      <c r="N452">
        <v>60.882403928882397</v>
      </c>
      <c r="O452">
        <v>60.617326705159698</v>
      </c>
      <c r="P452">
        <v>-0.22282362586889601</v>
      </c>
      <c r="Q452">
        <v>8.6631364677985601E-2</v>
      </c>
      <c r="R452">
        <v>0.86384872302974303</v>
      </c>
      <c r="S452" t="s">
        <v>6035</v>
      </c>
      <c r="T452" t="s">
        <v>11164</v>
      </c>
      <c r="U452" t="s">
        <v>11164</v>
      </c>
      <c r="V452" t="s">
        <v>11164</v>
      </c>
      <c r="W452" t="s">
        <v>11611</v>
      </c>
      <c r="X452">
        <v>7</v>
      </c>
      <c r="Y452" t="s">
        <v>17144</v>
      </c>
      <c r="Z452" t="s">
        <v>22602</v>
      </c>
      <c r="AA452">
        <v>0.80937790827589706</v>
      </c>
      <c r="AB452" t="str">
        <f>HYPERLINK("Melting_Curves/meltCurve_E7EW69_SEPT10.pdf", "Melting_Curves/meltCurve_E7EW69_SEPT10.pdf")</f>
        <v>Melting_Curves/meltCurve_E7EW69_SEPT10.pdf</v>
      </c>
    </row>
    <row r="453" spans="1:28" x14ac:dyDescent="0.25">
      <c r="A453" t="s">
        <v>457</v>
      </c>
      <c r="B453">
        <v>0.99796759195183404</v>
      </c>
      <c r="C453">
        <v>1.0629598144335199</v>
      </c>
      <c r="D453">
        <v>0.92370757748898602</v>
      </c>
      <c r="E453">
        <v>0.95513818708918696</v>
      </c>
      <c r="F453">
        <v>0.83252528133271098</v>
      </c>
      <c r="G453">
        <v>1.3462745015413</v>
      </c>
      <c r="H453">
        <v>0.91600082234573799</v>
      </c>
      <c r="I453">
        <v>0.73187893949975902</v>
      </c>
      <c r="J453">
        <v>0.57713036824027097</v>
      </c>
      <c r="K453">
        <v>0.42563443792912298</v>
      </c>
      <c r="L453">
        <v>2029.5397870422501</v>
      </c>
      <c r="M453">
        <v>32.933924035987197</v>
      </c>
      <c r="N453">
        <v>64.984283096669699</v>
      </c>
      <c r="O453">
        <v>61.398721764718402</v>
      </c>
      <c r="P453">
        <v>-7.92656454655251E-2</v>
      </c>
      <c r="Q453">
        <v>0.40890281729197903</v>
      </c>
      <c r="R453">
        <v>0.72005494663684599</v>
      </c>
      <c r="S453" t="s">
        <v>6036</v>
      </c>
      <c r="T453" t="s">
        <v>11164</v>
      </c>
      <c r="U453" t="s">
        <v>11164</v>
      </c>
      <c r="V453" t="s">
        <v>11164</v>
      </c>
      <c r="W453" t="s">
        <v>11612</v>
      </c>
      <c r="X453">
        <v>3</v>
      </c>
      <c r="Y453" t="s">
        <v>17145</v>
      </c>
      <c r="Z453" t="s">
        <v>22603</v>
      </c>
      <c r="AA453">
        <v>0.89459630229747467</v>
      </c>
      <c r="AB453" t="str">
        <f>HYPERLINK("Melting_Curves/meltCurve_E7EW77_ABI2.pdf", "Melting_Curves/meltCurve_E7EW77_ABI2.pdf")</f>
        <v>Melting_Curves/meltCurve_E7EW77_ABI2.pdf</v>
      </c>
    </row>
    <row r="454" spans="1:28" x14ac:dyDescent="0.25">
      <c r="A454" t="s">
        <v>458</v>
      </c>
      <c r="B454">
        <v>0.99796759195183404</v>
      </c>
      <c r="C454">
        <v>1.0686519161504799</v>
      </c>
      <c r="D454">
        <v>0.99783490221474302</v>
      </c>
      <c r="E454">
        <v>0.90827931970296605</v>
      </c>
      <c r="F454">
        <v>0.76203287170214395</v>
      </c>
      <c r="G454">
        <v>0.30019770976768501</v>
      </c>
      <c r="H454">
        <v>0.22563566233083901</v>
      </c>
      <c r="I454">
        <v>0.139681397386477</v>
      </c>
      <c r="J454">
        <v>0.12495159928779601</v>
      </c>
      <c r="K454">
        <v>0.116204815759956</v>
      </c>
      <c r="L454">
        <v>1466.2621719579599</v>
      </c>
      <c r="M454">
        <v>28.4084115608708</v>
      </c>
      <c r="N454">
        <v>52.166328007359603</v>
      </c>
      <c r="O454">
        <v>51.359938993897899</v>
      </c>
      <c r="P454">
        <v>-0.12031245348719601</v>
      </c>
      <c r="Q454">
        <v>0.129949218129918</v>
      </c>
      <c r="R454">
        <v>0.99181176761288403</v>
      </c>
      <c r="S454" t="s">
        <v>6037</v>
      </c>
      <c r="T454" t="s">
        <v>11164</v>
      </c>
      <c r="U454" t="s">
        <v>11164</v>
      </c>
      <c r="V454" t="s">
        <v>11164</v>
      </c>
      <c r="W454" t="s">
        <v>11613</v>
      </c>
      <c r="X454">
        <v>5</v>
      </c>
      <c r="Y454" t="s">
        <v>17146</v>
      </c>
      <c r="Z454" t="s">
        <v>22604</v>
      </c>
      <c r="AA454">
        <v>0.55983718607694966</v>
      </c>
      <c r="AB454" t="str">
        <f>HYPERLINK("Melting_Curves/meltCurve_E7EW84_EXOC6.pdf", "Melting_Curves/meltCurve_E7EW84_EXOC6.pdf")</f>
        <v>Melting_Curves/meltCurve_E7EW84_EXOC6.pdf</v>
      </c>
    </row>
    <row r="455" spans="1:28" x14ac:dyDescent="0.25">
      <c r="A455" t="s">
        <v>459</v>
      </c>
      <c r="B455">
        <v>0.99796759195183404</v>
      </c>
      <c r="C455">
        <v>1.0145456030559901</v>
      </c>
      <c r="D455">
        <v>0.96184194384234001</v>
      </c>
      <c r="E455">
        <v>0.95212882007145905</v>
      </c>
      <c r="F455">
        <v>0.96701970494132605</v>
      </c>
      <c r="G455">
        <v>0.67009669518922899</v>
      </c>
      <c r="H455">
        <v>0.62980032287811505</v>
      </c>
      <c r="I455">
        <v>0.80446087920145104</v>
      </c>
      <c r="J455">
        <v>0.67757245972815705</v>
      </c>
      <c r="K455">
        <v>0.33875210781780501</v>
      </c>
      <c r="L455">
        <v>418.27155911897501</v>
      </c>
      <c r="M455">
        <v>6.29680896235232</v>
      </c>
      <c r="N455">
        <v>66.425963213368902</v>
      </c>
      <c r="O455">
        <v>60.670408087638897</v>
      </c>
      <c r="P455">
        <v>-2.6017461705074098E-2</v>
      </c>
      <c r="Q455">
        <v>0</v>
      </c>
      <c r="R455">
        <v>0.763128205075851</v>
      </c>
      <c r="S455" t="s">
        <v>6038</v>
      </c>
      <c r="T455" t="s">
        <v>11164</v>
      </c>
      <c r="U455" t="s">
        <v>11164</v>
      </c>
      <c r="V455" t="s">
        <v>11164</v>
      </c>
      <c r="W455" t="s">
        <v>11614</v>
      </c>
      <c r="X455">
        <v>4</v>
      </c>
      <c r="Y455" t="s">
        <v>17147</v>
      </c>
      <c r="Z455" t="s">
        <v>22605</v>
      </c>
      <c r="AA455">
        <v>0.8093321209102895</v>
      </c>
      <c r="AB455" t="str">
        <f>HYPERLINK("Melting_Curves/meltCurve_E7EWP0_NDUFB5.pdf", "Melting_Curves/meltCurve_E7EWP0_NDUFB5.pdf")</f>
        <v>Melting_Curves/meltCurve_E7EWP0_NDUFB5.pdf</v>
      </c>
    </row>
    <row r="456" spans="1:28" x14ac:dyDescent="0.25">
      <c r="A456" t="s">
        <v>460</v>
      </c>
      <c r="B456">
        <v>0.99796759195183404</v>
      </c>
      <c r="C456">
        <v>0.96482805344290701</v>
      </c>
      <c r="D456">
        <v>0.96758975116541102</v>
      </c>
      <c r="E456">
        <v>0.88527889197774501</v>
      </c>
      <c r="F456">
        <v>0.59903197186645296</v>
      </c>
      <c r="G456">
        <v>0.25251662456771901</v>
      </c>
      <c r="H456">
        <v>0.170937727641952</v>
      </c>
      <c r="I456">
        <v>0.15174365713955301</v>
      </c>
      <c r="J456">
        <v>0.102831816793342</v>
      </c>
      <c r="K456">
        <v>7.7817894533565898E-2</v>
      </c>
      <c r="L456">
        <v>1168.1963695715999</v>
      </c>
      <c r="M456">
        <v>23.118103875211499</v>
      </c>
      <c r="N456">
        <v>51.0338497855399</v>
      </c>
      <c r="O456">
        <v>50.158122242235699</v>
      </c>
      <c r="P456">
        <v>-0.103505522128678</v>
      </c>
      <c r="Q456">
        <v>0.101734747386534</v>
      </c>
      <c r="R456">
        <v>0.99698252851649605</v>
      </c>
      <c r="S456" t="s">
        <v>6039</v>
      </c>
      <c r="T456" t="s">
        <v>11164</v>
      </c>
      <c r="U456" t="s">
        <v>11164</v>
      </c>
      <c r="V456" t="s">
        <v>11164</v>
      </c>
      <c r="W456" t="s">
        <v>11615</v>
      </c>
      <c r="X456">
        <v>14</v>
      </c>
      <c r="Y456" t="s">
        <v>17148</v>
      </c>
      <c r="Z456" t="s">
        <v>22606</v>
      </c>
      <c r="AA456">
        <v>0.51603334108109966</v>
      </c>
      <c r="AB456" t="str">
        <f>HYPERLINK("Melting_Curves/meltCurve_E7EX01_MPP2.pdf", "Melting_Curves/meltCurve_E7EX01_MPP2.pdf")</f>
        <v>Melting_Curves/meltCurve_E7EX01_MPP2.pdf</v>
      </c>
    </row>
    <row r="457" spans="1:28" x14ac:dyDescent="0.25">
      <c r="A457" t="s">
        <v>461</v>
      </c>
      <c r="B457">
        <v>0.99796759195183404</v>
      </c>
      <c r="C457">
        <v>1.0090141264641399</v>
      </c>
      <c r="D457">
        <v>0.98706652288869601</v>
      </c>
      <c r="E457">
        <v>1.08631137069091</v>
      </c>
      <c r="F457">
        <v>0.95794718867491802</v>
      </c>
      <c r="G457">
        <v>0.90540997610288299</v>
      </c>
      <c r="H457">
        <v>1.9262569471793201</v>
      </c>
      <c r="I457">
        <v>2.37972797001999</v>
      </c>
      <c r="J457">
        <v>0.82079857561602398</v>
      </c>
      <c r="K457">
        <v>0.61742075099246796</v>
      </c>
      <c r="L457">
        <v>11726.2293584211</v>
      </c>
      <c r="M457">
        <v>211.96059720952201</v>
      </c>
      <c r="O457">
        <v>55.317758150130999</v>
      </c>
      <c r="P457">
        <v>0.41799709006674102</v>
      </c>
      <c r="Q457">
        <v>1.43635775799082</v>
      </c>
      <c r="R457">
        <v>0.17775686625414799</v>
      </c>
      <c r="S457" t="s">
        <v>6040</v>
      </c>
      <c r="T457" t="s">
        <v>11164</v>
      </c>
      <c r="U457" t="s">
        <v>11164</v>
      </c>
      <c r="V457" t="s">
        <v>11164</v>
      </c>
      <c r="W457" t="s">
        <v>11616</v>
      </c>
      <c r="X457">
        <v>1</v>
      </c>
      <c r="Y457" t="s">
        <v>17149</v>
      </c>
      <c r="Z457" t="s">
        <v>22607</v>
      </c>
      <c r="AA457">
        <v>1.169790623743616</v>
      </c>
      <c r="AB457" t="str">
        <f>HYPERLINK("Melting_Curves/meltCurve_E7EX53_RPL15.pdf", "Melting_Curves/meltCurve_E7EX53_RPL15.pdf")</f>
        <v>Melting_Curves/meltCurve_E7EX53_RPL15.pdf</v>
      </c>
    </row>
    <row r="458" spans="1:28" x14ac:dyDescent="0.25">
      <c r="A458" t="s">
        <v>462</v>
      </c>
      <c r="B458">
        <v>0.99796759195183404</v>
      </c>
      <c r="C458">
        <v>0.85482612642686195</v>
      </c>
      <c r="D458">
        <v>0.78555712084850604</v>
      </c>
      <c r="E458">
        <v>0.67850513849186</v>
      </c>
      <c r="F458">
        <v>0.58748608558627302</v>
      </c>
      <c r="G458">
        <v>0.63782614965599704</v>
      </c>
      <c r="H458">
        <v>0.60685527971787301</v>
      </c>
      <c r="I458">
        <v>0.50376412424102701</v>
      </c>
      <c r="J458">
        <v>0.26098392618253902</v>
      </c>
      <c r="K458">
        <v>0.16139748791820699</v>
      </c>
      <c r="L458">
        <v>288.89587493720597</v>
      </c>
      <c r="M458">
        <v>5.1493924336482602</v>
      </c>
      <c r="N458">
        <v>56.102893069010698</v>
      </c>
      <c r="O458">
        <v>49.2958374240824</v>
      </c>
      <c r="P458">
        <v>-2.6259374977383999E-2</v>
      </c>
      <c r="Q458">
        <v>0</v>
      </c>
      <c r="R458">
        <v>0.86629160391051996</v>
      </c>
      <c r="S458" t="s">
        <v>6041</v>
      </c>
      <c r="T458" t="s">
        <v>11164</v>
      </c>
      <c r="U458" t="s">
        <v>11164</v>
      </c>
      <c r="V458" t="s">
        <v>11164</v>
      </c>
      <c r="W458" t="s">
        <v>11617</v>
      </c>
      <c r="X458">
        <v>4</v>
      </c>
      <c r="Y458" t="s">
        <v>17150</v>
      </c>
      <c r="Z458" t="s">
        <v>22608</v>
      </c>
      <c r="AA458">
        <v>0.60971609001536586</v>
      </c>
      <c r="AB458" t="str">
        <f>HYPERLINK("Melting_Curves/meltCurve_E7EX90_DCTN1.pdf", "Melting_Curves/meltCurve_E7EX90_DCTN1.pdf")</f>
        <v>Melting_Curves/meltCurve_E7EX90_DCTN1.pdf</v>
      </c>
    </row>
    <row r="459" spans="1:28" x14ac:dyDescent="0.25">
      <c r="A459" t="s">
        <v>463</v>
      </c>
      <c r="B459">
        <v>0.99796759195183404</v>
      </c>
      <c r="C459">
        <v>0.91160195660569099</v>
      </c>
      <c r="D459">
        <v>0.95544832967854598</v>
      </c>
      <c r="E459">
        <v>0.85891590294240805</v>
      </c>
      <c r="F459">
        <v>0.42359697648586903</v>
      </c>
      <c r="G459">
        <v>0.194494648331166</v>
      </c>
      <c r="H459">
        <v>0.13492994122688901</v>
      </c>
      <c r="I459">
        <v>0.10901984799617399</v>
      </c>
      <c r="J459">
        <v>9.1313727476473899E-2</v>
      </c>
      <c r="K459">
        <v>7.2210447878606698E-2</v>
      </c>
      <c r="L459">
        <v>1298.6882050302099</v>
      </c>
      <c r="M459">
        <v>26.353408545854101</v>
      </c>
      <c r="N459">
        <v>49.676466187674002</v>
      </c>
      <c r="O459">
        <v>48.998572754796697</v>
      </c>
      <c r="P459">
        <v>-0.121701363093022</v>
      </c>
      <c r="Q459">
        <v>9.4898406007684497E-2</v>
      </c>
      <c r="R459">
        <v>0.99323435395579596</v>
      </c>
      <c r="S459" t="s">
        <v>6042</v>
      </c>
      <c r="T459" t="s">
        <v>11164</v>
      </c>
      <c r="U459" t="s">
        <v>11164</v>
      </c>
      <c r="V459" t="s">
        <v>11164</v>
      </c>
      <c r="W459" t="s">
        <v>11618</v>
      </c>
      <c r="X459">
        <v>13</v>
      </c>
      <c r="Y459" t="s">
        <v>17151</v>
      </c>
      <c r="Z459" t="s">
        <v>22609</v>
      </c>
      <c r="AA459">
        <v>0.47246236823373933</v>
      </c>
      <c r="AB459" t="str">
        <f>HYPERLINK("Melting_Curves/meltCurve_E9PAU2_RAVER1.pdf", "Melting_Curves/meltCurve_E9PAU2_RAVER1.pdf")</f>
        <v>Melting_Curves/meltCurve_E9PAU2_RAVER1.pdf</v>
      </c>
    </row>
    <row r="460" spans="1:28" x14ac:dyDescent="0.25">
      <c r="A460" t="s">
        <v>464</v>
      </c>
      <c r="B460">
        <v>0.99796759195183404</v>
      </c>
      <c r="C460">
        <v>0.95262923139778599</v>
      </c>
      <c r="D460">
        <v>0.87390613822667895</v>
      </c>
      <c r="E460">
        <v>0.56537247137252</v>
      </c>
      <c r="F460">
        <v>0.49801989036190702</v>
      </c>
      <c r="G460">
        <v>0.41397160028560298</v>
      </c>
      <c r="H460">
        <v>0.21172834618098901</v>
      </c>
      <c r="I460">
        <v>0.24519470727731499</v>
      </c>
      <c r="J460">
        <v>0.180744194311379</v>
      </c>
      <c r="K460">
        <v>5.6447110129083197E-2</v>
      </c>
      <c r="L460">
        <v>481.82085942940398</v>
      </c>
      <c r="M460">
        <v>9.7380544643492293</v>
      </c>
      <c r="N460">
        <v>50.114117504318997</v>
      </c>
      <c r="O460">
        <v>47.526908203601202</v>
      </c>
      <c r="P460">
        <v>-4.8272582123527898E-2</v>
      </c>
      <c r="Q460">
        <v>5.8123279563970703E-2</v>
      </c>
      <c r="R460">
        <v>0.97183798587826997</v>
      </c>
      <c r="S460" t="s">
        <v>6043</v>
      </c>
      <c r="T460" t="s">
        <v>11164</v>
      </c>
      <c r="U460" t="s">
        <v>11164</v>
      </c>
      <c r="V460" t="s">
        <v>11164</v>
      </c>
      <c r="W460" t="s">
        <v>11619</v>
      </c>
      <c r="X460">
        <v>2</v>
      </c>
      <c r="Y460" t="s">
        <v>17152</v>
      </c>
      <c r="Z460" t="s">
        <v>22610</v>
      </c>
      <c r="AA460">
        <v>0.48436847643940673</v>
      </c>
      <c r="AB460" t="str">
        <f>HYPERLINK("Melting_Curves/meltCurve_E9PAV9_GPATCH4.pdf", "Melting_Curves/meltCurve_E9PAV9_GPATCH4.pdf")</f>
        <v>Melting_Curves/meltCurve_E9PAV9_GPATCH4.pdf</v>
      </c>
    </row>
    <row r="461" spans="1:28" x14ac:dyDescent="0.25">
      <c r="A461" t="s">
        <v>465</v>
      </c>
      <c r="B461">
        <v>0.99796759195183404</v>
      </c>
      <c r="C461">
        <v>0.975780059512661</v>
      </c>
      <c r="D461">
        <v>0.94157995145209095</v>
      </c>
      <c r="E461">
        <v>0.98377043732925196</v>
      </c>
      <c r="F461">
        <v>0.91792789508200001</v>
      </c>
      <c r="G461">
        <v>0.77855974324255295</v>
      </c>
      <c r="H461">
        <v>0.49553242488356197</v>
      </c>
      <c r="I461">
        <v>0.35992846818609803</v>
      </c>
      <c r="J461">
        <v>0.24380595535938601</v>
      </c>
      <c r="K461">
        <v>0.13256060949596599</v>
      </c>
      <c r="L461">
        <v>877.400603092864</v>
      </c>
      <c r="M461">
        <v>15.2449228920291</v>
      </c>
      <c r="N461">
        <v>58.0122009976212</v>
      </c>
      <c r="O461">
        <v>56.590571905354899</v>
      </c>
      <c r="P461">
        <v>-6.3530513902916794E-2</v>
      </c>
      <c r="Q461">
        <v>5.6764736737162397E-2</v>
      </c>
      <c r="R461">
        <v>0.99298236238640603</v>
      </c>
      <c r="S461" t="s">
        <v>6044</v>
      </c>
      <c r="T461" t="s">
        <v>11164</v>
      </c>
      <c r="U461" t="s">
        <v>11164</v>
      </c>
      <c r="V461" t="s">
        <v>11164</v>
      </c>
      <c r="W461" t="s">
        <v>11620</v>
      </c>
      <c r="X461">
        <v>3</v>
      </c>
      <c r="Y461" t="s">
        <v>17153</v>
      </c>
      <c r="Z461" t="s">
        <v>22611</v>
      </c>
      <c r="AA461">
        <v>0.70890539703339783</v>
      </c>
      <c r="AB461" t="str">
        <f>HYPERLINK("Melting_Curves/meltCurve_E9PB35_NUSAP1.pdf", "Melting_Curves/meltCurve_E9PB35_NUSAP1.pdf")</f>
        <v>Melting_Curves/meltCurve_E9PB35_NUSAP1.pdf</v>
      </c>
    </row>
    <row r="462" spans="1:28" x14ac:dyDescent="0.25">
      <c r="A462" t="s">
        <v>466</v>
      </c>
      <c r="B462">
        <v>0.99796759195183404</v>
      </c>
      <c r="C462">
        <v>0.95888827242894603</v>
      </c>
      <c r="D462">
        <v>0.97438372692682196</v>
      </c>
      <c r="E462">
        <v>0.99749697015891603</v>
      </c>
      <c r="F462">
        <v>0.91375821703212901</v>
      </c>
      <c r="G462">
        <v>1.1659753676600899</v>
      </c>
      <c r="H462">
        <v>0.49243467185158202</v>
      </c>
      <c r="I462">
        <v>0.33537851663605101</v>
      </c>
      <c r="J462">
        <v>0.211446641981239</v>
      </c>
      <c r="K462">
        <v>0.18047552422701699</v>
      </c>
      <c r="L462">
        <v>14309.351691464901</v>
      </c>
      <c r="M462">
        <v>250</v>
      </c>
      <c r="N462">
        <v>57.389665826389802</v>
      </c>
      <c r="O462">
        <v>57.233743970091297</v>
      </c>
      <c r="P462">
        <v>-0.82727259761827399</v>
      </c>
      <c r="Q462">
        <v>0.24243347240549301</v>
      </c>
      <c r="R462">
        <v>0.95975715419421903</v>
      </c>
      <c r="S462" t="s">
        <v>6045</v>
      </c>
      <c r="T462" t="s">
        <v>11164</v>
      </c>
      <c r="U462" t="s">
        <v>11164</v>
      </c>
      <c r="V462" t="s">
        <v>11164</v>
      </c>
      <c r="W462" t="s">
        <v>11621</v>
      </c>
      <c r="X462">
        <v>4</v>
      </c>
      <c r="Y462" t="s">
        <v>17154</v>
      </c>
      <c r="Z462" t="s">
        <v>22612</v>
      </c>
      <c r="AA462">
        <v>0.75354896957513684</v>
      </c>
      <c r="AB462" t="str">
        <f>HYPERLINK("Melting_Curves/meltCurve_E9PB61_ALYREF.pdf", "Melting_Curves/meltCurve_E9PB61_ALYREF.pdf")</f>
        <v>Melting_Curves/meltCurve_E9PB61_ALYREF.pdf</v>
      </c>
    </row>
    <row r="463" spans="1:28" x14ac:dyDescent="0.25">
      <c r="A463" t="s">
        <v>467</v>
      </c>
      <c r="B463">
        <v>0.99796759195183404</v>
      </c>
      <c r="C463">
        <v>1.00462590694127</v>
      </c>
      <c r="D463">
        <v>0.99491313934293502</v>
      </c>
      <c r="E463">
        <v>0.859357824440386</v>
      </c>
      <c r="F463">
        <v>0.462821208911812</v>
      </c>
      <c r="G463">
        <v>0.25892581858681402</v>
      </c>
      <c r="H463">
        <v>0.195887366001265</v>
      </c>
      <c r="I463">
        <v>0.14849432335367299</v>
      </c>
      <c r="J463">
        <v>0.115019600095788</v>
      </c>
      <c r="K463">
        <v>8.5549433609217906E-2</v>
      </c>
      <c r="L463">
        <v>1181.2943075081901</v>
      </c>
      <c r="M463">
        <v>23.8577966552145</v>
      </c>
      <c r="N463">
        <v>50.119833715874101</v>
      </c>
      <c r="O463">
        <v>49.1700312311632</v>
      </c>
      <c r="P463">
        <v>-0.106108834428723</v>
      </c>
      <c r="Q463">
        <v>0.12526863034885699</v>
      </c>
      <c r="R463">
        <v>0.99617255202309296</v>
      </c>
      <c r="S463" t="s">
        <v>6046</v>
      </c>
      <c r="T463" t="s">
        <v>11164</v>
      </c>
      <c r="U463" t="s">
        <v>11164</v>
      </c>
      <c r="V463" t="s">
        <v>11164</v>
      </c>
      <c r="W463" t="s">
        <v>11622</v>
      </c>
      <c r="X463">
        <v>23</v>
      </c>
      <c r="Y463" t="s">
        <v>17155</v>
      </c>
      <c r="Z463" t="s">
        <v>22613</v>
      </c>
      <c r="AA463">
        <v>0.49846772219471491</v>
      </c>
      <c r="AB463" t="str">
        <f>HYPERLINK("Melting_Curves/meltCurve_E9PB90_HK2.pdf", "Melting_Curves/meltCurve_E9PB90_HK2.pdf")</f>
        <v>Melting_Curves/meltCurve_E9PB90_HK2.pdf</v>
      </c>
    </row>
    <row r="464" spans="1:28" x14ac:dyDescent="0.25">
      <c r="A464" t="s">
        <v>468</v>
      </c>
      <c r="B464">
        <v>0.99796759195183404</v>
      </c>
      <c r="C464">
        <v>1.0396590711576299</v>
      </c>
      <c r="D464">
        <v>1.09199764368958</v>
      </c>
      <c r="E464">
        <v>1.0103771105574899</v>
      </c>
      <c r="F464">
        <v>0.94460717991810705</v>
      </c>
      <c r="G464">
        <v>0.74158507093839598</v>
      </c>
      <c r="H464">
        <v>0.57977814017877505</v>
      </c>
      <c r="I464">
        <v>0.30717850465295499</v>
      </c>
      <c r="J464">
        <v>0.212916653808434</v>
      </c>
      <c r="K464">
        <v>0.15572561632519699</v>
      </c>
      <c r="L464">
        <v>1001.19538738351</v>
      </c>
      <c r="M464">
        <v>17.435491943474499</v>
      </c>
      <c r="N464">
        <v>58.028551897626699</v>
      </c>
      <c r="O464">
        <v>56.683425814967798</v>
      </c>
      <c r="P464">
        <v>-7.0504798248111594E-2</v>
      </c>
      <c r="Q464">
        <v>8.3196525772299801E-2</v>
      </c>
      <c r="R464">
        <v>0.98777340951761405</v>
      </c>
      <c r="S464" t="s">
        <v>6047</v>
      </c>
      <c r="T464" t="s">
        <v>11164</v>
      </c>
      <c r="U464" t="s">
        <v>11164</v>
      </c>
      <c r="V464" t="s">
        <v>11164</v>
      </c>
      <c r="W464" t="s">
        <v>11623</v>
      </c>
      <c r="X464">
        <v>13</v>
      </c>
      <c r="Y464" t="s">
        <v>17156</v>
      </c>
      <c r="Z464" t="s">
        <v>22614</v>
      </c>
      <c r="AA464">
        <v>0.71448132288643129</v>
      </c>
      <c r="AB464" t="str">
        <f>HYPERLINK("Melting_Curves/meltCurve_E9PC15_AGK.pdf", "Melting_Curves/meltCurve_E9PC15_AGK.pdf")</f>
        <v>Melting_Curves/meltCurve_E9PC15_AGK.pdf</v>
      </c>
    </row>
    <row r="465" spans="1:28" x14ac:dyDescent="0.25">
      <c r="A465" t="s">
        <v>469</v>
      </c>
      <c r="B465">
        <v>0.99796759195183404</v>
      </c>
      <c r="C465">
        <v>0.88336231844253899</v>
      </c>
      <c r="D465">
        <v>0.83144505580544004</v>
      </c>
      <c r="E465">
        <v>0.80037102279466998</v>
      </c>
      <c r="F465">
        <v>0.50932268741332898</v>
      </c>
      <c r="G465">
        <v>0.15351717505372101</v>
      </c>
      <c r="H465">
        <v>0.111041655199433</v>
      </c>
      <c r="I465">
        <v>0.100936285920385</v>
      </c>
      <c r="J465">
        <v>8.9862783445033997E-2</v>
      </c>
      <c r="K465">
        <v>7.5335994124352004E-2</v>
      </c>
      <c r="L465">
        <v>857.90914812780204</v>
      </c>
      <c r="M465">
        <v>17.3685112049019</v>
      </c>
      <c r="N465">
        <v>49.7042130665738</v>
      </c>
      <c r="O465">
        <v>48.7536613555434</v>
      </c>
      <c r="P465">
        <v>-8.4499779920573198E-2</v>
      </c>
      <c r="Q465">
        <v>5.1285309276189697E-2</v>
      </c>
      <c r="R465">
        <v>0.97533029356906698</v>
      </c>
      <c r="S465" t="s">
        <v>6048</v>
      </c>
      <c r="T465" t="s">
        <v>11164</v>
      </c>
      <c r="U465" t="s">
        <v>11164</v>
      </c>
      <c r="V465" t="s">
        <v>11164</v>
      </c>
      <c r="W465" t="s">
        <v>11624</v>
      </c>
      <c r="X465">
        <v>3</v>
      </c>
      <c r="Y465" t="s">
        <v>17157</v>
      </c>
      <c r="Z465" t="s">
        <v>22615</v>
      </c>
      <c r="AA465">
        <v>0.45922152268305633</v>
      </c>
      <c r="AB465" t="str">
        <f>HYPERLINK("Melting_Curves/meltCurve_E9PC26_BUB1.pdf", "Melting_Curves/meltCurve_E9PC26_BUB1.pdf")</f>
        <v>Melting_Curves/meltCurve_E9PC26_BUB1.pdf</v>
      </c>
    </row>
    <row r="466" spans="1:28" x14ac:dyDescent="0.25">
      <c r="A466" t="s">
        <v>470</v>
      </c>
      <c r="B466">
        <v>0.99796759195183404</v>
      </c>
      <c r="C466">
        <v>1.14935894441818</v>
      </c>
      <c r="D466">
        <v>1.14984149986406</v>
      </c>
      <c r="E466">
        <v>1.1720104415422701</v>
      </c>
      <c r="F466">
        <v>0.77447782637544105</v>
      </c>
      <c r="G466">
        <v>0.65407205531008805</v>
      </c>
      <c r="H466">
        <v>0.46421494719837703</v>
      </c>
      <c r="I466">
        <v>0.32999054852939003</v>
      </c>
      <c r="J466">
        <v>0.33095623197699198</v>
      </c>
      <c r="K466">
        <v>0.215219930100987</v>
      </c>
      <c r="L466">
        <v>1079.13041682629</v>
      </c>
      <c r="M466">
        <v>19.917371955671101</v>
      </c>
      <c r="N466">
        <v>56.193192058414901</v>
      </c>
      <c r="O466">
        <v>53.643061364121202</v>
      </c>
      <c r="P466">
        <v>-6.9153908930952093E-2</v>
      </c>
      <c r="Q466">
        <v>0.25502128303232902</v>
      </c>
      <c r="R466">
        <v>0.92076051246679302</v>
      </c>
      <c r="S466" t="s">
        <v>6049</v>
      </c>
      <c r="T466" t="s">
        <v>11164</v>
      </c>
      <c r="U466" t="s">
        <v>11164</v>
      </c>
      <c r="V466" t="s">
        <v>11164</v>
      </c>
      <c r="W466" t="s">
        <v>11625</v>
      </c>
      <c r="X466">
        <v>7</v>
      </c>
      <c r="Y466" t="s">
        <v>17158</v>
      </c>
      <c r="Z466" t="s">
        <v>22616</v>
      </c>
      <c r="AA466">
        <v>0.69062458293725937</v>
      </c>
      <c r="AB466" t="str">
        <f>HYPERLINK("Melting_Curves/meltCurve_E9PC47_LIMK1.pdf", "Melting_Curves/meltCurve_E9PC47_LIMK1.pdf")</f>
        <v>Melting_Curves/meltCurve_E9PC47_LIMK1.pdf</v>
      </c>
    </row>
    <row r="467" spans="1:28" x14ac:dyDescent="0.25">
      <c r="A467" t="s">
        <v>471</v>
      </c>
      <c r="B467">
        <v>0.99796759195183404</v>
      </c>
      <c r="C467">
        <v>0.94971788407375202</v>
      </c>
      <c r="D467">
        <v>0.94911774429501605</v>
      </c>
      <c r="E467">
        <v>0.77338675026241599</v>
      </c>
      <c r="F467">
        <v>0.65314855445942599</v>
      </c>
      <c r="G467">
        <v>0.77689415519234595</v>
      </c>
      <c r="H467">
        <v>0.43103417436753799</v>
      </c>
      <c r="I467">
        <v>0.33531030725319499</v>
      </c>
      <c r="J467">
        <v>0.30534786634655903</v>
      </c>
      <c r="K467">
        <v>0.28459580184764199</v>
      </c>
      <c r="L467">
        <v>407.53321602942702</v>
      </c>
      <c r="M467">
        <v>7.1492515238159298</v>
      </c>
      <c r="N467">
        <v>57.003619843060797</v>
      </c>
      <c r="O467">
        <v>53.0490103638652</v>
      </c>
      <c r="P467">
        <v>-3.37495362636267E-2</v>
      </c>
      <c r="Q467">
        <v>0</v>
      </c>
      <c r="R467">
        <v>0.936414694039858</v>
      </c>
      <c r="S467" t="s">
        <v>6050</v>
      </c>
      <c r="T467" t="s">
        <v>11164</v>
      </c>
      <c r="U467" t="s">
        <v>11164</v>
      </c>
      <c r="V467" t="s">
        <v>11164</v>
      </c>
      <c r="W467" t="s">
        <v>11626</v>
      </c>
      <c r="X467">
        <v>2</v>
      </c>
      <c r="Y467" t="s">
        <v>17159</v>
      </c>
      <c r="Z467" t="s">
        <v>22617</v>
      </c>
      <c r="AA467">
        <v>0.64942544335606256</v>
      </c>
      <c r="AB467" t="str">
        <f>HYPERLINK("Melting_Curves/meltCurve_E9PC74_EIF2B5.pdf", "Melting_Curves/meltCurve_E9PC74_EIF2B5.pdf")</f>
        <v>Melting_Curves/meltCurve_E9PC74_EIF2B5.pdf</v>
      </c>
    </row>
    <row r="468" spans="1:28" x14ac:dyDescent="0.25">
      <c r="A468" t="s">
        <v>472</v>
      </c>
      <c r="B468">
        <v>0.99796759195183404</v>
      </c>
      <c r="C468">
        <v>0.93756250043150102</v>
      </c>
      <c r="D468">
        <v>0.81172804349263195</v>
      </c>
      <c r="E468">
        <v>0.79714797375207402</v>
      </c>
      <c r="F468">
        <v>0.67520376489150502</v>
      </c>
      <c r="G468">
        <v>0.42796510661849502</v>
      </c>
      <c r="H468">
        <v>0.33969392912972302</v>
      </c>
      <c r="I468">
        <v>0.28328793199504299</v>
      </c>
      <c r="J468">
        <v>0.232479765286528</v>
      </c>
      <c r="K468">
        <v>0.16403203796131499</v>
      </c>
      <c r="L468">
        <v>450.00605721374399</v>
      </c>
      <c r="M468">
        <v>8.5421147814211302</v>
      </c>
      <c r="N468">
        <v>53.216075136510298</v>
      </c>
      <c r="O468">
        <v>50.031851290331801</v>
      </c>
      <c r="P468">
        <v>-4.0962675144245203E-2</v>
      </c>
      <c r="Q468">
        <v>4.1161349530208197E-2</v>
      </c>
      <c r="R468">
        <v>0.98553438551291905</v>
      </c>
      <c r="S468" t="s">
        <v>6051</v>
      </c>
      <c r="T468" t="s">
        <v>11164</v>
      </c>
      <c r="U468" t="s">
        <v>11164</v>
      </c>
      <c r="V468" t="s">
        <v>11164</v>
      </c>
      <c r="W468" t="s">
        <v>11627</v>
      </c>
      <c r="X468">
        <v>4</v>
      </c>
      <c r="Y468" t="s">
        <v>17160</v>
      </c>
      <c r="Z468" t="s">
        <v>22618</v>
      </c>
      <c r="AA468">
        <v>0.56555800531013134</v>
      </c>
      <c r="AB468" t="str">
        <f>HYPERLINK("Melting_Curves/meltCurve_E9PC84_TNC.pdf", "Melting_Curves/meltCurve_E9PC84_TNC.pdf")</f>
        <v>Melting_Curves/meltCurve_E9PC84_TNC.pdf</v>
      </c>
    </row>
    <row r="469" spans="1:28" x14ac:dyDescent="0.25">
      <c r="A469" t="s">
        <v>473</v>
      </c>
      <c r="B469">
        <v>0.99796759195183404</v>
      </c>
      <c r="C469">
        <v>0.964275343436508</v>
      </c>
      <c r="D469">
        <v>0.84358248116895196</v>
      </c>
      <c r="E469">
        <v>0.76698859392215601</v>
      </c>
      <c r="F469">
        <v>0.44331584090612902</v>
      </c>
      <c r="G469">
        <v>0.26974278898071502</v>
      </c>
      <c r="H469">
        <v>0.25879301807357002</v>
      </c>
      <c r="I469">
        <v>0.13649745847681799</v>
      </c>
      <c r="J469">
        <v>0.16694169543568699</v>
      </c>
      <c r="K469">
        <v>8.5261475869089207E-2</v>
      </c>
      <c r="L469">
        <v>690.15053622306004</v>
      </c>
      <c r="M469">
        <v>14.0858776622434</v>
      </c>
      <c r="N469">
        <v>49.801358809880298</v>
      </c>
      <c r="O469">
        <v>48.040113670528797</v>
      </c>
      <c r="P469">
        <v>-6.5844409210764496E-2</v>
      </c>
      <c r="Q469">
        <v>0.101862351080706</v>
      </c>
      <c r="R469">
        <v>0.98841400825708403</v>
      </c>
      <c r="S469" t="s">
        <v>6052</v>
      </c>
      <c r="T469" t="s">
        <v>11164</v>
      </c>
      <c r="U469" t="s">
        <v>11164</v>
      </c>
      <c r="V469" t="s">
        <v>11164</v>
      </c>
      <c r="W469" t="s">
        <v>11628</v>
      </c>
      <c r="X469">
        <v>5</v>
      </c>
      <c r="Y469" t="s">
        <v>17161</v>
      </c>
      <c r="Z469" t="s">
        <v>22619</v>
      </c>
      <c r="AA469">
        <v>0.4822782096958052</v>
      </c>
      <c r="AB469" t="str">
        <f>HYPERLINK("Melting_Curves/meltCurve_E9PCH4_FNIP1.pdf", "Melting_Curves/meltCurve_E9PCH4_FNIP1.pdf")</f>
        <v>Melting_Curves/meltCurve_E9PCH4_FNIP1.pdf</v>
      </c>
    </row>
    <row r="470" spans="1:28" x14ac:dyDescent="0.25">
      <c r="A470" t="s">
        <v>474</v>
      </c>
      <c r="B470">
        <v>0.99796759195183404</v>
      </c>
      <c r="C470">
        <v>0.88195174505244101</v>
      </c>
      <c r="D470">
        <v>0.953230328290393</v>
      </c>
      <c r="E470">
        <v>0.73249877460317803</v>
      </c>
      <c r="F470">
        <v>0.71646684567391505</v>
      </c>
      <c r="G470">
        <v>0.971430185445747</v>
      </c>
      <c r="H470">
        <v>0.768270700230957</v>
      </c>
      <c r="I470">
        <v>0.60176384385855597</v>
      </c>
      <c r="J470">
        <v>0.794786659116686</v>
      </c>
      <c r="K470">
        <v>0.341482814390836</v>
      </c>
      <c r="L470">
        <v>262.25725872980502</v>
      </c>
      <c r="M470">
        <v>3.6811107563199998</v>
      </c>
      <c r="O470">
        <v>56.885328487313203</v>
      </c>
      <c r="P470">
        <v>-1.64482351491269E-2</v>
      </c>
      <c r="Q470">
        <v>0</v>
      </c>
      <c r="R470">
        <v>0.520683206780716</v>
      </c>
      <c r="S470" t="s">
        <v>6053</v>
      </c>
      <c r="T470" t="s">
        <v>11164</v>
      </c>
      <c r="U470" t="s">
        <v>11164</v>
      </c>
      <c r="V470" t="s">
        <v>11164</v>
      </c>
      <c r="W470" t="s">
        <v>11629</v>
      </c>
      <c r="X470">
        <v>2</v>
      </c>
      <c r="Y470" t="s">
        <v>17162</v>
      </c>
      <c r="Z470" t="s">
        <v>22620</v>
      </c>
      <c r="AA470">
        <v>0.78495636163861415</v>
      </c>
      <c r="AB470" t="str">
        <f>HYPERLINK("Melting_Curves/meltCurve_E9PCN2_GUCY1B3.pdf", "Melting_Curves/meltCurve_E9PCN2_GUCY1B3.pdf")</f>
        <v>Melting_Curves/meltCurve_E9PCN2_GUCY1B3.pdf</v>
      </c>
    </row>
    <row r="471" spans="1:28" x14ac:dyDescent="0.25">
      <c r="A471" t="s">
        <v>475</v>
      </c>
      <c r="B471">
        <v>0.99796759195183404</v>
      </c>
      <c r="C471">
        <v>1.05797337537588</v>
      </c>
      <c r="D471">
        <v>0.99056842238091203</v>
      </c>
      <c r="E471">
        <v>0.94000303652824502</v>
      </c>
      <c r="F471">
        <v>0.99499147982494796</v>
      </c>
      <c r="G471">
        <v>0.59827964492816699</v>
      </c>
      <c r="H471">
        <v>0.56912643161701904</v>
      </c>
      <c r="I471">
        <v>0.52137829703639205</v>
      </c>
      <c r="J471">
        <v>0.54633763473513997</v>
      </c>
      <c r="K471">
        <v>0.17180223711529299</v>
      </c>
      <c r="L471">
        <v>536.75875127256097</v>
      </c>
      <c r="M471">
        <v>8.8687256921687503</v>
      </c>
      <c r="N471">
        <v>60.522633342511497</v>
      </c>
      <c r="O471">
        <v>57.682547242845203</v>
      </c>
      <c r="P471">
        <v>-3.8467157584996102E-2</v>
      </c>
      <c r="Q471">
        <v>0</v>
      </c>
      <c r="R471">
        <v>0.88095926378017597</v>
      </c>
      <c r="S471" t="s">
        <v>6054</v>
      </c>
      <c r="T471" t="s">
        <v>11164</v>
      </c>
      <c r="U471" t="s">
        <v>11164</v>
      </c>
      <c r="V471" t="s">
        <v>11164</v>
      </c>
      <c r="W471" t="s">
        <v>11630</v>
      </c>
      <c r="X471">
        <v>9</v>
      </c>
      <c r="Y471" t="s">
        <v>17163</v>
      </c>
      <c r="Z471" t="s">
        <v>22621</v>
      </c>
      <c r="AA471">
        <v>0.74278149062383991</v>
      </c>
      <c r="AB471" t="str">
        <f>HYPERLINK("Melting_Curves/meltCurve_E9PCW1_GOSR1.pdf", "Melting_Curves/meltCurve_E9PCW1_GOSR1.pdf")</f>
        <v>Melting_Curves/meltCurve_E9PCW1_GOSR1.pdf</v>
      </c>
    </row>
    <row r="472" spans="1:28" x14ac:dyDescent="0.25">
      <c r="A472" t="s">
        <v>476</v>
      </c>
      <c r="B472">
        <v>0.99796759195183404</v>
      </c>
      <c r="C472">
        <v>1.04267763826647</v>
      </c>
      <c r="D472">
        <v>1.00764757435053</v>
      </c>
      <c r="E472">
        <v>0.78403731965259305</v>
      </c>
      <c r="F472">
        <v>0.40965086816585899</v>
      </c>
      <c r="G472">
        <v>0.18757266624395899</v>
      </c>
      <c r="H472">
        <v>0.163060974618607</v>
      </c>
      <c r="I472">
        <v>0.11329006400436099</v>
      </c>
      <c r="J472">
        <v>0.100631381314211</v>
      </c>
      <c r="K472">
        <v>9.1556187333047198E-2</v>
      </c>
      <c r="L472">
        <v>1226.9288474543901</v>
      </c>
      <c r="M472">
        <v>25.118891050917899</v>
      </c>
      <c r="N472">
        <v>49.327496454640297</v>
      </c>
      <c r="O472">
        <v>48.538443122100297</v>
      </c>
      <c r="P472">
        <v>-0.11528244123704</v>
      </c>
      <c r="Q472">
        <v>0.108948507777958</v>
      </c>
      <c r="R472">
        <v>0.99675555554564499</v>
      </c>
      <c r="S472" t="s">
        <v>6055</v>
      </c>
      <c r="T472" t="s">
        <v>11164</v>
      </c>
      <c r="U472" t="s">
        <v>11164</v>
      </c>
      <c r="V472" t="s">
        <v>11164</v>
      </c>
      <c r="W472" t="s">
        <v>11631</v>
      </c>
      <c r="X472">
        <v>3</v>
      </c>
      <c r="Y472" t="s">
        <v>17164</v>
      </c>
      <c r="Z472" t="s">
        <v>22622</v>
      </c>
      <c r="AA472">
        <v>0.46837446245580788</v>
      </c>
      <c r="AB472" t="str">
        <f>HYPERLINK("Melting_Curves/meltCurve_E9PCX3_ELF2.pdf", "Melting_Curves/meltCurve_E9PCX3_ELF2.pdf")</f>
        <v>Melting_Curves/meltCurve_E9PCX3_ELF2.pdf</v>
      </c>
    </row>
    <row r="473" spans="1:28" x14ac:dyDescent="0.25">
      <c r="A473" t="s">
        <v>477</v>
      </c>
      <c r="B473">
        <v>0.99796759195183404</v>
      </c>
      <c r="C473">
        <v>0.98097511331101706</v>
      </c>
      <c r="D473">
        <v>1.00134054187101</v>
      </c>
      <c r="E473">
        <v>0.907451923261408</v>
      </c>
      <c r="F473">
        <v>0.67997808375467494</v>
      </c>
      <c r="G473">
        <v>0.272424633748519</v>
      </c>
      <c r="H473">
        <v>0.194570540333071</v>
      </c>
      <c r="I473">
        <v>0.133295669900273</v>
      </c>
      <c r="J473">
        <v>0.11206682344605599</v>
      </c>
      <c r="K473">
        <v>9.3150094251172294E-2</v>
      </c>
      <c r="L473">
        <v>1312.22529427066</v>
      </c>
      <c r="M473">
        <v>25.669383000071001</v>
      </c>
      <c r="N473">
        <v>51.622099074021499</v>
      </c>
      <c r="O473">
        <v>50.813026040315499</v>
      </c>
      <c r="P473">
        <v>-0.11234896787505499</v>
      </c>
      <c r="Q473">
        <v>0.110423206607398</v>
      </c>
      <c r="R473">
        <v>0.99729169287230901</v>
      </c>
      <c r="S473" t="s">
        <v>6056</v>
      </c>
      <c r="T473" t="s">
        <v>11164</v>
      </c>
      <c r="U473" t="s">
        <v>11164</v>
      </c>
      <c r="V473" t="s">
        <v>11164</v>
      </c>
      <c r="W473" t="s">
        <v>11632</v>
      </c>
      <c r="X473">
        <v>12</v>
      </c>
      <c r="Y473" t="s">
        <v>17165</v>
      </c>
      <c r="Z473" t="s">
        <v>22623</v>
      </c>
      <c r="AA473">
        <v>0.53660261337322812</v>
      </c>
      <c r="AB473" t="str">
        <f>HYPERLINK("Melting_Curves/meltCurve_E9PCY7_HNRNPH1.pdf", "Melting_Curves/meltCurve_E9PCY7_HNRNPH1.pdf")</f>
        <v>Melting_Curves/meltCurve_E9PCY7_HNRNPH1.pdf</v>
      </c>
    </row>
    <row r="474" spans="1:28" x14ac:dyDescent="0.25">
      <c r="A474" t="s">
        <v>478</v>
      </c>
      <c r="B474">
        <v>0.99796759195183404</v>
      </c>
      <c r="C474">
        <v>1.0088531009469901</v>
      </c>
      <c r="D474">
        <v>0.97929549061461096</v>
      </c>
      <c r="E474">
        <v>0.84106620996457804</v>
      </c>
      <c r="F474">
        <v>0.65318193471888897</v>
      </c>
      <c r="G474">
        <v>0.37737660091986602</v>
      </c>
      <c r="H474">
        <v>0.27087642676666401</v>
      </c>
      <c r="I474">
        <v>0.234545982333249</v>
      </c>
      <c r="J474">
        <v>0.21082903545468701</v>
      </c>
      <c r="K474">
        <v>0.14698249353491499</v>
      </c>
      <c r="L474">
        <v>886.63279785324505</v>
      </c>
      <c r="M474">
        <v>17.431457560046201</v>
      </c>
      <c r="N474">
        <v>52.0917104384609</v>
      </c>
      <c r="O474">
        <v>50.208700179744497</v>
      </c>
      <c r="P474">
        <v>-7.2178033373381204E-2</v>
      </c>
      <c r="Q474">
        <v>0.16845455349004501</v>
      </c>
      <c r="R474">
        <v>0.99677121715942396</v>
      </c>
      <c r="S474" t="s">
        <v>6057</v>
      </c>
      <c r="T474" t="s">
        <v>11164</v>
      </c>
      <c r="U474" t="s">
        <v>11164</v>
      </c>
      <c r="V474" t="s">
        <v>11164</v>
      </c>
      <c r="W474" t="s">
        <v>11633</v>
      </c>
      <c r="X474">
        <v>1</v>
      </c>
      <c r="Y474" t="s">
        <v>17166</v>
      </c>
      <c r="Z474" t="s">
        <v>22624</v>
      </c>
      <c r="AA474">
        <v>0.56632485109674735</v>
      </c>
      <c r="AB474" t="str">
        <f>HYPERLINK("Melting_Curves/meltCurve_E9PD50_SMG7.pdf", "Melting_Curves/meltCurve_E9PD50_SMG7.pdf")</f>
        <v>Melting_Curves/meltCurve_E9PD50_SMG7.pdf</v>
      </c>
    </row>
    <row r="475" spans="1:28" x14ac:dyDescent="0.25">
      <c r="A475" t="s">
        <v>479</v>
      </c>
      <c r="B475">
        <v>0.99796759195183404</v>
      </c>
      <c r="C475">
        <v>1.0095301418965199</v>
      </c>
      <c r="D475">
        <v>0.99422846635026896</v>
      </c>
      <c r="E475">
        <v>0.92537528611926301</v>
      </c>
      <c r="F475">
        <v>0.88290732856833298</v>
      </c>
      <c r="G475">
        <v>0.408677171043969</v>
      </c>
      <c r="H475">
        <v>0.36412682809305802</v>
      </c>
      <c r="I475">
        <v>0.28361569714503698</v>
      </c>
      <c r="J475">
        <v>0.173961114543291</v>
      </c>
      <c r="K475">
        <v>0.15734591360424999</v>
      </c>
      <c r="L475">
        <v>1421.7880367414</v>
      </c>
      <c r="M475">
        <v>27.072899355061299</v>
      </c>
      <c r="N475">
        <v>53.589781841203802</v>
      </c>
      <c r="O475">
        <v>52.233006000330299</v>
      </c>
      <c r="P475">
        <v>-0.10247197388565001</v>
      </c>
      <c r="Q475">
        <v>0.20919214996597299</v>
      </c>
      <c r="R475">
        <v>0.97885464815852397</v>
      </c>
      <c r="S475" t="s">
        <v>6058</v>
      </c>
      <c r="T475" t="s">
        <v>11164</v>
      </c>
      <c r="U475" t="s">
        <v>11164</v>
      </c>
      <c r="V475" t="s">
        <v>11164</v>
      </c>
      <c r="W475" t="s">
        <v>11634</v>
      </c>
      <c r="X475">
        <v>6</v>
      </c>
      <c r="Y475" t="s">
        <v>17167</v>
      </c>
      <c r="Z475" t="s">
        <v>22625</v>
      </c>
      <c r="AA475">
        <v>0.62429624401286854</v>
      </c>
      <c r="AB475" t="str">
        <f>HYPERLINK("Melting_Curves/meltCurve_E9PD53_SMC4.pdf", "Melting_Curves/meltCurve_E9PD53_SMC4.pdf")</f>
        <v>Melting_Curves/meltCurve_E9PD53_SMC4.pdf</v>
      </c>
    </row>
    <row r="476" spans="1:28" x14ac:dyDescent="0.25">
      <c r="A476" t="s">
        <v>480</v>
      </c>
      <c r="B476">
        <v>0.99796759195183404</v>
      </c>
      <c r="C476">
        <v>0.93027185556384795</v>
      </c>
      <c r="D476">
        <v>1.01282623223514</v>
      </c>
      <c r="E476">
        <v>0.85437386531613502</v>
      </c>
      <c r="F476">
        <v>0.62619845879813496</v>
      </c>
      <c r="G476">
        <v>0.38583416263437897</v>
      </c>
      <c r="H476">
        <v>0.37459356776288399</v>
      </c>
      <c r="I476">
        <v>0.25922251771191701</v>
      </c>
      <c r="J476">
        <v>0.165388201061692</v>
      </c>
      <c r="K476">
        <v>0.12864634881682099</v>
      </c>
      <c r="L476">
        <v>711.98834343624401</v>
      </c>
      <c r="M476">
        <v>13.810285627239899</v>
      </c>
      <c r="N476">
        <v>52.708857914008803</v>
      </c>
      <c r="O476">
        <v>50.5100208361672</v>
      </c>
      <c r="P476">
        <v>-5.9445204884390798E-2</v>
      </c>
      <c r="Q476">
        <v>0.130456936056037</v>
      </c>
      <c r="R476">
        <v>0.98248918462093604</v>
      </c>
      <c r="S476" t="s">
        <v>6059</v>
      </c>
      <c r="T476" t="s">
        <v>11164</v>
      </c>
      <c r="U476" t="s">
        <v>11164</v>
      </c>
      <c r="V476" t="s">
        <v>11164</v>
      </c>
      <c r="W476" t="s">
        <v>11635</v>
      </c>
      <c r="X476">
        <v>2</v>
      </c>
      <c r="Y476" t="s">
        <v>17168</v>
      </c>
      <c r="Z476" t="s">
        <v>22626</v>
      </c>
      <c r="AA476">
        <v>0.57110034034596957</v>
      </c>
      <c r="AB476" t="str">
        <f>HYPERLINK("Melting_Curves/meltCurve_E9PD90_CKAP2.pdf", "Melting_Curves/meltCurve_E9PD90_CKAP2.pdf")</f>
        <v>Melting_Curves/meltCurve_E9PD90_CKAP2.pdf</v>
      </c>
    </row>
    <row r="477" spans="1:28" x14ac:dyDescent="0.25">
      <c r="A477" t="s">
        <v>481</v>
      </c>
      <c r="B477">
        <v>0.99796759195183404</v>
      </c>
      <c r="C477">
        <v>1.0185192878408</v>
      </c>
      <c r="D477">
        <v>0.99528236238960099</v>
      </c>
      <c r="E477">
        <v>0.99187166143753602</v>
      </c>
      <c r="F477">
        <v>0.81806286813301399</v>
      </c>
      <c r="G477">
        <v>0.77579764076836</v>
      </c>
      <c r="H477">
        <v>1.31645241711668</v>
      </c>
      <c r="I477">
        <v>1.3093761682781899</v>
      </c>
      <c r="J477">
        <v>1.9633341570987199</v>
      </c>
      <c r="K477">
        <v>1.9324060699835</v>
      </c>
      <c r="L477">
        <v>10027.1121987756</v>
      </c>
      <c r="M477">
        <v>175.23280590074401</v>
      </c>
      <c r="O477">
        <v>57.214208700230699</v>
      </c>
      <c r="P477">
        <v>0.38284372760303897</v>
      </c>
      <c r="Q477">
        <v>1.5</v>
      </c>
      <c r="R477">
        <v>0.67948920001020396</v>
      </c>
      <c r="S477" t="s">
        <v>6060</v>
      </c>
      <c r="T477" t="s">
        <v>11164</v>
      </c>
      <c r="U477" t="s">
        <v>11164</v>
      </c>
      <c r="V477" t="s">
        <v>11164</v>
      </c>
      <c r="W477" t="s">
        <v>11636</v>
      </c>
      <c r="X477">
        <v>3</v>
      </c>
      <c r="Y477" t="s">
        <v>17169</v>
      </c>
      <c r="Z477" t="s">
        <v>22627</v>
      </c>
      <c r="AA477">
        <v>1.162870094340402</v>
      </c>
      <c r="AB477" t="str">
        <f>HYPERLINK("Melting_Curves/meltCurve_E9PD99_LRCH3.pdf", "Melting_Curves/meltCurve_E9PD99_LRCH3.pdf")</f>
        <v>Melting_Curves/meltCurve_E9PD99_LRCH3.pdf</v>
      </c>
    </row>
    <row r="478" spans="1:28" x14ac:dyDescent="0.25">
      <c r="A478" t="s">
        <v>482</v>
      </c>
      <c r="B478">
        <v>0.99796759195183404</v>
      </c>
      <c r="C478">
        <v>1.0090129446343199</v>
      </c>
      <c r="D478">
        <v>0.94298744295110504</v>
      </c>
      <c r="E478">
        <v>0.88299483482281804</v>
      </c>
      <c r="F478">
        <v>0.69715922952196996</v>
      </c>
      <c r="G478">
        <v>0.39910464008563901</v>
      </c>
      <c r="H478">
        <v>0.28397942794700898</v>
      </c>
      <c r="I478">
        <v>0.28061396905459601</v>
      </c>
      <c r="J478">
        <v>0.14470889307048701</v>
      </c>
      <c r="K478">
        <v>9.1952673275377803E-2</v>
      </c>
      <c r="L478">
        <v>778.53711721189802</v>
      </c>
      <c r="M478">
        <v>14.946433459145901</v>
      </c>
      <c r="N478">
        <v>52.9275366930407</v>
      </c>
      <c r="O478">
        <v>51.182730217555097</v>
      </c>
      <c r="P478">
        <v>-6.5311260765760104E-2</v>
      </c>
      <c r="Q478">
        <v>0.105481252920248</v>
      </c>
      <c r="R478">
        <v>0.98933966815930696</v>
      </c>
      <c r="S478" t="s">
        <v>6061</v>
      </c>
      <c r="T478" t="s">
        <v>11164</v>
      </c>
      <c r="U478" t="s">
        <v>11164</v>
      </c>
      <c r="V478" t="s">
        <v>11164</v>
      </c>
      <c r="W478" t="s">
        <v>11637</v>
      </c>
      <c r="X478">
        <v>11</v>
      </c>
      <c r="Y478" t="s">
        <v>17170</v>
      </c>
      <c r="Z478" t="s">
        <v>22628</v>
      </c>
      <c r="AA478">
        <v>0.5724748175639891</v>
      </c>
      <c r="AB478" t="str">
        <f>HYPERLINK("Melting_Curves/meltCurve_E9PDF6_MYO1B.pdf", "Melting_Curves/meltCurve_E9PDF6_MYO1B.pdf")</f>
        <v>Melting_Curves/meltCurve_E9PDF6_MYO1B.pdf</v>
      </c>
    </row>
    <row r="479" spans="1:28" x14ac:dyDescent="0.25">
      <c r="A479" t="s">
        <v>483</v>
      </c>
      <c r="B479">
        <v>0.99796759195183404</v>
      </c>
      <c r="C479">
        <v>0.98943517107218804</v>
      </c>
      <c r="D479">
        <v>0.97758046334081905</v>
      </c>
      <c r="E479">
        <v>0.89981708902299995</v>
      </c>
      <c r="F479">
        <v>0.70931614115142105</v>
      </c>
      <c r="G479">
        <v>0.57312567343681198</v>
      </c>
      <c r="H479">
        <v>0.293023825760173</v>
      </c>
      <c r="I479">
        <v>0.21273455913929001</v>
      </c>
      <c r="J479">
        <v>0.16415914845024901</v>
      </c>
      <c r="K479">
        <v>0.139305487983344</v>
      </c>
      <c r="L479">
        <v>763.07246345663395</v>
      </c>
      <c r="M479">
        <v>14.2772952101939</v>
      </c>
      <c r="N479">
        <v>54.127829095531403</v>
      </c>
      <c r="O479">
        <v>52.430841674379899</v>
      </c>
      <c r="P479">
        <v>-6.2485975138967198E-2</v>
      </c>
      <c r="Q479">
        <v>8.2237740982982296E-2</v>
      </c>
      <c r="R479">
        <v>0.995492282300525</v>
      </c>
      <c r="S479" t="s">
        <v>6062</v>
      </c>
      <c r="T479" t="s">
        <v>11164</v>
      </c>
      <c r="U479" t="s">
        <v>11164</v>
      </c>
      <c r="V479" t="s">
        <v>11164</v>
      </c>
      <c r="W479" t="s">
        <v>11638</v>
      </c>
      <c r="X479">
        <v>20</v>
      </c>
      <c r="Y479" t="s">
        <v>17171</v>
      </c>
      <c r="Z479" t="s">
        <v>22629</v>
      </c>
      <c r="AA479">
        <v>0.60176487418365177</v>
      </c>
      <c r="AB479" t="str">
        <f>HYPERLINK("Melting_Curves/meltCurve_E9PDJ1_CACNA1C.pdf", "Melting_Curves/meltCurve_E9PDJ1_CACNA1C.pdf")</f>
        <v>Melting_Curves/meltCurve_E9PDJ1_CACNA1C.pdf</v>
      </c>
    </row>
    <row r="480" spans="1:28" x14ac:dyDescent="0.25">
      <c r="A480" t="s">
        <v>484</v>
      </c>
      <c r="B480">
        <v>0.99796759195183404</v>
      </c>
      <c r="C480">
        <v>1.02771124703512</v>
      </c>
      <c r="D480">
        <v>0.86104115906414802</v>
      </c>
      <c r="E480">
        <v>0.82347069264486294</v>
      </c>
      <c r="F480">
        <v>0.57863751775848804</v>
      </c>
      <c r="G480">
        <v>0.30546054416173202</v>
      </c>
      <c r="H480">
        <v>0.26483684149491798</v>
      </c>
      <c r="I480">
        <v>0.28416460552110301</v>
      </c>
      <c r="J480">
        <v>0.213863475118269</v>
      </c>
      <c r="K480">
        <v>0.13439187731834701</v>
      </c>
      <c r="L480">
        <v>800.80161728321798</v>
      </c>
      <c r="M480">
        <v>16.107374931432901</v>
      </c>
      <c r="N480">
        <v>51.094956847145802</v>
      </c>
      <c r="O480">
        <v>48.969091622970502</v>
      </c>
      <c r="P480">
        <v>-6.7746019273823704E-2</v>
      </c>
      <c r="Q480">
        <v>0.176226411282459</v>
      </c>
      <c r="R480">
        <v>0.98117618767145798</v>
      </c>
      <c r="S480" t="s">
        <v>6063</v>
      </c>
      <c r="T480" t="s">
        <v>11164</v>
      </c>
      <c r="U480" t="s">
        <v>11164</v>
      </c>
      <c r="V480" t="s">
        <v>11164</v>
      </c>
      <c r="W480" t="s">
        <v>11639</v>
      </c>
      <c r="X480">
        <v>1</v>
      </c>
      <c r="Y480" t="s">
        <v>17172</v>
      </c>
      <c r="Z480" t="s">
        <v>22630</v>
      </c>
      <c r="AA480">
        <v>0.54099658147647667</v>
      </c>
      <c r="AB480" t="str">
        <f>HYPERLINK("Melting_Curves/meltCurve_E9PDW2_OXCT1.pdf", "Melting_Curves/meltCurve_E9PDW2_OXCT1.pdf")</f>
        <v>Melting_Curves/meltCurve_E9PDW2_OXCT1.pdf</v>
      </c>
    </row>
    <row r="481" spans="1:28" x14ac:dyDescent="0.25">
      <c r="A481" t="s">
        <v>485</v>
      </c>
      <c r="B481">
        <v>0.99796759195183404</v>
      </c>
      <c r="C481">
        <v>1.1778455674305801</v>
      </c>
      <c r="D481">
        <v>0.92332981340744602</v>
      </c>
      <c r="E481">
        <v>1.10378553607165</v>
      </c>
      <c r="F481">
        <v>1.0808667192685499</v>
      </c>
      <c r="G481">
        <v>0.89497380216843403</v>
      </c>
      <c r="H481">
        <v>0.86346358531335998</v>
      </c>
      <c r="I481">
        <v>0.85471542970660197</v>
      </c>
      <c r="J481">
        <v>0.93240408253982099</v>
      </c>
      <c r="K481">
        <v>0.85472020475200305</v>
      </c>
      <c r="L481">
        <v>13357.008465053699</v>
      </c>
      <c r="M481">
        <v>250</v>
      </c>
      <c r="O481">
        <v>53.424614798955901</v>
      </c>
      <c r="P481">
        <v>-0.144683059650868</v>
      </c>
      <c r="Q481">
        <v>0.87632581241874496</v>
      </c>
      <c r="R481">
        <v>0.51304358282637097</v>
      </c>
      <c r="S481" t="s">
        <v>6064</v>
      </c>
      <c r="T481" t="s">
        <v>11164</v>
      </c>
      <c r="U481" t="s">
        <v>11164</v>
      </c>
      <c r="V481" t="s">
        <v>11164</v>
      </c>
      <c r="W481" t="s">
        <v>11640</v>
      </c>
      <c r="X481">
        <v>1</v>
      </c>
      <c r="Y481" t="s">
        <v>17173</v>
      </c>
      <c r="Z481" t="s">
        <v>22631</v>
      </c>
      <c r="AA481">
        <v>0.94406153348175748</v>
      </c>
      <c r="AB481" t="str">
        <f>HYPERLINK("Melting_Curves/meltCurve_E9PE47_SLC2A13.pdf", "Melting_Curves/meltCurve_E9PE47_SLC2A13.pdf")</f>
        <v>Melting_Curves/meltCurve_E9PE47_SLC2A13.pdf</v>
      </c>
    </row>
    <row r="482" spans="1:28" x14ac:dyDescent="0.25">
      <c r="A482" t="s">
        <v>486</v>
      </c>
      <c r="B482">
        <v>0.99796759195183404</v>
      </c>
      <c r="C482">
        <v>1.02400620877156</v>
      </c>
      <c r="D482">
        <v>0.97706552551063897</v>
      </c>
      <c r="E482">
        <v>0.88908199470359905</v>
      </c>
      <c r="F482">
        <v>0.85874851480011405</v>
      </c>
      <c r="G482">
        <v>0.98054848775269299</v>
      </c>
      <c r="H482">
        <v>0.547652277630295</v>
      </c>
      <c r="I482">
        <v>0.38714650585717297</v>
      </c>
      <c r="J482">
        <v>0.26169150330191898</v>
      </c>
      <c r="K482">
        <v>9.9407046485720393E-2</v>
      </c>
      <c r="L482">
        <v>978.95131600096101</v>
      </c>
      <c r="M482">
        <v>16.533513400915201</v>
      </c>
      <c r="N482">
        <v>59.210121074559403</v>
      </c>
      <c r="O482">
        <v>58.364267974952803</v>
      </c>
      <c r="P482">
        <v>-7.0825250847628404E-2</v>
      </c>
      <c r="Q482">
        <v>0</v>
      </c>
      <c r="R482">
        <v>0.95575871602110596</v>
      </c>
      <c r="S482" t="s">
        <v>6065</v>
      </c>
      <c r="T482" t="s">
        <v>11164</v>
      </c>
      <c r="U482" t="s">
        <v>11164</v>
      </c>
      <c r="V482" t="s">
        <v>11164</v>
      </c>
      <c r="W482" t="s">
        <v>11641</v>
      </c>
      <c r="X482">
        <v>4</v>
      </c>
      <c r="Y482" t="s">
        <v>17174</v>
      </c>
      <c r="Z482" t="s">
        <v>22632</v>
      </c>
      <c r="AA482">
        <v>0.74075490179189418</v>
      </c>
      <c r="AB482" t="str">
        <f>HYPERLINK("Melting_Curves/meltCurve_E9PE82_ACADS.pdf", "Melting_Curves/meltCurve_E9PE82_ACADS.pdf")</f>
        <v>Melting_Curves/meltCurve_E9PE82_ACADS.pdf</v>
      </c>
    </row>
    <row r="483" spans="1:28" x14ac:dyDescent="0.25">
      <c r="A483" t="s">
        <v>487</v>
      </c>
      <c r="B483">
        <v>0.99796759195183404</v>
      </c>
      <c r="C483">
        <v>1.0526845871621999</v>
      </c>
      <c r="D483">
        <v>0.92148456724404704</v>
      </c>
      <c r="E483">
        <v>0.95165251500150105</v>
      </c>
      <c r="F483">
        <v>0.76890124097235801</v>
      </c>
      <c r="G483">
        <v>0.83017392479973595</v>
      </c>
      <c r="H483">
        <v>0.53036093238123705</v>
      </c>
      <c r="I483">
        <v>0.58026732142271098</v>
      </c>
      <c r="J483">
        <v>0.376545317112077</v>
      </c>
      <c r="K483">
        <v>0.44482437644773198</v>
      </c>
      <c r="L483">
        <v>572.77678607229598</v>
      </c>
      <c r="M483">
        <v>10.176474605207099</v>
      </c>
      <c r="N483">
        <v>61.589321080482797</v>
      </c>
      <c r="O483">
        <v>54.240780490855698</v>
      </c>
      <c r="P483">
        <v>-3.3228462440041497E-2</v>
      </c>
      <c r="Q483">
        <v>0.29188929558548099</v>
      </c>
      <c r="R483">
        <v>0.92464083633506899</v>
      </c>
      <c r="S483" t="s">
        <v>6066</v>
      </c>
      <c r="T483" t="s">
        <v>11164</v>
      </c>
      <c r="U483" t="s">
        <v>11164</v>
      </c>
      <c r="V483" t="s">
        <v>11164</v>
      </c>
      <c r="W483" t="s">
        <v>11642</v>
      </c>
      <c r="X483">
        <v>1</v>
      </c>
      <c r="Y483" t="s">
        <v>17175</v>
      </c>
      <c r="Z483" t="s">
        <v>22633</v>
      </c>
      <c r="AA483">
        <v>0.75039072043279398</v>
      </c>
      <c r="AB483" t="str">
        <f>HYPERLINK("Melting_Curves/meltCurve_E9PEE8_ITGB6.pdf", "Melting_Curves/meltCurve_E9PEE8_ITGB6.pdf")</f>
        <v>Melting_Curves/meltCurve_E9PEE8_ITGB6.pdf</v>
      </c>
    </row>
    <row r="484" spans="1:28" x14ac:dyDescent="0.25">
      <c r="A484" t="s">
        <v>488</v>
      </c>
      <c r="B484">
        <v>0.99796759195183404</v>
      </c>
      <c r="C484">
        <v>0.94919703697589997</v>
      </c>
      <c r="D484">
        <v>0.96546268681163105</v>
      </c>
      <c r="E484">
        <v>1.0077924885145</v>
      </c>
      <c r="F484">
        <v>0.69747657017582698</v>
      </c>
      <c r="G484">
        <v>0.432676256753389</v>
      </c>
      <c r="H484">
        <v>0.36453395941542999</v>
      </c>
      <c r="I484">
        <v>0.35763178641349402</v>
      </c>
      <c r="J484">
        <v>0.37643179238990199</v>
      </c>
      <c r="K484">
        <v>0.36734386087367599</v>
      </c>
      <c r="L484">
        <v>2046.52336681632</v>
      </c>
      <c r="M484">
        <v>40.6282748735496</v>
      </c>
      <c r="N484">
        <v>52.089460473173197</v>
      </c>
      <c r="O484">
        <v>50.2503263347093</v>
      </c>
      <c r="P484">
        <v>-0.12753803572171499</v>
      </c>
      <c r="Q484">
        <v>0.36902905495834298</v>
      </c>
      <c r="R484">
        <v>0.99332213759063603</v>
      </c>
      <c r="S484" t="s">
        <v>6067</v>
      </c>
      <c r="T484" t="s">
        <v>11164</v>
      </c>
      <c r="U484" t="s">
        <v>11164</v>
      </c>
      <c r="V484" t="s">
        <v>11164</v>
      </c>
      <c r="W484" t="s">
        <v>11643</v>
      </c>
      <c r="X484">
        <v>1</v>
      </c>
      <c r="Y484" t="s">
        <v>17176</v>
      </c>
      <c r="Z484" t="s">
        <v>22634</v>
      </c>
      <c r="AA484">
        <v>0.65239921164960646</v>
      </c>
      <c r="AB484" t="str">
        <f>HYPERLINK("Melting_Curves/meltCurve_E9PEH6_SGCE.pdf", "Melting_Curves/meltCurve_E9PEH6_SGCE.pdf")</f>
        <v>Melting_Curves/meltCurve_E9PEH6_SGCE.pdf</v>
      </c>
    </row>
    <row r="485" spans="1:28" x14ac:dyDescent="0.25">
      <c r="A485" t="s">
        <v>489</v>
      </c>
      <c r="B485">
        <v>0.99796759195183404</v>
      </c>
      <c r="C485">
        <v>0.85975354124205405</v>
      </c>
      <c r="D485">
        <v>0.82554846285679895</v>
      </c>
      <c r="E485">
        <v>0.799023430917711</v>
      </c>
      <c r="F485">
        <v>0.86418670359188998</v>
      </c>
      <c r="G485">
        <v>0.54783099167663396</v>
      </c>
      <c r="H485">
        <v>0.35229461931247302</v>
      </c>
      <c r="I485">
        <v>0.311876197767396</v>
      </c>
      <c r="J485">
        <v>0.44863363408933898</v>
      </c>
      <c r="K485">
        <v>0.22843316785623</v>
      </c>
      <c r="L485">
        <v>383.83634454052202</v>
      </c>
      <c r="M485">
        <v>6.8926631970229604</v>
      </c>
      <c r="N485">
        <v>56.236161819088501</v>
      </c>
      <c r="O485">
        <v>51.566214965643503</v>
      </c>
      <c r="P485">
        <v>-3.2393696010537397E-2</v>
      </c>
      <c r="Q485">
        <v>3.2507773942929002E-2</v>
      </c>
      <c r="R485">
        <v>0.884908823374293</v>
      </c>
      <c r="S485" t="s">
        <v>6068</v>
      </c>
      <c r="T485" t="s">
        <v>11164</v>
      </c>
      <c r="U485" t="s">
        <v>11164</v>
      </c>
      <c r="V485" t="s">
        <v>11164</v>
      </c>
      <c r="W485" t="s">
        <v>11644</v>
      </c>
      <c r="X485">
        <v>3</v>
      </c>
      <c r="Y485" t="s">
        <v>17177</v>
      </c>
      <c r="Z485" t="s">
        <v>22635</v>
      </c>
      <c r="AA485">
        <v>0.6298694705061284</v>
      </c>
      <c r="AB485" t="str">
        <f>HYPERLINK("Melting_Curves/meltCurve_E9PEK8_ATF2.pdf", "Melting_Curves/meltCurve_E9PEK8_ATF2.pdf")</f>
        <v>Melting_Curves/meltCurve_E9PEK8_ATF2.pdf</v>
      </c>
    </row>
    <row r="486" spans="1:28" x14ac:dyDescent="0.25">
      <c r="A486" t="s">
        <v>490</v>
      </c>
      <c r="B486">
        <v>0.99796759195183404</v>
      </c>
      <c r="C486">
        <v>1.0198144586094</v>
      </c>
      <c r="D486">
        <v>1.0217860400844301</v>
      </c>
      <c r="E486">
        <v>0.91653185088267997</v>
      </c>
      <c r="F486">
        <v>0.78841188077217395</v>
      </c>
      <c r="G486">
        <v>0.590357359710171</v>
      </c>
      <c r="H486">
        <v>0.32007628261268201</v>
      </c>
      <c r="I486">
        <v>0.13593657510888499</v>
      </c>
      <c r="J486">
        <v>9.2184339688166805E-2</v>
      </c>
      <c r="K486">
        <v>6.9642339592515201E-2</v>
      </c>
      <c r="L486">
        <v>873.44621766094599</v>
      </c>
      <c r="M486">
        <v>15.9840482910767</v>
      </c>
      <c r="N486">
        <v>54.677201204257898</v>
      </c>
      <c r="O486">
        <v>53.811011110218899</v>
      </c>
      <c r="P486">
        <v>-7.3916646717205894E-2</v>
      </c>
      <c r="Q486">
        <v>4.7036237993276402E-3</v>
      </c>
      <c r="R486">
        <v>0.99714150739515095</v>
      </c>
      <c r="S486" t="s">
        <v>6069</v>
      </c>
      <c r="T486" t="s">
        <v>11164</v>
      </c>
      <c r="U486" t="s">
        <v>11164</v>
      </c>
      <c r="V486" t="s">
        <v>11164</v>
      </c>
      <c r="W486" t="s">
        <v>11645</v>
      </c>
      <c r="X486">
        <v>18</v>
      </c>
      <c r="Y486" t="s">
        <v>17178</v>
      </c>
      <c r="Z486" t="s">
        <v>22636</v>
      </c>
      <c r="AA486">
        <v>0.60437663506116934</v>
      </c>
      <c r="AB486" t="str">
        <f>HYPERLINK("Melting_Curves/meltCurve_E9PEN8_XPO7.pdf", "Melting_Curves/meltCurve_E9PEN8_XPO7.pdf")</f>
        <v>Melting_Curves/meltCurve_E9PEN8_XPO7.pdf</v>
      </c>
    </row>
    <row r="487" spans="1:28" x14ac:dyDescent="0.25">
      <c r="A487" t="s">
        <v>491</v>
      </c>
      <c r="B487">
        <v>0.99796759195183404</v>
      </c>
      <c r="C487">
        <v>1.03446807301522</v>
      </c>
      <c r="D487">
        <v>0.92192152631338098</v>
      </c>
      <c r="E487">
        <v>0.92091802828510905</v>
      </c>
      <c r="F487">
        <v>0.83135074411624599</v>
      </c>
      <c r="G487">
        <v>0.80720894432358803</v>
      </c>
      <c r="H487">
        <v>0.71041429836912895</v>
      </c>
      <c r="I487">
        <v>0.54007984102161299</v>
      </c>
      <c r="J487">
        <v>0.420557858908645</v>
      </c>
      <c r="K487">
        <v>0.232174004425485</v>
      </c>
      <c r="L487">
        <v>596.66844994413498</v>
      </c>
      <c r="M487">
        <v>9.7218702325469106</v>
      </c>
      <c r="N487">
        <v>61.373813962670198</v>
      </c>
      <c r="O487">
        <v>58.945907063983903</v>
      </c>
      <c r="P487">
        <v>-4.1254497079756397E-2</v>
      </c>
      <c r="Q487">
        <v>0</v>
      </c>
      <c r="R487">
        <v>0.96815648143620103</v>
      </c>
      <c r="S487" t="s">
        <v>6070</v>
      </c>
      <c r="T487" t="s">
        <v>11164</v>
      </c>
      <c r="U487" t="s">
        <v>11164</v>
      </c>
      <c r="V487" t="s">
        <v>11164</v>
      </c>
      <c r="W487" t="s">
        <v>11646</v>
      </c>
      <c r="X487">
        <v>2</v>
      </c>
      <c r="Y487" t="s">
        <v>17179</v>
      </c>
      <c r="Z487" t="s">
        <v>22637</v>
      </c>
      <c r="AA487">
        <v>0.76836084199601551</v>
      </c>
      <c r="AB487" t="str">
        <f>HYPERLINK("Melting_Curves/meltCurve_E9PEP6_NRP1.pdf", "Melting_Curves/meltCurve_E9PEP6_NRP1.pdf")</f>
        <v>Melting_Curves/meltCurve_E9PEP6_NRP1.pdf</v>
      </c>
    </row>
    <row r="488" spans="1:28" x14ac:dyDescent="0.25">
      <c r="A488" t="s">
        <v>492</v>
      </c>
      <c r="B488">
        <v>0.99796759195183404</v>
      </c>
      <c r="C488">
        <v>1.0143803780354601</v>
      </c>
      <c r="D488">
        <v>1.03066289553287</v>
      </c>
      <c r="E488">
        <v>0.92685303838272504</v>
      </c>
      <c r="F488">
        <v>0.79228445613166798</v>
      </c>
      <c r="G488">
        <v>0.40361653791308899</v>
      </c>
      <c r="H488">
        <v>0.23075939741439999</v>
      </c>
      <c r="I488">
        <v>0.22252021744388101</v>
      </c>
      <c r="J488">
        <v>0.16730735073049699</v>
      </c>
      <c r="K488">
        <v>0.135309150985681</v>
      </c>
      <c r="L488">
        <v>1358.84410280879</v>
      </c>
      <c r="M488">
        <v>26.081461815881699</v>
      </c>
      <c r="N488">
        <v>52.901314223025103</v>
      </c>
      <c r="O488">
        <v>51.796605483135302</v>
      </c>
      <c r="P488">
        <v>-0.105343192553665</v>
      </c>
      <c r="Q488">
        <v>0.16318221531921401</v>
      </c>
      <c r="R488">
        <v>0.99571436141558001</v>
      </c>
      <c r="S488" t="s">
        <v>6071</v>
      </c>
      <c r="T488" t="s">
        <v>11164</v>
      </c>
      <c r="U488" t="s">
        <v>11164</v>
      </c>
      <c r="V488" t="s">
        <v>11164</v>
      </c>
      <c r="W488" t="s">
        <v>11647</v>
      </c>
      <c r="X488">
        <v>9</v>
      </c>
      <c r="Y488" t="s">
        <v>17180</v>
      </c>
      <c r="Z488" t="s">
        <v>22638</v>
      </c>
      <c r="AA488">
        <v>0.59124836698327643</v>
      </c>
      <c r="AB488" t="str">
        <f>HYPERLINK("Melting_Curves/meltCurve_E9PER6_PDPK1.pdf", "Melting_Curves/meltCurve_E9PER6_PDPK1.pdf")</f>
        <v>Melting_Curves/meltCurve_E9PER6_PDPK1.pdf</v>
      </c>
    </row>
    <row r="489" spans="1:28" x14ac:dyDescent="0.25">
      <c r="A489" t="s">
        <v>493</v>
      </c>
      <c r="B489">
        <v>0.99796759195183404</v>
      </c>
      <c r="C489">
        <v>1.0533857522263199</v>
      </c>
      <c r="D489">
        <v>0.96337531122474196</v>
      </c>
      <c r="E489">
        <v>0.90236041674379097</v>
      </c>
      <c r="F489">
        <v>0.83177686685580299</v>
      </c>
      <c r="G489">
        <v>0.33538977394616198</v>
      </c>
      <c r="H489">
        <v>0.21792548918178201</v>
      </c>
      <c r="I489">
        <v>0.16819440319920101</v>
      </c>
      <c r="J489">
        <v>0.139572297816215</v>
      </c>
      <c r="K489">
        <v>0.10993533911792799</v>
      </c>
      <c r="L489">
        <v>1700.09380316075</v>
      </c>
      <c r="M489">
        <v>32.6618257841385</v>
      </c>
      <c r="N489">
        <v>52.591565467510101</v>
      </c>
      <c r="O489">
        <v>51.857443069594801</v>
      </c>
      <c r="P489">
        <v>-0.13502227582777601</v>
      </c>
      <c r="Q489">
        <v>0.14250017743832599</v>
      </c>
      <c r="R489">
        <v>0.99002457043527003</v>
      </c>
      <c r="S489" t="s">
        <v>6072</v>
      </c>
      <c r="T489" t="s">
        <v>11164</v>
      </c>
      <c r="U489" t="s">
        <v>11164</v>
      </c>
      <c r="V489" t="s">
        <v>11164</v>
      </c>
      <c r="W489" t="s">
        <v>11648</v>
      </c>
      <c r="X489">
        <v>28</v>
      </c>
      <c r="Y489" t="s">
        <v>17181</v>
      </c>
      <c r="Z489" t="s">
        <v>22639</v>
      </c>
      <c r="AA489">
        <v>0.5773125558084643</v>
      </c>
      <c r="AB489" t="str">
        <f>HYPERLINK("Melting_Curves/meltCurve_E9PEZ3_DIAPH1.pdf", "Melting_Curves/meltCurve_E9PEZ3_DIAPH1.pdf")</f>
        <v>Melting_Curves/meltCurve_E9PEZ3_DIAPH1.pdf</v>
      </c>
    </row>
    <row r="490" spans="1:28" x14ac:dyDescent="0.25">
      <c r="A490" t="s">
        <v>494</v>
      </c>
      <c r="B490">
        <v>0.99796759195183404</v>
      </c>
      <c r="C490">
        <v>0.92756597220654302</v>
      </c>
      <c r="D490">
        <v>1.0435059213581499</v>
      </c>
      <c r="E490">
        <v>1.0912575321567</v>
      </c>
      <c r="F490">
        <v>0.82036784559764897</v>
      </c>
      <c r="G490">
        <v>0.629811572796659</v>
      </c>
      <c r="H490">
        <v>0.37859164269817802</v>
      </c>
      <c r="I490">
        <v>0.15536580008620701</v>
      </c>
      <c r="J490">
        <v>8.92557309800983E-2</v>
      </c>
      <c r="K490">
        <v>8.2775887513176605E-2</v>
      </c>
      <c r="L490">
        <v>1052.84834371897</v>
      </c>
      <c r="M490">
        <v>19.0769815869326</v>
      </c>
      <c r="N490">
        <v>55.419231089669999</v>
      </c>
      <c r="O490">
        <v>54.593755807721799</v>
      </c>
      <c r="P490">
        <v>-8.4040568206577002E-2</v>
      </c>
      <c r="Q490">
        <v>3.8021832956173E-2</v>
      </c>
      <c r="R490">
        <v>0.98294904689700802</v>
      </c>
      <c r="S490" t="s">
        <v>6073</v>
      </c>
      <c r="T490" t="s">
        <v>11164</v>
      </c>
      <c r="U490" t="s">
        <v>11164</v>
      </c>
      <c r="V490" t="s">
        <v>11164</v>
      </c>
      <c r="W490" t="s">
        <v>11649</v>
      </c>
      <c r="X490">
        <v>1</v>
      </c>
      <c r="Y490" t="s">
        <v>17182</v>
      </c>
      <c r="Z490" t="s">
        <v>22640</v>
      </c>
      <c r="AA490">
        <v>0.63254271847882759</v>
      </c>
      <c r="AB490" t="str">
        <f>HYPERLINK("Melting_Curves/meltCurve_E9PEZ5_KIAA1107.pdf", "Melting_Curves/meltCurve_E9PEZ5_KIAA1107.pdf")</f>
        <v>Melting_Curves/meltCurve_E9PEZ5_KIAA1107.pdf</v>
      </c>
    </row>
    <row r="491" spans="1:28" x14ac:dyDescent="0.25">
      <c r="A491" t="s">
        <v>495</v>
      </c>
      <c r="B491">
        <v>0.99796759195183404</v>
      </c>
      <c r="C491">
        <v>0.97771939049562495</v>
      </c>
      <c r="D491">
        <v>0.90962497159178701</v>
      </c>
      <c r="E491">
        <v>0.82217029277917797</v>
      </c>
      <c r="F491">
        <v>0.52687524192542101</v>
      </c>
      <c r="G491">
        <v>0.52336284842772096</v>
      </c>
      <c r="H491">
        <v>0.18727069735872501</v>
      </c>
      <c r="I491">
        <v>0.142614551177773</v>
      </c>
      <c r="J491">
        <v>0.121683318529509</v>
      </c>
      <c r="K491">
        <v>9.1571609087675601E-2</v>
      </c>
      <c r="L491">
        <v>606.07894970084203</v>
      </c>
      <c r="M491">
        <v>11.668739360442601</v>
      </c>
      <c r="N491">
        <v>52.045765225206097</v>
      </c>
      <c r="O491">
        <v>50.485263457376298</v>
      </c>
      <c r="P491">
        <v>-5.7123714591205799E-2</v>
      </c>
      <c r="Q491">
        <v>1.16734817385701E-2</v>
      </c>
      <c r="R491">
        <v>0.97973688631605504</v>
      </c>
      <c r="S491" t="s">
        <v>6074</v>
      </c>
      <c r="T491" t="s">
        <v>11164</v>
      </c>
      <c r="U491" t="s">
        <v>11164</v>
      </c>
      <c r="V491" t="s">
        <v>11164</v>
      </c>
      <c r="W491" t="s">
        <v>11650</v>
      </c>
      <c r="X491">
        <v>14</v>
      </c>
      <c r="Y491" t="s">
        <v>17183</v>
      </c>
      <c r="Z491" t="s">
        <v>22641</v>
      </c>
      <c r="AA491">
        <v>0.52801425145650194</v>
      </c>
      <c r="AB491" t="str">
        <f>HYPERLINK("Melting_Curves/meltCurve_E9PF10_NUP155.pdf", "Melting_Curves/meltCurve_E9PF10_NUP155.pdf")</f>
        <v>Melting_Curves/meltCurve_E9PF10_NUP155.pdf</v>
      </c>
    </row>
    <row r="492" spans="1:28" x14ac:dyDescent="0.25">
      <c r="A492" t="s">
        <v>496</v>
      </c>
      <c r="B492">
        <v>0.99796759195183404</v>
      </c>
      <c r="C492">
        <v>0.97926332159681495</v>
      </c>
      <c r="D492">
        <v>1.0038523918251001</v>
      </c>
      <c r="E492">
        <v>0.94225290975220599</v>
      </c>
      <c r="F492">
        <v>0.70289359846472699</v>
      </c>
      <c r="G492">
        <v>0.27918753158658699</v>
      </c>
      <c r="H492">
        <v>0.19474579477801199</v>
      </c>
      <c r="I492">
        <v>0.19047946616238301</v>
      </c>
      <c r="J492">
        <v>0.137385955142237</v>
      </c>
      <c r="K492">
        <v>9.4447842696291695E-2</v>
      </c>
      <c r="L492">
        <v>1551.88758426307</v>
      </c>
      <c r="M492">
        <v>30.3347727693635</v>
      </c>
      <c r="N492">
        <v>51.723091573732901</v>
      </c>
      <c r="O492">
        <v>50.937920257826903</v>
      </c>
      <c r="P492">
        <v>-0.12790461066254699</v>
      </c>
      <c r="Q492">
        <v>0.14089958501843</v>
      </c>
      <c r="R492">
        <v>0.99600327819393397</v>
      </c>
      <c r="S492" t="s">
        <v>6075</v>
      </c>
      <c r="T492" t="s">
        <v>11164</v>
      </c>
      <c r="U492" t="s">
        <v>11164</v>
      </c>
      <c r="V492" t="s">
        <v>11164</v>
      </c>
      <c r="W492" t="s">
        <v>11651</v>
      </c>
      <c r="X492">
        <v>12</v>
      </c>
      <c r="Y492" t="s">
        <v>17184</v>
      </c>
      <c r="Z492" t="s">
        <v>22642</v>
      </c>
      <c r="AA492">
        <v>0.55160727945243326</v>
      </c>
      <c r="AB492" t="str">
        <f>HYPERLINK("Melting_Curves/meltCurve_E9PF16_ACSF2.pdf", "Melting_Curves/meltCurve_E9PF16_ACSF2.pdf")</f>
        <v>Melting_Curves/meltCurve_E9PF16_ACSF2.pdf</v>
      </c>
    </row>
    <row r="493" spans="1:28" x14ac:dyDescent="0.25">
      <c r="A493" t="s">
        <v>497</v>
      </c>
      <c r="B493">
        <v>0.99796759195183404</v>
      </c>
      <c r="C493">
        <v>0.98943283464339304</v>
      </c>
      <c r="D493">
        <v>0.89267497167921805</v>
      </c>
      <c r="E493">
        <v>0.91237820342834897</v>
      </c>
      <c r="F493">
        <v>0.84604315681240605</v>
      </c>
      <c r="G493">
        <v>0.712370677613402</v>
      </c>
      <c r="H493">
        <v>0.47529492285048203</v>
      </c>
      <c r="I493">
        <v>0.155396466337751</v>
      </c>
      <c r="J493">
        <v>0.11646744399459701</v>
      </c>
      <c r="K493">
        <v>8.2495265502191106E-2</v>
      </c>
      <c r="L493">
        <v>911.49246681052705</v>
      </c>
      <c r="M493">
        <v>16.174985208383099</v>
      </c>
      <c r="N493">
        <v>56.351981988693602</v>
      </c>
      <c r="O493">
        <v>55.511757689245997</v>
      </c>
      <c r="P493">
        <v>-7.2850335230707705E-2</v>
      </c>
      <c r="Q493">
        <v>0</v>
      </c>
      <c r="R493">
        <v>0.98223723760632198</v>
      </c>
      <c r="S493" t="s">
        <v>6076</v>
      </c>
      <c r="T493" t="s">
        <v>11164</v>
      </c>
      <c r="U493" t="s">
        <v>11164</v>
      </c>
      <c r="V493" t="s">
        <v>11164</v>
      </c>
      <c r="W493" t="s">
        <v>11652</v>
      </c>
      <c r="X493">
        <v>13</v>
      </c>
      <c r="Y493" t="s">
        <v>17185</v>
      </c>
      <c r="Z493" t="s">
        <v>22643</v>
      </c>
      <c r="AA493">
        <v>0.65562116736992204</v>
      </c>
      <c r="AB493" t="str">
        <f>HYPERLINK("Melting_Curves/meltCurve_E9PF18_HADH.pdf", "Melting_Curves/meltCurve_E9PF18_HADH.pdf")</f>
        <v>Melting_Curves/meltCurve_E9PF18_HADH.pdf</v>
      </c>
    </row>
    <row r="494" spans="1:28" x14ac:dyDescent="0.25">
      <c r="A494" t="s">
        <v>498</v>
      </c>
      <c r="B494">
        <v>0.99796759195183404</v>
      </c>
      <c r="C494">
        <v>0.90975846880987099</v>
      </c>
      <c r="D494">
        <v>1.0512199016905099</v>
      </c>
      <c r="E494">
        <v>0.84794066101079402</v>
      </c>
      <c r="F494">
        <v>0.685555385745516</v>
      </c>
      <c r="G494">
        <v>0.24502758893491899</v>
      </c>
      <c r="H494">
        <v>0.16950244059812899</v>
      </c>
      <c r="I494">
        <v>0.118160591112268</v>
      </c>
      <c r="J494">
        <v>9.4548711664792395E-2</v>
      </c>
      <c r="K494">
        <v>6.74488479409351E-2</v>
      </c>
      <c r="L494">
        <v>1214.3674639973999</v>
      </c>
      <c r="M494">
        <v>23.776077099115199</v>
      </c>
      <c r="N494">
        <v>51.468723965544299</v>
      </c>
      <c r="O494">
        <v>50.718009408996402</v>
      </c>
      <c r="P494">
        <v>-0.10745836578237999</v>
      </c>
      <c r="Q494">
        <v>8.3114946186284705E-2</v>
      </c>
      <c r="R494">
        <v>0.98543555689743101</v>
      </c>
      <c r="S494" t="s">
        <v>6077</v>
      </c>
      <c r="T494" t="s">
        <v>11164</v>
      </c>
      <c r="U494" t="s">
        <v>11164</v>
      </c>
      <c r="V494" t="s">
        <v>11164</v>
      </c>
      <c r="W494" t="s">
        <v>11653</v>
      </c>
      <c r="X494">
        <v>3</v>
      </c>
      <c r="Y494" t="s">
        <v>17186</v>
      </c>
      <c r="Z494" t="s">
        <v>22644</v>
      </c>
      <c r="AA494">
        <v>0.52216703223821204</v>
      </c>
      <c r="AB494" t="str">
        <f>HYPERLINK("Melting_Curves/meltCurve_E9PF19_TBL2.pdf", "Melting_Curves/meltCurve_E9PF19_TBL2.pdf")</f>
        <v>Melting_Curves/meltCurve_E9PF19_TBL2.pdf</v>
      </c>
    </row>
    <row r="495" spans="1:28" x14ac:dyDescent="0.25">
      <c r="A495" t="s">
        <v>499</v>
      </c>
      <c r="B495">
        <v>0.99796759195183404</v>
      </c>
      <c r="C495">
        <v>1.0469711619873101</v>
      </c>
      <c r="D495">
        <v>0.70960214228378005</v>
      </c>
      <c r="E495">
        <v>0.56997953298257298</v>
      </c>
      <c r="F495">
        <v>0.42825866961672698</v>
      </c>
      <c r="G495">
        <v>0.41564795536784499</v>
      </c>
      <c r="H495">
        <v>0</v>
      </c>
      <c r="I495">
        <v>0.18435520191187399</v>
      </c>
      <c r="J495">
        <v>0.324985465529326</v>
      </c>
      <c r="K495">
        <v>0</v>
      </c>
      <c r="L495">
        <v>569.09888981547795</v>
      </c>
      <c r="M495">
        <v>11.985754001806001</v>
      </c>
      <c r="N495">
        <v>48.391664002174601</v>
      </c>
      <c r="O495">
        <v>46.217481083502399</v>
      </c>
      <c r="P495">
        <v>-5.8303541367057801E-2</v>
      </c>
      <c r="Q495">
        <v>0.100936209432475</v>
      </c>
      <c r="R495">
        <v>0.88748717203904703</v>
      </c>
      <c r="S495" t="s">
        <v>6078</v>
      </c>
      <c r="T495" t="s">
        <v>11164</v>
      </c>
      <c r="U495" t="s">
        <v>11164</v>
      </c>
      <c r="V495" t="s">
        <v>11164</v>
      </c>
      <c r="W495" t="s">
        <v>11654</v>
      </c>
      <c r="X495">
        <v>2</v>
      </c>
      <c r="Y495" t="s">
        <v>17187</v>
      </c>
      <c r="Z495" t="s">
        <v>22645</v>
      </c>
      <c r="AA495">
        <v>0.44396864169439693</v>
      </c>
      <c r="AB495" t="str">
        <f>HYPERLINK("Melting_Curves/meltCurve_E9PFB9_CCDC18.pdf", "Melting_Curves/meltCurve_E9PFB9_CCDC18.pdf")</f>
        <v>Melting_Curves/meltCurve_E9PFB9_CCDC18.pdf</v>
      </c>
    </row>
    <row r="496" spans="1:28" x14ac:dyDescent="0.25">
      <c r="A496" t="s">
        <v>500</v>
      </c>
      <c r="B496">
        <v>0.99796759195183404</v>
      </c>
      <c r="C496">
        <v>1.0022771725660999</v>
      </c>
      <c r="D496">
        <v>0.85971566879984296</v>
      </c>
      <c r="E496">
        <v>0.88817629111612795</v>
      </c>
      <c r="F496">
        <v>0.95743451215807196</v>
      </c>
      <c r="G496">
        <v>0.58565214543870103</v>
      </c>
      <c r="H496">
        <v>0.34772767484066702</v>
      </c>
      <c r="I496">
        <v>0.22849818115034301</v>
      </c>
      <c r="J496">
        <v>0.22442539002900699</v>
      </c>
      <c r="K496">
        <v>0.171541580138002</v>
      </c>
      <c r="L496">
        <v>1408.28403791804</v>
      </c>
      <c r="M496">
        <v>26.090000922064</v>
      </c>
      <c r="N496">
        <v>54.992885154049901</v>
      </c>
      <c r="O496">
        <v>53.663798175201599</v>
      </c>
      <c r="P496">
        <v>-9.8320478137562201E-2</v>
      </c>
      <c r="Q496">
        <v>0.19107854409536901</v>
      </c>
      <c r="R496">
        <v>0.96916854987266998</v>
      </c>
      <c r="S496" t="s">
        <v>6079</v>
      </c>
      <c r="T496" t="s">
        <v>11164</v>
      </c>
      <c r="U496" t="s">
        <v>11164</v>
      </c>
      <c r="V496" t="s">
        <v>11164</v>
      </c>
      <c r="W496" t="s">
        <v>11655</v>
      </c>
      <c r="X496">
        <v>11</v>
      </c>
      <c r="Y496" t="s">
        <v>17188</v>
      </c>
      <c r="Z496" t="s">
        <v>22646</v>
      </c>
      <c r="AA496">
        <v>0.65545838525517164</v>
      </c>
      <c r="AB496" t="str">
        <f>HYPERLINK("Melting_Curves/meltCurve_E9PFD7_EGFR.pdf", "Melting_Curves/meltCurve_E9PFD7_EGFR.pdf")</f>
        <v>Melting_Curves/meltCurve_E9PFD7_EGFR.pdf</v>
      </c>
    </row>
    <row r="497" spans="1:28" x14ac:dyDescent="0.25">
      <c r="A497" t="s">
        <v>501</v>
      </c>
      <c r="B497">
        <v>0.99796759195183404</v>
      </c>
      <c r="C497">
        <v>0.96435430625700203</v>
      </c>
      <c r="D497">
        <v>0.980218099810928</v>
      </c>
      <c r="E497">
        <v>0.905216913658068</v>
      </c>
      <c r="F497">
        <v>0.75097833426774196</v>
      </c>
      <c r="G497">
        <v>0.45961233186392297</v>
      </c>
      <c r="H497">
        <v>0.19296610664498401</v>
      </c>
      <c r="I497">
        <v>0.13861368177670999</v>
      </c>
      <c r="J497">
        <v>0.127164601162185</v>
      </c>
      <c r="K497">
        <v>8.6256567829005995E-2</v>
      </c>
      <c r="L497">
        <v>1033.0173627260399</v>
      </c>
      <c r="M497">
        <v>19.6327986662786</v>
      </c>
      <c r="N497">
        <v>53.077400288907</v>
      </c>
      <c r="O497">
        <v>52.080141324755303</v>
      </c>
      <c r="P497">
        <v>-8.6866576425502801E-2</v>
      </c>
      <c r="Q497">
        <v>7.8304562040850803E-2</v>
      </c>
      <c r="R497">
        <v>0.997064025683563</v>
      </c>
      <c r="S497" t="s">
        <v>6080</v>
      </c>
      <c r="T497" t="s">
        <v>11164</v>
      </c>
      <c r="U497" t="s">
        <v>11164</v>
      </c>
      <c r="V497" t="s">
        <v>11164</v>
      </c>
      <c r="W497" t="s">
        <v>11656</v>
      </c>
      <c r="X497">
        <v>11</v>
      </c>
      <c r="Y497" t="s">
        <v>17189</v>
      </c>
      <c r="Z497" t="s">
        <v>22647</v>
      </c>
      <c r="AA497">
        <v>0.57017234912897419</v>
      </c>
      <c r="AB497" t="str">
        <f>HYPERLINK("Melting_Curves/meltCurve_E9PFN5_GSTK1.pdf", "Melting_Curves/meltCurve_E9PFN5_GSTK1.pdf")</f>
        <v>Melting_Curves/meltCurve_E9PFN5_GSTK1.pdf</v>
      </c>
    </row>
    <row r="498" spans="1:28" x14ac:dyDescent="0.25">
      <c r="A498" t="s">
        <v>502</v>
      </c>
      <c r="B498">
        <v>0.99796759195183404</v>
      </c>
      <c r="C498">
        <v>0.97758698397095301</v>
      </c>
      <c r="D498">
        <v>0.98311824261241798</v>
      </c>
      <c r="E498">
        <v>0.87987427839535504</v>
      </c>
      <c r="F498">
        <v>0.75854058709412397</v>
      </c>
      <c r="G498">
        <v>0.32036015993709699</v>
      </c>
      <c r="H498">
        <v>0.229451001930154</v>
      </c>
      <c r="I498">
        <v>0.17851700435276099</v>
      </c>
      <c r="J498">
        <v>0.146379104157915</v>
      </c>
      <c r="K498">
        <v>0.10323830296704301</v>
      </c>
      <c r="L498">
        <v>1244.6015774582199</v>
      </c>
      <c r="M498">
        <v>24.112261893831601</v>
      </c>
      <c r="N498">
        <v>52.283921539108498</v>
      </c>
      <c r="O498">
        <v>51.265856764165598</v>
      </c>
      <c r="P498">
        <v>-0.10201878394891301</v>
      </c>
      <c r="Q498">
        <v>0.13239181205631101</v>
      </c>
      <c r="R498">
        <v>0.99162386620963405</v>
      </c>
      <c r="S498" t="s">
        <v>6081</v>
      </c>
      <c r="T498" t="s">
        <v>11164</v>
      </c>
      <c r="U498" t="s">
        <v>11164</v>
      </c>
      <c r="V498" t="s">
        <v>11164</v>
      </c>
      <c r="W498" t="s">
        <v>11657</v>
      </c>
      <c r="X498">
        <v>15</v>
      </c>
      <c r="Y498" t="s">
        <v>17190</v>
      </c>
      <c r="Z498" t="s">
        <v>22648</v>
      </c>
      <c r="AA498">
        <v>0.56331616811250962</v>
      </c>
      <c r="AB498" t="str">
        <f>HYPERLINK("Melting_Curves/meltCurve_E9PFR3_PPP2R5D.pdf", "Melting_Curves/meltCurve_E9PFR3_PPP2R5D.pdf")</f>
        <v>Melting_Curves/meltCurve_E9PFR3_PPP2R5D.pdf</v>
      </c>
    </row>
    <row r="499" spans="1:28" x14ac:dyDescent="0.25">
      <c r="A499" t="s">
        <v>503</v>
      </c>
      <c r="B499">
        <v>0.99796759195183404</v>
      </c>
      <c r="C499">
        <v>0.74722659349685405</v>
      </c>
      <c r="D499">
        <v>0.75135495240130301</v>
      </c>
      <c r="E499">
        <v>0.56448638974451304</v>
      </c>
      <c r="F499">
        <v>0.712662993475219</v>
      </c>
      <c r="G499">
        <v>0.54237633349231595</v>
      </c>
      <c r="H499">
        <v>0.32311022636055498</v>
      </c>
      <c r="I499">
        <v>0.215731183492195</v>
      </c>
      <c r="J499">
        <v>0.134485611833008</v>
      </c>
      <c r="K499">
        <v>6.9302115837127906E-2</v>
      </c>
      <c r="L499">
        <v>353.31802921234203</v>
      </c>
      <c r="M499">
        <v>6.8797241276261598</v>
      </c>
      <c r="N499">
        <v>51.356423876343101</v>
      </c>
      <c r="O499">
        <v>47.542920318852701</v>
      </c>
      <c r="P499">
        <v>-3.6247848624366003E-2</v>
      </c>
      <c r="Q499">
        <v>0</v>
      </c>
      <c r="R499">
        <v>0.89052497249431894</v>
      </c>
      <c r="S499" t="s">
        <v>6082</v>
      </c>
      <c r="T499" t="s">
        <v>11164</v>
      </c>
      <c r="U499" t="s">
        <v>11164</v>
      </c>
      <c r="V499" t="s">
        <v>11164</v>
      </c>
      <c r="W499" t="s">
        <v>11658</v>
      </c>
      <c r="X499">
        <v>2</v>
      </c>
      <c r="Y499" t="s">
        <v>17191</v>
      </c>
      <c r="Z499" t="s">
        <v>22649</v>
      </c>
      <c r="AA499">
        <v>0.51257031354167704</v>
      </c>
      <c r="AB499" t="str">
        <f>HYPERLINK("Melting_Curves/meltCurve_E9PFW8_SQSTM1.pdf", "Melting_Curves/meltCurve_E9PFW8_SQSTM1.pdf")</f>
        <v>Melting_Curves/meltCurve_E9PFW8_SQSTM1.pdf</v>
      </c>
    </row>
    <row r="500" spans="1:28" x14ac:dyDescent="0.25">
      <c r="A500" t="s">
        <v>504</v>
      </c>
      <c r="B500">
        <v>0.99796759195183404</v>
      </c>
      <c r="C500">
        <v>1.36313340311664</v>
      </c>
      <c r="D500">
        <v>1.30651257683571</v>
      </c>
      <c r="E500">
        <v>0.84868931907631096</v>
      </c>
      <c r="F500">
        <v>1.12474506292525</v>
      </c>
      <c r="G500">
        <v>0.39612036025624398</v>
      </c>
      <c r="H500">
        <v>0.414646428125093</v>
      </c>
      <c r="I500">
        <v>0.34504252771354199</v>
      </c>
      <c r="J500">
        <v>0.332512755560262</v>
      </c>
      <c r="K500">
        <v>0</v>
      </c>
      <c r="L500">
        <v>13364.424602839999</v>
      </c>
      <c r="M500">
        <v>250</v>
      </c>
      <c r="N500">
        <v>53.627118906241002</v>
      </c>
      <c r="O500">
        <v>53.454277512377899</v>
      </c>
      <c r="P500">
        <v>-0.84996659281514797</v>
      </c>
      <c r="Q500">
        <v>0.27305039932689101</v>
      </c>
      <c r="R500">
        <v>0.81820322034445903</v>
      </c>
      <c r="S500" t="s">
        <v>6083</v>
      </c>
      <c r="T500" t="s">
        <v>11164</v>
      </c>
      <c r="U500" t="s">
        <v>11164</v>
      </c>
      <c r="V500" t="s">
        <v>11164</v>
      </c>
      <c r="W500" t="s">
        <v>11659</v>
      </c>
      <c r="X500">
        <v>1</v>
      </c>
      <c r="Y500" t="s">
        <v>17192</v>
      </c>
      <c r="Z500" t="s">
        <v>22650</v>
      </c>
      <c r="AA500">
        <v>0.67191584280713446</v>
      </c>
      <c r="AB500" t="str">
        <f>HYPERLINK("Melting_Curves/meltCurve_E9PG19_FCHSD2.pdf", "Melting_Curves/meltCurve_E9PG19_FCHSD2.pdf")</f>
        <v>Melting_Curves/meltCurve_E9PG19_FCHSD2.pdf</v>
      </c>
    </row>
    <row r="501" spans="1:28" x14ac:dyDescent="0.25">
      <c r="A501" t="s">
        <v>505</v>
      </c>
      <c r="B501">
        <v>0.99796759195183404</v>
      </c>
      <c r="C501">
        <v>0.86899049522970895</v>
      </c>
      <c r="D501">
        <v>0.86664643995380797</v>
      </c>
      <c r="E501">
        <v>0.80596502580169505</v>
      </c>
      <c r="F501">
        <v>0.626087425623708</v>
      </c>
      <c r="G501">
        <v>0.234537296934759</v>
      </c>
      <c r="H501">
        <v>0.175839671558877</v>
      </c>
      <c r="I501">
        <v>0.18398013374181801</v>
      </c>
      <c r="J501">
        <v>0.15115558441669699</v>
      </c>
      <c r="K501">
        <v>0.111929144622725</v>
      </c>
      <c r="L501">
        <v>797.27970519649296</v>
      </c>
      <c r="M501">
        <v>15.9178999330426</v>
      </c>
      <c r="N501">
        <v>50.796763659032898</v>
      </c>
      <c r="O501">
        <v>49.316492879596197</v>
      </c>
      <c r="P501">
        <v>-7.2652595753578894E-2</v>
      </c>
      <c r="Q501">
        <v>9.9709474141335394E-2</v>
      </c>
      <c r="R501">
        <v>0.968687668729729</v>
      </c>
      <c r="S501" t="s">
        <v>6084</v>
      </c>
      <c r="T501" t="s">
        <v>11164</v>
      </c>
      <c r="U501" t="s">
        <v>11164</v>
      </c>
      <c r="V501" t="s">
        <v>11164</v>
      </c>
      <c r="W501" t="s">
        <v>11660</v>
      </c>
      <c r="X501">
        <v>3</v>
      </c>
      <c r="Y501" t="s">
        <v>17193</v>
      </c>
      <c r="Z501" t="s">
        <v>22651</v>
      </c>
      <c r="AA501">
        <v>0.50964138976776441</v>
      </c>
      <c r="AB501" t="str">
        <f>HYPERLINK("Melting_Curves/meltCurve_E9PG22_CEP97.pdf", "Melting_Curves/meltCurve_E9PG22_CEP97.pdf")</f>
        <v>Melting_Curves/meltCurve_E9PG22_CEP97.pdf</v>
      </c>
    </row>
    <row r="502" spans="1:28" x14ac:dyDescent="0.25">
      <c r="A502" t="s">
        <v>506</v>
      </c>
      <c r="B502">
        <v>0.99796759195183404</v>
      </c>
      <c r="C502">
        <v>1.04965996691721</v>
      </c>
      <c r="D502">
        <v>0.95710426952026395</v>
      </c>
      <c r="E502">
        <v>0.85228761347649296</v>
      </c>
      <c r="F502">
        <v>0.86782692627456204</v>
      </c>
      <c r="G502">
        <v>0.83792692588359297</v>
      </c>
      <c r="H502">
        <v>0.53719100032830602</v>
      </c>
      <c r="I502">
        <v>0.36113388996586798</v>
      </c>
      <c r="J502">
        <v>0.37212418043837497</v>
      </c>
      <c r="K502">
        <v>0.257114673170173</v>
      </c>
      <c r="L502">
        <v>690.37774123989004</v>
      </c>
      <c r="M502">
        <v>11.965950123700599</v>
      </c>
      <c r="N502">
        <v>59.042088112943397</v>
      </c>
      <c r="O502">
        <v>56.154647766988802</v>
      </c>
      <c r="P502">
        <v>-4.69207027673419E-2</v>
      </c>
      <c r="Q502">
        <v>0.119443607421112</v>
      </c>
      <c r="R502">
        <v>0.96125255256320197</v>
      </c>
      <c r="S502" t="s">
        <v>6085</v>
      </c>
      <c r="T502" t="s">
        <v>11164</v>
      </c>
      <c r="U502" t="s">
        <v>11164</v>
      </c>
      <c r="V502" t="s">
        <v>11164</v>
      </c>
      <c r="W502" t="s">
        <v>11661</v>
      </c>
      <c r="X502">
        <v>8</v>
      </c>
      <c r="Y502" t="s">
        <v>17194</v>
      </c>
      <c r="Z502" t="s">
        <v>22652</v>
      </c>
      <c r="AA502">
        <v>0.72732052368596878</v>
      </c>
      <c r="AB502" t="str">
        <f>HYPERLINK("Melting_Curves/meltCurve_E9PG40_APP.pdf", "Melting_Curves/meltCurve_E9PG40_APP.pdf")</f>
        <v>Melting_Curves/meltCurve_E9PG40_APP.pdf</v>
      </c>
    </row>
    <row r="503" spans="1:28" x14ac:dyDescent="0.25">
      <c r="A503" t="s">
        <v>507</v>
      </c>
      <c r="B503">
        <v>0.99796759195183404</v>
      </c>
      <c r="C503">
        <v>1.10295658496614</v>
      </c>
      <c r="D503">
        <v>1.10655356564286</v>
      </c>
      <c r="E503">
        <v>1.0507792355655301</v>
      </c>
      <c r="F503">
        <v>1.011359980798</v>
      </c>
      <c r="G503">
        <v>0.67626382505988303</v>
      </c>
      <c r="H503">
        <v>0.49087553252099297</v>
      </c>
      <c r="I503">
        <v>0.345663311897279</v>
      </c>
      <c r="J503">
        <v>0.28901698646928797</v>
      </c>
      <c r="K503">
        <v>0.21962518456494501</v>
      </c>
      <c r="L503">
        <v>1322.1849948721399</v>
      </c>
      <c r="M503">
        <v>23.952492333248099</v>
      </c>
      <c r="N503">
        <v>56.8454346997325</v>
      </c>
      <c r="O503">
        <v>54.819865529633901</v>
      </c>
      <c r="P503">
        <v>-8.1924608925936102E-2</v>
      </c>
      <c r="Q503">
        <v>0.25001133419105098</v>
      </c>
      <c r="R503">
        <v>0.96795072545156202</v>
      </c>
      <c r="S503" t="s">
        <v>6086</v>
      </c>
      <c r="T503" t="s">
        <v>11164</v>
      </c>
      <c r="U503" t="s">
        <v>11164</v>
      </c>
      <c r="V503" t="s">
        <v>11164</v>
      </c>
      <c r="W503" t="s">
        <v>11662</v>
      </c>
      <c r="X503">
        <v>5</v>
      </c>
      <c r="Y503" t="s">
        <v>17195</v>
      </c>
      <c r="Z503" t="s">
        <v>22653</v>
      </c>
      <c r="AA503">
        <v>0.71173651732300924</v>
      </c>
      <c r="AB503" t="str">
        <f>HYPERLINK("Melting_Curves/meltCurve_E9PG71_EPHA4.pdf", "Melting_Curves/meltCurve_E9PG71_EPHA4.pdf")</f>
        <v>Melting_Curves/meltCurve_E9PG71_EPHA4.pdf</v>
      </c>
    </row>
    <row r="504" spans="1:28" x14ac:dyDescent="0.25">
      <c r="A504" t="s">
        <v>508</v>
      </c>
      <c r="B504">
        <v>0.99796759195183404</v>
      </c>
      <c r="C504">
        <v>1.0226449298437199</v>
      </c>
      <c r="D504">
        <v>0.94397028982021203</v>
      </c>
      <c r="E504">
        <v>0.85606891995951495</v>
      </c>
      <c r="F504">
        <v>0.75814120633067195</v>
      </c>
      <c r="G504">
        <v>0.27649031109250899</v>
      </c>
      <c r="H504">
        <v>0.198770654724167</v>
      </c>
      <c r="I504">
        <v>0.17112301577348199</v>
      </c>
      <c r="J504">
        <v>0.12964893898482999</v>
      </c>
      <c r="K504">
        <v>7.3361282989276799E-2</v>
      </c>
      <c r="L504">
        <v>1281.5399383403601</v>
      </c>
      <c r="M504">
        <v>24.898898418826299</v>
      </c>
      <c r="N504">
        <v>52.004349047703798</v>
      </c>
      <c r="O504">
        <v>51.141192675164298</v>
      </c>
      <c r="P504">
        <v>-0.107974474710982</v>
      </c>
      <c r="Q504">
        <v>0.112913826870238</v>
      </c>
      <c r="R504">
        <v>0.98487716567660899</v>
      </c>
      <c r="S504" t="s">
        <v>6087</v>
      </c>
      <c r="T504" t="s">
        <v>11164</v>
      </c>
      <c r="U504" t="s">
        <v>11164</v>
      </c>
      <c r="V504" t="s">
        <v>11164</v>
      </c>
      <c r="W504" t="s">
        <v>11663</v>
      </c>
      <c r="X504">
        <v>4</v>
      </c>
      <c r="Y504" t="s">
        <v>17196</v>
      </c>
      <c r="Z504" t="s">
        <v>22654</v>
      </c>
      <c r="AA504">
        <v>0.54868294580714594</v>
      </c>
      <c r="AB504" t="str">
        <f>HYPERLINK("Melting_Curves/meltCurve_E9PGC0_RASA1.pdf", "Melting_Curves/meltCurve_E9PGC0_RASA1.pdf")</f>
        <v>Melting_Curves/meltCurve_E9PGC0_RASA1.pdf</v>
      </c>
    </row>
    <row r="505" spans="1:28" x14ac:dyDescent="0.25">
      <c r="A505" t="s">
        <v>509</v>
      </c>
      <c r="B505">
        <v>0.99796759195183404</v>
      </c>
      <c r="C505">
        <v>0.86721178069904803</v>
      </c>
      <c r="D505">
        <v>0.78035238077672797</v>
      </c>
      <c r="E505">
        <v>0.61875898446955102</v>
      </c>
      <c r="F505">
        <v>0.42080547724443401</v>
      </c>
      <c r="G505">
        <v>0.28204602105050303</v>
      </c>
      <c r="H505">
        <v>0.23121498638739599</v>
      </c>
      <c r="I505">
        <v>0.150414159761767</v>
      </c>
      <c r="J505">
        <v>0.118237536435837</v>
      </c>
      <c r="K505">
        <v>8.0092556365580894E-2</v>
      </c>
      <c r="L505">
        <v>476.97244268464902</v>
      </c>
      <c r="M505">
        <v>9.8653402094251792</v>
      </c>
      <c r="N505">
        <v>48.728490407472002</v>
      </c>
      <c r="O505">
        <v>46.487424509844601</v>
      </c>
      <c r="P505">
        <v>-5.1114780197521401E-2</v>
      </c>
      <c r="Q505">
        <v>3.70417549148091E-2</v>
      </c>
      <c r="R505">
        <v>0.99616900717443402</v>
      </c>
      <c r="S505" t="s">
        <v>6088</v>
      </c>
      <c r="T505" t="s">
        <v>11164</v>
      </c>
      <c r="U505" t="s">
        <v>11164</v>
      </c>
      <c r="V505" t="s">
        <v>11164</v>
      </c>
      <c r="W505" t="s">
        <v>11664</v>
      </c>
      <c r="X505">
        <v>2</v>
      </c>
      <c r="Y505" t="s">
        <v>17197</v>
      </c>
      <c r="Z505" t="s">
        <v>22655</v>
      </c>
      <c r="AA505">
        <v>0.43959770231751177</v>
      </c>
      <c r="AB505" t="str">
        <f>HYPERLINK("Melting_Curves/meltCurve_E9PGI3_INTS12.pdf", "Melting_Curves/meltCurve_E9PGI3_INTS12.pdf")</f>
        <v>Melting_Curves/meltCurve_E9PGI3_INTS12.pdf</v>
      </c>
    </row>
    <row r="506" spans="1:28" x14ac:dyDescent="0.25">
      <c r="A506" t="s">
        <v>510</v>
      </c>
      <c r="B506">
        <v>0.99796759195183404</v>
      </c>
      <c r="C506">
        <v>0.99429840162647198</v>
      </c>
      <c r="D506">
        <v>1.1003008184834899</v>
      </c>
      <c r="E506">
        <v>1.1240495839204001</v>
      </c>
      <c r="F506">
        <v>0.88805476908981495</v>
      </c>
      <c r="G506">
        <v>0.56898297938887399</v>
      </c>
      <c r="H506">
        <v>0.75466556205226798</v>
      </c>
      <c r="I506">
        <v>0.69820779069871597</v>
      </c>
      <c r="J506">
        <v>0.99959658897876802</v>
      </c>
      <c r="K506">
        <v>0.73535336761738801</v>
      </c>
      <c r="L506">
        <v>12560.026486598699</v>
      </c>
      <c r="M506">
        <v>250</v>
      </c>
      <c r="O506">
        <v>50.236890927565902</v>
      </c>
      <c r="P506">
        <v>-0.30933286104552099</v>
      </c>
      <c r="Q506">
        <v>0.75136126115378199</v>
      </c>
      <c r="R506">
        <v>0.60865245184164696</v>
      </c>
      <c r="S506" t="s">
        <v>6089</v>
      </c>
      <c r="T506" t="s">
        <v>11164</v>
      </c>
      <c r="U506" t="s">
        <v>11164</v>
      </c>
      <c r="V506" t="s">
        <v>11164</v>
      </c>
      <c r="W506" t="s">
        <v>11665</v>
      </c>
      <c r="X506">
        <v>1</v>
      </c>
      <c r="Y506" t="s">
        <v>17198</v>
      </c>
      <c r="Z506" t="s">
        <v>22656</v>
      </c>
      <c r="AA506">
        <v>0.86111662527163468</v>
      </c>
      <c r="AB506" t="str">
        <f>HYPERLINK("Melting_Curves/meltCurve_E9PGQ0_SLC25A44.pdf", "Melting_Curves/meltCurve_E9PGQ0_SLC25A44.pdf")</f>
        <v>Melting_Curves/meltCurve_E9PGQ0_SLC25A44.pdf</v>
      </c>
    </row>
    <row r="507" spans="1:28" x14ac:dyDescent="0.25">
      <c r="A507" t="s">
        <v>511</v>
      </c>
      <c r="B507">
        <v>0.99796759195183404</v>
      </c>
      <c r="C507">
        <v>1.0393152209240499</v>
      </c>
      <c r="D507">
        <v>1.01183162441146</v>
      </c>
      <c r="E507">
        <v>0.994934071483913</v>
      </c>
      <c r="F507">
        <v>0.87687159205600296</v>
      </c>
      <c r="G507">
        <v>1.01374835197351</v>
      </c>
      <c r="H507">
        <v>0.93730019377774199</v>
      </c>
      <c r="I507">
        <v>0.95311900690856599</v>
      </c>
      <c r="J507">
        <v>0.90408944767504396</v>
      </c>
      <c r="K507">
        <v>0.44735762306560101</v>
      </c>
      <c r="L507">
        <v>3510.2864410392799</v>
      </c>
      <c r="M507">
        <v>52.597810851251801</v>
      </c>
      <c r="N507">
        <v>66.738261545001293</v>
      </c>
      <c r="O507">
        <v>66.642001116156294</v>
      </c>
      <c r="P507">
        <v>-0.19731493628861799</v>
      </c>
      <c r="Q507">
        <v>0</v>
      </c>
      <c r="R507">
        <v>0.91625577741186304</v>
      </c>
      <c r="S507" t="s">
        <v>6090</v>
      </c>
      <c r="T507" t="s">
        <v>11164</v>
      </c>
      <c r="U507" t="s">
        <v>11164</v>
      </c>
      <c r="V507" t="s">
        <v>11164</v>
      </c>
      <c r="W507" t="s">
        <v>11666</v>
      </c>
      <c r="X507">
        <v>12</v>
      </c>
      <c r="Y507" t="s">
        <v>17199</v>
      </c>
      <c r="Z507" t="s">
        <v>22657</v>
      </c>
      <c r="AA507">
        <v>0.96734329570169608</v>
      </c>
      <c r="AB507" t="str">
        <f>HYPERLINK("Melting_Curves/meltCurve_E9PGT1_TSN.pdf", "Melting_Curves/meltCurve_E9PGT1_TSN.pdf")</f>
        <v>Melting_Curves/meltCurve_E9PGT1_TSN.pdf</v>
      </c>
    </row>
    <row r="508" spans="1:28" x14ac:dyDescent="0.25">
      <c r="A508" t="s">
        <v>512</v>
      </c>
      <c r="B508">
        <v>0.99796759195183404</v>
      </c>
      <c r="C508">
        <v>1.0024197135603501</v>
      </c>
      <c r="D508">
        <v>0.98702625400472499</v>
      </c>
      <c r="E508">
        <v>0.94442616411941804</v>
      </c>
      <c r="F508">
        <v>0.83013947345523997</v>
      </c>
      <c r="G508">
        <v>0.417905631450816</v>
      </c>
      <c r="H508">
        <v>0.22034856871967401</v>
      </c>
      <c r="I508">
        <v>0.165987693832919</v>
      </c>
      <c r="J508">
        <v>0.13416599874658999</v>
      </c>
      <c r="K508">
        <v>9.6120386966287996E-2</v>
      </c>
      <c r="L508">
        <v>1399.00364082947</v>
      </c>
      <c r="M508">
        <v>26.587562723392001</v>
      </c>
      <c r="N508">
        <v>53.177931145556698</v>
      </c>
      <c r="O508">
        <v>52.323761825603299</v>
      </c>
      <c r="P508">
        <v>-0.111543065560297</v>
      </c>
      <c r="Q508">
        <v>0.121951717835091</v>
      </c>
      <c r="R508">
        <v>0.997851204736383</v>
      </c>
      <c r="S508" t="s">
        <v>6091</v>
      </c>
      <c r="T508" t="s">
        <v>11164</v>
      </c>
      <c r="U508" t="s">
        <v>11164</v>
      </c>
      <c r="V508" t="s">
        <v>11164</v>
      </c>
      <c r="W508" t="s">
        <v>11667</v>
      </c>
      <c r="X508">
        <v>15</v>
      </c>
      <c r="Y508" t="s">
        <v>17200</v>
      </c>
      <c r="Z508" t="s">
        <v>22658</v>
      </c>
      <c r="AA508">
        <v>0.58605262297567762</v>
      </c>
      <c r="AB508" t="str">
        <f>HYPERLINK("Melting_Curves/meltCurve_E9PGT3_RPS6KA1.pdf", "Melting_Curves/meltCurve_E9PGT3_RPS6KA1.pdf")</f>
        <v>Melting_Curves/meltCurve_E9PGT3_RPS6KA1.pdf</v>
      </c>
    </row>
    <row r="509" spans="1:28" x14ac:dyDescent="0.25">
      <c r="A509" t="s">
        <v>513</v>
      </c>
      <c r="B509">
        <v>0.99796759195183404</v>
      </c>
      <c r="C509">
        <v>0.96919926895533404</v>
      </c>
      <c r="D509">
        <v>0.84417829388448595</v>
      </c>
      <c r="E509">
        <v>0.82811033860915895</v>
      </c>
      <c r="F509">
        <v>0.90262868483097403</v>
      </c>
      <c r="G509">
        <v>1.2957497323946801</v>
      </c>
      <c r="H509">
        <v>1.1969850661336801</v>
      </c>
      <c r="I509">
        <v>0.76815500542205695</v>
      </c>
      <c r="J509">
        <v>1.9497804522064199</v>
      </c>
      <c r="K509">
        <v>1.1146165973439099</v>
      </c>
      <c r="L509">
        <v>942.67056501378102</v>
      </c>
      <c r="M509">
        <v>15.591875079332</v>
      </c>
      <c r="O509">
        <v>59.490759979545402</v>
      </c>
      <c r="P509">
        <v>3.06266299287557E-2</v>
      </c>
      <c r="Q509">
        <v>1.46738274446008</v>
      </c>
      <c r="R509">
        <v>0.247034526623958</v>
      </c>
      <c r="S509" t="s">
        <v>6092</v>
      </c>
      <c r="T509" t="s">
        <v>11164</v>
      </c>
      <c r="U509" t="s">
        <v>11164</v>
      </c>
      <c r="V509" t="s">
        <v>11164</v>
      </c>
      <c r="W509" t="s">
        <v>11668</v>
      </c>
      <c r="X509">
        <v>6</v>
      </c>
      <c r="Y509" t="s">
        <v>17201</v>
      </c>
      <c r="Z509" t="s">
        <v>22659</v>
      </c>
      <c r="AA509">
        <v>1.10584808126336</v>
      </c>
      <c r="AB509" t="str">
        <f>HYPERLINK("Melting_Curves/meltCurve_E9PGT6_COPS8.pdf", "Melting_Curves/meltCurve_E9PGT6_COPS8.pdf")</f>
        <v>Melting_Curves/meltCurve_E9PGT6_COPS8.pdf</v>
      </c>
    </row>
    <row r="510" spans="1:28" x14ac:dyDescent="0.25">
      <c r="A510" t="s">
        <v>514</v>
      </c>
      <c r="B510">
        <v>0.99796759195183404</v>
      </c>
      <c r="C510">
        <v>0.91268869137745101</v>
      </c>
      <c r="D510">
        <v>0.76785569939169795</v>
      </c>
      <c r="E510">
        <v>0.95306466382220001</v>
      </c>
      <c r="F510">
        <v>0.76984008932435899</v>
      </c>
      <c r="G510">
        <v>0.55665265030833</v>
      </c>
      <c r="H510">
        <v>0.67125776547193206</v>
      </c>
      <c r="I510">
        <v>0.54951156937770995</v>
      </c>
      <c r="J510">
        <v>0.36266986561612202</v>
      </c>
      <c r="K510">
        <v>0.38416969644044602</v>
      </c>
      <c r="L510">
        <v>314.87243079248401</v>
      </c>
      <c r="M510">
        <v>5.1643625420502204</v>
      </c>
      <c r="N510">
        <v>60.970221205530699</v>
      </c>
      <c r="O510">
        <v>53.607302986147602</v>
      </c>
      <c r="P510">
        <v>-2.4216274836956601E-2</v>
      </c>
      <c r="Q510">
        <v>0</v>
      </c>
      <c r="R510">
        <v>0.86694470326359496</v>
      </c>
      <c r="S510" t="s">
        <v>6093</v>
      </c>
      <c r="T510" t="s">
        <v>11164</v>
      </c>
      <c r="U510" t="s">
        <v>11164</v>
      </c>
      <c r="V510" t="s">
        <v>11164</v>
      </c>
      <c r="W510" t="s">
        <v>11669</v>
      </c>
      <c r="X510">
        <v>4</v>
      </c>
      <c r="Y510" t="s">
        <v>17202</v>
      </c>
      <c r="Z510" t="s">
        <v>22660</v>
      </c>
      <c r="AA510">
        <v>0.69843254694844348</v>
      </c>
      <c r="AB510" t="str">
        <f>HYPERLINK("Melting_Curves/meltCurve_E9PGW7_MED22.pdf", "Melting_Curves/meltCurve_E9PGW7_MED22.pdf")</f>
        <v>Melting_Curves/meltCurve_E9PGW7_MED22.pdf</v>
      </c>
    </row>
    <row r="511" spans="1:28" x14ac:dyDescent="0.25">
      <c r="A511" t="s">
        <v>515</v>
      </c>
      <c r="B511">
        <v>0.99796759195183404</v>
      </c>
      <c r="C511">
        <v>0.99026129189882806</v>
      </c>
      <c r="D511">
        <v>0.96341106252952802</v>
      </c>
      <c r="E511">
        <v>0.97254407537445897</v>
      </c>
      <c r="F511">
        <v>0.86726720858422901</v>
      </c>
      <c r="G511">
        <v>1.11684965247976</v>
      </c>
      <c r="H511">
        <v>1.0843368549845001</v>
      </c>
      <c r="I511">
        <v>1.35585702942284</v>
      </c>
      <c r="J511">
        <v>0.78548735181370499</v>
      </c>
      <c r="K511">
        <v>0.26378749886160702</v>
      </c>
      <c r="L511">
        <v>15000</v>
      </c>
      <c r="M511">
        <v>233.120466966327</v>
      </c>
      <c r="N511">
        <v>64.551994247789196</v>
      </c>
      <c r="O511">
        <v>64.339679045336993</v>
      </c>
      <c r="P511">
        <v>-0.66694053520173502</v>
      </c>
      <c r="Q511">
        <v>0.263715612397388</v>
      </c>
      <c r="R511">
        <v>0.76742762640350903</v>
      </c>
      <c r="S511" t="s">
        <v>6094</v>
      </c>
      <c r="T511" t="s">
        <v>11164</v>
      </c>
      <c r="U511" t="s">
        <v>11164</v>
      </c>
      <c r="V511" t="s">
        <v>11164</v>
      </c>
      <c r="W511" t="s">
        <v>11670</v>
      </c>
      <c r="X511">
        <v>13</v>
      </c>
      <c r="Y511" t="s">
        <v>17203</v>
      </c>
      <c r="Z511" t="s">
        <v>22661</v>
      </c>
      <c r="AA511">
        <v>0.93491937030703576</v>
      </c>
      <c r="AB511" t="str">
        <f>HYPERLINK("Melting_Curves/meltCurve_E9PH29_PRDX3.pdf", "Melting_Curves/meltCurve_E9PH29_PRDX3.pdf")</f>
        <v>Melting_Curves/meltCurve_E9PH29_PRDX3.pdf</v>
      </c>
    </row>
    <row r="512" spans="1:28" x14ac:dyDescent="0.25">
      <c r="A512" t="s">
        <v>516</v>
      </c>
      <c r="B512">
        <v>0.99796759195183404</v>
      </c>
      <c r="C512">
        <v>1.01660279421781</v>
      </c>
      <c r="D512">
        <v>0.97266523826474904</v>
      </c>
      <c r="E512">
        <v>0.85095416938747004</v>
      </c>
      <c r="F512">
        <v>0.748173183696211</v>
      </c>
      <c r="G512">
        <v>0.29692494048435503</v>
      </c>
      <c r="H512">
        <v>0.191315310002277</v>
      </c>
      <c r="I512">
        <v>0.24208722272882199</v>
      </c>
      <c r="J512">
        <v>0.168549954524261</v>
      </c>
      <c r="K512">
        <v>8.8307954820347798E-2</v>
      </c>
      <c r="L512">
        <v>1278.23920973791</v>
      </c>
      <c r="M512">
        <v>24.928496688025799</v>
      </c>
      <c r="N512">
        <v>52.000981821711598</v>
      </c>
      <c r="O512">
        <v>50.949671414574603</v>
      </c>
      <c r="P512">
        <v>-0.104370063046793</v>
      </c>
      <c r="Q512">
        <v>0.14675193129213199</v>
      </c>
      <c r="R512">
        <v>0.98178720869767</v>
      </c>
      <c r="S512" t="s">
        <v>6095</v>
      </c>
      <c r="T512" t="s">
        <v>11164</v>
      </c>
      <c r="U512" t="s">
        <v>11164</v>
      </c>
      <c r="V512" t="s">
        <v>11164</v>
      </c>
      <c r="W512" t="s">
        <v>11671</v>
      </c>
      <c r="X512">
        <v>5</v>
      </c>
      <c r="Y512" t="s">
        <v>17204</v>
      </c>
      <c r="Z512" t="s">
        <v>22662</v>
      </c>
      <c r="AA512">
        <v>0.56037108300623073</v>
      </c>
      <c r="AB512" t="str">
        <f>HYPERLINK("Melting_Curves/meltCurve_E9PHA2_NCAPH.pdf", "Melting_Curves/meltCurve_E9PHA2_NCAPH.pdf")</f>
        <v>Melting_Curves/meltCurve_E9PHA2_NCAPH.pdf</v>
      </c>
    </row>
    <row r="513" spans="1:28" x14ac:dyDescent="0.25">
      <c r="A513" t="s">
        <v>517</v>
      </c>
      <c r="B513">
        <v>0.99796759195183404</v>
      </c>
      <c r="C513">
        <v>0.94582508005808896</v>
      </c>
      <c r="D513">
        <v>1.2391821374476799</v>
      </c>
      <c r="E513">
        <v>1.23747603698136</v>
      </c>
      <c r="F513">
        <v>0.89636676760475498</v>
      </c>
      <c r="G513">
        <v>0.75590741563225505</v>
      </c>
      <c r="H513">
        <v>0.21605669547584899</v>
      </c>
      <c r="I513">
        <v>0.65755949579717299</v>
      </c>
      <c r="J513">
        <v>0.23605326279599501</v>
      </c>
      <c r="K513">
        <v>0.27348957351443898</v>
      </c>
      <c r="L513">
        <v>13477.9165863465</v>
      </c>
      <c r="M513">
        <v>250</v>
      </c>
      <c r="N513">
        <v>54.166528921581502</v>
      </c>
      <c r="O513">
        <v>53.908223666746601</v>
      </c>
      <c r="P513">
        <v>-0.75847698657738805</v>
      </c>
      <c r="Q513">
        <v>0.34578973668000001</v>
      </c>
      <c r="R513">
        <v>0.81301105228889003</v>
      </c>
      <c r="S513" t="s">
        <v>6096</v>
      </c>
      <c r="T513" t="s">
        <v>11164</v>
      </c>
      <c r="U513" t="s">
        <v>11164</v>
      </c>
      <c r="V513" t="s">
        <v>11164</v>
      </c>
      <c r="W513" t="s">
        <v>11672</v>
      </c>
      <c r="X513">
        <v>1</v>
      </c>
      <c r="Y513" t="s">
        <v>17205</v>
      </c>
      <c r="Z513" t="s">
        <v>22663</v>
      </c>
      <c r="AA513">
        <v>0.71464449065158953</v>
      </c>
      <c r="AB513" t="str">
        <f>HYPERLINK("Melting_Curves/meltCurve_E9PHC0_INPP4B.pdf", "Melting_Curves/meltCurve_E9PHC0_INPP4B.pdf")</f>
        <v>Melting_Curves/meltCurve_E9PHC0_INPP4B.pdf</v>
      </c>
    </row>
    <row r="514" spans="1:28" x14ac:dyDescent="0.25">
      <c r="A514" t="s">
        <v>518</v>
      </c>
      <c r="B514">
        <v>0.99796759195183404</v>
      </c>
      <c r="C514">
        <v>0.97464063994474903</v>
      </c>
      <c r="D514">
        <v>0.83918032386603703</v>
      </c>
      <c r="E514">
        <v>0.783861644280609</v>
      </c>
      <c r="F514">
        <v>1.1662195617209801</v>
      </c>
      <c r="G514">
        <v>0.86982491432603604</v>
      </c>
      <c r="H514">
        <v>0.56013152777095898</v>
      </c>
      <c r="I514">
        <v>0.24480944627710799</v>
      </c>
      <c r="J514">
        <v>0.19960987393287899</v>
      </c>
      <c r="K514">
        <v>0.32666109531392301</v>
      </c>
      <c r="L514">
        <v>2226.8075491814502</v>
      </c>
      <c r="M514">
        <v>39.276539173197001</v>
      </c>
      <c r="N514">
        <v>57.6795204112451</v>
      </c>
      <c r="O514">
        <v>56.549235362510103</v>
      </c>
      <c r="P514">
        <v>-0.13124652509957099</v>
      </c>
      <c r="Q514">
        <v>0.24414169983612299</v>
      </c>
      <c r="R514">
        <v>0.88921061450656003</v>
      </c>
      <c r="S514" t="s">
        <v>6097</v>
      </c>
      <c r="T514" t="s">
        <v>11164</v>
      </c>
      <c r="U514" t="s">
        <v>11164</v>
      </c>
      <c r="V514" t="s">
        <v>11164</v>
      </c>
      <c r="W514" t="s">
        <v>11673</v>
      </c>
      <c r="X514">
        <v>2</v>
      </c>
      <c r="Y514" t="s">
        <v>17206</v>
      </c>
      <c r="Z514" t="s">
        <v>22664</v>
      </c>
      <c r="AA514">
        <v>0.74332362365313587</v>
      </c>
      <c r="AB514" t="str">
        <f>HYPERLINK("Melting_Curves/meltCurve_E9PHG5_CYP20A1.pdf", "Melting_Curves/meltCurve_E9PHG5_CYP20A1.pdf")</f>
        <v>Melting_Curves/meltCurve_E9PHG5_CYP20A1.pdf</v>
      </c>
    </row>
    <row r="515" spans="1:28" x14ac:dyDescent="0.25">
      <c r="A515" t="s">
        <v>519</v>
      </c>
      <c r="B515">
        <v>0.99796759195183404</v>
      </c>
      <c r="C515">
        <v>0.94610146890117197</v>
      </c>
      <c r="D515">
        <v>0.92402558107824295</v>
      </c>
      <c r="E515">
        <v>0.93456156211155295</v>
      </c>
      <c r="F515">
        <v>0.79885181648033399</v>
      </c>
      <c r="G515">
        <v>0.68844892163545901</v>
      </c>
      <c r="H515">
        <v>0.51905959860717099</v>
      </c>
      <c r="I515">
        <v>0.31571651886260699</v>
      </c>
      <c r="J515">
        <v>0.22638253233328401</v>
      </c>
      <c r="K515">
        <v>0.20425279420130299</v>
      </c>
      <c r="L515">
        <v>600.30850346757495</v>
      </c>
      <c r="M515">
        <v>10.4718714542221</v>
      </c>
      <c r="N515">
        <v>57.3258090821829</v>
      </c>
      <c r="O515">
        <v>55.353609974113901</v>
      </c>
      <c r="P515">
        <v>-4.7314620106143401E-2</v>
      </c>
      <c r="Q515">
        <v>0</v>
      </c>
      <c r="R515">
        <v>0.99137976762412905</v>
      </c>
      <c r="S515" t="s">
        <v>6098</v>
      </c>
      <c r="T515" t="s">
        <v>11164</v>
      </c>
      <c r="U515" t="s">
        <v>11164</v>
      </c>
      <c r="V515" t="s">
        <v>11164</v>
      </c>
      <c r="W515" t="s">
        <v>11674</v>
      </c>
      <c r="X515">
        <v>47</v>
      </c>
      <c r="Y515" t="s">
        <v>17207</v>
      </c>
      <c r="Z515" t="s">
        <v>22665</v>
      </c>
      <c r="AA515">
        <v>0.67603539712767902</v>
      </c>
      <c r="AB515" t="str">
        <f>HYPERLINK("Melting_Curves/meltCurve_E9PHK9_TCOF1.pdf", "Melting_Curves/meltCurve_E9PHK9_TCOF1.pdf")</f>
        <v>Melting_Curves/meltCurve_E9PHK9_TCOF1.pdf</v>
      </c>
    </row>
    <row r="516" spans="1:28" x14ac:dyDescent="0.25">
      <c r="A516" t="s">
        <v>520</v>
      </c>
      <c r="B516">
        <v>0.99796759195183404</v>
      </c>
      <c r="C516">
        <v>1.02780332069457</v>
      </c>
      <c r="D516">
        <v>1.05757241655442</v>
      </c>
      <c r="E516">
        <v>0.95107984084678598</v>
      </c>
      <c r="F516">
        <v>0.93994716372863296</v>
      </c>
      <c r="G516">
        <v>0.46040082614116801</v>
      </c>
      <c r="H516">
        <v>0.23556752072172299</v>
      </c>
      <c r="I516">
        <v>0.14399578004628399</v>
      </c>
      <c r="J516">
        <v>0.13399179798567301</v>
      </c>
      <c r="K516">
        <v>0.102934403945416</v>
      </c>
      <c r="L516">
        <v>1899.8974675484101</v>
      </c>
      <c r="M516">
        <v>35.704684862734297</v>
      </c>
      <c r="N516">
        <v>53.676267378004297</v>
      </c>
      <c r="O516">
        <v>53.045340678998997</v>
      </c>
      <c r="P516">
        <v>-0.14589716181875501</v>
      </c>
      <c r="Q516">
        <v>0.13298330743937201</v>
      </c>
      <c r="R516">
        <v>0.99364223786170502</v>
      </c>
      <c r="S516" t="s">
        <v>6099</v>
      </c>
      <c r="T516" t="s">
        <v>11164</v>
      </c>
      <c r="U516" t="s">
        <v>11164</v>
      </c>
      <c r="V516" t="s">
        <v>11164</v>
      </c>
      <c r="W516" t="s">
        <v>11675</v>
      </c>
      <c r="X516">
        <v>5</v>
      </c>
      <c r="Y516" t="s">
        <v>17208</v>
      </c>
      <c r="Z516" t="s">
        <v>22666</v>
      </c>
      <c r="AA516">
        <v>0.60546805977686213</v>
      </c>
      <c r="AB516" t="str">
        <f>HYPERLINK("Melting_Curves/meltCurve_E9PHN7_GSTM2.pdf", "Melting_Curves/meltCurve_E9PHN7_GSTM2.pdf")</f>
        <v>Melting_Curves/meltCurve_E9PHN7_GSTM2.pdf</v>
      </c>
    </row>
    <row r="517" spans="1:28" x14ac:dyDescent="0.25">
      <c r="A517" t="s">
        <v>521</v>
      </c>
      <c r="B517">
        <v>0.99796759195183404</v>
      </c>
      <c r="C517">
        <v>1.06191757147199</v>
      </c>
      <c r="D517">
        <v>0.99933892484641995</v>
      </c>
      <c r="E517">
        <v>0.96424572220854299</v>
      </c>
      <c r="F517">
        <v>1.01141621776185</v>
      </c>
      <c r="G517">
        <v>0.90570570774734604</v>
      </c>
      <c r="H517">
        <v>1.0508828222704401</v>
      </c>
      <c r="I517">
        <v>0.95347592266055503</v>
      </c>
      <c r="J517">
        <v>1.1329513365569199</v>
      </c>
      <c r="K517">
        <v>0.57006294759798604</v>
      </c>
      <c r="L517">
        <v>15000</v>
      </c>
      <c r="M517">
        <v>223.59842239910299</v>
      </c>
      <c r="Q517">
        <v>0</v>
      </c>
      <c r="R517">
        <v>0.82501246987983401</v>
      </c>
      <c r="S517" t="s">
        <v>6100</v>
      </c>
      <c r="T517" t="s">
        <v>11164</v>
      </c>
      <c r="U517" t="s">
        <v>11164</v>
      </c>
      <c r="V517" t="s">
        <v>11164</v>
      </c>
      <c r="W517" t="s">
        <v>11676</v>
      </c>
      <c r="X517">
        <v>7</v>
      </c>
      <c r="Y517" t="s">
        <v>17209</v>
      </c>
      <c r="Z517" t="s">
        <v>22667</v>
      </c>
      <c r="AA517">
        <v>0.99445067860584502</v>
      </c>
      <c r="AB517" t="str">
        <f>HYPERLINK("Melting_Curves/meltCurve_E9PHV4_POLR2D.pdf", "Melting_Curves/meltCurve_E9PHV4_POLR2D.pdf")</f>
        <v>Melting_Curves/meltCurve_E9PHV4_POLR2D.pdf</v>
      </c>
    </row>
    <row r="518" spans="1:28" x14ac:dyDescent="0.25">
      <c r="A518" t="s">
        <v>522</v>
      </c>
      <c r="B518">
        <v>0.99796759195183404</v>
      </c>
      <c r="C518">
        <v>0.90095147351947402</v>
      </c>
      <c r="D518">
        <v>1.25078936708488</v>
      </c>
      <c r="E518">
        <v>1.0281246090806</v>
      </c>
      <c r="F518">
        <v>0.78280835821005101</v>
      </c>
      <c r="G518">
        <v>0.43025962409846802</v>
      </c>
      <c r="H518">
        <v>0.62414934296299396</v>
      </c>
      <c r="I518">
        <v>0.58192708587294795</v>
      </c>
      <c r="J518">
        <v>0.71981597281549103</v>
      </c>
      <c r="K518">
        <v>0.24795285339789699</v>
      </c>
      <c r="L518">
        <v>12559.4133066011</v>
      </c>
      <c r="M518">
        <v>250</v>
      </c>
      <c r="O518">
        <v>50.234438363494199</v>
      </c>
      <c r="P518">
        <v>-0.59617844310529899</v>
      </c>
      <c r="Q518">
        <v>0.52082097263105598</v>
      </c>
      <c r="R518">
        <v>0.74128506606507905</v>
      </c>
      <c r="S518" t="s">
        <v>6101</v>
      </c>
      <c r="T518" t="s">
        <v>11164</v>
      </c>
      <c r="U518" t="s">
        <v>11164</v>
      </c>
      <c r="V518" t="s">
        <v>11164</v>
      </c>
      <c r="W518" t="s">
        <v>11677</v>
      </c>
      <c r="X518">
        <v>8</v>
      </c>
      <c r="Y518" t="s">
        <v>17210</v>
      </c>
      <c r="Z518" t="s">
        <v>22668</v>
      </c>
      <c r="AA518">
        <v>0.73230341332857851</v>
      </c>
      <c r="AB518" t="str">
        <f>HYPERLINK("Melting_Curves/meltCurve_E9PIE4_MTCH2.pdf", "Melting_Curves/meltCurve_E9PIE4_MTCH2.pdf")</f>
        <v>Melting_Curves/meltCurve_E9PIE4_MTCH2.pdf</v>
      </c>
    </row>
    <row r="519" spans="1:28" x14ac:dyDescent="0.25">
      <c r="A519" t="s">
        <v>523</v>
      </c>
      <c r="B519">
        <v>0.99796759195183404</v>
      </c>
      <c r="C519">
        <v>1.01960260996684</v>
      </c>
      <c r="D519">
        <v>0.99207570754324104</v>
      </c>
      <c r="E519">
        <v>0.99393429688177404</v>
      </c>
      <c r="F519">
        <v>0.85499943514371202</v>
      </c>
      <c r="G519">
        <v>0.76002828341157502</v>
      </c>
      <c r="H519">
        <v>0.64544812591033496</v>
      </c>
      <c r="I519">
        <v>0.197984014754646</v>
      </c>
      <c r="J519">
        <v>4.9616614383659101E-2</v>
      </c>
      <c r="K519">
        <v>2.2610408015126801E-2</v>
      </c>
      <c r="L519">
        <v>1238.3647837553499</v>
      </c>
      <c r="M519">
        <v>21.445944383846101</v>
      </c>
      <c r="N519">
        <v>57.743563238988699</v>
      </c>
      <c r="O519">
        <v>57.248510827643301</v>
      </c>
      <c r="P519">
        <v>-9.3655169311201394E-2</v>
      </c>
      <c r="Q519">
        <v>0</v>
      </c>
      <c r="R519">
        <v>0.97665519135434198</v>
      </c>
      <c r="S519" t="s">
        <v>6102</v>
      </c>
      <c r="T519" t="s">
        <v>11164</v>
      </c>
      <c r="U519" t="s">
        <v>11164</v>
      </c>
      <c r="V519" t="s">
        <v>11164</v>
      </c>
      <c r="W519" t="s">
        <v>11678</v>
      </c>
      <c r="X519">
        <v>1</v>
      </c>
      <c r="Y519" t="s">
        <v>17211</v>
      </c>
      <c r="Z519" t="s">
        <v>22669</v>
      </c>
      <c r="AA519">
        <v>0.69876872606830298</v>
      </c>
      <c r="AB519" t="str">
        <f>HYPERLINK("Melting_Curves/meltCurve_E9PIN3_NXF1.pdf", "Melting_Curves/meltCurve_E9PIN3_NXF1.pdf")</f>
        <v>Melting_Curves/meltCurve_E9PIN3_NXF1.pdf</v>
      </c>
    </row>
    <row r="520" spans="1:28" x14ac:dyDescent="0.25">
      <c r="A520" t="s">
        <v>524</v>
      </c>
      <c r="B520">
        <v>0.99796759195183404</v>
      </c>
      <c r="C520">
        <v>1.3060292386918899</v>
      </c>
      <c r="D520">
        <v>1.28065011231945</v>
      </c>
      <c r="E520">
        <v>1.1608406788473999</v>
      </c>
      <c r="F520">
        <v>0.92356903662168599</v>
      </c>
      <c r="G520">
        <v>0.635164980670335</v>
      </c>
      <c r="H520">
        <v>0.17124289699716999</v>
      </c>
      <c r="I520">
        <v>0</v>
      </c>
      <c r="J520">
        <v>0</v>
      </c>
      <c r="K520">
        <v>0</v>
      </c>
      <c r="L520">
        <v>1872.4085573770999</v>
      </c>
      <c r="M520">
        <v>34.258110011509501</v>
      </c>
      <c r="N520">
        <v>54.6559213317908</v>
      </c>
      <c r="O520">
        <v>54.470698444668301</v>
      </c>
      <c r="P520">
        <v>-0.15723245483112799</v>
      </c>
      <c r="Q520">
        <v>0</v>
      </c>
      <c r="R520">
        <v>0.927730082344567</v>
      </c>
      <c r="S520" t="s">
        <v>6103</v>
      </c>
      <c r="T520" t="s">
        <v>11164</v>
      </c>
      <c r="U520" t="s">
        <v>11164</v>
      </c>
      <c r="V520" t="s">
        <v>11164</v>
      </c>
      <c r="W520" t="s">
        <v>11679</v>
      </c>
      <c r="X520">
        <v>1</v>
      </c>
      <c r="Y520" t="s">
        <v>17212</v>
      </c>
      <c r="Z520" t="s">
        <v>22670</v>
      </c>
      <c r="AA520">
        <v>0.5935429429601774</v>
      </c>
      <c r="AB520" t="str">
        <f>HYPERLINK("Melting_Curves/meltCurve_E9PIQ1_BRCA2.pdf", "Melting_Curves/meltCurve_E9PIQ1_BRCA2.pdf")</f>
        <v>Melting_Curves/meltCurve_E9PIQ1_BRCA2.pdf</v>
      </c>
    </row>
    <row r="521" spans="1:28" x14ac:dyDescent="0.25">
      <c r="A521" t="s">
        <v>525</v>
      </c>
      <c r="B521">
        <v>0.99796759195183404</v>
      </c>
      <c r="C521">
        <v>0.67062644728675302</v>
      </c>
      <c r="D521">
        <v>0.90298362122805098</v>
      </c>
      <c r="E521">
        <v>1.03985853779949</v>
      </c>
      <c r="F521">
        <v>0.95679421555118305</v>
      </c>
      <c r="G521">
        <v>0.88424505929095198</v>
      </c>
      <c r="H521">
        <v>0.33109250091516101</v>
      </c>
      <c r="I521">
        <v>0.185742140978082</v>
      </c>
      <c r="J521">
        <v>0.12813546220984401</v>
      </c>
      <c r="K521">
        <v>0.10928036370592301</v>
      </c>
      <c r="L521">
        <v>2520.0732816596301</v>
      </c>
      <c r="M521">
        <v>45.054207324920498</v>
      </c>
      <c r="N521">
        <v>56.314300839111503</v>
      </c>
      <c r="O521">
        <v>55.824404479266001</v>
      </c>
      <c r="P521">
        <v>-0.175318171345131</v>
      </c>
      <c r="Q521">
        <v>0.13108961835406699</v>
      </c>
      <c r="R521">
        <v>0.90966806695704705</v>
      </c>
      <c r="S521" t="s">
        <v>6104</v>
      </c>
      <c r="T521" t="s">
        <v>11164</v>
      </c>
      <c r="U521" t="s">
        <v>11164</v>
      </c>
      <c r="V521" t="s">
        <v>11164</v>
      </c>
      <c r="W521" t="s">
        <v>11680</v>
      </c>
      <c r="X521">
        <v>14</v>
      </c>
      <c r="Y521" t="s">
        <v>17213</v>
      </c>
      <c r="Z521" t="s">
        <v>22671</v>
      </c>
      <c r="AA521">
        <v>0.68210696800401704</v>
      </c>
      <c r="AB521" t="str">
        <f>HYPERLINK("Melting_Curves/meltCurve_E9PIR7_TXNRD1.pdf", "Melting_Curves/meltCurve_E9PIR7_TXNRD1.pdf")</f>
        <v>Melting_Curves/meltCurve_E9PIR7_TXNRD1.pdf</v>
      </c>
    </row>
    <row r="522" spans="1:28" x14ac:dyDescent="0.25">
      <c r="A522" t="s">
        <v>526</v>
      </c>
      <c r="B522">
        <v>0.99796759195183404</v>
      </c>
      <c r="C522">
        <v>1.21689243695704</v>
      </c>
      <c r="D522">
        <v>1.0352522308937899</v>
      </c>
      <c r="E522">
        <v>0.98325494422965098</v>
      </c>
      <c r="F522">
        <v>0.99229739171054598</v>
      </c>
      <c r="G522">
        <v>0.53462898711345197</v>
      </c>
      <c r="H522">
        <v>0.38852406801710998</v>
      </c>
      <c r="I522">
        <v>0.29841306380889798</v>
      </c>
      <c r="J522">
        <v>0.25514564558526698</v>
      </c>
      <c r="K522">
        <v>0.210078130391123</v>
      </c>
      <c r="L522">
        <v>2129.80756412971</v>
      </c>
      <c r="M522">
        <v>39.975167390289698</v>
      </c>
      <c r="N522">
        <v>54.346209153330697</v>
      </c>
      <c r="O522">
        <v>53.145473886969803</v>
      </c>
      <c r="P522">
        <v>-0.13688578506794699</v>
      </c>
      <c r="Q522">
        <v>0.272063828191007</v>
      </c>
      <c r="R522">
        <v>0.95381628882281999</v>
      </c>
      <c r="S522" t="s">
        <v>6105</v>
      </c>
      <c r="T522" t="s">
        <v>11164</v>
      </c>
      <c r="U522" t="s">
        <v>11164</v>
      </c>
      <c r="V522" t="s">
        <v>11164</v>
      </c>
      <c r="W522" t="s">
        <v>11681</v>
      </c>
      <c r="X522">
        <v>18</v>
      </c>
      <c r="Y522" t="s">
        <v>17214</v>
      </c>
      <c r="Z522" t="s">
        <v>22672</v>
      </c>
      <c r="AA522">
        <v>0.66971814587942069</v>
      </c>
      <c r="AB522" t="str">
        <f>HYPERLINK("Melting_Curves/meltCurve_E9PJ81_UBXN1.pdf", "Melting_Curves/meltCurve_E9PJ81_UBXN1.pdf")</f>
        <v>Melting_Curves/meltCurve_E9PJ81_UBXN1.pdf</v>
      </c>
    </row>
    <row r="523" spans="1:28" x14ac:dyDescent="0.25">
      <c r="A523" t="s">
        <v>527</v>
      </c>
      <c r="B523">
        <v>0.99796759195183404</v>
      </c>
      <c r="C523">
        <v>0.95125445878327297</v>
      </c>
      <c r="D523">
        <v>1.0007830067004599</v>
      </c>
      <c r="E523">
        <v>0.97796664451802695</v>
      </c>
      <c r="F523">
        <v>0.789471728418911</v>
      </c>
      <c r="G523">
        <v>0.423274458683358</v>
      </c>
      <c r="H523">
        <v>0.53070743147538701</v>
      </c>
      <c r="I523">
        <v>0.58240464766631495</v>
      </c>
      <c r="J523">
        <v>0.57134168211840997</v>
      </c>
      <c r="K523">
        <v>0.43842699611754399</v>
      </c>
      <c r="L523">
        <v>12564.3586402699</v>
      </c>
      <c r="M523">
        <v>250</v>
      </c>
      <c r="O523">
        <v>50.254218435230598</v>
      </c>
      <c r="P523">
        <v>-0.61035791682339902</v>
      </c>
      <c r="Q523">
        <v>0.50923103952603499</v>
      </c>
      <c r="R523">
        <v>0.95246943233155701</v>
      </c>
      <c r="S523" t="s">
        <v>6106</v>
      </c>
      <c r="T523" t="s">
        <v>11164</v>
      </c>
      <c r="U523" t="s">
        <v>11164</v>
      </c>
      <c r="V523" t="s">
        <v>11164</v>
      </c>
      <c r="W523" t="s">
        <v>11682</v>
      </c>
      <c r="X523">
        <v>2</v>
      </c>
      <c r="Y523" t="s">
        <v>17215</v>
      </c>
      <c r="Z523" t="s">
        <v>22673</v>
      </c>
      <c r="AA523">
        <v>0.72615223844980192</v>
      </c>
      <c r="AB523" t="str">
        <f>HYPERLINK("Melting_Curves/meltCurve_E9PJB8_VIMP.pdf", "Melting_Curves/meltCurve_E9PJB8_VIMP.pdf")</f>
        <v>Melting_Curves/meltCurve_E9PJB8_VIMP.pdf</v>
      </c>
    </row>
    <row r="524" spans="1:28" x14ac:dyDescent="0.25">
      <c r="A524" t="s">
        <v>528</v>
      </c>
      <c r="B524">
        <v>0.99796759195183404</v>
      </c>
      <c r="C524">
        <v>0.92792304681807702</v>
      </c>
      <c r="D524">
        <v>0.91750978007900996</v>
      </c>
      <c r="E524">
        <v>0.94482291271772401</v>
      </c>
      <c r="F524">
        <v>0.79564555513587898</v>
      </c>
      <c r="G524">
        <v>0.63611912423587702</v>
      </c>
      <c r="H524">
        <v>0.48099071335389498</v>
      </c>
      <c r="I524">
        <v>0.30590760072655199</v>
      </c>
      <c r="J524">
        <v>0.18708377989215599</v>
      </c>
      <c r="K524">
        <v>0.157881853927163</v>
      </c>
      <c r="L524">
        <v>625.46153806627501</v>
      </c>
      <c r="M524">
        <v>11.0595816652644</v>
      </c>
      <c r="N524">
        <v>56.553815268662802</v>
      </c>
      <c r="O524">
        <v>54.799228498762297</v>
      </c>
      <c r="P524">
        <v>-5.0471678352218101E-2</v>
      </c>
      <c r="Q524">
        <v>0</v>
      </c>
      <c r="R524">
        <v>0.99091122343141702</v>
      </c>
      <c r="S524" t="s">
        <v>6107</v>
      </c>
      <c r="T524" t="s">
        <v>11164</v>
      </c>
      <c r="U524" t="s">
        <v>11164</v>
      </c>
      <c r="V524" t="s">
        <v>11164</v>
      </c>
      <c r="W524" t="s">
        <v>11683</v>
      </c>
      <c r="X524">
        <v>3</v>
      </c>
      <c r="Y524" t="s">
        <v>17216</v>
      </c>
      <c r="Z524" t="s">
        <v>22674</v>
      </c>
      <c r="AA524">
        <v>0.65702871556003195</v>
      </c>
      <c r="AB524" t="str">
        <f>HYPERLINK("Melting_Curves/meltCurve_E9PJD7_CYHR1.pdf", "Melting_Curves/meltCurve_E9PJD7_CYHR1.pdf")</f>
        <v>Melting_Curves/meltCurve_E9PJD7_CYHR1.pdf</v>
      </c>
    </row>
    <row r="525" spans="1:28" x14ac:dyDescent="0.25">
      <c r="A525" t="s">
        <v>529</v>
      </c>
      <c r="B525">
        <v>0.99796759195183404</v>
      </c>
      <c r="C525">
        <v>0.84801857952756299</v>
      </c>
      <c r="D525">
        <v>0.79905317965090095</v>
      </c>
      <c r="E525">
        <v>0.90188071233435696</v>
      </c>
      <c r="F525">
        <v>0.75666863079716196</v>
      </c>
      <c r="G525">
        <v>0.30506668601606202</v>
      </c>
      <c r="H525">
        <v>0.265881360458672</v>
      </c>
      <c r="I525">
        <v>0.21956239344043699</v>
      </c>
      <c r="J525">
        <v>0.198256331279102</v>
      </c>
      <c r="K525">
        <v>0.149105259602619</v>
      </c>
      <c r="S525" t="s">
        <v>6108</v>
      </c>
      <c r="T525" t="s">
        <v>11164</v>
      </c>
      <c r="U525" t="s">
        <v>11165</v>
      </c>
      <c r="V525" t="s">
        <v>11164</v>
      </c>
      <c r="W525" t="s">
        <v>11684</v>
      </c>
      <c r="X525">
        <v>2</v>
      </c>
      <c r="Y525" t="s">
        <v>17217</v>
      </c>
      <c r="Z525" t="s">
        <v>22675</v>
      </c>
      <c r="AB525" t="str">
        <f>HYPERLINK("Melting_Curves/meltCurve_E9PJH1_MKNK1.pdf", "Melting_Curves/meltCurve_E9PJH1_MKNK1.pdf")</f>
        <v>Melting_Curves/meltCurve_E9PJH1_MKNK1.pdf</v>
      </c>
    </row>
    <row r="526" spans="1:28" x14ac:dyDescent="0.25">
      <c r="A526" t="s">
        <v>530</v>
      </c>
      <c r="B526">
        <v>0.99796759195183404</v>
      </c>
      <c r="C526">
        <v>0.92192053707695398</v>
      </c>
      <c r="D526">
        <v>1.0052558370573501</v>
      </c>
      <c r="E526">
        <v>0.87116286946501598</v>
      </c>
      <c r="F526">
        <v>0.88786432121945302</v>
      </c>
      <c r="G526">
        <v>0.61251791939894895</v>
      </c>
      <c r="H526">
        <v>0.53987872239885204</v>
      </c>
      <c r="I526">
        <v>0.481854845864506</v>
      </c>
      <c r="J526">
        <v>0.60318067661216701</v>
      </c>
      <c r="K526">
        <v>0.42139188277920597</v>
      </c>
      <c r="L526">
        <v>1015.91421000781</v>
      </c>
      <c r="M526">
        <v>19.6166133292718</v>
      </c>
      <c r="N526">
        <v>62.381549383228702</v>
      </c>
      <c r="O526">
        <v>51.2592792722008</v>
      </c>
      <c r="P526">
        <v>-4.9548784396953302E-2</v>
      </c>
      <c r="Q526">
        <v>0.48212350598361697</v>
      </c>
      <c r="R526">
        <v>0.92204342767998704</v>
      </c>
      <c r="S526" t="s">
        <v>6109</v>
      </c>
      <c r="T526" t="s">
        <v>11164</v>
      </c>
      <c r="U526" t="s">
        <v>11164</v>
      </c>
      <c r="V526" t="s">
        <v>11164</v>
      </c>
      <c r="W526" t="s">
        <v>11685</v>
      </c>
      <c r="X526">
        <v>4</v>
      </c>
      <c r="Y526" t="s">
        <v>17218</v>
      </c>
      <c r="Z526" t="s">
        <v>22676</v>
      </c>
      <c r="AA526">
        <v>0.74433087047311963</v>
      </c>
      <c r="AB526" t="str">
        <f>HYPERLINK("Melting_Curves/meltCurve_E9PJK1_CD81.pdf", "Melting_Curves/meltCurve_E9PJK1_CD81.pdf")</f>
        <v>Melting_Curves/meltCurve_E9PJK1_CD81.pdf</v>
      </c>
    </row>
    <row r="527" spans="1:28" x14ac:dyDescent="0.25">
      <c r="A527" t="s">
        <v>531</v>
      </c>
      <c r="B527">
        <v>0.99796759195183404</v>
      </c>
      <c r="C527">
        <v>0.97196071943200701</v>
      </c>
      <c r="D527">
        <v>0.98483160540335901</v>
      </c>
      <c r="E527">
        <v>0.91686260641739203</v>
      </c>
      <c r="F527">
        <v>0.57502814504223598</v>
      </c>
      <c r="G527">
        <v>0.19094111385558099</v>
      </c>
      <c r="H527">
        <v>0.12755069036594599</v>
      </c>
      <c r="I527">
        <v>0.108202622817092</v>
      </c>
      <c r="J527">
        <v>7.9191203830525997E-2</v>
      </c>
      <c r="K527">
        <v>7.3112196402408E-2</v>
      </c>
      <c r="L527">
        <v>1492.64349025966</v>
      </c>
      <c r="M527">
        <v>29.628573487973799</v>
      </c>
      <c r="N527">
        <v>50.7031136651566</v>
      </c>
      <c r="O527">
        <v>50.150708928346397</v>
      </c>
      <c r="P527">
        <v>-0.13493922669272099</v>
      </c>
      <c r="Q527">
        <v>8.6388851585569595E-2</v>
      </c>
      <c r="R527">
        <v>0.99872705367061998</v>
      </c>
      <c r="S527" t="s">
        <v>6110</v>
      </c>
      <c r="T527" t="s">
        <v>11164</v>
      </c>
      <c r="U527" t="s">
        <v>11164</v>
      </c>
      <c r="V527" t="s">
        <v>11164</v>
      </c>
      <c r="W527" t="s">
        <v>11686</v>
      </c>
      <c r="X527">
        <v>4</v>
      </c>
      <c r="Y527" t="s">
        <v>17219</v>
      </c>
      <c r="Z527" t="s">
        <v>22677</v>
      </c>
      <c r="AA527">
        <v>0.49959338790389729</v>
      </c>
      <c r="AB527" t="str">
        <f>HYPERLINK("Melting_Curves/meltCurve_E9PJW9_OSBPL9.pdf", "Melting_Curves/meltCurve_E9PJW9_OSBPL9.pdf")</f>
        <v>Melting_Curves/meltCurve_E9PJW9_OSBPL9.pdf</v>
      </c>
    </row>
    <row r="528" spans="1:28" x14ac:dyDescent="0.25">
      <c r="A528" t="s">
        <v>532</v>
      </c>
      <c r="B528">
        <v>0.99796759195183404</v>
      </c>
      <c r="C528">
        <v>1.11809001788546</v>
      </c>
      <c r="D528">
        <v>1.0621492611677401</v>
      </c>
      <c r="E528">
        <v>0.99894972830421103</v>
      </c>
      <c r="F528">
        <v>0.98255258429126702</v>
      </c>
      <c r="G528">
        <v>1.55233093386254</v>
      </c>
      <c r="H528">
        <v>0.55336703173577695</v>
      </c>
      <c r="I528">
        <v>0.57505161098701296</v>
      </c>
      <c r="J528">
        <v>0.89555967126266001</v>
      </c>
      <c r="K528">
        <v>0.75983985944521504</v>
      </c>
      <c r="L528">
        <v>3404.17216882715</v>
      </c>
      <c r="M528">
        <v>60.617726961768099</v>
      </c>
      <c r="O528">
        <v>56.096987115403302</v>
      </c>
      <c r="P528">
        <v>-8.0699637709695696E-2</v>
      </c>
      <c r="Q528">
        <v>0.70127507388461796</v>
      </c>
      <c r="R528">
        <v>0.40046119690342502</v>
      </c>
      <c r="S528" t="s">
        <v>6111</v>
      </c>
      <c r="T528" t="s">
        <v>11164</v>
      </c>
      <c r="U528" t="s">
        <v>11164</v>
      </c>
      <c r="V528" t="s">
        <v>11164</v>
      </c>
      <c r="W528" t="s">
        <v>11687</v>
      </c>
      <c r="X528">
        <v>7</v>
      </c>
      <c r="Y528" t="s">
        <v>17220</v>
      </c>
      <c r="Z528" t="s">
        <v>22678</v>
      </c>
      <c r="AA528">
        <v>0.8925429222949488</v>
      </c>
      <c r="AB528" t="str">
        <f>HYPERLINK("Melting_Curves/meltCurve_E9PK01_EEF1D.pdf", "Melting_Curves/meltCurve_E9PK01_EEF1D.pdf")</f>
        <v>Melting_Curves/meltCurve_E9PK01_EEF1D.pdf</v>
      </c>
    </row>
    <row r="529" spans="1:28" x14ac:dyDescent="0.25">
      <c r="A529" t="s">
        <v>533</v>
      </c>
      <c r="B529">
        <v>0.99796759195183404</v>
      </c>
      <c r="C529">
        <v>1.0166936343794</v>
      </c>
      <c r="D529">
        <v>0.94729977789498998</v>
      </c>
      <c r="E529">
        <v>1.0129859257809</v>
      </c>
      <c r="F529">
        <v>0.80635333395543496</v>
      </c>
      <c r="G529">
        <v>0.74509444497550903</v>
      </c>
      <c r="H529">
        <v>0.41239281053639099</v>
      </c>
      <c r="I529">
        <v>0.26300098212380002</v>
      </c>
      <c r="J529">
        <v>0.18093167718638301</v>
      </c>
      <c r="K529">
        <v>0.14029178045287999</v>
      </c>
      <c r="L529">
        <v>916.18648827398101</v>
      </c>
      <c r="M529">
        <v>16.381474758988499</v>
      </c>
      <c r="N529">
        <v>56.505773147381298</v>
      </c>
      <c r="O529">
        <v>55.114689128243498</v>
      </c>
      <c r="P529">
        <v>-6.8583198543218496E-2</v>
      </c>
      <c r="Q529">
        <v>7.7086415463208505E-2</v>
      </c>
      <c r="R529">
        <v>0.98796740721717702</v>
      </c>
      <c r="S529" t="s">
        <v>6112</v>
      </c>
      <c r="T529" t="s">
        <v>11164</v>
      </c>
      <c r="U529" t="s">
        <v>11164</v>
      </c>
      <c r="V529" t="s">
        <v>11164</v>
      </c>
      <c r="W529" t="s">
        <v>11688</v>
      </c>
      <c r="X529">
        <v>14</v>
      </c>
      <c r="Y529" t="s">
        <v>17221</v>
      </c>
      <c r="Z529" t="s">
        <v>22679</v>
      </c>
      <c r="AA529">
        <v>0.67007911165836254</v>
      </c>
      <c r="AB529" t="str">
        <f>HYPERLINK("Melting_Curves/meltCurve_E9PK91_BCLAF1.pdf", "Melting_Curves/meltCurve_E9PK91_BCLAF1.pdf")</f>
        <v>Melting_Curves/meltCurve_E9PK91_BCLAF1.pdf</v>
      </c>
    </row>
    <row r="530" spans="1:28" x14ac:dyDescent="0.25">
      <c r="A530" t="s">
        <v>534</v>
      </c>
      <c r="B530">
        <v>0.99796759195183404</v>
      </c>
      <c r="C530">
        <v>1.01469962856398</v>
      </c>
      <c r="D530">
        <v>1.0522911284865299</v>
      </c>
      <c r="E530">
        <v>1.00322435240498</v>
      </c>
      <c r="F530">
        <v>0.99712592216344398</v>
      </c>
      <c r="G530">
        <v>1.7896489627740899</v>
      </c>
      <c r="H530">
        <v>0.50519994606923901</v>
      </c>
      <c r="I530">
        <v>0.247415924005114</v>
      </c>
      <c r="J530">
        <v>0.19227977974084001</v>
      </c>
      <c r="K530">
        <v>0.14140686798240901</v>
      </c>
      <c r="L530">
        <v>14323.4378617575</v>
      </c>
      <c r="M530">
        <v>250</v>
      </c>
      <c r="N530">
        <v>57.406278188822697</v>
      </c>
      <c r="O530">
        <v>57.290085126593702</v>
      </c>
      <c r="P530">
        <v>-0.87962347817249398</v>
      </c>
      <c r="Q530">
        <v>0.19370073924568301</v>
      </c>
      <c r="R530">
        <v>0.73698955657563903</v>
      </c>
      <c r="S530" t="s">
        <v>6113</v>
      </c>
      <c r="T530" t="s">
        <v>11164</v>
      </c>
      <c r="U530" t="s">
        <v>11164</v>
      </c>
      <c r="V530" t="s">
        <v>11164</v>
      </c>
      <c r="W530" t="s">
        <v>11689</v>
      </c>
      <c r="X530">
        <v>7</v>
      </c>
      <c r="Y530" t="s">
        <v>17222</v>
      </c>
      <c r="Z530" t="s">
        <v>22680</v>
      </c>
      <c r="AA530">
        <v>0.73920970533684993</v>
      </c>
      <c r="AB530" t="str">
        <f>HYPERLINK("Melting_Curves/meltCurve_E9PKG1_PRMT1.pdf", "Melting_Curves/meltCurve_E9PKG1_PRMT1.pdf")</f>
        <v>Melting_Curves/meltCurve_E9PKG1_PRMT1.pdf</v>
      </c>
    </row>
    <row r="531" spans="1:28" x14ac:dyDescent="0.25">
      <c r="A531" t="s">
        <v>535</v>
      </c>
      <c r="B531">
        <v>0.99796759195183404</v>
      </c>
      <c r="C531">
        <v>1.05157523455032</v>
      </c>
      <c r="D531">
        <v>1.0546554352524999</v>
      </c>
      <c r="E531">
        <v>0.94307841627338296</v>
      </c>
      <c r="F531">
        <v>0.73973003941146298</v>
      </c>
      <c r="G531">
        <v>0.57194345259457402</v>
      </c>
      <c r="H531">
        <v>0.44962649738934402</v>
      </c>
      <c r="I531">
        <v>0.24613361062292599</v>
      </c>
      <c r="J531">
        <v>0.103608149343954</v>
      </c>
      <c r="K531">
        <v>6.4298962158140099E-2</v>
      </c>
      <c r="L531">
        <v>730.31526002240298</v>
      </c>
      <c r="M531">
        <v>13.189337682561</v>
      </c>
      <c r="N531">
        <v>55.371640291946001</v>
      </c>
      <c r="O531">
        <v>54.145162933299297</v>
      </c>
      <c r="P531">
        <v>-6.0908212293823698E-2</v>
      </c>
      <c r="Q531">
        <v>0</v>
      </c>
      <c r="R531">
        <v>0.98558709054414995</v>
      </c>
      <c r="S531" t="s">
        <v>6114</v>
      </c>
      <c r="T531" t="s">
        <v>11164</v>
      </c>
      <c r="U531" t="s">
        <v>11164</v>
      </c>
      <c r="V531" t="s">
        <v>11164</v>
      </c>
      <c r="W531" t="s">
        <v>11690</v>
      </c>
      <c r="X531">
        <v>2</v>
      </c>
      <c r="Y531" t="s">
        <v>17223</v>
      </c>
      <c r="Z531" t="s">
        <v>22681</v>
      </c>
      <c r="AA531">
        <v>0.62557980029196325</v>
      </c>
      <c r="AB531" t="str">
        <f>HYPERLINK("Melting_Curves/meltCurve_E9PKS9_TRAPPC4.pdf", "Melting_Curves/meltCurve_E9PKS9_TRAPPC4.pdf")</f>
        <v>Melting_Curves/meltCurve_E9PKS9_TRAPPC4.pdf</v>
      </c>
    </row>
    <row r="532" spans="1:28" x14ac:dyDescent="0.25">
      <c r="A532" t="s">
        <v>536</v>
      </c>
      <c r="B532">
        <v>0.99796759195183404</v>
      </c>
      <c r="C532">
        <v>1.1095741354030699</v>
      </c>
      <c r="D532">
        <v>1.0437297400054699</v>
      </c>
      <c r="E532">
        <v>1.0512688521920801</v>
      </c>
      <c r="F532">
        <v>0.89236064617288102</v>
      </c>
      <c r="G532">
        <v>0.68389430496883796</v>
      </c>
      <c r="H532">
        <v>0.59371865298717796</v>
      </c>
      <c r="I532">
        <v>0.49461681040712802</v>
      </c>
      <c r="J532">
        <v>0.51981330501312395</v>
      </c>
      <c r="K532">
        <v>0.37681127063110598</v>
      </c>
      <c r="L532">
        <v>1108.64955354832</v>
      </c>
      <c r="M532">
        <v>20.605240312184002</v>
      </c>
      <c r="N532">
        <v>60.055544443937002</v>
      </c>
      <c r="O532">
        <v>53.305171610350101</v>
      </c>
      <c r="P532">
        <v>-5.3978143811867003E-2</v>
      </c>
      <c r="Q532">
        <v>0.44145645544394602</v>
      </c>
      <c r="R532">
        <v>0.95340699446868205</v>
      </c>
      <c r="S532" t="s">
        <v>6115</v>
      </c>
      <c r="T532" t="s">
        <v>11164</v>
      </c>
      <c r="U532" t="s">
        <v>11164</v>
      </c>
      <c r="V532" t="s">
        <v>11164</v>
      </c>
      <c r="W532" t="s">
        <v>11691</v>
      </c>
      <c r="X532">
        <v>2</v>
      </c>
      <c r="Y532" t="s">
        <v>17224</v>
      </c>
      <c r="Z532" t="s">
        <v>22682</v>
      </c>
      <c r="AA532">
        <v>0.7608711891438491</v>
      </c>
      <c r="AB532" t="str">
        <f>HYPERLINK("Melting_Curves/meltCurve_E9PKT4_TMEM123.pdf", "Melting_Curves/meltCurve_E9PKT4_TMEM123.pdf")</f>
        <v>Melting_Curves/meltCurve_E9PKT4_TMEM123.pdf</v>
      </c>
    </row>
    <row r="533" spans="1:28" x14ac:dyDescent="0.25">
      <c r="A533" t="s">
        <v>537</v>
      </c>
      <c r="B533">
        <v>0.99796759195183404</v>
      </c>
      <c r="C533">
        <v>1.0855176045892601</v>
      </c>
      <c r="D533">
        <v>1.0054805246493199</v>
      </c>
      <c r="E533">
        <v>0.97975840887895205</v>
      </c>
      <c r="F533">
        <v>0.82113152506966303</v>
      </c>
      <c r="G533">
        <v>0.43150412365020702</v>
      </c>
      <c r="H533">
        <v>0.139330788259525</v>
      </c>
      <c r="I533">
        <v>0.114860246231111</v>
      </c>
      <c r="J533">
        <v>8.0267117171366795E-2</v>
      </c>
      <c r="K533">
        <v>6.1505518132734402E-2</v>
      </c>
      <c r="L533">
        <v>1483.31137746069</v>
      </c>
      <c r="M533">
        <v>28.0691192937234</v>
      </c>
      <c r="N533">
        <v>53.132171053834398</v>
      </c>
      <c r="O533">
        <v>52.578906394870501</v>
      </c>
      <c r="P533">
        <v>-0.124068415975307</v>
      </c>
      <c r="Q533">
        <v>7.0390906357180497E-2</v>
      </c>
      <c r="R533">
        <v>0.995134630139069</v>
      </c>
      <c r="S533" t="s">
        <v>6116</v>
      </c>
      <c r="T533" t="s">
        <v>11164</v>
      </c>
      <c r="U533" t="s">
        <v>11164</v>
      </c>
      <c r="V533" t="s">
        <v>11164</v>
      </c>
      <c r="W533" t="s">
        <v>11692</v>
      </c>
      <c r="X533">
        <v>7</v>
      </c>
      <c r="Y533" t="s">
        <v>17225</v>
      </c>
      <c r="Z533" t="s">
        <v>22683</v>
      </c>
      <c r="AA533">
        <v>0.5680656822579232</v>
      </c>
      <c r="AB533" t="str">
        <f>HYPERLINK("Melting_Curves/meltCurve_E9PKV8_TTC9C.pdf", "Melting_Curves/meltCurve_E9PKV8_TTC9C.pdf")</f>
        <v>Melting_Curves/meltCurve_E9PKV8_TTC9C.pdf</v>
      </c>
    </row>
    <row r="534" spans="1:28" x14ac:dyDescent="0.25">
      <c r="A534" t="s">
        <v>538</v>
      </c>
      <c r="B534">
        <v>0.99796759195183404</v>
      </c>
      <c r="C534">
        <v>0.985895109444622</v>
      </c>
      <c r="D534">
        <v>1.00219800638141</v>
      </c>
      <c r="E534">
        <v>1.0976380022383501</v>
      </c>
      <c r="F534">
        <v>1.01002580579833</v>
      </c>
      <c r="G534">
        <v>1.3356690922390899</v>
      </c>
      <c r="H534">
        <v>0.77808945350300995</v>
      </c>
      <c r="I534">
        <v>0.76870305897355495</v>
      </c>
      <c r="J534">
        <v>0.33430361708810802</v>
      </c>
      <c r="K534">
        <v>0.25948460658331701</v>
      </c>
      <c r="L534">
        <v>1988.36385195975</v>
      </c>
      <c r="M534">
        <v>32.027825883824796</v>
      </c>
      <c r="N534">
        <v>62.857367686026599</v>
      </c>
      <c r="O534">
        <v>61.841860831886102</v>
      </c>
      <c r="P534">
        <v>-0.108355489919975</v>
      </c>
      <c r="Q534">
        <v>0.163118798778493</v>
      </c>
      <c r="R534">
        <v>0.83983166052589897</v>
      </c>
      <c r="S534" t="s">
        <v>6117</v>
      </c>
      <c r="T534" t="s">
        <v>11164</v>
      </c>
      <c r="U534" t="s">
        <v>11164</v>
      </c>
      <c r="V534" t="s">
        <v>11164</v>
      </c>
      <c r="W534" t="s">
        <v>11693</v>
      </c>
      <c r="X534">
        <v>8</v>
      </c>
      <c r="Y534" t="s">
        <v>17226</v>
      </c>
      <c r="Z534" t="s">
        <v>22684</v>
      </c>
      <c r="AA534">
        <v>0.8622746327109253</v>
      </c>
      <c r="AB534" t="str">
        <f>HYPERLINK("Melting_Curves/meltCurve_E9PKZ0_RPL8.pdf", "Melting_Curves/meltCurve_E9PKZ0_RPL8.pdf")</f>
        <v>Melting_Curves/meltCurve_E9PKZ0_RPL8.pdf</v>
      </c>
    </row>
    <row r="535" spans="1:28" x14ac:dyDescent="0.25">
      <c r="A535" t="s">
        <v>539</v>
      </c>
      <c r="B535">
        <v>0.99796759195183404</v>
      </c>
      <c r="C535">
        <v>0.96474978177888004</v>
      </c>
      <c r="D535">
        <v>0.95999867960529495</v>
      </c>
      <c r="E535">
        <v>0.87454926640728803</v>
      </c>
      <c r="F535">
        <v>0.68761628622747495</v>
      </c>
      <c r="G535">
        <v>0.57424041951015603</v>
      </c>
      <c r="H535">
        <v>0.25650807895987499</v>
      </c>
      <c r="I535">
        <v>0.15081462579941199</v>
      </c>
      <c r="J535">
        <v>0.111559196775917</v>
      </c>
      <c r="K535">
        <v>0.10097468151344</v>
      </c>
      <c r="L535">
        <v>711.00941660022704</v>
      </c>
      <c r="M535">
        <v>13.241160154648799</v>
      </c>
      <c r="N535">
        <v>53.757836771196402</v>
      </c>
      <c r="O535">
        <v>52.516484987195199</v>
      </c>
      <c r="P535">
        <v>-6.2574151744063305E-2</v>
      </c>
      <c r="Q535">
        <v>7.4482623667412101E-3</v>
      </c>
      <c r="R535">
        <v>0.99145150747527</v>
      </c>
      <c r="S535" t="s">
        <v>6118</v>
      </c>
      <c r="T535" t="s">
        <v>11164</v>
      </c>
      <c r="U535" t="s">
        <v>11164</v>
      </c>
      <c r="V535" t="s">
        <v>11164</v>
      </c>
      <c r="W535" t="s">
        <v>11694</v>
      </c>
      <c r="X535">
        <v>7</v>
      </c>
      <c r="Y535" t="s">
        <v>17227</v>
      </c>
      <c r="Z535" t="s">
        <v>22685</v>
      </c>
      <c r="AA535">
        <v>0.57791682340718531</v>
      </c>
      <c r="AB535" t="str">
        <f>HYPERLINK("Melting_Curves/meltCurve_E9PL01_SPCS2.pdf", "Melting_Curves/meltCurve_E9PL01_SPCS2.pdf")</f>
        <v>Melting_Curves/meltCurve_E9PL01_SPCS2.pdf</v>
      </c>
    </row>
    <row r="536" spans="1:28" x14ac:dyDescent="0.25">
      <c r="A536" t="s">
        <v>540</v>
      </c>
      <c r="B536">
        <v>0.99796759195183404</v>
      </c>
      <c r="C536">
        <v>0.99776604136880798</v>
      </c>
      <c r="D536">
        <v>0.98073098559904603</v>
      </c>
      <c r="E536">
        <v>0.95883574939066396</v>
      </c>
      <c r="F536">
        <v>0.80483983474993304</v>
      </c>
      <c r="G536">
        <v>0.46335445179551399</v>
      </c>
      <c r="H536">
        <v>0.517630400162024</v>
      </c>
      <c r="I536">
        <v>0.46968025721253398</v>
      </c>
      <c r="J536">
        <v>0.70886223180170305</v>
      </c>
      <c r="K536">
        <v>0.853225784676237</v>
      </c>
      <c r="L536">
        <v>12551.801051562599</v>
      </c>
      <c r="M536">
        <v>250</v>
      </c>
      <c r="O536">
        <v>50.203993966457297</v>
      </c>
      <c r="P536">
        <v>-0.494793049701165</v>
      </c>
      <c r="Q536">
        <v>0.60255062522081704</v>
      </c>
      <c r="R536">
        <v>0.72834961199714299</v>
      </c>
      <c r="S536" t="s">
        <v>6119</v>
      </c>
      <c r="T536" t="s">
        <v>11164</v>
      </c>
      <c r="U536" t="s">
        <v>11164</v>
      </c>
      <c r="V536" t="s">
        <v>11164</v>
      </c>
      <c r="W536" t="s">
        <v>11695</v>
      </c>
      <c r="X536">
        <v>2</v>
      </c>
      <c r="Y536" t="s">
        <v>17228</v>
      </c>
      <c r="Z536" t="s">
        <v>22686</v>
      </c>
      <c r="AA536">
        <v>0.77755881410123051</v>
      </c>
      <c r="AB536" t="str">
        <f>HYPERLINK("Melting_Curves/meltCurve_E9PL10_BTF3L4.pdf", "Melting_Curves/meltCurve_E9PL10_BTF3L4.pdf")</f>
        <v>Melting_Curves/meltCurve_E9PL10_BTF3L4.pdf</v>
      </c>
    </row>
    <row r="537" spans="1:28" x14ac:dyDescent="0.25">
      <c r="A537" t="s">
        <v>541</v>
      </c>
      <c r="B537">
        <v>0.99796759195183404</v>
      </c>
      <c r="C537">
        <v>1.1135630365895</v>
      </c>
      <c r="D537">
        <v>1.0947954737254</v>
      </c>
      <c r="E537">
        <v>0.75648937321841503</v>
      </c>
      <c r="F537">
        <v>0.24717407140258199</v>
      </c>
      <c r="G537">
        <v>0.21406674710794801</v>
      </c>
      <c r="H537">
        <v>0.13705344413523299</v>
      </c>
      <c r="I537">
        <v>3.6200503483463597E-2</v>
      </c>
      <c r="J537">
        <v>1.26971476696944E-2</v>
      </c>
      <c r="K537">
        <v>1.4152289869977901E-2</v>
      </c>
      <c r="L537">
        <v>1531.00602602411</v>
      </c>
      <c r="M537">
        <v>31.7610181173279</v>
      </c>
      <c r="N537">
        <v>48.432591288589002</v>
      </c>
      <c r="O537">
        <v>48.014034446050999</v>
      </c>
      <c r="P537">
        <v>-0.15386043943198799</v>
      </c>
      <c r="Q537">
        <v>6.9623778852745705E-2</v>
      </c>
      <c r="R537">
        <v>0.97449029926919095</v>
      </c>
      <c r="S537" t="s">
        <v>6120</v>
      </c>
      <c r="T537" t="s">
        <v>11164</v>
      </c>
      <c r="U537" t="s">
        <v>11164</v>
      </c>
      <c r="V537" t="s">
        <v>11164</v>
      </c>
      <c r="W537" t="s">
        <v>11696</v>
      </c>
      <c r="X537">
        <v>1</v>
      </c>
      <c r="Y537" t="s">
        <v>17229</v>
      </c>
      <c r="Z537" t="s">
        <v>22687</v>
      </c>
      <c r="AA537">
        <v>0.42201884850506838</v>
      </c>
      <c r="AB537" t="str">
        <f>HYPERLINK("Melting_Curves/meltCurve_E9PL17_CLP1.pdf", "Melting_Curves/meltCurve_E9PL17_CLP1.pdf")</f>
        <v>Melting_Curves/meltCurve_E9PL17_CLP1.pdf</v>
      </c>
    </row>
    <row r="538" spans="1:28" x14ac:dyDescent="0.25">
      <c r="A538" t="s">
        <v>542</v>
      </c>
      <c r="B538">
        <v>0.99796759195183404</v>
      </c>
      <c r="C538">
        <v>1.01545380259439</v>
      </c>
      <c r="D538">
        <v>0.93653713990040899</v>
      </c>
      <c r="E538">
        <v>0.90178292854861997</v>
      </c>
      <c r="F538">
        <v>0.65856685353057298</v>
      </c>
      <c r="G538">
        <v>0.38732987780023498</v>
      </c>
      <c r="H538">
        <v>0.25230990236682499</v>
      </c>
      <c r="I538">
        <v>0.238899782911904</v>
      </c>
      <c r="J538">
        <v>0.15031992755429099</v>
      </c>
      <c r="K538">
        <v>9.8706104572779799E-2</v>
      </c>
      <c r="L538">
        <v>879.21664737666504</v>
      </c>
      <c r="M538">
        <v>17.0635723705057</v>
      </c>
      <c r="N538">
        <v>52.389328622057498</v>
      </c>
      <c r="O538">
        <v>50.833874716068102</v>
      </c>
      <c r="P538">
        <v>-7.3637309973416304E-2</v>
      </c>
      <c r="Q538">
        <v>0.122565455871741</v>
      </c>
      <c r="R538">
        <v>0.99381071571280899</v>
      </c>
      <c r="S538" t="s">
        <v>6121</v>
      </c>
      <c r="T538" t="s">
        <v>11164</v>
      </c>
      <c r="U538" t="s">
        <v>11164</v>
      </c>
      <c r="V538" t="s">
        <v>11164</v>
      </c>
      <c r="W538" t="s">
        <v>11697</v>
      </c>
      <c r="X538">
        <v>31</v>
      </c>
      <c r="Y538" t="s">
        <v>17230</v>
      </c>
      <c r="Z538" t="s">
        <v>22688</v>
      </c>
      <c r="AA538">
        <v>0.56194810019387187</v>
      </c>
      <c r="AB538" t="str">
        <f>HYPERLINK("Melting_Curves/meltCurve_E9PL22_HYOU1.pdf", "Melting_Curves/meltCurve_E9PL22_HYOU1.pdf")</f>
        <v>Melting_Curves/meltCurve_E9PL22_HYOU1.pdf</v>
      </c>
    </row>
    <row r="539" spans="1:28" x14ac:dyDescent="0.25">
      <c r="A539" t="s">
        <v>543</v>
      </c>
      <c r="B539">
        <v>0.99796759195183404</v>
      </c>
      <c r="C539">
        <v>1.00938907252928</v>
      </c>
      <c r="D539">
        <v>0.91132932072140904</v>
      </c>
      <c r="E539">
        <v>0.76263896526302999</v>
      </c>
      <c r="F539">
        <v>0.78663796524941998</v>
      </c>
      <c r="G539">
        <v>0.84036572648250296</v>
      </c>
      <c r="H539">
        <v>0.65404489126003595</v>
      </c>
      <c r="I539">
        <v>0.33087091755300202</v>
      </c>
      <c r="J539">
        <v>0.31047845496635101</v>
      </c>
      <c r="K539">
        <v>0.31804705468233502</v>
      </c>
      <c r="L539">
        <v>479.91986665167798</v>
      </c>
      <c r="M539">
        <v>8.0795562072377791</v>
      </c>
      <c r="N539">
        <v>59.399280905051597</v>
      </c>
      <c r="O539">
        <v>56.092421991961999</v>
      </c>
      <c r="P539">
        <v>-3.6049264289455998E-2</v>
      </c>
      <c r="Q539">
        <v>0</v>
      </c>
      <c r="R539">
        <v>0.90390069958186503</v>
      </c>
      <c r="S539" t="s">
        <v>6122</v>
      </c>
      <c r="T539" t="s">
        <v>11164</v>
      </c>
      <c r="U539" t="s">
        <v>11164</v>
      </c>
      <c r="V539" t="s">
        <v>11164</v>
      </c>
      <c r="W539" t="s">
        <v>11698</v>
      </c>
      <c r="X539">
        <v>2</v>
      </c>
      <c r="Y539" t="s">
        <v>17231</v>
      </c>
      <c r="Z539" t="s">
        <v>22689</v>
      </c>
      <c r="AA539">
        <v>0.71113370873458193</v>
      </c>
      <c r="AB539" t="str">
        <f>HYPERLINK("Melting_Curves/meltCurve_E9PL40_TSPAN18.pdf", "Melting_Curves/meltCurve_E9PL40_TSPAN18.pdf")</f>
        <v>Melting_Curves/meltCurve_E9PL40_TSPAN18.pdf</v>
      </c>
    </row>
    <row r="540" spans="1:28" x14ac:dyDescent="0.25">
      <c r="A540" t="s">
        <v>544</v>
      </c>
      <c r="B540">
        <v>0.99796759195183404</v>
      </c>
      <c r="C540">
        <v>0.98293685480066995</v>
      </c>
      <c r="D540">
        <v>0.99012226223744204</v>
      </c>
      <c r="E540">
        <v>1.0053501242871901</v>
      </c>
      <c r="F540">
        <v>0.89855748693467596</v>
      </c>
      <c r="G540">
        <v>0.554880617041562</v>
      </c>
      <c r="H540">
        <v>0.56464395883372598</v>
      </c>
      <c r="I540">
        <v>0.47714413866455202</v>
      </c>
      <c r="J540">
        <v>0.43034687393486099</v>
      </c>
      <c r="K540">
        <v>0.28912159174136498</v>
      </c>
      <c r="L540">
        <v>1021.0543810087599</v>
      </c>
      <c r="M540">
        <v>19.1724634713499</v>
      </c>
      <c r="N540">
        <v>57.347594070831597</v>
      </c>
      <c r="O540">
        <v>52.687062956754701</v>
      </c>
      <c r="P540">
        <v>-5.7072651050345799E-2</v>
      </c>
      <c r="Q540">
        <v>0.37266806167410699</v>
      </c>
      <c r="R540">
        <v>0.95474663581172503</v>
      </c>
      <c r="S540" t="s">
        <v>6123</v>
      </c>
      <c r="T540" t="s">
        <v>11164</v>
      </c>
      <c r="U540" t="s">
        <v>11164</v>
      </c>
      <c r="V540" t="s">
        <v>11164</v>
      </c>
      <c r="W540" t="s">
        <v>11699</v>
      </c>
      <c r="X540">
        <v>10</v>
      </c>
      <c r="Y540" t="s">
        <v>17232</v>
      </c>
      <c r="Z540" t="s">
        <v>22690</v>
      </c>
      <c r="AA540">
        <v>0.72090628671304813</v>
      </c>
      <c r="AB540" t="str">
        <f>HYPERLINK("Melting_Curves/meltCurve_E9PL57_NEDD8_MDP1.pdf", "Melting_Curves/meltCurve_E9PL57_NEDD8_MDP1.pdf")</f>
        <v>Melting_Curves/meltCurve_E9PL57_NEDD8_MDP1.pdf</v>
      </c>
    </row>
    <row r="541" spans="1:28" x14ac:dyDescent="0.25">
      <c r="A541" t="s">
        <v>545</v>
      </c>
      <c r="B541">
        <v>0.99796759195183404</v>
      </c>
      <c r="C541">
        <v>1.0355539854090701</v>
      </c>
      <c r="D541">
        <v>0.97109925822288701</v>
      </c>
      <c r="E541">
        <v>0.84368038173717297</v>
      </c>
      <c r="F541">
        <v>0.62401128385357396</v>
      </c>
      <c r="G541">
        <v>0.49793034751563198</v>
      </c>
      <c r="H541">
        <v>0.65987168020890397</v>
      </c>
      <c r="I541">
        <v>0.68509951654913903</v>
      </c>
      <c r="J541">
        <v>0.38703184488111197</v>
      </c>
      <c r="K541">
        <v>0.145472846677935</v>
      </c>
      <c r="L541">
        <v>367.53351953209602</v>
      </c>
      <c r="M541">
        <v>6.2199300142318403</v>
      </c>
      <c r="N541">
        <v>59.089655138715997</v>
      </c>
      <c r="O541">
        <v>53.860386241285802</v>
      </c>
      <c r="P541">
        <v>-2.89528040017542E-2</v>
      </c>
      <c r="Q541">
        <v>0</v>
      </c>
      <c r="R541">
        <v>0.80018591428095098</v>
      </c>
      <c r="S541" t="s">
        <v>6124</v>
      </c>
      <c r="T541" t="s">
        <v>11164</v>
      </c>
      <c r="U541" t="s">
        <v>11164</v>
      </c>
      <c r="V541" t="s">
        <v>11164</v>
      </c>
      <c r="W541" t="s">
        <v>11700</v>
      </c>
      <c r="X541">
        <v>1</v>
      </c>
      <c r="Y541" t="s">
        <v>17233</v>
      </c>
      <c r="Z541" t="s">
        <v>22691</v>
      </c>
      <c r="AA541">
        <v>0.68297176550928096</v>
      </c>
      <c r="AB541" t="str">
        <f>HYPERLINK("Melting_Curves/meltCurve_E9PLJ2_CHIA.pdf", "Melting_Curves/meltCurve_E9PLJ2_CHIA.pdf")</f>
        <v>Melting_Curves/meltCurve_E9PLJ2_CHIA.pdf</v>
      </c>
    </row>
    <row r="542" spans="1:28" x14ac:dyDescent="0.25">
      <c r="A542" t="s">
        <v>546</v>
      </c>
      <c r="B542">
        <v>0.99796759195183404</v>
      </c>
      <c r="C542">
        <v>1.00609251175079</v>
      </c>
      <c r="D542">
        <v>0.983076012270229</v>
      </c>
      <c r="E542">
        <v>0.94248968204654904</v>
      </c>
      <c r="F542">
        <v>0.81146261811548503</v>
      </c>
      <c r="G542">
        <v>0.69672560464833899</v>
      </c>
      <c r="H542">
        <v>0.48848056487993602</v>
      </c>
      <c r="I542">
        <v>0.28283255038038002</v>
      </c>
      <c r="J542">
        <v>0.131044430177711</v>
      </c>
      <c r="K542">
        <v>8.6953068915342796E-2</v>
      </c>
      <c r="L542">
        <v>787.63675146870105</v>
      </c>
      <c r="M542">
        <v>13.8890994847931</v>
      </c>
      <c r="N542">
        <v>56.708986540787201</v>
      </c>
      <c r="O542">
        <v>55.572173224616101</v>
      </c>
      <c r="P542">
        <v>-6.2490768782830303E-2</v>
      </c>
      <c r="Q542">
        <v>0</v>
      </c>
      <c r="R542">
        <v>0.99555575244947903</v>
      </c>
      <c r="S542" t="s">
        <v>6125</v>
      </c>
      <c r="T542" t="s">
        <v>11164</v>
      </c>
      <c r="U542" t="s">
        <v>11164</v>
      </c>
      <c r="V542" t="s">
        <v>11164</v>
      </c>
      <c r="W542" t="s">
        <v>11701</v>
      </c>
      <c r="X542">
        <v>47</v>
      </c>
      <c r="Y542" t="s">
        <v>17234</v>
      </c>
      <c r="Z542" t="s">
        <v>22692</v>
      </c>
      <c r="AA542">
        <v>0.66550303030568647</v>
      </c>
      <c r="AB542" t="str">
        <f>HYPERLINK("Melting_Curves/meltCurve_E9PLK3_NPEPPS.pdf", "Melting_Curves/meltCurve_E9PLK3_NPEPPS.pdf")</f>
        <v>Melting_Curves/meltCurve_E9PLK3_NPEPPS.pdf</v>
      </c>
    </row>
    <row r="543" spans="1:28" x14ac:dyDescent="0.25">
      <c r="A543" t="s">
        <v>547</v>
      </c>
      <c r="B543">
        <v>0.99796759195183404</v>
      </c>
      <c r="C543">
        <v>1.00076234632962</v>
      </c>
      <c r="D543">
        <v>0.95579667167172799</v>
      </c>
      <c r="E543">
        <v>1.13264519967614</v>
      </c>
      <c r="F543">
        <v>1.13621163618869</v>
      </c>
      <c r="G543">
        <v>2.1094555982981</v>
      </c>
      <c r="H543">
        <v>0.71788673734805197</v>
      </c>
      <c r="I543">
        <v>0.72475642260656903</v>
      </c>
      <c r="J543">
        <v>0.537143295467578</v>
      </c>
      <c r="K543">
        <v>0.498126491011192</v>
      </c>
      <c r="L543">
        <v>14306.0609127359</v>
      </c>
      <c r="M543">
        <v>250</v>
      </c>
      <c r="O543">
        <v>57.220575824471602</v>
      </c>
      <c r="P543">
        <v>-0.45145989433363298</v>
      </c>
      <c r="Q543">
        <v>0.58667523628108798</v>
      </c>
      <c r="R543">
        <v>0.31190047225214701</v>
      </c>
      <c r="S543" t="s">
        <v>6126</v>
      </c>
      <c r="T543" t="s">
        <v>11164</v>
      </c>
      <c r="U543" t="s">
        <v>11164</v>
      </c>
      <c r="V543" t="s">
        <v>11164</v>
      </c>
      <c r="W543" t="s">
        <v>11702</v>
      </c>
      <c r="X543">
        <v>3</v>
      </c>
      <c r="Y543" t="s">
        <v>17235</v>
      </c>
      <c r="Z543" t="s">
        <v>22693</v>
      </c>
      <c r="AA543">
        <v>0.86535610313268907</v>
      </c>
      <c r="AB543" t="str">
        <f>HYPERLINK("Melting_Curves/meltCurve_E9PLL6_RPL27A.pdf", "Melting_Curves/meltCurve_E9PLL6_RPL27A.pdf")</f>
        <v>Melting_Curves/meltCurve_E9PLL6_RPL27A.pdf</v>
      </c>
    </row>
    <row r="544" spans="1:28" x14ac:dyDescent="0.25">
      <c r="A544" t="s">
        <v>548</v>
      </c>
      <c r="B544">
        <v>0.99796759195183404</v>
      </c>
      <c r="C544">
        <v>0.90866613685433895</v>
      </c>
      <c r="D544">
        <v>0.85739855006085297</v>
      </c>
      <c r="E544">
        <v>0.78843937370262895</v>
      </c>
      <c r="F544">
        <v>0.70140178891529004</v>
      </c>
      <c r="G544">
        <v>0.56653445679569303</v>
      </c>
      <c r="H544">
        <v>0.28044046384851501</v>
      </c>
      <c r="I544">
        <v>0.22430199439267201</v>
      </c>
      <c r="J544">
        <v>0.18088945242555901</v>
      </c>
      <c r="K544">
        <v>0.13482479807011799</v>
      </c>
      <c r="L544">
        <v>503.42676146923401</v>
      </c>
      <c r="M544">
        <v>9.3814977005297298</v>
      </c>
      <c r="N544">
        <v>53.6616712088329</v>
      </c>
      <c r="O544">
        <v>51.392826320226</v>
      </c>
      <c r="P544">
        <v>-4.5664535122996203E-2</v>
      </c>
      <c r="Q544">
        <v>0</v>
      </c>
      <c r="R544">
        <v>0.98080202455125298</v>
      </c>
      <c r="S544" t="s">
        <v>6127</v>
      </c>
      <c r="T544" t="s">
        <v>11164</v>
      </c>
      <c r="U544" t="s">
        <v>11164</v>
      </c>
      <c r="V544" t="s">
        <v>11164</v>
      </c>
      <c r="W544" t="s">
        <v>11703</v>
      </c>
      <c r="X544">
        <v>5</v>
      </c>
      <c r="Y544" t="s">
        <v>17236</v>
      </c>
      <c r="Z544" t="s">
        <v>22694</v>
      </c>
      <c r="AA544">
        <v>0.57433308323024468</v>
      </c>
      <c r="AB544" t="str">
        <f>HYPERLINK("Melting_Curves/meltCurve_E9PLY5_MACF1.pdf", "Melting_Curves/meltCurve_E9PLY5_MACF1.pdf")</f>
        <v>Melting_Curves/meltCurve_E9PLY5_MACF1.pdf</v>
      </c>
    </row>
    <row r="545" spans="1:28" x14ac:dyDescent="0.25">
      <c r="A545" t="s">
        <v>549</v>
      </c>
      <c r="B545">
        <v>0.99796759195183404</v>
      </c>
      <c r="C545">
        <v>1.0066112120020301</v>
      </c>
      <c r="D545">
        <v>0.97069589319583405</v>
      </c>
      <c r="E545">
        <v>0.89735587490677704</v>
      </c>
      <c r="F545">
        <v>0.68780109883891005</v>
      </c>
      <c r="G545">
        <v>0.37357700651606701</v>
      </c>
      <c r="H545">
        <v>0.28770916312635297</v>
      </c>
      <c r="I545">
        <v>0.218271824695076</v>
      </c>
      <c r="J545">
        <v>0.15957278910924799</v>
      </c>
      <c r="K545">
        <v>0.123683500327298</v>
      </c>
      <c r="L545">
        <v>943.90100496536797</v>
      </c>
      <c r="M545">
        <v>18.315659784604701</v>
      </c>
      <c r="N545">
        <v>52.488256105298099</v>
      </c>
      <c r="O545">
        <v>50.932633382057901</v>
      </c>
      <c r="P545">
        <v>-7.7187492861798504E-2</v>
      </c>
      <c r="Q545">
        <v>0.14146010556668401</v>
      </c>
      <c r="R545">
        <v>0.99622943613404202</v>
      </c>
      <c r="S545" t="s">
        <v>6128</v>
      </c>
      <c r="T545" t="s">
        <v>11164</v>
      </c>
      <c r="U545" t="s">
        <v>11164</v>
      </c>
      <c r="V545" t="s">
        <v>11164</v>
      </c>
      <c r="W545" t="s">
        <v>11384</v>
      </c>
      <c r="X545">
        <v>7</v>
      </c>
      <c r="Y545" t="s">
        <v>17237</v>
      </c>
      <c r="Z545" t="s">
        <v>22695</v>
      </c>
      <c r="AA545">
        <v>0.57024484620982563</v>
      </c>
      <c r="AB545" t="str">
        <f>HYPERLINK("Melting_Curves/meltCurve_E9PM46_USP47.pdf", "Melting_Curves/meltCurve_E9PM46_USP47.pdf")</f>
        <v>Melting_Curves/meltCurve_E9PM46_USP47.pdf</v>
      </c>
    </row>
    <row r="546" spans="1:28" x14ac:dyDescent="0.25">
      <c r="A546" t="s">
        <v>550</v>
      </c>
      <c r="B546">
        <v>0.99796759195183404</v>
      </c>
      <c r="C546">
        <v>0.96488061960608795</v>
      </c>
      <c r="D546">
        <v>0.98291833952887797</v>
      </c>
      <c r="E546">
        <v>0.91360334614063499</v>
      </c>
      <c r="F546">
        <v>0.76385895416605498</v>
      </c>
      <c r="G546">
        <v>0.55101088072154203</v>
      </c>
      <c r="H546">
        <v>0.365703273501716</v>
      </c>
      <c r="I546">
        <v>0.274232098053312</v>
      </c>
      <c r="J546">
        <v>0.27747212871524102</v>
      </c>
      <c r="K546">
        <v>0.27248638411951198</v>
      </c>
      <c r="L546">
        <v>927.76314625014697</v>
      </c>
      <c r="M546">
        <v>17.694619748478701</v>
      </c>
      <c r="N546">
        <v>54.452207200518799</v>
      </c>
      <c r="O546">
        <v>51.776033945682997</v>
      </c>
      <c r="P546">
        <v>-6.4879532895621803E-2</v>
      </c>
      <c r="Q546">
        <v>0.240667214829315</v>
      </c>
      <c r="R546">
        <v>0.99737927109910796</v>
      </c>
      <c r="S546" t="s">
        <v>6129</v>
      </c>
      <c r="T546" t="s">
        <v>11164</v>
      </c>
      <c r="U546" t="s">
        <v>11164</v>
      </c>
      <c r="V546" t="s">
        <v>11164</v>
      </c>
      <c r="W546" t="s">
        <v>11704</v>
      </c>
      <c r="X546">
        <v>5</v>
      </c>
      <c r="Y546" t="s">
        <v>17238</v>
      </c>
      <c r="Z546" t="s">
        <v>22696</v>
      </c>
      <c r="AA546">
        <v>0.64284301186523019</v>
      </c>
      <c r="AB546" t="str">
        <f>HYPERLINK("Melting_Curves/meltCurve_E9PMI6_CLNS1A.pdf", "Melting_Curves/meltCurve_E9PMI6_CLNS1A.pdf")</f>
        <v>Melting_Curves/meltCurve_E9PMI6_CLNS1A.pdf</v>
      </c>
    </row>
    <row r="547" spans="1:28" x14ac:dyDescent="0.25">
      <c r="A547" t="s">
        <v>551</v>
      </c>
      <c r="B547">
        <v>0.99796759195183404</v>
      </c>
      <c r="C547">
        <v>1.0373387226336399</v>
      </c>
      <c r="D547">
        <v>1.03398844654357</v>
      </c>
      <c r="E547">
        <v>0.99683904771530596</v>
      </c>
      <c r="F547">
        <v>0.85512242084599799</v>
      </c>
      <c r="G547">
        <v>0.325195413771662</v>
      </c>
      <c r="H547">
        <v>0.19019029584576</v>
      </c>
      <c r="I547">
        <v>0.150153551408478</v>
      </c>
      <c r="J547">
        <v>0.117047057470326</v>
      </c>
      <c r="K547">
        <v>8.6284233707267996E-2</v>
      </c>
      <c r="L547">
        <v>2035.4497924372299</v>
      </c>
      <c r="M547">
        <v>38.983020011692098</v>
      </c>
      <c r="N547">
        <v>52.607348995765499</v>
      </c>
      <c r="O547">
        <v>52.076922522123198</v>
      </c>
      <c r="P547">
        <v>-0.16347174497667399</v>
      </c>
      <c r="Q547">
        <v>0.12648272650432499</v>
      </c>
      <c r="R547">
        <v>0.99622979250902599</v>
      </c>
      <c r="S547" t="s">
        <v>6130</v>
      </c>
      <c r="T547" t="s">
        <v>11164</v>
      </c>
      <c r="U547" t="s">
        <v>11164</v>
      </c>
      <c r="V547" t="s">
        <v>11164</v>
      </c>
      <c r="W547" t="s">
        <v>11705</v>
      </c>
      <c r="X547">
        <v>6</v>
      </c>
      <c r="Y547" t="s">
        <v>17239</v>
      </c>
      <c r="Z547" t="s">
        <v>22697</v>
      </c>
      <c r="AA547">
        <v>0.57277445374745661</v>
      </c>
      <c r="AB547" t="str">
        <f>HYPERLINK("Melting_Curves/meltCurve_E9PMJ2_FAM118B.pdf", "Melting_Curves/meltCurve_E9PMJ2_FAM118B.pdf")</f>
        <v>Melting_Curves/meltCurve_E9PMJ2_FAM118B.pdf</v>
      </c>
    </row>
    <row r="548" spans="1:28" x14ac:dyDescent="0.25">
      <c r="A548" t="s">
        <v>552</v>
      </c>
      <c r="B548">
        <v>0.99796759195183404</v>
      </c>
      <c r="C548">
        <v>0.98775839988302105</v>
      </c>
      <c r="D548">
        <v>0.87802360287879599</v>
      </c>
      <c r="E548">
        <v>1.1218547172912801</v>
      </c>
      <c r="F548">
        <v>0.87454697410219495</v>
      </c>
      <c r="G548">
        <v>0.74556342582727497</v>
      </c>
      <c r="H548">
        <v>0.37736196015760598</v>
      </c>
      <c r="I548">
        <v>0.332810722604231</v>
      </c>
      <c r="J548">
        <v>9.1970710587089E-2</v>
      </c>
      <c r="K548">
        <v>6.8407405019216105E-2</v>
      </c>
      <c r="L548">
        <v>1004.50291952441</v>
      </c>
      <c r="M548">
        <v>17.7571564418954</v>
      </c>
      <c r="N548">
        <v>56.713254898345902</v>
      </c>
      <c r="O548">
        <v>55.866098992213303</v>
      </c>
      <c r="P548">
        <v>-7.7711342928552501E-2</v>
      </c>
      <c r="Q548">
        <v>2.2094773533069299E-2</v>
      </c>
      <c r="R548">
        <v>0.96200418411397504</v>
      </c>
      <c r="S548" t="s">
        <v>6131</v>
      </c>
      <c r="T548" t="s">
        <v>11164</v>
      </c>
      <c r="U548" t="s">
        <v>11164</v>
      </c>
      <c r="V548" t="s">
        <v>11164</v>
      </c>
      <c r="W548" t="s">
        <v>11706</v>
      </c>
      <c r="X548">
        <v>1</v>
      </c>
      <c r="Y548" t="s">
        <v>17240</v>
      </c>
      <c r="Z548" t="s">
        <v>22698</v>
      </c>
      <c r="AA548">
        <v>0.66971661144231864</v>
      </c>
      <c r="AB548" t="str">
        <f>HYPERLINK("Melting_Curves/meltCurve_E9PMM3_PEX16.pdf", "Melting_Curves/meltCurve_E9PMM3_PEX16.pdf")</f>
        <v>Melting_Curves/meltCurve_E9PMM3_PEX16.pdf</v>
      </c>
    </row>
    <row r="549" spans="1:28" x14ac:dyDescent="0.25">
      <c r="A549" t="s">
        <v>553</v>
      </c>
      <c r="B549">
        <v>0.99796759195183404</v>
      </c>
      <c r="C549">
        <v>0.94091459761306195</v>
      </c>
      <c r="D549">
        <v>1.03594340758647</v>
      </c>
      <c r="E549">
        <v>0.85901062402849704</v>
      </c>
      <c r="F549">
        <v>0.56433160281832095</v>
      </c>
      <c r="G549">
        <v>0.32026122927320499</v>
      </c>
      <c r="H549">
        <v>0.33503855582535802</v>
      </c>
      <c r="I549">
        <v>0.28776259949245098</v>
      </c>
      <c r="J549">
        <v>0.18450261766756901</v>
      </c>
      <c r="K549">
        <v>0.13466334561945001</v>
      </c>
      <c r="L549">
        <v>1037.95545226639</v>
      </c>
      <c r="M549">
        <v>20.8014509395808</v>
      </c>
      <c r="N549">
        <v>51.2150924171562</v>
      </c>
      <c r="O549">
        <v>49.443934101605102</v>
      </c>
      <c r="P549">
        <v>-8.3394643337585894E-2</v>
      </c>
      <c r="Q549">
        <v>0.20712370410356901</v>
      </c>
      <c r="R549">
        <v>0.97827244050844298</v>
      </c>
      <c r="S549" t="s">
        <v>6132</v>
      </c>
      <c r="T549" t="s">
        <v>11164</v>
      </c>
      <c r="U549" t="s">
        <v>11164</v>
      </c>
      <c r="V549" t="s">
        <v>11164</v>
      </c>
      <c r="W549" t="s">
        <v>11707</v>
      </c>
      <c r="X549">
        <v>4</v>
      </c>
      <c r="Y549" t="s">
        <v>17241</v>
      </c>
      <c r="Z549" t="s">
        <v>22699</v>
      </c>
      <c r="AA549">
        <v>0.55775425485526575</v>
      </c>
      <c r="AB549" t="str">
        <f>HYPERLINK("Melting_Curves/meltCurve_E9PMQ6_HSF1.pdf", "Melting_Curves/meltCurve_E9PMQ6_HSF1.pdf")</f>
        <v>Melting_Curves/meltCurve_E9PMQ6_HSF1.pdf</v>
      </c>
    </row>
    <row r="550" spans="1:28" x14ac:dyDescent="0.25">
      <c r="A550" t="s">
        <v>554</v>
      </c>
      <c r="B550">
        <v>0.99796759195183404</v>
      </c>
      <c r="C550">
        <v>0.97825562044124104</v>
      </c>
      <c r="D550">
        <v>1.0045026871501299</v>
      </c>
      <c r="E550">
        <v>0.97731976560816203</v>
      </c>
      <c r="F550">
        <v>0.84570914902203398</v>
      </c>
      <c r="G550">
        <v>0.66853462500304905</v>
      </c>
      <c r="H550">
        <v>0.561747056099271</v>
      </c>
      <c r="I550">
        <v>0.36704203799895402</v>
      </c>
      <c r="J550">
        <v>0.65295074417029297</v>
      </c>
      <c r="K550">
        <v>0.52064046748019799</v>
      </c>
      <c r="L550">
        <v>1370.92732455339</v>
      </c>
      <c r="M550">
        <v>26.4408706947941</v>
      </c>
      <c r="O550">
        <v>51.554942808188699</v>
      </c>
      <c r="P550">
        <v>-6.2010780708203699E-2</v>
      </c>
      <c r="Q550">
        <v>0.516365724589395</v>
      </c>
      <c r="R550">
        <v>0.91012954337941299</v>
      </c>
      <c r="S550" t="s">
        <v>6133</v>
      </c>
      <c r="T550" t="s">
        <v>11164</v>
      </c>
      <c r="U550" t="s">
        <v>11164</v>
      </c>
      <c r="V550" t="s">
        <v>11164</v>
      </c>
      <c r="W550" t="s">
        <v>11708</v>
      </c>
      <c r="X550">
        <v>3</v>
      </c>
      <c r="Y550" t="s">
        <v>17242</v>
      </c>
      <c r="Z550" t="s">
        <v>22700</v>
      </c>
      <c r="AA550">
        <v>0.75961165276023834</v>
      </c>
      <c r="AB550" t="str">
        <f>HYPERLINK("Melting_Curves/meltCurve_E9PND3_EBAG9.pdf", "Melting_Curves/meltCurve_E9PND3_EBAG9.pdf")</f>
        <v>Melting_Curves/meltCurve_E9PND3_EBAG9.pdf</v>
      </c>
    </row>
    <row r="551" spans="1:28" x14ac:dyDescent="0.25">
      <c r="A551" t="s">
        <v>555</v>
      </c>
      <c r="B551">
        <v>0.99796759195183404</v>
      </c>
      <c r="C551">
        <v>0.93787791762836403</v>
      </c>
      <c r="D551">
        <v>0.95043749668593802</v>
      </c>
      <c r="E551">
        <v>0.91486530565758595</v>
      </c>
      <c r="F551">
        <v>0.77038205356710199</v>
      </c>
      <c r="G551">
        <v>0.61717604767022505</v>
      </c>
      <c r="H551">
        <v>0.58616313772137696</v>
      </c>
      <c r="I551">
        <v>0.46986878584081299</v>
      </c>
      <c r="J551">
        <v>0.62474141862636601</v>
      </c>
      <c r="K551">
        <v>0.57061146755815395</v>
      </c>
      <c r="L551">
        <v>1026.9996447221099</v>
      </c>
      <c r="M551">
        <v>20.6353767412736</v>
      </c>
      <c r="O551">
        <v>49.308554893388397</v>
      </c>
      <c r="P551">
        <v>-4.6951956453322397E-2</v>
      </c>
      <c r="Q551">
        <v>0.55124312723227198</v>
      </c>
      <c r="R551">
        <v>0.94494683328425899</v>
      </c>
      <c r="S551" t="s">
        <v>6134</v>
      </c>
      <c r="T551" t="s">
        <v>11164</v>
      </c>
      <c r="U551" t="s">
        <v>11164</v>
      </c>
      <c r="V551" t="s">
        <v>11164</v>
      </c>
      <c r="W551" t="s">
        <v>11709</v>
      </c>
      <c r="X551">
        <v>9</v>
      </c>
      <c r="Y551" t="s">
        <v>17243</v>
      </c>
      <c r="Z551" t="s">
        <v>22701</v>
      </c>
      <c r="AA551">
        <v>0.74783959217618279</v>
      </c>
      <c r="AB551" t="str">
        <f>HYPERLINK("Melting_Curves/meltCurve_E9PNK6_TPD52L1.pdf", "Melting_Curves/meltCurve_E9PNK6_TPD52L1.pdf")</f>
        <v>Melting_Curves/meltCurve_E9PNK6_TPD52L1.pdf</v>
      </c>
    </row>
    <row r="552" spans="1:28" x14ac:dyDescent="0.25">
      <c r="A552" t="s">
        <v>556</v>
      </c>
      <c r="B552">
        <v>0.99796759195183404</v>
      </c>
      <c r="C552">
        <v>1.21541539499405</v>
      </c>
      <c r="D552">
        <v>1.1878337349305701</v>
      </c>
      <c r="E552">
        <v>1.2233651340690199</v>
      </c>
      <c r="F552">
        <v>0.924975238023937</v>
      </c>
      <c r="G552">
        <v>0.89873791170442596</v>
      </c>
      <c r="H552">
        <v>0.64228995680003498</v>
      </c>
      <c r="I552">
        <v>0.50251403720543097</v>
      </c>
      <c r="J552">
        <v>0.36878906474470202</v>
      </c>
      <c r="K552">
        <v>0.195835099646647</v>
      </c>
      <c r="L552">
        <v>992.72196995233196</v>
      </c>
      <c r="M552">
        <v>16.608169841929801</v>
      </c>
      <c r="N552">
        <v>60.631488190504697</v>
      </c>
      <c r="O552">
        <v>58.926709474485797</v>
      </c>
      <c r="P552">
        <v>-6.3083602569686301E-2</v>
      </c>
      <c r="Q552">
        <v>0.104764467159186</v>
      </c>
      <c r="R552">
        <v>0.88191794991291494</v>
      </c>
      <c r="S552" t="s">
        <v>6135</v>
      </c>
      <c r="T552" t="s">
        <v>11164</v>
      </c>
      <c r="U552" t="s">
        <v>11164</v>
      </c>
      <c r="V552" t="s">
        <v>11164</v>
      </c>
      <c r="W552" t="s">
        <v>11710</v>
      </c>
      <c r="X552">
        <v>2</v>
      </c>
      <c r="Y552" t="s">
        <v>17244</v>
      </c>
      <c r="Z552" t="s">
        <v>22702</v>
      </c>
      <c r="AA552">
        <v>0.78224443737103988</v>
      </c>
      <c r="AB552" t="str">
        <f>HYPERLINK("Melting_Curves/meltCurve_E9PNN3_PTS.pdf", "Melting_Curves/meltCurve_E9PNN3_PTS.pdf")</f>
        <v>Melting_Curves/meltCurve_E9PNN3_PTS.pdf</v>
      </c>
    </row>
    <row r="553" spans="1:28" x14ac:dyDescent="0.25">
      <c r="A553" t="s">
        <v>557</v>
      </c>
      <c r="B553">
        <v>0.99796759195183404</v>
      </c>
      <c r="C553">
        <v>1.2606548783112399</v>
      </c>
      <c r="D553">
        <v>1.0765823004233499</v>
      </c>
      <c r="E553">
        <v>1.03482398006712</v>
      </c>
      <c r="F553">
        <v>0.83986716472105705</v>
      </c>
      <c r="G553">
        <v>1.2567706361544</v>
      </c>
      <c r="H553">
        <v>0.79749017842032</v>
      </c>
      <c r="I553">
        <v>0.63067331464162402</v>
      </c>
      <c r="J553">
        <v>0.46957442192989501</v>
      </c>
      <c r="K553">
        <v>0.27847206238528399</v>
      </c>
      <c r="L553">
        <v>1558.6281765593001</v>
      </c>
      <c r="M553">
        <v>25.416007187009601</v>
      </c>
      <c r="N553">
        <v>62.827791168745797</v>
      </c>
      <c r="O553">
        <v>60.948805333265398</v>
      </c>
      <c r="P553">
        <v>-8.0504143658837193E-2</v>
      </c>
      <c r="Q553">
        <v>0.227798524301252</v>
      </c>
      <c r="R553">
        <v>0.80436396569053603</v>
      </c>
      <c r="S553" t="s">
        <v>6136</v>
      </c>
      <c r="T553" t="s">
        <v>11164</v>
      </c>
      <c r="U553" t="s">
        <v>11164</v>
      </c>
      <c r="V553" t="s">
        <v>11164</v>
      </c>
      <c r="W553" t="s">
        <v>11711</v>
      </c>
      <c r="X553">
        <v>1</v>
      </c>
      <c r="Y553" t="s">
        <v>17245</v>
      </c>
      <c r="Z553" t="s">
        <v>22703</v>
      </c>
      <c r="AA553">
        <v>0.85315579911008399</v>
      </c>
      <c r="AB553" t="str">
        <f>HYPERLINK("Melting_Curves/meltCurve_E9PNP2_SSR2.pdf", "Melting_Curves/meltCurve_E9PNP2_SSR2.pdf")</f>
        <v>Melting_Curves/meltCurve_E9PNP2_SSR2.pdf</v>
      </c>
    </row>
    <row r="554" spans="1:28" x14ac:dyDescent="0.25">
      <c r="A554" t="s">
        <v>558</v>
      </c>
      <c r="B554">
        <v>0.99796759195183404</v>
      </c>
      <c r="C554">
        <v>1.03214010059186</v>
      </c>
      <c r="D554">
        <v>1.01480362712365</v>
      </c>
      <c r="E554">
        <v>0.96599900725808396</v>
      </c>
      <c r="F554">
        <v>0.79888855559656202</v>
      </c>
      <c r="G554">
        <v>0.55969636975809001</v>
      </c>
      <c r="H554">
        <v>0.54255844653751595</v>
      </c>
      <c r="I554">
        <v>0.48869243126157602</v>
      </c>
      <c r="J554">
        <v>0.62359950457420799</v>
      </c>
      <c r="K554">
        <v>0.58975912393026197</v>
      </c>
      <c r="L554">
        <v>2696.2597954113198</v>
      </c>
      <c r="M554">
        <v>53.5591466895129</v>
      </c>
      <c r="O554">
        <v>50.271690252170501</v>
      </c>
      <c r="P554">
        <v>-0.117650164843021</v>
      </c>
      <c r="Q554">
        <v>0.55828506490204099</v>
      </c>
      <c r="R554">
        <v>0.97193242215775799</v>
      </c>
      <c r="S554" t="s">
        <v>6137</v>
      </c>
      <c r="T554" t="s">
        <v>11164</v>
      </c>
      <c r="U554" t="s">
        <v>11164</v>
      </c>
      <c r="V554" t="s">
        <v>11164</v>
      </c>
      <c r="W554" t="s">
        <v>11712</v>
      </c>
      <c r="X554">
        <v>9</v>
      </c>
      <c r="Y554" t="s">
        <v>17246</v>
      </c>
      <c r="Z554" t="s">
        <v>22704</v>
      </c>
      <c r="AA554">
        <v>0.75558053898617594</v>
      </c>
      <c r="AB554" t="str">
        <f>HYPERLINK("Melting_Curves/meltCurve_E9PNP3_AAMDC.pdf", "Melting_Curves/meltCurve_E9PNP3_AAMDC.pdf")</f>
        <v>Melting_Curves/meltCurve_E9PNP3_AAMDC.pdf</v>
      </c>
    </row>
    <row r="555" spans="1:28" x14ac:dyDescent="0.25">
      <c r="A555" t="s">
        <v>559</v>
      </c>
      <c r="B555">
        <v>0.99796759195183404</v>
      </c>
      <c r="C555">
        <v>0.91057393227112504</v>
      </c>
      <c r="D555">
        <v>0.86117898042855201</v>
      </c>
      <c r="E555">
        <v>0.74908336568804301</v>
      </c>
      <c r="F555">
        <v>0.88409765725911804</v>
      </c>
      <c r="G555">
        <v>0.554825490533712</v>
      </c>
      <c r="H555">
        <v>0.26606064161509202</v>
      </c>
      <c r="I555">
        <v>0.22158877367417501</v>
      </c>
      <c r="J555">
        <v>0.14101145556927699</v>
      </c>
      <c r="K555">
        <v>9.1415236980404296E-2</v>
      </c>
      <c r="L555">
        <v>640.84151720107297</v>
      </c>
      <c r="M555">
        <v>11.78968099021</v>
      </c>
      <c r="N555">
        <v>54.356124777218596</v>
      </c>
      <c r="O555">
        <v>52.863004186261001</v>
      </c>
      <c r="P555">
        <v>-5.57702154033341E-2</v>
      </c>
      <c r="Q555">
        <v>0</v>
      </c>
      <c r="R555">
        <v>0.94423695886676995</v>
      </c>
      <c r="S555" t="s">
        <v>6138</v>
      </c>
      <c r="T555" t="s">
        <v>11164</v>
      </c>
      <c r="U555" t="s">
        <v>11164</v>
      </c>
      <c r="V555" t="s">
        <v>11164</v>
      </c>
      <c r="W555" t="s">
        <v>11713</v>
      </c>
      <c r="X555">
        <v>3</v>
      </c>
      <c r="Y555" t="s">
        <v>17247</v>
      </c>
      <c r="Z555" t="s">
        <v>22705</v>
      </c>
      <c r="AA555">
        <v>0.59518710230280836</v>
      </c>
      <c r="AB555" t="str">
        <f>HYPERLINK("Melting_Curves/meltCurve_E9PNT2_ARHGAP27.pdf", "Melting_Curves/meltCurve_E9PNT2_ARHGAP27.pdf")</f>
        <v>Melting_Curves/meltCurve_E9PNT2_ARHGAP27.pdf</v>
      </c>
    </row>
    <row r="556" spans="1:28" x14ac:dyDescent="0.25">
      <c r="A556" t="s">
        <v>560</v>
      </c>
      <c r="B556">
        <v>0.99796759195183404</v>
      </c>
      <c r="C556">
        <v>0.96555608782047397</v>
      </c>
      <c r="D556">
        <v>0.98457694206392898</v>
      </c>
      <c r="E556">
        <v>0.96704327048332195</v>
      </c>
      <c r="F556">
        <v>0.75603460920680698</v>
      </c>
      <c r="G556">
        <v>0.64614825651824204</v>
      </c>
      <c r="H556">
        <v>0.73120775704835905</v>
      </c>
      <c r="I556">
        <v>0.60026338972244098</v>
      </c>
      <c r="J556">
        <v>0.76459354960214398</v>
      </c>
      <c r="K556">
        <v>0.78299079962405704</v>
      </c>
      <c r="L556">
        <v>2524.3033055107999</v>
      </c>
      <c r="M556">
        <v>51.9888532764787</v>
      </c>
      <c r="O556">
        <v>48.483021978820503</v>
      </c>
      <c r="P556">
        <v>-7.8939593153268997E-2</v>
      </c>
      <c r="Q556">
        <v>0.70553478261172797</v>
      </c>
      <c r="R556">
        <v>0.865503359551139</v>
      </c>
      <c r="S556" t="s">
        <v>6139</v>
      </c>
      <c r="T556" t="s">
        <v>11164</v>
      </c>
      <c r="U556" t="s">
        <v>11164</v>
      </c>
      <c r="V556" t="s">
        <v>11164</v>
      </c>
      <c r="W556" t="s">
        <v>11714</v>
      </c>
      <c r="X556">
        <v>7</v>
      </c>
      <c r="Y556" t="s">
        <v>17248</v>
      </c>
      <c r="Z556" t="s">
        <v>22706</v>
      </c>
      <c r="AA556">
        <v>0.81953313771367498</v>
      </c>
      <c r="AB556" t="str">
        <f>HYPERLINK("Melting_Curves/meltCurve_E9PNW4_CD59.pdf", "Melting_Curves/meltCurve_E9PNW4_CD59.pdf")</f>
        <v>Melting_Curves/meltCurve_E9PNW4_CD59.pdf</v>
      </c>
    </row>
    <row r="557" spans="1:28" x14ac:dyDescent="0.25">
      <c r="A557" t="s">
        <v>561</v>
      </c>
      <c r="B557">
        <v>0.99796759195183404</v>
      </c>
      <c r="C557">
        <v>0.97872844532262104</v>
      </c>
      <c r="D557">
        <v>0.91289763186379602</v>
      </c>
      <c r="E557">
        <v>0.83819091015911695</v>
      </c>
      <c r="F557">
        <v>0.53665603426322805</v>
      </c>
      <c r="G557">
        <v>0.28665290071865301</v>
      </c>
      <c r="H557">
        <v>0.18849177859934199</v>
      </c>
      <c r="I557">
        <v>0.134988834447242</v>
      </c>
      <c r="J557">
        <v>9.9332853069026103E-2</v>
      </c>
      <c r="K557">
        <v>5.5039097549214197E-2</v>
      </c>
      <c r="L557">
        <v>838.23614611221603</v>
      </c>
      <c r="M557">
        <v>16.649005607264201</v>
      </c>
      <c r="N557">
        <v>50.784032938718298</v>
      </c>
      <c r="O557">
        <v>49.637986713649198</v>
      </c>
      <c r="P557">
        <v>-7.8267067410486196E-2</v>
      </c>
      <c r="Q557">
        <v>6.6668925240330898E-2</v>
      </c>
      <c r="R557">
        <v>0.99700992784104003</v>
      </c>
      <c r="S557" t="s">
        <v>6140</v>
      </c>
      <c r="T557" t="s">
        <v>11164</v>
      </c>
      <c r="U557" t="s">
        <v>11164</v>
      </c>
      <c r="V557" t="s">
        <v>11164</v>
      </c>
      <c r="W557" t="s">
        <v>11715</v>
      </c>
      <c r="X557">
        <v>3</v>
      </c>
      <c r="Y557" t="s">
        <v>17249</v>
      </c>
      <c r="Z557" t="s">
        <v>22707</v>
      </c>
      <c r="AA557">
        <v>0.4984717407639333</v>
      </c>
      <c r="AB557" t="str">
        <f>HYPERLINK("Melting_Curves/meltCurve_E9PQ61_ZC3H11A.pdf", "Melting_Curves/meltCurve_E9PQ61_ZC3H11A.pdf")</f>
        <v>Melting_Curves/meltCurve_E9PQ61_ZC3H11A.pdf</v>
      </c>
    </row>
    <row r="558" spans="1:28" x14ac:dyDescent="0.25">
      <c r="A558" t="s">
        <v>562</v>
      </c>
      <c r="B558">
        <v>0.99796759195183404</v>
      </c>
      <c r="C558">
        <v>0.95872817480139305</v>
      </c>
      <c r="D558">
        <v>0.94566286713354997</v>
      </c>
      <c r="E558">
        <v>0.90572849296820501</v>
      </c>
      <c r="F558">
        <v>0.85863164765690503</v>
      </c>
      <c r="G558">
        <v>0.47284273777012997</v>
      </c>
      <c r="H558">
        <v>0.27091109813887398</v>
      </c>
      <c r="I558">
        <v>0.17071242916941601</v>
      </c>
      <c r="J558">
        <v>0.16752687936154201</v>
      </c>
      <c r="K558">
        <v>0.137974680813096</v>
      </c>
      <c r="L558">
        <v>1258.92386217237</v>
      </c>
      <c r="M558">
        <v>23.7563936285738</v>
      </c>
      <c r="N558">
        <v>53.741223436132401</v>
      </c>
      <c r="O558">
        <v>52.621838057881597</v>
      </c>
      <c r="P558">
        <v>-9.6974207960464007E-2</v>
      </c>
      <c r="Q558">
        <v>0.14079937187981001</v>
      </c>
      <c r="R558">
        <v>0.99167534571014804</v>
      </c>
      <c r="S558" t="s">
        <v>6141</v>
      </c>
      <c r="T558" t="s">
        <v>11164</v>
      </c>
      <c r="U558" t="s">
        <v>11164</v>
      </c>
      <c r="V558" t="s">
        <v>11164</v>
      </c>
      <c r="W558" t="s">
        <v>11716</v>
      </c>
      <c r="X558">
        <v>3</v>
      </c>
      <c r="Y558" t="s">
        <v>17250</v>
      </c>
      <c r="Z558" t="s">
        <v>22708</v>
      </c>
      <c r="AA558">
        <v>0.60711874140495037</v>
      </c>
      <c r="AB558" t="str">
        <f>HYPERLINK("Melting_Curves/meltCurve_E9PQN5_PPP2R5B.pdf", "Melting_Curves/meltCurve_E9PQN5_PPP2R5B.pdf")</f>
        <v>Melting_Curves/meltCurve_E9PQN5_PPP2R5B.pdf</v>
      </c>
    </row>
    <row r="559" spans="1:28" x14ac:dyDescent="0.25">
      <c r="A559" t="s">
        <v>563</v>
      </c>
      <c r="B559">
        <v>0.99796759195183404</v>
      </c>
      <c r="C559">
        <v>1.0244117141170199</v>
      </c>
      <c r="D559">
        <v>1.0944332512569599</v>
      </c>
      <c r="E559">
        <v>1.0290720461898</v>
      </c>
      <c r="F559">
        <v>0.82522884706118804</v>
      </c>
      <c r="G559">
        <v>0.44331404440358801</v>
      </c>
      <c r="H559">
        <v>0.18012218674735</v>
      </c>
      <c r="I559">
        <v>9.2863468562124601E-2</v>
      </c>
      <c r="J559">
        <v>7.0716753356990805E-2</v>
      </c>
      <c r="K559">
        <v>3.4993142440418699E-2</v>
      </c>
      <c r="L559">
        <v>1423.5530838913901</v>
      </c>
      <c r="M559">
        <v>26.795320693144799</v>
      </c>
      <c r="N559">
        <v>53.356680183093999</v>
      </c>
      <c r="O559">
        <v>52.833671372894798</v>
      </c>
      <c r="P559">
        <v>-0.11988380935354501</v>
      </c>
      <c r="Q559">
        <v>5.4486088618246498E-2</v>
      </c>
      <c r="R559">
        <v>0.99283841592258204</v>
      </c>
      <c r="S559" t="s">
        <v>6142</v>
      </c>
      <c r="T559" t="s">
        <v>11164</v>
      </c>
      <c r="U559" t="s">
        <v>11164</v>
      </c>
      <c r="V559" t="s">
        <v>11164</v>
      </c>
      <c r="W559" t="s">
        <v>11717</v>
      </c>
      <c r="X559">
        <v>5</v>
      </c>
      <c r="Y559" t="s">
        <v>17251</v>
      </c>
      <c r="Z559" t="s">
        <v>22709</v>
      </c>
      <c r="AA559">
        <v>0.57015861784887345</v>
      </c>
      <c r="AB559" t="str">
        <f>HYPERLINK("Melting_Curves/meltCurve_E9PQR7_VPS28.pdf", "Melting_Curves/meltCurve_E9PQR7_VPS28.pdf")</f>
        <v>Melting_Curves/meltCurve_E9PQR7_VPS28.pdf</v>
      </c>
    </row>
    <row r="560" spans="1:28" x14ac:dyDescent="0.25">
      <c r="A560" t="s">
        <v>564</v>
      </c>
      <c r="B560">
        <v>0.99796759195183404</v>
      </c>
      <c r="C560">
        <v>1.00728882090128</v>
      </c>
      <c r="D560">
        <v>1.0430570771019301</v>
      </c>
      <c r="E560">
        <v>1.0952764151885099</v>
      </c>
      <c r="F560">
        <v>0.95881209185941796</v>
      </c>
      <c r="G560">
        <v>0.75894225440615304</v>
      </c>
      <c r="H560">
        <v>0.70073778447805501</v>
      </c>
      <c r="I560">
        <v>0.58184640418008304</v>
      </c>
      <c r="J560">
        <v>0.47016916930615998</v>
      </c>
      <c r="K560">
        <v>0.26315033319866499</v>
      </c>
      <c r="L560">
        <v>685.49529169800599</v>
      </c>
      <c r="M560">
        <v>11.024601635937101</v>
      </c>
      <c r="N560">
        <v>62.1786685990838</v>
      </c>
      <c r="O560">
        <v>60.237958136640302</v>
      </c>
      <c r="P560">
        <v>-4.5769684197257098E-2</v>
      </c>
      <c r="Q560">
        <v>0</v>
      </c>
      <c r="R560">
        <v>0.955405910013576</v>
      </c>
      <c r="S560" t="s">
        <v>6143</v>
      </c>
      <c r="T560" t="s">
        <v>11164</v>
      </c>
      <c r="U560" t="s">
        <v>11164</v>
      </c>
      <c r="V560" t="s">
        <v>11164</v>
      </c>
      <c r="W560" t="s">
        <v>11718</v>
      </c>
      <c r="X560">
        <v>2</v>
      </c>
      <c r="Y560" t="s">
        <v>17252</v>
      </c>
      <c r="Z560" t="s">
        <v>22710</v>
      </c>
      <c r="AA560">
        <v>0.79534986896940063</v>
      </c>
      <c r="AB560" t="str">
        <f>HYPERLINK("Melting_Curves/meltCurve_E9PQY3_ACP2.pdf", "Melting_Curves/meltCurve_E9PQY3_ACP2.pdf")</f>
        <v>Melting_Curves/meltCurve_E9PQY3_ACP2.pdf</v>
      </c>
    </row>
    <row r="561" spans="1:28" x14ac:dyDescent="0.25">
      <c r="A561" t="s">
        <v>565</v>
      </c>
      <c r="B561">
        <v>0.99796759195183404</v>
      </c>
      <c r="C561">
        <v>0.82845084699023097</v>
      </c>
      <c r="D561">
        <v>1.1151185132786701</v>
      </c>
      <c r="E561">
        <v>0.86545894915209598</v>
      </c>
      <c r="F561">
        <v>0.65008525422872399</v>
      </c>
      <c r="G561">
        <v>0.71378444385309403</v>
      </c>
      <c r="H561">
        <v>0.43661517879909401</v>
      </c>
      <c r="I561">
        <v>0.188303833880199</v>
      </c>
      <c r="J561">
        <v>0.22039265662136401</v>
      </c>
      <c r="K561">
        <v>0</v>
      </c>
      <c r="L561">
        <v>674.22535139338902</v>
      </c>
      <c r="M561">
        <v>12.153856963141401</v>
      </c>
      <c r="N561">
        <v>55.474188484963797</v>
      </c>
      <c r="O561">
        <v>54.036462182449</v>
      </c>
      <c r="P561">
        <v>-5.6242790680326102E-2</v>
      </c>
      <c r="Q561">
        <v>0</v>
      </c>
      <c r="R561">
        <v>0.91952597431139904</v>
      </c>
      <c r="S561" t="s">
        <v>6144</v>
      </c>
      <c r="T561" t="s">
        <v>11164</v>
      </c>
      <c r="U561" t="s">
        <v>11164</v>
      </c>
      <c r="V561" t="s">
        <v>11164</v>
      </c>
      <c r="W561" t="s">
        <v>11719</v>
      </c>
      <c r="X561">
        <v>1</v>
      </c>
      <c r="Y561" t="s">
        <v>17253</v>
      </c>
      <c r="Z561" t="s">
        <v>22711</v>
      </c>
      <c r="AA561">
        <v>0.62811288851544922</v>
      </c>
      <c r="AB561" t="str">
        <f>HYPERLINK("Melting_Curves/meltCurve_E9PQZ2_ST3GAL4.pdf", "Melting_Curves/meltCurve_E9PQZ2_ST3GAL4.pdf")</f>
        <v>Melting_Curves/meltCurve_E9PQZ2_ST3GAL4.pdf</v>
      </c>
    </row>
    <row r="562" spans="1:28" x14ac:dyDescent="0.25">
      <c r="A562" t="s">
        <v>566</v>
      </c>
      <c r="B562">
        <v>0.99796759195183404</v>
      </c>
      <c r="C562">
        <v>1.0590155258289899</v>
      </c>
      <c r="D562">
        <v>1.0248744947790001</v>
      </c>
      <c r="E562">
        <v>0.99866270148365199</v>
      </c>
      <c r="F562">
        <v>0.82880427337054396</v>
      </c>
      <c r="G562">
        <v>0.54537013137502799</v>
      </c>
      <c r="H562">
        <v>0.373053470996074</v>
      </c>
      <c r="I562">
        <v>0.27742948581094801</v>
      </c>
      <c r="J562">
        <v>0.26880190940630599</v>
      </c>
      <c r="K562">
        <v>0.21562485976569101</v>
      </c>
      <c r="L562">
        <v>1198.14230067226</v>
      </c>
      <c r="M562">
        <v>22.586296235748598</v>
      </c>
      <c r="N562">
        <v>54.599258562117903</v>
      </c>
      <c r="O562">
        <v>52.636738472213999</v>
      </c>
      <c r="P562">
        <v>-8.1864848843071894E-2</v>
      </c>
      <c r="Q562">
        <v>0.23688049197995001</v>
      </c>
      <c r="R562">
        <v>0.99389183186451902</v>
      </c>
      <c r="S562" t="s">
        <v>6145</v>
      </c>
      <c r="T562" t="s">
        <v>11164</v>
      </c>
      <c r="U562" t="s">
        <v>11164</v>
      </c>
      <c r="V562" t="s">
        <v>11164</v>
      </c>
      <c r="W562" t="s">
        <v>11720</v>
      </c>
      <c r="X562">
        <v>2</v>
      </c>
      <c r="Y562" t="s">
        <v>17254</v>
      </c>
      <c r="Z562" t="s">
        <v>22712</v>
      </c>
      <c r="AA562">
        <v>0.65305914143403543</v>
      </c>
      <c r="AB562" t="str">
        <f>HYPERLINK("Melting_Curves/meltCurve_E9PR30_FAU.pdf", "Melting_Curves/meltCurve_E9PR30_FAU.pdf")</f>
        <v>Melting_Curves/meltCurve_E9PR30_FAU.pdf</v>
      </c>
    </row>
    <row r="563" spans="1:28" x14ac:dyDescent="0.25">
      <c r="A563" t="s">
        <v>567</v>
      </c>
      <c r="B563">
        <v>0.99796759195183404</v>
      </c>
      <c r="C563">
        <v>1.04842893643454</v>
      </c>
      <c r="D563">
        <v>0.975461520053439</v>
      </c>
      <c r="E563">
        <v>1.0324188552748399</v>
      </c>
      <c r="F563">
        <v>0.77278983187313899</v>
      </c>
      <c r="G563">
        <v>0.28843941929567901</v>
      </c>
      <c r="H563">
        <v>0.189837339881617</v>
      </c>
      <c r="I563">
        <v>0.12656208855853199</v>
      </c>
      <c r="J563">
        <v>9.3190672618206294E-2</v>
      </c>
      <c r="K563">
        <v>9.5418845120696205E-2</v>
      </c>
      <c r="L563">
        <v>1833.46733196423</v>
      </c>
      <c r="M563">
        <v>35.435240592659902</v>
      </c>
      <c r="N563">
        <v>52.130630895082497</v>
      </c>
      <c r="O563">
        <v>51.577399219437297</v>
      </c>
      <c r="P563">
        <v>-0.15179121398649001</v>
      </c>
      <c r="Q563">
        <v>0.116250449248155</v>
      </c>
      <c r="R563">
        <v>0.99482370073164095</v>
      </c>
      <c r="S563" t="s">
        <v>6146</v>
      </c>
      <c r="T563" t="s">
        <v>11164</v>
      </c>
      <c r="U563" t="s">
        <v>11164</v>
      </c>
      <c r="V563" t="s">
        <v>11164</v>
      </c>
      <c r="W563" t="s">
        <v>11721</v>
      </c>
      <c r="X563">
        <v>3</v>
      </c>
      <c r="Y563" t="s">
        <v>17255</v>
      </c>
      <c r="Z563" t="s">
        <v>22713</v>
      </c>
      <c r="AA563">
        <v>0.55452013997986715</v>
      </c>
      <c r="AB563" t="str">
        <f>HYPERLINK("Melting_Curves/meltCurve_E9PR76_MAF1.pdf", "Melting_Curves/meltCurve_E9PR76_MAF1.pdf")</f>
        <v>Melting_Curves/meltCurve_E9PR76_MAF1.pdf</v>
      </c>
    </row>
    <row r="564" spans="1:28" x14ac:dyDescent="0.25">
      <c r="A564" t="s">
        <v>568</v>
      </c>
      <c r="B564">
        <v>0.99796759195183404</v>
      </c>
      <c r="C564">
        <v>1.0719086952489001</v>
      </c>
      <c r="D564">
        <v>1.11554183988485</v>
      </c>
      <c r="E564">
        <v>1.06890876895897</v>
      </c>
      <c r="F564">
        <v>1.0628116193759001</v>
      </c>
      <c r="G564">
        <v>0.60635536013757196</v>
      </c>
      <c r="H564">
        <v>0.76819080354083202</v>
      </c>
      <c r="I564">
        <v>0.61577049546842899</v>
      </c>
      <c r="J564">
        <v>0.76989582927948397</v>
      </c>
      <c r="K564">
        <v>1.0718265875167099</v>
      </c>
      <c r="L564">
        <v>3995.69947578969</v>
      </c>
      <c r="M564">
        <v>77.339289323805602</v>
      </c>
      <c r="O564">
        <v>51.6300372706595</v>
      </c>
      <c r="P564">
        <v>-8.6169088823388404E-2</v>
      </c>
      <c r="Q564">
        <v>0.76990155449391195</v>
      </c>
      <c r="R564">
        <v>0.524583698720549</v>
      </c>
      <c r="S564" t="s">
        <v>6147</v>
      </c>
      <c r="T564" t="s">
        <v>11164</v>
      </c>
      <c r="U564" t="s">
        <v>11164</v>
      </c>
      <c r="V564" t="s">
        <v>11164</v>
      </c>
      <c r="W564" t="s">
        <v>11722</v>
      </c>
      <c r="X564">
        <v>4</v>
      </c>
      <c r="Y564" t="s">
        <v>17256</v>
      </c>
      <c r="Z564" t="s">
        <v>22714</v>
      </c>
      <c r="AA564">
        <v>0.88259634190891012</v>
      </c>
      <c r="AB564" t="str">
        <f>HYPERLINK("Melting_Curves/meltCurve_E9PRJ3_CD151.pdf", "Melting_Curves/meltCurve_E9PRJ3_CD151.pdf")</f>
        <v>Melting_Curves/meltCurve_E9PRJ3_CD151.pdf</v>
      </c>
    </row>
    <row r="565" spans="1:28" x14ac:dyDescent="0.25">
      <c r="A565" t="s">
        <v>569</v>
      </c>
      <c r="B565">
        <v>0.99796759195183404</v>
      </c>
      <c r="C565">
        <v>0.97147364795742097</v>
      </c>
      <c r="D565">
        <v>0.95147215223803105</v>
      </c>
      <c r="E565">
        <v>0.93251415985626596</v>
      </c>
      <c r="F565">
        <v>0.80262936543696795</v>
      </c>
      <c r="G565">
        <v>0.67025969368317995</v>
      </c>
      <c r="H565">
        <v>0.27404110186349501</v>
      </c>
      <c r="I565">
        <v>0.23800069376469701</v>
      </c>
      <c r="J565">
        <v>0.166360110892776</v>
      </c>
      <c r="K565">
        <v>0.13210775688597501</v>
      </c>
      <c r="L565">
        <v>970.59882720463099</v>
      </c>
      <c r="M565">
        <v>17.851346615537999</v>
      </c>
      <c r="N565">
        <v>55.070670421644301</v>
      </c>
      <c r="O565">
        <v>53.702649740573897</v>
      </c>
      <c r="P565">
        <v>-7.4676879745290206E-2</v>
      </c>
      <c r="Q565">
        <v>0.10143655669264701</v>
      </c>
      <c r="R565">
        <v>0.98619463621622705</v>
      </c>
      <c r="S565" t="s">
        <v>6148</v>
      </c>
      <c r="T565" t="s">
        <v>11164</v>
      </c>
      <c r="U565" t="s">
        <v>11164</v>
      </c>
      <c r="V565" t="s">
        <v>11164</v>
      </c>
      <c r="W565" t="s">
        <v>11723</v>
      </c>
      <c r="X565">
        <v>7</v>
      </c>
      <c r="Y565" t="s">
        <v>17257</v>
      </c>
      <c r="Z565" t="s">
        <v>22715</v>
      </c>
      <c r="AA565">
        <v>0.63381873362825503</v>
      </c>
      <c r="AB565" t="str">
        <f>HYPERLINK("Melting_Curves/meltCurve_E9PS17_SCYL1.pdf", "Melting_Curves/meltCurve_E9PS17_SCYL1.pdf")</f>
        <v>Melting_Curves/meltCurve_E9PS17_SCYL1.pdf</v>
      </c>
    </row>
    <row r="566" spans="1:28" x14ac:dyDescent="0.25">
      <c r="A566" t="s">
        <v>570</v>
      </c>
      <c r="B566">
        <v>0.99796759195183404</v>
      </c>
      <c r="C566">
        <v>0.98048397517440999</v>
      </c>
      <c r="D566">
        <v>0.92660930399347496</v>
      </c>
      <c r="E566">
        <v>1.0915387254614599</v>
      </c>
      <c r="F566">
        <v>0.84180000958558898</v>
      </c>
      <c r="G566">
        <v>0.58466043772273302</v>
      </c>
      <c r="H566">
        <v>0.81047034526198003</v>
      </c>
      <c r="I566">
        <v>0.49581887828511501</v>
      </c>
      <c r="J566">
        <v>0.441910538995269</v>
      </c>
      <c r="K566">
        <v>0.35725941485486701</v>
      </c>
      <c r="L566">
        <v>503.548323998581</v>
      </c>
      <c r="M566">
        <v>8.2495921750911805</v>
      </c>
      <c r="N566">
        <v>62.0047922912985</v>
      </c>
      <c r="O566">
        <v>57.7676314249344</v>
      </c>
      <c r="P566">
        <v>-3.3583313026871502E-2</v>
      </c>
      <c r="Q566">
        <v>6.0281351198097702E-2</v>
      </c>
      <c r="R566">
        <v>0.85670537687979298</v>
      </c>
      <c r="S566" t="s">
        <v>6149</v>
      </c>
      <c r="T566" t="s">
        <v>11164</v>
      </c>
      <c r="U566" t="s">
        <v>11164</v>
      </c>
      <c r="V566" t="s">
        <v>11164</v>
      </c>
      <c r="W566" t="s">
        <v>11724</v>
      </c>
      <c r="X566">
        <v>6</v>
      </c>
      <c r="Y566" t="s">
        <v>17232</v>
      </c>
      <c r="Z566" t="s">
        <v>22716</v>
      </c>
      <c r="AA566">
        <v>0.76279744457238219</v>
      </c>
      <c r="AB566" t="str">
        <f>HYPERLINK("Melting_Curves/meltCurve_E9PS38_NEDD8_MDP1.pdf", "Melting_Curves/meltCurve_E9PS38_NEDD8_MDP1.pdf")</f>
        <v>Melting_Curves/meltCurve_E9PS38_NEDD8_MDP1.pdf</v>
      </c>
    </row>
    <row r="567" spans="1:28" x14ac:dyDescent="0.25">
      <c r="A567" t="s">
        <v>571</v>
      </c>
      <c r="B567">
        <v>0.99796759195183404</v>
      </c>
      <c r="C567">
        <v>1.0690198297228399</v>
      </c>
      <c r="D567">
        <v>1.0379139522212799</v>
      </c>
      <c r="E567">
        <v>0.92107336074507495</v>
      </c>
      <c r="F567">
        <v>0.99743122708971599</v>
      </c>
      <c r="G567">
        <v>0.61771286916547996</v>
      </c>
      <c r="H567">
        <v>0.31189444983099701</v>
      </c>
      <c r="I567">
        <v>0.28428469840936299</v>
      </c>
      <c r="J567">
        <v>0.17702785447357899</v>
      </c>
      <c r="K567">
        <v>0.175330187220823</v>
      </c>
      <c r="L567">
        <v>1848.3852840637001</v>
      </c>
      <c r="M567">
        <v>34.181679199753802</v>
      </c>
      <c r="N567">
        <v>54.927307797624401</v>
      </c>
      <c r="O567">
        <v>53.891247325406198</v>
      </c>
      <c r="P567">
        <v>-0.12594271013271299</v>
      </c>
      <c r="Q567">
        <v>0.20575196957914901</v>
      </c>
      <c r="R567">
        <v>0.98437619187244596</v>
      </c>
      <c r="S567" t="s">
        <v>6150</v>
      </c>
      <c r="T567" t="s">
        <v>11164</v>
      </c>
      <c r="U567" t="s">
        <v>11164</v>
      </c>
      <c r="V567" t="s">
        <v>11164</v>
      </c>
      <c r="W567" t="s">
        <v>11725</v>
      </c>
      <c r="X567">
        <v>1</v>
      </c>
      <c r="Y567" t="s">
        <v>17258</v>
      </c>
      <c r="Z567" t="s">
        <v>22717</v>
      </c>
      <c r="AA567">
        <v>0.66180497059316101</v>
      </c>
      <c r="AB567" t="str">
        <f>HYPERLINK("Melting_Curves/meltCurve_E9PS97_PARVA.pdf", "Melting_Curves/meltCurve_E9PS97_PARVA.pdf")</f>
        <v>Melting_Curves/meltCurve_E9PS97_PARVA.pdf</v>
      </c>
    </row>
    <row r="568" spans="1:28" x14ac:dyDescent="0.25">
      <c r="A568" t="s">
        <v>572</v>
      </c>
      <c r="B568">
        <v>0.99796759195183404</v>
      </c>
      <c r="C568">
        <v>1.0468733253487399</v>
      </c>
      <c r="D568">
        <v>1.0506048047418299</v>
      </c>
      <c r="E568">
        <v>1.0337581749470599</v>
      </c>
      <c r="F568">
        <v>0.82945959918450496</v>
      </c>
      <c r="G568">
        <v>0.59412012010640203</v>
      </c>
      <c r="H568">
        <v>0.72657987727628703</v>
      </c>
      <c r="I568">
        <v>0.58175329536559295</v>
      </c>
      <c r="J568">
        <v>0.75725912790774197</v>
      </c>
      <c r="K568">
        <v>0.70364589308449699</v>
      </c>
      <c r="L568">
        <v>12545.779273308</v>
      </c>
      <c r="M568">
        <v>250</v>
      </c>
      <c r="O568">
        <v>50.179925000620003</v>
      </c>
      <c r="P568">
        <v>-0.407693494562757</v>
      </c>
      <c r="Q568">
        <v>0.67267166179859395</v>
      </c>
      <c r="R568">
        <v>0.90032216487272299</v>
      </c>
      <c r="S568" t="s">
        <v>6151</v>
      </c>
      <c r="T568" t="s">
        <v>11164</v>
      </c>
      <c r="U568" t="s">
        <v>11164</v>
      </c>
      <c r="V568" t="s">
        <v>11164</v>
      </c>
      <c r="W568" t="s">
        <v>11726</v>
      </c>
      <c r="X568">
        <v>12</v>
      </c>
      <c r="Y568" t="s">
        <v>17259</v>
      </c>
      <c r="Z568" t="s">
        <v>22718</v>
      </c>
      <c r="AA568">
        <v>0.81654075014636462</v>
      </c>
      <c r="AB568" t="str">
        <f>HYPERLINK("Melting_Curves/meltCurve_E9PSI1_TM9SF1.pdf", "Melting_Curves/meltCurve_E9PSI1_TM9SF1.pdf")</f>
        <v>Melting_Curves/meltCurve_E9PSI1_TM9SF1.pdf</v>
      </c>
    </row>
    <row r="569" spans="1:28" x14ac:dyDescent="0.25">
      <c r="A569" t="s">
        <v>573</v>
      </c>
      <c r="B569">
        <v>0.99796759195183404</v>
      </c>
      <c r="C569">
        <v>1.22086594645338</v>
      </c>
      <c r="D569">
        <v>1.07409911571794</v>
      </c>
      <c r="E569">
        <v>0.99768665334636397</v>
      </c>
      <c r="F569">
        <v>0.711819511926293</v>
      </c>
      <c r="G569">
        <v>0.53340099572065802</v>
      </c>
      <c r="H569">
        <v>0.50699533274154296</v>
      </c>
      <c r="I569">
        <v>0.28141387659971401</v>
      </c>
      <c r="J569">
        <v>0.360947433450516</v>
      </c>
      <c r="K569">
        <v>0.32730181091265198</v>
      </c>
      <c r="L569">
        <v>1090.0075000990801</v>
      </c>
      <c r="M569">
        <v>21.092664244950999</v>
      </c>
      <c r="N569">
        <v>54.543449126151899</v>
      </c>
      <c r="O569">
        <v>51.219316925928297</v>
      </c>
      <c r="P569">
        <v>-6.8468907183178607E-2</v>
      </c>
      <c r="Q569">
        <v>0.33496535024148599</v>
      </c>
      <c r="R569">
        <v>0.92666679470445301</v>
      </c>
      <c r="S569" t="s">
        <v>6152</v>
      </c>
      <c r="T569" t="s">
        <v>11164</v>
      </c>
      <c r="U569" t="s">
        <v>11164</v>
      </c>
      <c r="V569" t="s">
        <v>11164</v>
      </c>
      <c r="W569" t="s">
        <v>11727</v>
      </c>
      <c r="X569">
        <v>1</v>
      </c>
      <c r="Y569" t="s">
        <v>17260</v>
      </c>
      <c r="Z569" t="s">
        <v>22719</v>
      </c>
      <c r="AA569">
        <v>0.66824266596099247</v>
      </c>
      <c r="AB569" t="str">
        <f>HYPERLINK("Melting_Curves/meltCurve_F2Z2E2_IQGAP3.pdf", "Melting_Curves/meltCurve_F2Z2E2_IQGAP3.pdf")</f>
        <v>Melting_Curves/meltCurve_F2Z2E2_IQGAP3.pdf</v>
      </c>
    </row>
    <row r="570" spans="1:28" x14ac:dyDescent="0.25">
      <c r="A570" t="s">
        <v>574</v>
      </c>
      <c r="B570">
        <v>0.99796759195183404</v>
      </c>
      <c r="C570">
        <v>1.0862046261054401</v>
      </c>
      <c r="D570">
        <v>1.0437943281973501</v>
      </c>
      <c r="E570">
        <v>0.95904367830047599</v>
      </c>
      <c r="F570">
        <v>0.93503946760298295</v>
      </c>
      <c r="G570">
        <v>1.5612157367905199</v>
      </c>
      <c r="H570">
        <v>0.57430618975421199</v>
      </c>
      <c r="I570">
        <v>0.305997686760141</v>
      </c>
      <c r="J570">
        <v>0.223059737155159</v>
      </c>
      <c r="K570">
        <v>0.155738703584993</v>
      </c>
      <c r="L570">
        <v>14338.1089080489</v>
      </c>
      <c r="M570">
        <v>250</v>
      </c>
      <c r="N570">
        <v>57.492676305935397</v>
      </c>
      <c r="O570">
        <v>57.348759842980698</v>
      </c>
      <c r="P570">
        <v>-0.84105423410300495</v>
      </c>
      <c r="Q570">
        <v>0.228265248661217</v>
      </c>
      <c r="R570">
        <v>0.81477566514323696</v>
      </c>
      <c r="S570" t="s">
        <v>6153</v>
      </c>
      <c r="T570" t="s">
        <v>11164</v>
      </c>
      <c r="U570" t="s">
        <v>11164</v>
      </c>
      <c r="V570" t="s">
        <v>11164</v>
      </c>
      <c r="W570" t="s">
        <v>11728</v>
      </c>
      <c r="X570">
        <v>8</v>
      </c>
      <c r="Y570" t="s">
        <v>17261</v>
      </c>
      <c r="Z570" t="s">
        <v>22720</v>
      </c>
      <c r="AA570">
        <v>0.75189898752012818</v>
      </c>
      <c r="AB570" t="str">
        <f>HYPERLINK("Melting_Curves/meltCurve_F2Z2U8_MYH14.pdf", "Melting_Curves/meltCurve_F2Z2U8_MYH14.pdf")</f>
        <v>Melting_Curves/meltCurve_F2Z2U8_MYH14.pdf</v>
      </c>
    </row>
    <row r="571" spans="1:28" x14ac:dyDescent="0.25">
      <c r="A571" t="s">
        <v>575</v>
      </c>
      <c r="B571">
        <v>0.99796759195183404</v>
      </c>
      <c r="C571">
        <v>0.99250007751603897</v>
      </c>
      <c r="D571">
        <v>0.749912201040139</v>
      </c>
      <c r="E571">
        <v>0.84287437829244105</v>
      </c>
      <c r="F571">
        <v>0.88976462156235903</v>
      </c>
      <c r="G571">
        <v>0.51381336360656205</v>
      </c>
      <c r="H571">
        <v>0.59097741016014205</v>
      </c>
      <c r="I571">
        <v>0.451426975760922</v>
      </c>
      <c r="J571">
        <v>0.44390807215418798</v>
      </c>
      <c r="K571">
        <v>0.39187051419038199</v>
      </c>
      <c r="L571">
        <v>355.84029790672798</v>
      </c>
      <c r="M571">
        <v>6.3190175107755202</v>
      </c>
      <c r="N571">
        <v>60.036960237902498</v>
      </c>
      <c r="O571">
        <v>51.462875490301897</v>
      </c>
      <c r="P571">
        <v>-2.5788705652796399E-2</v>
      </c>
      <c r="Q571">
        <v>0.16214763310667099</v>
      </c>
      <c r="R571">
        <v>0.86385569118218697</v>
      </c>
      <c r="S571" t="s">
        <v>6154</v>
      </c>
      <c r="T571" t="s">
        <v>11164</v>
      </c>
      <c r="U571" t="s">
        <v>11164</v>
      </c>
      <c r="V571" t="s">
        <v>11164</v>
      </c>
      <c r="W571" t="s">
        <v>11729</v>
      </c>
      <c r="X571">
        <v>2</v>
      </c>
      <c r="Y571" t="s">
        <v>17262</v>
      </c>
      <c r="Z571" t="s">
        <v>22721</v>
      </c>
      <c r="AA571">
        <v>0.68725042966593486</v>
      </c>
      <c r="AB571" t="str">
        <f>HYPERLINK("Melting_Curves/meltCurve_F2Z2W6_HMGN1.pdf", "Melting_Curves/meltCurve_F2Z2W6_HMGN1.pdf")</f>
        <v>Melting_Curves/meltCurve_F2Z2W6_HMGN1.pdf</v>
      </c>
    </row>
    <row r="572" spans="1:28" x14ac:dyDescent="0.25">
      <c r="A572" t="s">
        <v>576</v>
      </c>
      <c r="B572">
        <v>0.99796759195183404</v>
      </c>
      <c r="C572">
        <v>0.96164278236910194</v>
      </c>
      <c r="D572">
        <v>0.97962315736843897</v>
      </c>
      <c r="E572">
        <v>0.86394682244105003</v>
      </c>
      <c r="F572">
        <v>0.57841188130772203</v>
      </c>
      <c r="G572">
        <v>0.31951189328266699</v>
      </c>
      <c r="H572">
        <v>0.24782657246294501</v>
      </c>
      <c r="I572">
        <v>0.20008978492885099</v>
      </c>
      <c r="J572">
        <v>0.18728548388900301</v>
      </c>
      <c r="K572">
        <v>9.9244729661974895E-2</v>
      </c>
      <c r="L572">
        <v>977.98571856760702</v>
      </c>
      <c r="M572">
        <v>19.436410529518501</v>
      </c>
      <c r="N572">
        <v>51.255764934533502</v>
      </c>
      <c r="O572">
        <v>49.793642121638399</v>
      </c>
      <c r="P572">
        <v>-8.2976457961489905E-2</v>
      </c>
      <c r="Q572">
        <v>0.14973002061629401</v>
      </c>
      <c r="R572">
        <v>0.99452111776221896</v>
      </c>
      <c r="S572" t="s">
        <v>6155</v>
      </c>
      <c r="T572" t="s">
        <v>11164</v>
      </c>
      <c r="U572" t="s">
        <v>11164</v>
      </c>
      <c r="V572" t="s">
        <v>11164</v>
      </c>
      <c r="W572" t="s">
        <v>11730</v>
      </c>
      <c r="X572">
        <v>15</v>
      </c>
      <c r="Y572" t="s">
        <v>17263</v>
      </c>
      <c r="Z572" t="s">
        <v>22722</v>
      </c>
      <c r="AA572">
        <v>0.53891551262372483</v>
      </c>
      <c r="AB572" t="str">
        <f>HYPERLINK("Melting_Curves/meltCurve_F2Z2W7_TRMT2A.pdf", "Melting_Curves/meltCurve_F2Z2W7_TRMT2A.pdf")</f>
        <v>Melting_Curves/meltCurve_F2Z2W7_TRMT2A.pdf</v>
      </c>
    </row>
    <row r="573" spans="1:28" x14ac:dyDescent="0.25">
      <c r="A573" t="s">
        <v>577</v>
      </c>
      <c r="B573">
        <v>0.99796759195183404</v>
      </c>
      <c r="C573">
        <v>0.96888737064942199</v>
      </c>
      <c r="D573">
        <v>0.97621762986036498</v>
      </c>
      <c r="E573">
        <v>0.92165111887850404</v>
      </c>
      <c r="F573">
        <v>0.89504170700733998</v>
      </c>
      <c r="G573">
        <v>0.74170578987237801</v>
      </c>
      <c r="H573">
        <v>0.42720497100160398</v>
      </c>
      <c r="I573">
        <v>0.29778471974472698</v>
      </c>
      <c r="J573">
        <v>0.18874123020639</v>
      </c>
      <c r="K573">
        <v>0.113525296015832</v>
      </c>
      <c r="L573">
        <v>888.09626855121905</v>
      </c>
      <c r="M573">
        <v>15.697045334861899</v>
      </c>
      <c r="N573">
        <v>56.941447147262203</v>
      </c>
      <c r="O573">
        <v>55.682915563031699</v>
      </c>
      <c r="P573">
        <v>-6.7115184354588103E-2</v>
      </c>
      <c r="Q573">
        <v>4.7756252645511602E-2</v>
      </c>
      <c r="R573">
        <v>0.99380757976054901</v>
      </c>
      <c r="S573" t="s">
        <v>6156</v>
      </c>
      <c r="T573" t="s">
        <v>11164</v>
      </c>
      <c r="U573" t="s">
        <v>11164</v>
      </c>
      <c r="V573" t="s">
        <v>11164</v>
      </c>
      <c r="W573" t="s">
        <v>11731</v>
      </c>
      <c r="X573">
        <v>10</v>
      </c>
      <c r="Y573" t="s">
        <v>17264</v>
      </c>
      <c r="Z573" t="s">
        <v>22723</v>
      </c>
      <c r="AA573">
        <v>0.67856319852511982</v>
      </c>
      <c r="AB573" t="str">
        <f>HYPERLINK("Melting_Curves/meltCurve_F2Z2X4_XPO4.pdf", "Melting_Curves/meltCurve_F2Z2X4_XPO4.pdf")</f>
        <v>Melting_Curves/meltCurve_F2Z2X4_XPO4.pdf</v>
      </c>
    </row>
    <row r="574" spans="1:28" x14ac:dyDescent="0.25">
      <c r="A574" t="s">
        <v>578</v>
      </c>
      <c r="B574">
        <v>0.99796759195183404</v>
      </c>
      <c r="C574">
        <v>0.96079321543718799</v>
      </c>
      <c r="D574">
        <v>0.98547553569740298</v>
      </c>
      <c r="E574">
        <v>0.98292997298233398</v>
      </c>
      <c r="F574">
        <v>0.764111552332156</v>
      </c>
      <c r="G574">
        <v>0.57859606150548704</v>
      </c>
      <c r="H574">
        <v>0.62409069232348302</v>
      </c>
      <c r="I574">
        <v>0.38728932942090799</v>
      </c>
      <c r="J574">
        <v>0.199508512946904</v>
      </c>
      <c r="K574">
        <v>9.5229184919485801E-2</v>
      </c>
      <c r="L574">
        <v>624.97758977007595</v>
      </c>
      <c r="M574">
        <v>10.9072587676499</v>
      </c>
      <c r="N574">
        <v>57.299235630922702</v>
      </c>
      <c r="O574">
        <v>55.4741352984529</v>
      </c>
      <c r="P574">
        <v>-4.9171837491174E-2</v>
      </c>
      <c r="Q574">
        <v>0</v>
      </c>
      <c r="R574">
        <v>0.95902294862325699</v>
      </c>
      <c r="S574" t="s">
        <v>6157</v>
      </c>
      <c r="T574" t="s">
        <v>11164</v>
      </c>
      <c r="U574" t="s">
        <v>11164</v>
      </c>
      <c r="V574" t="s">
        <v>11164</v>
      </c>
      <c r="W574" t="s">
        <v>11732</v>
      </c>
      <c r="X574">
        <v>10</v>
      </c>
      <c r="Y574" t="s">
        <v>17265</v>
      </c>
      <c r="Z574" t="s">
        <v>22724</v>
      </c>
      <c r="AA574">
        <v>0.67675658417847251</v>
      </c>
      <c r="AB574" t="str">
        <f>HYPERLINK("Melting_Curves/meltCurve_F5GWE5_PITPNA.pdf", "Melting_Curves/meltCurve_F5GWE5_PITPNA.pdf")</f>
        <v>Melting_Curves/meltCurve_F5GWE5_PITPNA.pdf</v>
      </c>
    </row>
    <row r="575" spans="1:28" x14ac:dyDescent="0.25">
      <c r="A575" t="s">
        <v>579</v>
      </c>
      <c r="B575">
        <v>0.99796759195183404</v>
      </c>
      <c r="C575">
        <v>0.85291738736774703</v>
      </c>
      <c r="D575">
        <v>0.91620572619290797</v>
      </c>
      <c r="E575">
        <v>0.85125818860465197</v>
      </c>
      <c r="F575">
        <v>0.80397693623917799</v>
      </c>
      <c r="G575">
        <v>1.1091117672124999</v>
      </c>
      <c r="H575">
        <v>1.1289617760527999</v>
      </c>
      <c r="I575">
        <v>0.80718735272744102</v>
      </c>
      <c r="J575">
        <v>0.85143578989095903</v>
      </c>
      <c r="K575">
        <v>0.49665751736337299</v>
      </c>
      <c r="L575">
        <v>1836.7155954003799</v>
      </c>
      <c r="M575">
        <v>27.3495756802212</v>
      </c>
      <c r="O575">
        <v>66.801044769403603</v>
      </c>
      <c r="P575">
        <v>-0.10235555888851799</v>
      </c>
      <c r="Q575">
        <v>0</v>
      </c>
      <c r="R575">
        <v>0.507581807689931</v>
      </c>
      <c r="S575" t="s">
        <v>6158</v>
      </c>
      <c r="T575" t="s">
        <v>11164</v>
      </c>
      <c r="U575" t="s">
        <v>11164</v>
      </c>
      <c r="V575" t="s">
        <v>11164</v>
      </c>
      <c r="W575" t="s">
        <v>11733</v>
      </c>
      <c r="X575">
        <v>3</v>
      </c>
      <c r="Y575" t="s">
        <v>17266</v>
      </c>
      <c r="Z575" t="s">
        <v>22725</v>
      </c>
      <c r="AA575">
        <v>0.95024852139815386</v>
      </c>
      <c r="AB575" t="str">
        <f>HYPERLINK("Melting_Curves/meltCurve_F5GWI9_CCDC53.pdf", "Melting_Curves/meltCurve_F5GWI9_CCDC53.pdf")</f>
        <v>Melting_Curves/meltCurve_F5GWI9_CCDC53.pdf</v>
      </c>
    </row>
    <row r="576" spans="1:28" x14ac:dyDescent="0.25">
      <c r="A576" t="s">
        <v>580</v>
      </c>
      <c r="B576">
        <v>0.99796759195183404</v>
      </c>
      <c r="C576">
        <v>1.00275863169766</v>
      </c>
      <c r="D576">
        <v>0.91503357373941696</v>
      </c>
      <c r="E576">
        <v>0.91598843934323704</v>
      </c>
      <c r="F576">
        <v>0.755120222131342</v>
      </c>
      <c r="G576">
        <v>0.458692718416781</v>
      </c>
      <c r="H576">
        <v>0.39640025915837201</v>
      </c>
      <c r="I576">
        <v>0.305591366981323</v>
      </c>
      <c r="J576">
        <v>0.23516136047589101</v>
      </c>
      <c r="K576">
        <v>0.17609360010019801</v>
      </c>
      <c r="L576">
        <v>746.60546355825602</v>
      </c>
      <c r="M576">
        <v>14.1673015982328</v>
      </c>
      <c r="N576">
        <v>54.270588454400503</v>
      </c>
      <c r="O576">
        <v>51.682545289640402</v>
      </c>
      <c r="P576">
        <v>-5.7007792548612497E-2</v>
      </c>
      <c r="Q576">
        <v>0.16824346238639601</v>
      </c>
      <c r="R576">
        <v>0.98828301180770795</v>
      </c>
      <c r="S576" t="s">
        <v>6159</v>
      </c>
      <c r="T576" t="s">
        <v>11164</v>
      </c>
      <c r="U576" t="s">
        <v>11164</v>
      </c>
      <c r="V576" t="s">
        <v>11164</v>
      </c>
      <c r="W576" t="s">
        <v>11734</v>
      </c>
      <c r="X576">
        <v>10</v>
      </c>
      <c r="Y576" t="s">
        <v>17267</v>
      </c>
      <c r="Z576" t="s">
        <v>22726</v>
      </c>
      <c r="AA576">
        <v>0.61957055138892814</v>
      </c>
      <c r="AB576" t="str">
        <f>HYPERLINK("Melting_Curves/meltCurve_F5GWU7_SMAD5.pdf", "Melting_Curves/meltCurve_F5GWU7_SMAD5.pdf")</f>
        <v>Melting_Curves/meltCurve_F5GWU7_SMAD5.pdf</v>
      </c>
    </row>
    <row r="577" spans="1:28" x14ac:dyDescent="0.25">
      <c r="A577" t="s">
        <v>581</v>
      </c>
      <c r="B577">
        <v>0.99796759195183404</v>
      </c>
      <c r="C577">
        <v>1.0591878435163999</v>
      </c>
      <c r="D577">
        <v>0.97266825083888397</v>
      </c>
      <c r="E577">
        <v>0.92260701231159403</v>
      </c>
      <c r="F577">
        <v>0.73942014014895596</v>
      </c>
      <c r="G577">
        <v>0.67043076388653799</v>
      </c>
      <c r="H577">
        <v>0.569710063516504</v>
      </c>
      <c r="I577">
        <v>0.54383042743237697</v>
      </c>
      <c r="J577">
        <v>0.50812821899774296</v>
      </c>
      <c r="K577">
        <v>0.34021728143563801</v>
      </c>
      <c r="L577">
        <v>553.91680640596906</v>
      </c>
      <c r="M577">
        <v>10.224363126876501</v>
      </c>
      <c r="N577">
        <v>60.787477472891197</v>
      </c>
      <c r="O577">
        <v>52.2263852187616</v>
      </c>
      <c r="P577">
        <v>-3.2534327329420902E-2</v>
      </c>
      <c r="Q577">
        <v>0.33555128569675302</v>
      </c>
      <c r="R577">
        <v>0.95950255890361102</v>
      </c>
      <c r="S577" t="s">
        <v>6160</v>
      </c>
      <c r="T577" t="s">
        <v>11164</v>
      </c>
      <c r="U577" t="s">
        <v>11164</v>
      </c>
      <c r="V577" t="s">
        <v>11164</v>
      </c>
      <c r="W577" t="s">
        <v>11735</v>
      </c>
      <c r="X577">
        <v>8</v>
      </c>
      <c r="Y577" t="s">
        <v>17268</v>
      </c>
      <c r="Z577" t="s">
        <v>22727</v>
      </c>
      <c r="AA577">
        <v>0.7271757316463705</v>
      </c>
      <c r="AB577" t="str">
        <f>HYPERLINK("Melting_Curves/meltCurve_F5GWX5_CHD4.pdf", "Melting_Curves/meltCurve_F5GWX5_CHD4.pdf")</f>
        <v>Melting_Curves/meltCurve_F5GWX5_CHD4.pdf</v>
      </c>
    </row>
    <row r="578" spans="1:28" x14ac:dyDescent="0.25">
      <c r="A578" t="s">
        <v>582</v>
      </c>
      <c r="B578">
        <v>0.99796759195183404</v>
      </c>
      <c r="C578">
        <v>1.04314922157863</v>
      </c>
      <c r="D578">
        <v>1.0023146032370001</v>
      </c>
      <c r="E578">
        <v>0.94968595232500497</v>
      </c>
      <c r="F578">
        <v>0.83213360568338102</v>
      </c>
      <c r="G578">
        <v>0.79906715317270005</v>
      </c>
      <c r="H578">
        <v>0.82510031353978996</v>
      </c>
      <c r="I578">
        <v>0.746344132229117</v>
      </c>
      <c r="J578">
        <v>0.82752909611145298</v>
      </c>
      <c r="K578">
        <v>0.66010026262259902</v>
      </c>
      <c r="L578">
        <v>935.55905285895005</v>
      </c>
      <c r="M578">
        <v>18.937880197126901</v>
      </c>
      <c r="O578">
        <v>48.860513514226099</v>
      </c>
      <c r="P578">
        <v>-2.3801313956707901E-2</v>
      </c>
      <c r="Q578">
        <v>0.75437643006189503</v>
      </c>
      <c r="R578">
        <v>0.85382293462671299</v>
      </c>
      <c r="S578" t="s">
        <v>6161</v>
      </c>
      <c r="T578" t="s">
        <v>11164</v>
      </c>
      <c r="U578" t="s">
        <v>11164</v>
      </c>
      <c r="V578" t="s">
        <v>11164</v>
      </c>
      <c r="W578" t="s">
        <v>11736</v>
      </c>
      <c r="X578">
        <v>5</v>
      </c>
      <c r="Y578" t="s">
        <v>17269</v>
      </c>
      <c r="Z578" t="s">
        <v>22728</v>
      </c>
      <c r="AA578">
        <v>0.85947883827537919</v>
      </c>
      <c r="AB578" t="str">
        <f>HYPERLINK("Melting_Curves/meltCurve_F5GWY5_PODXL.pdf", "Melting_Curves/meltCurve_F5GWY5_PODXL.pdf")</f>
        <v>Melting_Curves/meltCurve_F5GWY5_PODXL.pdf</v>
      </c>
    </row>
    <row r="579" spans="1:28" x14ac:dyDescent="0.25">
      <c r="A579" t="s">
        <v>583</v>
      </c>
      <c r="B579">
        <v>0.99796759195183404</v>
      </c>
      <c r="C579">
        <v>0.89749471796297098</v>
      </c>
      <c r="D579">
        <v>0.72651806943657404</v>
      </c>
      <c r="E579">
        <v>1.05525812532686</v>
      </c>
      <c r="F579">
        <v>0.74430966701993195</v>
      </c>
      <c r="G579">
        <v>0.68808863437470602</v>
      </c>
      <c r="H579">
        <v>0.32211688112818398</v>
      </c>
      <c r="I579">
        <v>0.192695783441514</v>
      </c>
      <c r="J579">
        <v>0.17005405569889001</v>
      </c>
      <c r="K579">
        <v>0.12572791029577199</v>
      </c>
      <c r="L579">
        <v>829.28389925087095</v>
      </c>
      <c r="M579">
        <v>15.109321146284399</v>
      </c>
      <c r="N579">
        <v>55.293297298483999</v>
      </c>
      <c r="O579">
        <v>53.951079075292803</v>
      </c>
      <c r="P579">
        <v>-6.6329750170854906E-2</v>
      </c>
      <c r="Q579">
        <v>5.27144923836914E-2</v>
      </c>
      <c r="R579">
        <v>0.90634925369885</v>
      </c>
      <c r="S579" t="s">
        <v>6162</v>
      </c>
      <c r="T579" t="s">
        <v>11164</v>
      </c>
      <c r="U579" t="s">
        <v>11164</v>
      </c>
      <c r="V579" t="s">
        <v>11164</v>
      </c>
      <c r="W579" t="s">
        <v>11737</v>
      </c>
      <c r="X579">
        <v>2</v>
      </c>
      <c r="Y579" t="s">
        <v>17270</v>
      </c>
      <c r="Z579" t="s">
        <v>22729</v>
      </c>
      <c r="AA579">
        <v>0.63103855927760799</v>
      </c>
      <c r="AB579" t="str">
        <f>HYPERLINK("Melting_Curves/meltCurve_F5GX09_FAM76B.pdf", "Melting_Curves/meltCurve_F5GX09_FAM76B.pdf")</f>
        <v>Melting_Curves/meltCurve_F5GX09_FAM76B.pdf</v>
      </c>
    </row>
    <row r="580" spans="1:28" x14ac:dyDescent="0.25">
      <c r="A580" t="s">
        <v>584</v>
      </c>
      <c r="B580">
        <v>0.99796759195183404</v>
      </c>
      <c r="C580">
        <v>0.88318018525788999</v>
      </c>
      <c r="D580">
        <v>0.90729892268505097</v>
      </c>
      <c r="E580">
        <v>0.76920344728055101</v>
      </c>
      <c r="F580">
        <v>0.53587556023428895</v>
      </c>
      <c r="G580">
        <v>0.34130028892893199</v>
      </c>
      <c r="H580">
        <v>0.27870301628052202</v>
      </c>
      <c r="I580">
        <v>0.22009964358023401</v>
      </c>
      <c r="J580">
        <v>7.8853411856946706E-2</v>
      </c>
      <c r="K580">
        <v>0.21278801720460599</v>
      </c>
      <c r="L580">
        <v>630.573302626756</v>
      </c>
      <c r="M580">
        <v>12.6516932812118</v>
      </c>
      <c r="N580">
        <v>50.922350934994398</v>
      </c>
      <c r="O580">
        <v>48.645011149340903</v>
      </c>
      <c r="P580">
        <v>-5.7372530340332697E-2</v>
      </c>
      <c r="Q580">
        <v>0.117797297433767</v>
      </c>
      <c r="R580">
        <v>0.98001002654968605</v>
      </c>
      <c r="S580" t="s">
        <v>6163</v>
      </c>
      <c r="T580" t="s">
        <v>11164</v>
      </c>
      <c r="U580" t="s">
        <v>11164</v>
      </c>
      <c r="V580" t="s">
        <v>11164</v>
      </c>
      <c r="W580" t="s">
        <v>11738</v>
      </c>
      <c r="X580">
        <v>1</v>
      </c>
      <c r="Y580" t="s">
        <v>17271</v>
      </c>
      <c r="Z580" t="s">
        <v>22730</v>
      </c>
      <c r="AA580">
        <v>0.51879053922255647</v>
      </c>
      <c r="AB580" t="str">
        <f>HYPERLINK("Melting_Curves/meltCurve_F5GX30_PHC1.pdf", "Melting_Curves/meltCurve_F5GX30_PHC1.pdf")</f>
        <v>Melting_Curves/meltCurve_F5GX30_PHC1.pdf</v>
      </c>
    </row>
    <row r="581" spans="1:28" x14ac:dyDescent="0.25">
      <c r="A581" t="s">
        <v>585</v>
      </c>
      <c r="B581">
        <v>0.99796759195183404</v>
      </c>
      <c r="C581">
        <v>0.95686960206861205</v>
      </c>
      <c r="D581">
        <v>0.94812095870988</v>
      </c>
      <c r="E581">
        <v>0.88980829173289999</v>
      </c>
      <c r="F581">
        <v>0.72886045975093205</v>
      </c>
      <c r="G581">
        <v>0.22657455629560799</v>
      </c>
      <c r="H581">
        <v>0.17274763964569501</v>
      </c>
      <c r="I581">
        <v>0.13130784682163399</v>
      </c>
      <c r="J581">
        <v>0.10405200264779101</v>
      </c>
      <c r="K581">
        <v>5.7167499355869303E-2</v>
      </c>
      <c r="L581">
        <v>1569.13490394103</v>
      </c>
      <c r="M581">
        <v>30.605155476986798</v>
      </c>
      <c r="N581">
        <v>51.640959446129102</v>
      </c>
      <c r="O581">
        <v>51.052881661501097</v>
      </c>
      <c r="P581">
        <v>-0.13509132607281901</v>
      </c>
      <c r="Q581">
        <v>9.8614635490315794E-2</v>
      </c>
      <c r="R581">
        <v>0.98902684170678001</v>
      </c>
      <c r="S581" t="s">
        <v>6164</v>
      </c>
      <c r="T581" t="s">
        <v>11164</v>
      </c>
      <c r="U581" t="s">
        <v>11164</v>
      </c>
      <c r="V581" t="s">
        <v>11164</v>
      </c>
      <c r="W581" t="s">
        <v>11739</v>
      </c>
      <c r="X581">
        <v>10</v>
      </c>
      <c r="Y581" t="s">
        <v>17272</v>
      </c>
      <c r="Z581" t="s">
        <v>22731</v>
      </c>
      <c r="AA581">
        <v>0.53280392515273878</v>
      </c>
      <c r="AB581" t="str">
        <f>HYPERLINK("Melting_Curves/meltCurve_F5GXC8_SUCLA2.pdf", "Melting_Curves/meltCurve_F5GXC8_SUCLA2.pdf")</f>
        <v>Melting_Curves/meltCurve_F5GXC8_SUCLA2.pdf</v>
      </c>
    </row>
    <row r="582" spans="1:28" x14ac:dyDescent="0.25">
      <c r="A582" t="s">
        <v>586</v>
      </c>
      <c r="B582">
        <v>0.99796759195183404</v>
      </c>
      <c r="C582">
        <v>1.4558328207317699</v>
      </c>
      <c r="D582">
        <v>1.3312990316320299</v>
      </c>
      <c r="E582">
        <v>1.05604400840913</v>
      </c>
      <c r="F582">
        <v>1.25665087315846</v>
      </c>
      <c r="G582">
        <v>0.892212793773138</v>
      </c>
      <c r="H582">
        <v>0.88729361778620397</v>
      </c>
      <c r="I582">
        <v>0.84526317107420201</v>
      </c>
      <c r="J582">
        <v>0.95461541522228199</v>
      </c>
      <c r="K582">
        <v>0.75686929505961498</v>
      </c>
      <c r="L582">
        <v>13383.306375697301</v>
      </c>
      <c r="M582">
        <v>250</v>
      </c>
      <c r="O582">
        <v>53.529822754822497</v>
      </c>
      <c r="P582">
        <v>-0.16228068764064299</v>
      </c>
      <c r="Q582">
        <v>0.86101035640654899</v>
      </c>
      <c r="R582">
        <v>0.146809423857449</v>
      </c>
      <c r="S582" t="s">
        <v>6165</v>
      </c>
      <c r="T582" t="s">
        <v>11164</v>
      </c>
      <c r="U582" t="s">
        <v>11164</v>
      </c>
      <c r="V582" t="s">
        <v>11164</v>
      </c>
      <c r="W582" t="s">
        <v>11740</v>
      </c>
      <c r="X582">
        <v>1</v>
      </c>
      <c r="Y582" t="s">
        <v>17273</v>
      </c>
      <c r="Z582" t="s">
        <v>22732</v>
      </c>
      <c r="AA582">
        <v>0.93762165181654489</v>
      </c>
      <c r="AB582" t="str">
        <f>HYPERLINK("Melting_Curves/meltCurve_F5GXC9_LTBP4.pdf", "Melting_Curves/meltCurve_F5GXC9_LTBP4.pdf")</f>
        <v>Melting_Curves/meltCurve_F5GXC9_LTBP4.pdf</v>
      </c>
    </row>
    <row r="583" spans="1:28" x14ac:dyDescent="0.25">
      <c r="A583" t="s">
        <v>587</v>
      </c>
      <c r="B583">
        <v>0.99796759195183404</v>
      </c>
      <c r="C583">
        <v>1.0109709738736099</v>
      </c>
      <c r="D583">
        <v>0.96243641740645303</v>
      </c>
      <c r="E583">
        <v>0.86740745463721203</v>
      </c>
      <c r="F583">
        <v>0.87718923008948202</v>
      </c>
      <c r="G583">
        <v>0.67231932933197103</v>
      </c>
      <c r="H583">
        <v>0.34689650367170399</v>
      </c>
      <c r="I583">
        <v>0.18515263931189099</v>
      </c>
      <c r="J583">
        <v>0.153504719013523</v>
      </c>
      <c r="K583">
        <v>0.118032289326623</v>
      </c>
      <c r="L583">
        <v>1001.1197570793501</v>
      </c>
      <c r="M583">
        <v>18.178652936534402</v>
      </c>
      <c r="N583">
        <v>55.549621006538601</v>
      </c>
      <c r="O583">
        <v>54.4177234419328</v>
      </c>
      <c r="P583">
        <v>-7.7466255297451006E-2</v>
      </c>
      <c r="Q583">
        <v>7.2464342283652505E-2</v>
      </c>
      <c r="R583">
        <v>0.98885989614185499</v>
      </c>
      <c r="S583" t="s">
        <v>6166</v>
      </c>
      <c r="T583" t="s">
        <v>11164</v>
      </c>
      <c r="U583" t="s">
        <v>11164</v>
      </c>
      <c r="V583" t="s">
        <v>11164</v>
      </c>
      <c r="W583" t="s">
        <v>11741</v>
      </c>
      <c r="X583">
        <v>7</v>
      </c>
      <c r="Y583" t="s">
        <v>17274</v>
      </c>
      <c r="Z583" t="s">
        <v>22733</v>
      </c>
      <c r="AA583">
        <v>0.64265991420622393</v>
      </c>
      <c r="AB583" t="str">
        <f>HYPERLINK("Melting_Curves/meltCurve_F5GXE4_ATE1.pdf", "Melting_Curves/meltCurve_F5GXE4_ATE1.pdf")</f>
        <v>Melting_Curves/meltCurve_F5GXE4_ATE1.pdf</v>
      </c>
    </row>
    <row r="584" spans="1:28" x14ac:dyDescent="0.25">
      <c r="A584" t="s">
        <v>588</v>
      </c>
      <c r="B584">
        <v>0.99796759195183404</v>
      </c>
      <c r="C584">
        <v>1.0227016905672299</v>
      </c>
      <c r="D584">
        <v>0.93737932719591099</v>
      </c>
      <c r="E584">
        <v>0.88970745014587405</v>
      </c>
      <c r="F584">
        <v>0.75265542413986397</v>
      </c>
      <c r="G584">
        <v>0.35025413288274498</v>
      </c>
      <c r="H584">
        <v>0.31918691219341899</v>
      </c>
      <c r="I584">
        <v>0.265099278611581</v>
      </c>
      <c r="J584">
        <v>0.23068471952007499</v>
      </c>
      <c r="K584">
        <v>0.21626145188955501</v>
      </c>
      <c r="L584">
        <v>1260.9225168939599</v>
      </c>
      <c r="M584">
        <v>24.653788201359301</v>
      </c>
      <c r="N584">
        <v>52.473304089828602</v>
      </c>
      <c r="O584">
        <v>50.812260376485703</v>
      </c>
      <c r="P584">
        <v>-9.3146301516067107E-2</v>
      </c>
      <c r="Q584">
        <v>0.23210094688174401</v>
      </c>
      <c r="R584">
        <v>0.98749835380872697</v>
      </c>
      <c r="S584" t="s">
        <v>6167</v>
      </c>
      <c r="T584" t="s">
        <v>11164</v>
      </c>
      <c r="U584" t="s">
        <v>11164</v>
      </c>
      <c r="V584" t="s">
        <v>11164</v>
      </c>
      <c r="W584" t="s">
        <v>11742</v>
      </c>
      <c r="X584">
        <v>4</v>
      </c>
      <c r="Y584" t="s">
        <v>17275</v>
      </c>
      <c r="Z584" t="s">
        <v>22734</v>
      </c>
      <c r="AA584">
        <v>0.60112795644280803</v>
      </c>
      <c r="AB584" t="str">
        <f>HYPERLINK("Melting_Curves/meltCurve_F5GXI4_PTPRK.pdf", "Melting_Curves/meltCurve_F5GXI4_PTPRK.pdf")</f>
        <v>Melting_Curves/meltCurve_F5GXI4_PTPRK.pdf</v>
      </c>
    </row>
    <row r="585" spans="1:28" x14ac:dyDescent="0.25">
      <c r="A585" t="s">
        <v>589</v>
      </c>
      <c r="B585">
        <v>0.99796759195183404</v>
      </c>
      <c r="C585">
        <v>1.0019248909074301</v>
      </c>
      <c r="D585">
        <v>1.1247137087777099</v>
      </c>
      <c r="E585">
        <v>0.982219652460666</v>
      </c>
      <c r="F585">
        <v>0.89467637889831297</v>
      </c>
      <c r="G585">
        <v>0.67425794613972101</v>
      </c>
      <c r="H585">
        <v>0.500972488018952</v>
      </c>
      <c r="I585">
        <v>0.38749610839361698</v>
      </c>
      <c r="J585">
        <v>0.42877507378263702</v>
      </c>
      <c r="K585">
        <v>0.362653215677677</v>
      </c>
      <c r="L585">
        <v>1271.6512119258</v>
      </c>
      <c r="M585">
        <v>23.705569067706101</v>
      </c>
      <c r="N585">
        <v>57.054933822962496</v>
      </c>
      <c r="O585">
        <v>53.266212843324801</v>
      </c>
      <c r="P585">
        <v>-6.9112845422701699E-2</v>
      </c>
      <c r="Q585">
        <v>0.37882658817076298</v>
      </c>
      <c r="R585">
        <v>0.97635121816818105</v>
      </c>
      <c r="S585" t="s">
        <v>6168</v>
      </c>
      <c r="T585" t="s">
        <v>11164</v>
      </c>
      <c r="U585" t="s">
        <v>11164</v>
      </c>
      <c r="V585" t="s">
        <v>11164</v>
      </c>
      <c r="W585" t="s">
        <v>11743</v>
      </c>
      <c r="X585">
        <v>1</v>
      </c>
      <c r="Y585" t="s">
        <v>17276</v>
      </c>
      <c r="Z585" t="s">
        <v>22735</v>
      </c>
      <c r="AA585">
        <v>0.72939035071796832</v>
      </c>
      <c r="AB585" t="str">
        <f>HYPERLINK("Melting_Curves/meltCurve_F5GXX5_DAD1.pdf", "Melting_Curves/meltCurve_F5GXX5_DAD1.pdf")</f>
        <v>Melting_Curves/meltCurve_F5GXX5_DAD1.pdf</v>
      </c>
    </row>
    <row r="586" spans="1:28" x14ac:dyDescent="0.25">
      <c r="A586" t="s">
        <v>590</v>
      </c>
      <c r="B586">
        <v>0.99796759195183404</v>
      </c>
      <c r="C586">
        <v>0.95857120292470699</v>
      </c>
      <c r="D586">
        <v>0.93257497521483401</v>
      </c>
      <c r="E586">
        <v>0.84931389295485804</v>
      </c>
      <c r="F586">
        <v>0.67604715498164103</v>
      </c>
      <c r="G586">
        <v>0.60901030518960497</v>
      </c>
      <c r="H586">
        <v>0.58882075700876202</v>
      </c>
      <c r="I586">
        <v>0.60085606285746496</v>
      </c>
      <c r="J586">
        <v>0.46270822810408302</v>
      </c>
      <c r="K586">
        <v>0.32334864649289002</v>
      </c>
      <c r="L586">
        <v>336.62349980121002</v>
      </c>
      <c r="M586">
        <v>5.76699161480866</v>
      </c>
      <c r="N586">
        <v>60.886500768400197</v>
      </c>
      <c r="O586">
        <v>52.496601174941198</v>
      </c>
      <c r="P586">
        <v>-2.4643703813081001E-2</v>
      </c>
      <c r="Q586">
        <v>0.10601154079837</v>
      </c>
      <c r="R586">
        <v>0.94184384198547</v>
      </c>
      <c r="S586" t="s">
        <v>6169</v>
      </c>
      <c r="T586" t="s">
        <v>11164</v>
      </c>
      <c r="U586" t="s">
        <v>11164</v>
      </c>
      <c r="V586" t="s">
        <v>11164</v>
      </c>
      <c r="W586" t="s">
        <v>11744</v>
      </c>
      <c r="X586">
        <v>2</v>
      </c>
      <c r="Y586" t="s">
        <v>17277</v>
      </c>
      <c r="Z586" t="s">
        <v>22736</v>
      </c>
      <c r="AA586">
        <v>0.69811533580179141</v>
      </c>
      <c r="AB586" t="str">
        <f>HYPERLINK("Melting_Curves/meltCurve_F5GY92_GPBP1.pdf", "Melting_Curves/meltCurve_F5GY92_GPBP1.pdf")</f>
        <v>Melting_Curves/meltCurve_F5GY92_GPBP1.pdf</v>
      </c>
    </row>
    <row r="587" spans="1:28" x14ac:dyDescent="0.25">
      <c r="A587" t="s">
        <v>591</v>
      </c>
      <c r="B587">
        <v>0.99796759195183404</v>
      </c>
      <c r="C587">
        <v>1.06457602686769</v>
      </c>
      <c r="D587">
        <v>0.96487389410762003</v>
      </c>
      <c r="E587">
        <v>0.94052650420658801</v>
      </c>
      <c r="F587">
        <v>0.83008321854967604</v>
      </c>
      <c r="G587">
        <v>0.60578854284250105</v>
      </c>
      <c r="H587">
        <v>0.31095789013844799</v>
      </c>
      <c r="I587">
        <v>0.234026642317025</v>
      </c>
      <c r="J587">
        <v>0.217979345689157</v>
      </c>
      <c r="K587">
        <v>0.17618199236461099</v>
      </c>
      <c r="L587">
        <v>1090.4785025819799</v>
      </c>
      <c r="M587">
        <v>20.304039759895598</v>
      </c>
      <c r="N587">
        <v>54.805859993923697</v>
      </c>
      <c r="O587">
        <v>53.194627566090297</v>
      </c>
      <c r="P587">
        <v>-7.9475511256438397E-2</v>
      </c>
      <c r="Q587">
        <v>0.16715281662034701</v>
      </c>
      <c r="R587">
        <v>0.99317191049711895</v>
      </c>
      <c r="S587" t="s">
        <v>6170</v>
      </c>
      <c r="T587" t="s">
        <v>11164</v>
      </c>
      <c r="U587" t="s">
        <v>11164</v>
      </c>
      <c r="V587" t="s">
        <v>11164</v>
      </c>
      <c r="W587" t="s">
        <v>11745</v>
      </c>
      <c r="X587">
        <v>2</v>
      </c>
      <c r="Y587" t="s">
        <v>17278</v>
      </c>
      <c r="Z587" t="s">
        <v>22737</v>
      </c>
      <c r="AA587">
        <v>0.64098562411747506</v>
      </c>
      <c r="AB587" t="str">
        <f>HYPERLINK("Melting_Curves/meltCurve_F5GY99_GALNT1.pdf", "Melting_Curves/meltCurve_F5GY99_GALNT1.pdf")</f>
        <v>Melting_Curves/meltCurve_F5GY99_GALNT1.pdf</v>
      </c>
    </row>
    <row r="588" spans="1:28" x14ac:dyDescent="0.25">
      <c r="A588" t="s">
        <v>592</v>
      </c>
      <c r="B588">
        <v>0.99796759195183404</v>
      </c>
      <c r="C588">
        <v>0.92488582411554199</v>
      </c>
      <c r="D588">
        <v>1.03392460824187</v>
      </c>
      <c r="E588">
        <v>0.76703451610102502</v>
      </c>
      <c r="F588">
        <v>0.79363695357801201</v>
      </c>
      <c r="G588">
        <v>0.75915336817001</v>
      </c>
      <c r="H588">
        <v>0.45929355171346697</v>
      </c>
      <c r="I588">
        <v>0.29023471229485298</v>
      </c>
      <c r="J588">
        <v>0.17400043086783601</v>
      </c>
      <c r="K588">
        <v>0.15474743648507</v>
      </c>
      <c r="L588">
        <v>634.41706589918704</v>
      </c>
      <c r="M588">
        <v>11.189254935321101</v>
      </c>
      <c r="N588">
        <v>56.698776644439903</v>
      </c>
      <c r="O588">
        <v>54.978209757111898</v>
      </c>
      <c r="P588">
        <v>-5.0896481500486201E-2</v>
      </c>
      <c r="Q588">
        <v>0</v>
      </c>
      <c r="R588">
        <v>0.95474733618547303</v>
      </c>
      <c r="S588" t="s">
        <v>6171</v>
      </c>
      <c r="T588" t="s">
        <v>11164</v>
      </c>
      <c r="U588" t="s">
        <v>11164</v>
      </c>
      <c r="V588" t="s">
        <v>11164</v>
      </c>
      <c r="W588" t="s">
        <v>11746</v>
      </c>
      <c r="X588">
        <v>2</v>
      </c>
      <c r="Y588" t="s">
        <v>17279</v>
      </c>
      <c r="Z588" t="s">
        <v>22738</v>
      </c>
      <c r="AA588">
        <v>0.66129364753174569</v>
      </c>
      <c r="AB588" t="str">
        <f>HYPERLINK("Melting_Curves/meltCurve_F5GYC1_ABCD3.pdf", "Melting_Curves/meltCurve_F5GYC1_ABCD3.pdf")</f>
        <v>Melting_Curves/meltCurve_F5GYC1_ABCD3.pdf</v>
      </c>
    </row>
    <row r="589" spans="1:28" x14ac:dyDescent="0.25">
      <c r="A589" t="s">
        <v>593</v>
      </c>
      <c r="B589">
        <v>0.99796759195183404</v>
      </c>
      <c r="C589">
        <v>0.97864266419692103</v>
      </c>
      <c r="D589">
        <v>1.0749363408249999</v>
      </c>
      <c r="E589">
        <v>0.82892923307669397</v>
      </c>
      <c r="F589">
        <v>0.466854538758945</v>
      </c>
      <c r="G589">
        <v>0.17739286328205101</v>
      </c>
      <c r="H589">
        <v>0.15759786405926601</v>
      </c>
      <c r="I589">
        <v>0.12222809461506499</v>
      </c>
      <c r="J589">
        <v>7.5636682143606096E-2</v>
      </c>
      <c r="K589">
        <v>2.1225711817844401E-2</v>
      </c>
      <c r="L589">
        <v>1258.39682770837</v>
      </c>
      <c r="M589">
        <v>25.397100958061301</v>
      </c>
      <c r="N589">
        <v>49.896320752938898</v>
      </c>
      <c r="O589">
        <v>49.2447062499879</v>
      </c>
      <c r="P589">
        <v>-0.118484018879779</v>
      </c>
      <c r="Q589">
        <v>8.1054712421146105E-2</v>
      </c>
      <c r="R589">
        <v>0.98996923185277697</v>
      </c>
      <c r="S589" t="s">
        <v>6172</v>
      </c>
      <c r="T589" t="s">
        <v>11164</v>
      </c>
      <c r="U589" t="s">
        <v>11164</v>
      </c>
      <c r="V589" t="s">
        <v>11164</v>
      </c>
      <c r="W589" t="s">
        <v>11747</v>
      </c>
      <c r="X589">
        <v>4</v>
      </c>
      <c r="Y589" t="s">
        <v>17280</v>
      </c>
      <c r="Z589" t="s">
        <v>22739</v>
      </c>
      <c r="AA589">
        <v>0.47320107858823313</v>
      </c>
      <c r="AB589" t="str">
        <f>HYPERLINK("Melting_Curves/meltCurve_F5GYE8_CEP112.pdf", "Melting_Curves/meltCurve_F5GYE8_CEP112.pdf")</f>
        <v>Melting_Curves/meltCurve_F5GYE8_CEP112.pdf</v>
      </c>
    </row>
    <row r="590" spans="1:28" x14ac:dyDescent="0.25">
      <c r="A590" t="s">
        <v>594</v>
      </c>
      <c r="B590">
        <v>0.99796759195183404</v>
      </c>
      <c r="C590">
        <v>1.02676882922152</v>
      </c>
      <c r="D590">
        <v>1.0854805011655699</v>
      </c>
      <c r="E590">
        <v>1.04939915322838</v>
      </c>
      <c r="F590">
        <v>0.81008790538971798</v>
      </c>
      <c r="G590">
        <v>0.87458422653699497</v>
      </c>
      <c r="H590">
        <v>0.69687019078247303</v>
      </c>
      <c r="I590">
        <v>0.55037652208834298</v>
      </c>
      <c r="J590">
        <v>0.45253607479060098</v>
      </c>
      <c r="K590">
        <v>0.27450344563753898</v>
      </c>
      <c r="L590">
        <v>672.00507253913997</v>
      </c>
      <c r="M590">
        <v>10.8289799000363</v>
      </c>
      <c r="N590">
        <v>62.0561523947936</v>
      </c>
      <c r="O590">
        <v>60.052394799040599</v>
      </c>
      <c r="P590">
        <v>-4.50975377156538E-2</v>
      </c>
      <c r="Q590">
        <v>0</v>
      </c>
      <c r="R590">
        <v>0.95280232875243498</v>
      </c>
      <c r="S590" t="s">
        <v>6173</v>
      </c>
      <c r="T590" t="s">
        <v>11164</v>
      </c>
      <c r="U590" t="s">
        <v>11164</v>
      </c>
      <c r="V590" t="s">
        <v>11164</v>
      </c>
      <c r="W590" t="s">
        <v>11533</v>
      </c>
      <c r="X590">
        <v>2</v>
      </c>
      <c r="Z590" t="s">
        <v>22740</v>
      </c>
      <c r="AA590">
        <v>0.79136387254301388</v>
      </c>
      <c r="AB590" t="str">
        <f>HYPERLINK("Melting_Curves/meltCurve_F5GYJ5_.pdf", "Melting_Curves/meltCurve_F5GYJ5_.pdf")</f>
        <v>Melting_Curves/meltCurve_F5GYJ5_.pdf</v>
      </c>
    </row>
    <row r="591" spans="1:28" x14ac:dyDescent="0.25">
      <c r="A591" t="s">
        <v>595</v>
      </c>
      <c r="B591">
        <v>0.99796759195183404</v>
      </c>
      <c r="C591">
        <v>0.82196976928726895</v>
      </c>
      <c r="D591">
        <v>0.81940378422668902</v>
      </c>
      <c r="E591">
        <v>0.81748244467700304</v>
      </c>
      <c r="F591">
        <v>0.66856236836566296</v>
      </c>
      <c r="G591">
        <v>0.54080641744450098</v>
      </c>
      <c r="H591">
        <v>0.17750424451754801</v>
      </c>
      <c r="I591">
        <v>0.149360996413335</v>
      </c>
      <c r="J591">
        <v>9.3106028596698698E-2</v>
      </c>
      <c r="K591">
        <v>4.2042060858716902E-2</v>
      </c>
      <c r="L591">
        <v>601.38057577438099</v>
      </c>
      <c r="M591">
        <v>11.4538469097503</v>
      </c>
      <c r="N591">
        <v>52.504680785837103</v>
      </c>
      <c r="O591">
        <v>50.980681929793697</v>
      </c>
      <c r="P591">
        <v>-5.6183797558524901E-2</v>
      </c>
      <c r="Q591">
        <v>0</v>
      </c>
      <c r="R591">
        <v>0.94992226798756396</v>
      </c>
      <c r="S591" t="s">
        <v>6174</v>
      </c>
      <c r="T591" t="s">
        <v>11164</v>
      </c>
      <c r="U591" t="s">
        <v>11164</v>
      </c>
      <c r="V591" t="s">
        <v>11164</v>
      </c>
      <c r="W591" t="s">
        <v>11748</v>
      </c>
      <c r="X591">
        <v>6</v>
      </c>
      <c r="Y591" t="s">
        <v>17281</v>
      </c>
      <c r="Z591" t="s">
        <v>22741</v>
      </c>
      <c r="AA591">
        <v>0.53993840523169923</v>
      </c>
      <c r="AB591" t="str">
        <f>HYPERLINK("Melting_Curves/meltCurve_F5GYK2_STRN4.pdf", "Melting_Curves/meltCurve_F5GYK2_STRN4.pdf")</f>
        <v>Melting_Curves/meltCurve_F5GYK2_STRN4.pdf</v>
      </c>
    </row>
    <row r="592" spans="1:28" x14ac:dyDescent="0.25">
      <c r="A592" t="s">
        <v>596</v>
      </c>
      <c r="B592">
        <v>0.99796759195183404</v>
      </c>
      <c r="C592">
        <v>1.0005804830679901</v>
      </c>
      <c r="D592">
        <v>1.0100869293507999</v>
      </c>
      <c r="E592">
        <v>0.98905809633726705</v>
      </c>
      <c r="F592">
        <v>0.79800387579821797</v>
      </c>
      <c r="G592">
        <v>0.59434841954952899</v>
      </c>
      <c r="H592">
        <v>0.35401897272699301</v>
      </c>
      <c r="I592">
        <v>0.18761909805815799</v>
      </c>
      <c r="J592">
        <v>0.16398439544153301</v>
      </c>
      <c r="K592">
        <v>0.14460579912084801</v>
      </c>
      <c r="L592">
        <v>991.15162489300201</v>
      </c>
      <c r="M592">
        <v>18.3043469166313</v>
      </c>
      <c r="N592">
        <v>54.8992711888774</v>
      </c>
      <c r="O592">
        <v>53.514550225715702</v>
      </c>
      <c r="P592">
        <v>-7.6045656750863194E-2</v>
      </c>
      <c r="Q592">
        <v>0.110733380685456</v>
      </c>
      <c r="R592">
        <v>0.99744679228112398</v>
      </c>
      <c r="S592" t="s">
        <v>6175</v>
      </c>
      <c r="T592" t="s">
        <v>11164</v>
      </c>
      <c r="U592" t="s">
        <v>11164</v>
      </c>
      <c r="V592" t="s">
        <v>11164</v>
      </c>
      <c r="W592" t="s">
        <v>11749</v>
      </c>
      <c r="X592">
        <v>11</v>
      </c>
      <c r="Y592" t="s">
        <v>17282</v>
      </c>
      <c r="Z592" t="s">
        <v>22742</v>
      </c>
      <c r="AA592">
        <v>0.63089770587547733</v>
      </c>
      <c r="AB592" t="str">
        <f>HYPERLINK("Melting_Curves/meltCurve_F5GYN4_OTUB1.pdf", "Melting_Curves/meltCurve_F5GYN4_OTUB1.pdf")</f>
        <v>Melting_Curves/meltCurve_F5GYN4_OTUB1.pdf</v>
      </c>
    </row>
    <row r="593" spans="1:28" x14ac:dyDescent="0.25">
      <c r="A593" t="s">
        <v>597</v>
      </c>
      <c r="B593">
        <v>0.99796759195183404</v>
      </c>
      <c r="C593">
        <v>0.96355358034349403</v>
      </c>
      <c r="D593">
        <v>0.95818086871346497</v>
      </c>
      <c r="E593">
        <v>0.85250975910453697</v>
      </c>
      <c r="F593">
        <v>0.87086985617894097</v>
      </c>
      <c r="G593">
        <v>0.60676398425453504</v>
      </c>
      <c r="H593">
        <v>0.464676123065007</v>
      </c>
      <c r="I593">
        <v>0.52476353269734899</v>
      </c>
      <c r="J593">
        <v>0.36158667202644101</v>
      </c>
      <c r="K593">
        <v>0.2551333651039</v>
      </c>
      <c r="L593">
        <v>482.11340387097198</v>
      </c>
      <c r="M593">
        <v>8.4262631051420893</v>
      </c>
      <c r="N593">
        <v>58.537634356549702</v>
      </c>
      <c r="O593">
        <v>54.265558282993098</v>
      </c>
      <c r="P593">
        <v>-3.5488990825525299E-2</v>
      </c>
      <c r="Q593">
        <v>8.6647242015627596E-2</v>
      </c>
      <c r="R593">
        <v>0.95856429139094301</v>
      </c>
      <c r="S593" t="s">
        <v>6176</v>
      </c>
      <c r="T593" t="s">
        <v>11164</v>
      </c>
      <c r="U593" t="s">
        <v>11164</v>
      </c>
      <c r="V593" t="s">
        <v>11164</v>
      </c>
      <c r="W593" t="s">
        <v>11750</v>
      </c>
      <c r="X593">
        <v>6</v>
      </c>
      <c r="Y593" t="s">
        <v>17283</v>
      </c>
      <c r="Z593" t="s">
        <v>22743</v>
      </c>
      <c r="AA593">
        <v>0.69277511924272062</v>
      </c>
      <c r="AB593" t="str">
        <f>HYPERLINK("Melting_Curves/meltCurve_F5GYQ1_ATP6V0D1.pdf", "Melting_Curves/meltCurve_F5GYQ1_ATP6V0D1.pdf")</f>
        <v>Melting_Curves/meltCurve_F5GYQ1_ATP6V0D1.pdf</v>
      </c>
    </row>
    <row r="594" spans="1:28" x14ac:dyDescent="0.25">
      <c r="A594" t="s">
        <v>598</v>
      </c>
      <c r="B594">
        <v>0.99796759195183404</v>
      </c>
      <c r="C594">
        <v>1.01901553486314</v>
      </c>
      <c r="D594">
        <v>0.98690697638346203</v>
      </c>
      <c r="E594">
        <v>0.95409733550377096</v>
      </c>
      <c r="F594">
        <v>0.86104434078800396</v>
      </c>
      <c r="G594">
        <v>0.56668149303975202</v>
      </c>
      <c r="H594">
        <v>0.67163360203445999</v>
      </c>
      <c r="I594">
        <v>0.61614455611216301</v>
      </c>
      <c r="J594">
        <v>0.78425878009690497</v>
      </c>
      <c r="K594">
        <v>0.50975035047742701</v>
      </c>
      <c r="L594">
        <v>12575.590911618399</v>
      </c>
      <c r="M594">
        <v>250</v>
      </c>
      <c r="O594">
        <v>50.299144601445199</v>
      </c>
      <c r="P594">
        <v>-0.460129902010884</v>
      </c>
      <c r="Q594">
        <v>0.629693752605193</v>
      </c>
      <c r="R594">
        <v>0.86171220593292597</v>
      </c>
      <c r="S594" t="s">
        <v>6177</v>
      </c>
      <c r="T594" t="s">
        <v>11164</v>
      </c>
      <c r="U594" t="s">
        <v>11164</v>
      </c>
      <c r="V594" t="s">
        <v>11164</v>
      </c>
      <c r="W594" t="s">
        <v>11751</v>
      </c>
      <c r="X594">
        <v>8</v>
      </c>
      <c r="Y594" t="s">
        <v>17284</v>
      </c>
      <c r="Z594" t="s">
        <v>22744</v>
      </c>
      <c r="AA594">
        <v>0.79392472197106478</v>
      </c>
      <c r="AB594" t="str">
        <f>HYPERLINK("Melting_Curves/meltCurve_F5GZ78_PXN.pdf", "Melting_Curves/meltCurve_F5GZ78_PXN.pdf")</f>
        <v>Melting_Curves/meltCurve_F5GZ78_PXN.pdf</v>
      </c>
    </row>
    <row r="595" spans="1:28" x14ac:dyDescent="0.25">
      <c r="A595" t="s">
        <v>599</v>
      </c>
      <c r="B595">
        <v>0.99796759195183404</v>
      </c>
      <c r="C595">
        <v>0.89859310579272</v>
      </c>
      <c r="D595">
        <v>0.91527290349000201</v>
      </c>
      <c r="E595">
        <v>0.85564092931614799</v>
      </c>
      <c r="F595">
        <v>0.47860366507569202</v>
      </c>
      <c r="G595">
        <v>0.25291897453894702</v>
      </c>
      <c r="H595">
        <v>0.20966282113416199</v>
      </c>
      <c r="I595">
        <v>0.173601547174973</v>
      </c>
      <c r="J595">
        <v>0.14907471507560699</v>
      </c>
      <c r="K595">
        <v>0.100275140705781</v>
      </c>
      <c r="L595">
        <v>1043.4202575582899</v>
      </c>
      <c r="M595">
        <v>21.1126090114719</v>
      </c>
      <c r="N595">
        <v>50.177416039188302</v>
      </c>
      <c r="O595">
        <v>48.984684543600501</v>
      </c>
      <c r="P595">
        <v>-9.3078369993371296E-2</v>
      </c>
      <c r="Q595">
        <v>0.136194909809465</v>
      </c>
      <c r="R595">
        <v>0.98622921801779695</v>
      </c>
      <c r="S595" t="s">
        <v>6178</v>
      </c>
      <c r="T595" t="s">
        <v>11164</v>
      </c>
      <c r="U595" t="s">
        <v>11164</v>
      </c>
      <c r="V595" t="s">
        <v>11164</v>
      </c>
      <c r="W595" t="s">
        <v>11752</v>
      </c>
      <c r="X595">
        <v>6</v>
      </c>
      <c r="Y595" t="s">
        <v>17285</v>
      </c>
      <c r="Z595" t="s">
        <v>22745</v>
      </c>
      <c r="AA595">
        <v>0.50417741542977113</v>
      </c>
      <c r="AB595" t="str">
        <f>HYPERLINK("Melting_Curves/meltCurve_F5GZ84_FARP2.pdf", "Melting_Curves/meltCurve_F5GZ84_FARP2.pdf")</f>
        <v>Melting_Curves/meltCurve_F5GZ84_FARP2.pdf</v>
      </c>
    </row>
    <row r="596" spans="1:28" x14ac:dyDescent="0.25">
      <c r="A596" t="s">
        <v>600</v>
      </c>
      <c r="B596">
        <v>0.99796759195183404</v>
      </c>
      <c r="C596">
        <v>1.0027485517227399</v>
      </c>
      <c r="D596">
        <v>0.95051598662631898</v>
      </c>
      <c r="E596">
        <v>0.96155143078279803</v>
      </c>
      <c r="F596">
        <v>0.88544406161353795</v>
      </c>
      <c r="G596">
        <v>0.62299870480185504</v>
      </c>
      <c r="H596">
        <v>0.59140204415377995</v>
      </c>
      <c r="I596">
        <v>0.42872866086547101</v>
      </c>
      <c r="J596">
        <v>0.46317944766548602</v>
      </c>
      <c r="K596">
        <v>0.33063322041809501</v>
      </c>
      <c r="L596">
        <v>779.59965563362005</v>
      </c>
      <c r="M596">
        <v>14.3467364540947</v>
      </c>
      <c r="N596">
        <v>58.924418193019498</v>
      </c>
      <c r="O596">
        <v>53.316816372183702</v>
      </c>
      <c r="P596">
        <v>-4.4656967986958701E-2</v>
      </c>
      <c r="Q596">
        <v>0.33624456924040202</v>
      </c>
      <c r="R596">
        <v>0.97397681696521599</v>
      </c>
      <c r="S596" t="s">
        <v>6179</v>
      </c>
      <c r="T596" t="s">
        <v>11164</v>
      </c>
      <c r="U596" t="s">
        <v>11164</v>
      </c>
      <c r="V596" t="s">
        <v>11164</v>
      </c>
      <c r="W596" t="s">
        <v>11753</v>
      </c>
      <c r="X596">
        <v>2</v>
      </c>
      <c r="Y596" t="s">
        <v>17286</v>
      </c>
      <c r="Z596" t="s">
        <v>22746</v>
      </c>
      <c r="AA596">
        <v>0.73046888121568254</v>
      </c>
      <c r="AB596" t="str">
        <f>HYPERLINK("Melting_Curves/meltCurve_F5GZN3_MFGE8.pdf", "Melting_Curves/meltCurve_F5GZN3_MFGE8.pdf")</f>
        <v>Melting_Curves/meltCurve_F5GZN3_MFGE8.pdf</v>
      </c>
    </row>
    <row r="597" spans="1:28" x14ac:dyDescent="0.25">
      <c r="A597" t="s">
        <v>601</v>
      </c>
      <c r="B597">
        <v>0.99796759195183404</v>
      </c>
      <c r="C597">
        <v>1.0037355993481301</v>
      </c>
      <c r="D597">
        <v>1.2747826665314299</v>
      </c>
      <c r="E597">
        <v>1.32097030028633</v>
      </c>
      <c r="F597">
        <v>0.89567837076679202</v>
      </c>
      <c r="G597">
        <v>0.50040826151095796</v>
      </c>
      <c r="H597">
        <v>0.47184095461825598</v>
      </c>
      <c r="I597">
        <v>0.364704323614578</v>
      </c>
      <c r="J597">
        <v>0.40472102023067102</v>
      </c>
      <c r="K597">
        <v>0.33451762909736299</v>
      </c>
      <c r="L597">
        <v>2461.5634919824502</v>
      </c>
      <c r="M597">
        <v>47.263450439297301</v>
      </c>
      <c r="N597">
        <v>53.818354113088603</v>
      </c>
      <c r="O597">
        <v>51.988775218264003</v>
      </c>
      <c r="P597">
        <v>-0.13836680270546001</v>
      </c>
      <c r="Q597">
        <v>0.39119868392884</v>
      </c>
      <c r="R597">
        <v>0.85708294878755598</v>
      </c>
      <c r="S597" t="s">
        <v>6180</v>
      </c>
      <c r="T597" t="s">
        <v>11164</v>
      </c>
      <c r="U597" t="s">
        <v>11164</v>
      </c>
      <c r="V597" t="s">
        <v>11164</v>
      </c>
      <c r="W597" t="s">
        <v>11754</v>
      </c>
      <c r="X597">
        <v>1</v>
      </c>
      <c r="Y597" t="s">
        <v>17287</v>
      </c>
      <c r="Z597" t="s">
        <v>22747</v>
      </c>
      <c r="AA597">
        <v>0.69882372484779809</v>
      </c>
      <c r="AB597" t="str">
        <f>HYPERLINK("Melting_Curves/meltCurve_F5GZP3_TRIM59.pdf", "Melting_Curves/meltCurve_F5GZP3_TRIM59.pdf")</f>
        <v>Melting_Curves/meltCurve_F5GZP3_TRIM59.pdf</v>
      </c>
    </row>
    <row r="598" spans="1:28" x14ac:dyDescent="0.25">
      <c r="A598" t="s">
        <v>602</v>
      </c>
      <c r="B598">
        <v>0.99796759195183404</v>
      </c>
      <c r="C598">
        <v>0.99769904943897503</v>
      </c>
      <c r="D598">
        <v>0.98741263977011096</v>
      </c>
      <c r="E598">
        <v>0.86934078203179199</v>
      </c>
      <c r="F598">
        <v>0.71074961590034702</v>
      </c>
      <c r="G598">
        <v>0.51549532806407405</v>
      </c>
      <c r="H598">
        <v>0.20251380929517801</v>
      </c>
      <c r="I598">
        <v>0.166345289075612</v>
      </c>
      <c r="J598">
        <v>0.114218376797732</v>
      </c>
      <c r="K598">
        <v>8.1464673875723204E-2</v>
      </c>
      <c r="L598">
        <v>826.34936785409297</v>
      </c>
      <c r="M598">
        <v>15.600940861358399</v>
      </c>
      <c r="N598">
        <v>53.284359469315</v>
      </c>
      <c r="O598">
        <v>52.120514274144902</v>
      </c>
      <c r="P598">
        <v>-7.1526499662335305E-2</v>
      </c>
      <c r="Q598">
        <v>4.4243231092621599E-2</v>
      </c>
      <c r="R598">
        <v>0.99442456359056797</v>
      </c>
      <c r="S598" t="s">
        <v>6181</v>
      </c>
      <c r="T598" t="s">
        <v>11164</v>
      </c>
      <c r="U598" t="s">
        <v>11164</v>
      </c>
      <c r="V598" t="s">
        <v>11164</v>
      </c>
      <c r="W598" t="s">
        <v>11755</v>
      </c>
      <c r="X598">
        <v>10</v>
      </c>
      <c r="Y598" t="s">
        <v>17288</v>
      </c>
      <c r="Z598" t="s">
        <v>22748</v>
      </c>
      <c r="AA598">
        <v>0.56939982327687877</v>
      </c>
      <c r="AB598" t="str">
        <f>HYPERLINK("Melting_Curves/meltCurve_F5GZS0_DHX36.pdf", "Melting_Curves/meltCurve_F5GZS0_DHX36.pdf")</f>
        <v>Melting_Curves/meltCurve_F5GZS0_DHX36.pdf</v>
      </c>
    </row>
    <row r="599" spans="1:28" x14ac:dyDescent="0.25">
      <c r="A599" t="s">
        <v>603</v>
      </c>
      <c r="B599">
        <v>0.99796759195183404</v>
      </c>
      <c r="C599">
        <v>0.95849895376121297</v>
      </c>
      <c r="D599">
        <v>0.97729883944414597</v>
      </c>
      <c r="E599">
        <v>0.90920368914384397</v>
      </c>
      <c r="F599">
        <v>0.85176796690282497</v>
      </c>
      <c r="G599">
        <v>0.75780719427751198</v>
      </c>
      <c r="H599">
        <v>0.71119092396290196</v>
      </c>
      <c r="I599">
        <v>0.64364319419201199</v>
      </c>
      <c r="J599">
        <v>0.52857760266114695</v>
      </c>
      <c r="K599">
        <v>0.285109387283567</v>
      </c>
      <c r="L599">
        <v>482.94092274841</v>
      </c>
      <c r="M599">
        <v>7.6342435545804701</v>
      </c>
      <c r="N599">
        <v>63.259826025089303</v>
      </c>
      <c r="O599">
        <v>59.357412104964098</v>
      </c>
      <c r="P599">
        <v>-3.2197003520620597E-2</v>
      </c>
      <c r="Q599">
        <v>0</v>
      </c>
      <c r="R599">
        <v>0.94712002625409997</v>
      </c>
      <c r="S599" t="s">
        <v>6182</v>
      </c>
      <c r="T599" t="s">
        <v>11164</v>
      </c>
      <c r="U599" t="s">
        <v>11164</v>
      </c>
      <c r="V599" t="s">
        <v>11164</v>
      </c>
      <c r="W599" t="s">
        <v>11756</v>
      </c>
      <c r="X599">
        <v>24</v>
      </c>
      <c r="Y599" t="s">
        <v>17289</v>
      </c>
      <c r="Z599" t="s">
        <v>22749</v>
      </c>
      <c r="AA599">
        <v>0.78240991726296827</v>
      </c>
      <c r="AB599" t="str">
        <f>HYPERLINK("Melting_Curves/meltCurve_F5GZS6_SLC3A2.pdf", "Melting_Curves/meltCurve_F5GZS6_SLC3A2.pdf")</f>
        <v>Melting_Curves/meltCurve_F5GZS6_SLC3A2.pdf</v>
      </c>
    </row>
    <row r="600" spans="1:28" x14ac:dyDescent="0.25">
      <c r="A600" t="s">
        <v>604</v>
      </c>
      <c r="B600">
        <v>0.99796759195183404</v>
      </c>
      <c r="C600">
        <v>0.97724870790926299</v>
      </c>
      <c r="D600">
        <v>0.98673858587489904</v>
      </c>
      <c r="E600">
        <v>0.93683693871672002</v>
      </c>
      <c r="F600">
        <v>0.79436328014056801</v>
      </c>
      <c r="G600">
        <v>0.56702853887823801</v>
      </c>
      <c r="H600">
        <v>0.46557798390782301</v>
      </c>
      <c r="I600">
        <v>0.222009016390497</v>
      </c>
      <c r="J600">
        <v>0.18021282531548499</v>
      </c>
      <c r="K600">
        <v>0.17047551001306399</v>
      </c>
      <c r="L600">
        <v>745.73811481002895</v>
      </c>
      <c r="M600">
        <v>13.597088404167399</v>
      </c>
      <c r="N600">
        <v>55.543786521366798</v>
      </c>
      <c r="O600">
        <v>53.699901464484</v>
      </c>
      <c r="P600">
        <v>-5.8336243466936201E-2</v>
      </c>
      <c r="Q600">
        <v>7.8571557788735202E-2</v>
      </c>
      <c r="R600">
        <v>0.99302597268304005</v>
      </c>
      <c r="S600" t="s">
        <v>6183</v>
      </c>
      <c r="T600" t="s">
        <v>11164</v>
      </c>
      <c r="U600" t="s">
        <v>11164</v>
      </c>
      <c r="V600" t="s">
        <v>11164</v>
      </c>
      <c r="W600" t="s">
        <v>11757</v>
      </c>
      <c r="X600">
        <v>5</v>
      </c>
      <c r="Y600" t="s">
        <v>17290</v>
      </c>
      <c r="Z600" t="s">
        <v>22750</v>
      </c>
      <c r="AA600">
        <v>0.64040913629744944</v>
      </c>
      <c r="AB600" t="str">
        <f>HYPERLINK("Melting_Curves/meltCurve_F5GZU5_MED15.pdf", "Melting_Curves/meltCurve_F5GZU5_MED15.pdf")</f>
        <v>Melting_Curves/meltCurve_F5GZU5_MED15.pdf</v>
      </c>
    </row>
    <row r="601" spans="1:28" x14ac:dyDescent="0.25">
      <c r="A601" t="s">
        <v>605</v>
      </c>
      <c r="B601">
        <v>0.99796759195183404</v>
      </c>
      <c r="C601">
        <v>0.92768122684590504</v>
      </c>
      <c r="D601">
        <v>1.0058445620379299</v>
      </c>
      <c r="E601">
        <v>0.91209606780702901</v>
      </c>
      <c r="F601">
        <v>0.65529746726053595</v>
      </c>
      <c r="G601">
        <v>0.28964405208850502</v>
      </c>
      <c r="H601">
        <v>0.18317249252620199</v>
      </c>
      <c r="I601">
        <v>0.17144779602262999</v>
      </c>
      <c r="J601">
        <v>0.19377857630043699</v>
      </c>
      <c r="K601">
        <v>0.100525368866606</v>
      </c>
      <c r="L601">
        <v>1364.3791245354801</v>
      </c>
      <c r="M601">
        <v>26.856037919935201</v>
      </c>
      <c r="N601">
        <v>51.473773120845202</v>
      </c>
      <c r="O601">
        <v>50.524288709112902</v>
      </c>
      <c r="P601">
        <v>-0.113278609045493</v>
      </c>
      <c r="Q601">
        <v>0.14756443899925401</v>
      </c>
      <c r="R601">
        <v>0.99238624924583696</v>
      </c>
      <c r="S601" t="s">
        <v>6184</v>
      </c>
      <c r="T601" t="s">
        <v>11164</v>
      </c>
      <c r="U601" t="s">
        <v>11164</v>
      </c>
      <c r="V601" t="s">
        <v>11164</v>
      </c>
      <c r="W601" t="s">
        <v>11758</v>
      </c>
      <c r="X601">
        <v>4</v>
      </c>
      <c r="Y601" t="s">
        <v>17291</v>
      </c>
      <c r="Z601" t="s">
        <v>22751</v>
      </c>
      <c r="AA601">
        <v>0.54634238888565756</v>
      </c>
      <c r="AB601" t="str">
        <f>HYPERLINK("Melting_Curves/meltCurve_F5GZX9_FAM120B.pdf", "Melting_Curves/meltCurve_F5GZX9_FAM120B.pdf")</f>
        <v>Melting_Curves/meltCurve_F5GZX9_FAM120B.pdf</v>
      </c>
    </row>
    <row r="602" spans="1:28" x14ac:dyDescent="0.25">
      <c r="A602" t="s">
        <v>606</v>
      </c>
      <c r="B602">
        <v>0.99796759195183404</v>
      </c>
      <c r="C602">
        <v>1.0254673351197401</v>
      </c>
      <c r="D602">
        <v>1.03538230495018</v>
      </c>
      <c r="E602">
        <v>0.90113375652953798</v>
      </c>
      <c r="F602">
        <v>0.92037696111265499</v>
      </c>
      <c r="G602">
        <v>0.49902261328109498</v>
      </c>
      <c r="H602">
        <v>0.50759849059395401</v>
      </c>
      <c r="I602">
        <v>0.304997259617587</v>
      </c>
      <c r="J602">
        <v>0.40582285045085498</v>
      </c>
      <c r="K602">
        <v>0.22934581396209</v>
      </c>
      <c r="L602">
        <v>1153.0479700774199</v>
      </c>
      <c r="M602">
        <v>21.777957772613298</v>
      </c>
      <c r="N602">
        <v>55.364022614437097</v>
      </c>
      <c r="O602">
        <v>52.505284613229101</v>
      </c>
      <c r="P602">
        <v>-7.1874224411696205E-2</v>
      </c>
      <c r="Q602">
        <v>0.30687920165465898</v>
      </c>
      <c r="R602">
        <v>0.95024789860226</v>
      </c>
      <c r="S602" t="s">
        <v>6185</v>
      </c>
      <c r="T602" t="s">
        <v>11164</v>
      </c>
      <c r="U602" t="s">
        <v>11164</v>
      </c>
      <c r="V602" t="s">
        <v>11164</v>
      </c>
      <c r="W602" t="s">
        <v>11759</v>
      </c>
      <c r="X602">
        <v>1</v>
      </c>
      <c r="Y602" t="s">
        <v>17292</v>
      </c>
      <c r="Z602" t="s">
        <v>22752</v>
      </c>
      <c r="AA602">
        <v>0.68297906811124287</v>
      </c>
      <c r="AB602" t="str">
        <f>HYPERLINK("Melting_Curves/meltCurve_F5GZZ0_ALKBH2.pdf", "Melting_Curves/meltCurve_F5GZZ0_ALKBH2.pdf")</f>
        <v>Melting_Curves/meltCurve_F5GZZ0_ALKBH2.pdf</v>
      </c>
    </row>
    <row r="603" spans="1:28" x14ac:dyDescent="0.25">
      <c r="A603" t="s">
        <v>607</v>
      </c>
      <c r="B603">
        <v>0.99796759195183404</v>
      </c>
      <c r="C603">
        <v>1.03866110037767</v>
      </c>
      <c r="D603">
        <v>1.0281638107707101</v>
      </c>
      <c r="E603">
        <v>0.935756483817062</v>
      </c>
      <c r="F603">
        <v>0.85644962885645703</v>
      </c>
      <c r="G603">
        <v>0.68787896946730998</v>
      </c>
      <c r="H603">
        <v>0.25223148600794298</v>
      </c>
      <c r="I603">
        <v>0.183572061535489</v>
      </c>
      <c r="J603">
        <v>0.124460004418059</v>
      </c>
      <c r="K603">
        <v>0.10008814631286</v>
      </c>
      <c r="L603">
        <v>1321.6808536956601</v>
      </c>
      <c r="M603">
        <v>24.1885010810742</v>
      </c>
      <c r="N603">
        <v>55.107514036939001</v>
      </c>
      <c r="O603">
        <v>54.271516058032702</v>
      </c>
      <c r="P603">
        <v>-0.101106558816079</v>
      </c>
      <c r="Q603">
        <v>9.2606499168588693E-2</v>
      </c>
      <c r="R603">
        <v>0.99040758003154705</v>
      </c>
      <c r="S603" t="s">
        <v>6186</v>
      </c>
      <c r="T603" t="s">
        <v>11164</v>
      </c>
      <c r="U603" t="s">
        <v>11164</v>
      </c>
      <c r="V603" t="s">
        <v>11164</v>
      </c>
      <c r="W603" t="s">
        <v>11760</v>
      </c>
      <c r="X603">
        <v>22</v>
      </c>
      <c r="Y603" t="s">
        <v>17293</v>
      </c>
      <c r="Z603" t="s">
        <v>22753</v>
      </c>
      <c r="AA603">
        <v>0.6343841429961169</v>
      </c>
      <c r="AB603" t="str">
        <f>HYPERLINK("Melting_Curves/meltCurve_F5H0L8_SEC23IP.pdf", "Melting_Curves/meltCurve_F5H0L8_SEC23IP.pdf")</f>
        <v>Melting_Curves/meltCurve_F5H0L8_SEC23IP.pdf</v>
      </c>
    </row>
    <row r="604" spans="1:28" x14ac:dyDescent="0.25">
      <c r="A604" t="s">
        <v>608</v>
      </c>
      <c r="B604">
        <v>0.99796759195183404</v>
      </c>
      <c r="C604">
        <v>0.97006284921765396</v>
      </c>
      <c r="D604">
        <v>1.00080273317806</v>
      </c>
      <c r="E604">
        <v>0.98432141378038696</v>
      </c>
      <c r="F604">
        <v>0.91135489568565897</v>
      </c>
      <c r="G604">
        <v>0.45646522427009301</v>
      </c>
      <c r="H604">
        <v>0.32698383800097602</v>
      </c>
      <c r="I604">
        <v>0.23317095492550699</v>
      </c>
      <c r="J604">
        <v>0.18511448578475301</v>
      </c>
      <c r="K604">
        <v>5.08806031102218E-2</v>
      </c>
      <c r="L604">
        <v>1318.30087784798</v>
      </c>
      <c r="M604">
        <v>24.702429018072799</v>
      </c>
      <c r="N604">
        <v>54.104659331203202</v>
      </c>
      <c r="O604">
        <v>53.021227442994601</v>
      </c>
      <c r="P604">
        <v>-9.9828137963144797E-2</v>
      </c>
      <c r="Q604">
        <v>0.14292909465890999</v>
      </c>
      <c r="R604">
        <v>0.98138127187825197</v>
      </c>
      <c r="S604" t="s">
        <v>6187</v>
      </c>
      <c r="T604" t="s">
        <v>11164</v>
      </c>
      <c r="U604" t="s">
        <v>11164</v>
      </c>
      <c r="V604" t="s">
        <v>11164</v>
      </c>
      <c r="W604" t="s">
        <v>11761</v>
      </c>
      <c r="X604">
        <v>2</v>
      </c>
      <c r="Y604" t="s">
        <v>17294</v>
      </c>
      <c r="Z604" t="s">
        <v>22754</v>
      </c>
      <c r="AA604">
        <v>0.61822908956364253</v>
      </c>
      <c r="AB604" t="str">
        <f>HYPERLINK("Melting_Curves/meltCurve_F5H0U5_GLTP.pdf", "Melting_Curves/meltCurve_F5H0U5_GLTP.pdf")</f>
        <v>Melting_Curves/meltCurve_F5H0U5_GLTP.pdf</v>
      </c>
    </row>
    <row r="605" spans="1:28" x14ac:dyDescent="0.25">
      <c r="A605" t="s">
        <v>609</v>
      </c>
      <c r="B605">
        <v>0.99796759195183404</v>
      </c>
      <c r="C605">
        <v>1.10915311690189</v>
      </c>
      <c r="D605">
        <v>1.02521486355142</v>
      </c>
      <c r="E605">
        <v>0.96875708326303001</v>
      </c>
      <c r="F605">
        <v>0.91353701104848595</v>
      </c>
      <c r="G605">
        <v>1.44202566552876</v>
      </c>
      <c r="H605">
        <v>0.79014259500179196</v>
      </c>
      <c r="I605">
        <v>0.53160456478487395</v>
      </c>
      <c r="J605">
        <v>0.48280757013875802</v>
      </c>
      <c r="K605">
        <v>0.37108920865373701</v>
      </c>
      <c r="L605">
        <v>7797.7067061191301</v>
      </c>
      <c r="M605">
        <v>135.398405522074</v>
      </c>
      <c r="N605">
        <v>58.704772048567598</v>
      </c>
      <c r="O605">
        <v>57.578278489813101</v>
      </c>
      <c r="P605">
        <v>-0.31645884938020602</v>
      </c>
      <c r="Q605">
        <v>0.46170258901537098</v>
      </c>
      <c r="R605">
        <v>0.75943204976266399</v>
      </c>
      <c r="S605" t="s">
        <v>6188</v>
      </c>
      <c r="T605" t="s">
        <v>11164</v>
      </c>
      <c r="U605" t="s">
        <v>11164</v>
      </c>
      <c r="V605" t="s">
        <v>11164</v>
      </c>
      <c r="W605" t="s">
        <v>11762</v>
      </c>
      <c r="X605">
        <v>2</v>
      </c>
      <c r="Y605" t="s">
        <v>17295</v>
      </c>
      <c r="Z605" t="s">
        <v>22755</v>
      </c>
      <c r="AA605">
        <v>0.83135453933707537</v>
      </c>
      <c r="AB605" t="str">
        <f>HYPERLINK("Melting_Curves/meltCurve_F5H1G9_ABI1.pdf", "Melting_Curves/meltCurve_F5H1G9_ABI1.pdf")</f>
        <v>Melting_Curves/meltCurve_F5H1G9_ABI1.pdf</v>
      </c>
    </row>
    <row r="606" spans="1:28" x14ac:dyDescent="0.25">
      <c r="A606" t="s">
        <v>610</v>
      </c>
      <c r="B606">
        <v>0.99796759195183404</v>
      </c>
      <c r="C606">
        <v>0.979267984373137</v>
      </c>
      <c r="D606">
        <v>0.94197758540625498</v>
      </c>
      <c r="E606">
        <v>1.02354530799601</v>
      </c>
      <c r="F606">
        <v>0.86330043925120803</v>
      </c>
      <c r="G606">
        <v>0.72802113698395599</v>
      </c>
      <c r="H606">
        <v>0.70729758106060003</v>
      </c>
      <c r="I606">
        <v>0.68314839257056004</v>
      </c>
      <c r="J606">
        <v>0.58419756223654096</v>
      </c>
      <c r="K606">
        <v>0.471291287670695</v>
      </c>
      <c r="L606">
        <v>434.17347379921199</v>
      </c>
      <c r="M606">
        <v>6.9640574331443101</v>
      </c>
      <c r="O606">
        <v>57.813876297989502</v>
      </c>
      <c r="P606">
        <v>-2.4157076965387599E-2</v>
      </c>
      <c r="Q606">
        <v>0.19932838295577701</v>
      </c>
      <c r="R606">
        <v>0.94119688348032504</v>
      </c>
      <c r="S606" t="s">
        <v>6189</v>
      </c>
      <c r="T606" t="s">
        <v>11164</v>
      </c>
      <c r="U606" t="s">
        <v>11164</v>
      </c>
      <c r="V606" t="s">
        <v>11164</v>
      </c>
      <c r="W606" t="s">
        <v>11763</v>
      </c>
      <c r="X606">
        <v>5</v>
      </c>
      <c r="Y606" t="s">
        <v>17296</v>
      </c>
      <c r="Z606" t="s">
        <v>22756</v>
      </c>
      <c r="AA606">
        <v>0.80459230563186768</v>
      </c>
      <c r="AB606" t="str">
        <f>HYPERLINK("Melting_Curves/meltCurve_F5H1H0_L1CAM.pdf", "Melting_Curves/meltCurve_F5H1H0_L1CAM.pdf")</f>
        <v>Melting_Curves/meltCurve_F5H1H0_L1CAM.pdf</v>
      </c>
    </row>
    <row r="607" spans="1:28" x14ac:dyDescent="0.25">
      <c r="A607" t="s">
        <v>611</v>
      </c>
      <c r="B607">
        <v>0.99796759195183404</v>
      </c>
      <c r="C607">
        <v>0.73956784033163303</v>
      </c>
      <c r="D607">
        <v>0.93697604081703501</v>
      </c>
      <c r="E607">
        <v>0.93969755785851705</v>
      </c>
      <c r="F607">
        <v>0.85560463361424799</v>
      </c>
      <c r="G607">
        <v>0.78296611975644204</v>
      </c>
      <c r="H607">
        <v>0.42277207176354897</v>
      </c>
      <c r="I607">
        <v>0.25869073118768399</v>
      </c>
      <c r="J607">
        <v>0.18497040241634199</v>
      </c>
      <c r="K607">
        <v>0.120440954635179</v>
      </c>
      <c r="L607">
        <v>915.99699593232106</v>
      </c>
      <c r="M607">
        <v>16.206270580251001</v>
      </c>
      <c r="N607">
        <v>56.87449037535</v>
      </c>
      <c r="O607">
        <v>55.681569840152797</v>
      </c>
      <c r="P607">
        <v>-6.9283672778506195E-2</v>
      </c>
      <c r="Q607">
        <v>4.78904874714298E-2</v>
      </c>
      <c r="R607">
        <v>0.92346654836097797</v>
      </c>
      <c r="S607" t="s">
        <v>6190</v>
      </c>
      <c r="T607" t="s">
        <v>11164</v>
      </c>
      <c r="U607" t="s">
        <v>11164</v>
      </c>
      <c r="V607" t="s">
        <v>11164</v>
      </c>
      <c r="W607" t="s">
        <v>11764</v>
      </c>
      <c r="X607">
        <v>13</v>
      </c>
      <c r="Y607" t="s">
        <v>17297</v>
      </c>
      <c r="Z607" t="s">
        <v>22757</v>
      </c>
      <c r="AA607">
        <v>0.67705239596824096</v>
      </c>
      <c r="AB607" t="str">
        <f>HYPERLINK("Melting_Curves/meltCurve_F5H1L4_TXNRD2.pdf", "Melting_Curves/meltCurve_F5H1L4_TXNRD2.pdf")</f>
        <v>Melting_Curves/meltCurve_F5H1L4_TXNRD2.pdf</v>
      </c>
    </row>
    <row r="608" spans="1:28" x14ac:dyDescent="0.25">
      <c r="A608" t="s">
        <v>612</v>
      </c>
      <c r="B608">
        <v>0.99796759195183404</v>
      </c>
      <c r="C608">
        <v>0.91867639479895602</v>
      </c>
      <c r="D608">
        <v>0.82362274243428601</v>
      </c>
      <c r="E608">
        <v>0.89057515467475101</v>
      </c>
      <c r="F608">
        <v>0.79048418817763499</v>
      </c>
      <c r="G608">
        <v>0.70192738483056405</v>
      </c>
      <c r="H608">
        <v>0.499534903951945</v>
      </c>
      <c r="I608">
        <v>0.520367031867357</v>
      </c>
      <c r="J608">
        <v>0.41418522271982899</v>
      </c>
      <c r="K608">
        <v>0.34088146486034399</v>
      </c>
      <c r="L608">
        <v>348.34334716919898</v>
      </c>
      <c r="M608">
        <v>5.7838666572789101</v>
      </c>
      <c r="N608">
        <v>60.2267250974555</v>
      </c>
      <c r="O608">
        <v>54.195525234101403</v>
      </c>
      <c r="P608">
        <v>-2.6778984732646598E-2</v>
      </c>
      <c r="Q608">
        <v>0</v>
      </c>
      <c r="R608">
        <v>0.95772055243374299</v>
      </c>
      <c r="S608" t="s">
        <v>6191</v>
      </c>
      <c r="T608" t="s">
        <v>11164</v>
      </c>
      <c r="U608" t="s">
        <v>11164</v>
      </c>
      <c r="V608" t="s">
        <v>11164</v>
      </c>
      <c r="W608" t="s">
        <v>11765</v>
      </c>
      <c r="X608">
        <v>3</v>
      </c>
      <c r="Y608" t="s">
        <v>17298</v>
      </c>
      <c r="Z608" t="s">
        <v>22758</v>
      </c>
      <c r="AA608">
        <v>0.6975663706361116</v>
      </c>
      <c r="AB608" t="str">
        <f>HYPERLINK("Melting_Curves/meltCurve_F5H1N7_KIAA1211.pdf", "Melting_Curves/meltCurve_F5H1N7_KIAA1211.pdf")</f>
        <v>Melting_Curves/meltCurve_F5H1N7_KIAA1211.pdf</v>
      </c>
    </row>
    <row r="609" spans="1:28" x14ac:dyDescent="0.25">
      <c r="A609" t="s">
        <v>613</v>
      </c>
      <c r="B609">
        <v>0.99796759195183404</v>
      </c>
      <c r="C609">
        <v>0.93022132714607497</v>
      </c>
      <c r="D609">
        <v>0.90253695670293399</v>
      </c>
      <c r="E609">
        <v>0.73640682111981604</v>
      </c>
      <c r="F609">
        <v>0.402520092544988</v>
      </c>
      <c r="G609">
        <v>0.28963616017100802</v>
      </c>
      <c r="H609">
        <v>0.26019716435561102</v>
      </c>
      <c r="I609">
        <v>0.21323354973400199</v>
      </c>
      <c r="J609">
        <v>0.18138124891743501</v>
      </c>
      <c r="K609">
        <v>0.132914868742884</v>
      </c>
      <c r="L609">
        <v>817.458190575304</v>
      </c>
      <c r="M609">
        <v>16.974567739128599</v>
      </c>
      <c r="N609">
        <v>49.357076008091603</v>
      </c>
      <c r="O609">
        <v>47.504320221274398</v>
      </c>
      <c r="P609">
        <v>-7.4240549721950794E-2</v>
      </c>
      <c r="Q609">
        <v>0.16898514977429699</v>
      </c>
      <c r="R609">
        <v>0.99133232675208005</v>
      </c>
      <c r="S609" t="s">
        <v>6192</v>
      </c>
      <c r="T609" t="s">
        <v>11164</v>
      </c>
      <c r="U609" t="s">
        <v>11164</v>
      </c>
      <c r="V609" t="s">
        <v>11164</v>
      </c>
      <c r="W609" t="s">
        <v>11766</v>
      </c>
      <c r="X609">
        <v>7</v>
      </c>
      <c r="Y609" t="s">
        <v>17299</v>
      </c>
      <c r="Z609" t="s">
        <v>22759</v>
      </c>
      <c r="AA609">
        <v>0.49280760746499319</v>
      </c>
      <c r="AB609" t="str">
        <f>HYPERLINK("Melting_Curves/meltCurve_F5H1U9_MPDZ.pdf", "Melting_Curves/meltCurve_F5H1U9_MPDZ.pdf")</f>
        <v>Melting_Curves/meltCurve_F5H1U9_MPDZ.pdf</v>
      </c>
    </row>
    <row r="610" spans="1:28" x14ac:dyDescent="0.25">
      <c r="A610" t="s">
        <v>614</v>
      </c>
      <c r="B610">
        <v>0.99796759195183404</v>
      </c>
      <c r="C610">
        <v>1.02627081232383</v>
      </c>
      <c r="D610">
        <v>0.94974989412990596</v>
      </c>
      <c r="E610">
        <v>0.90395871400915795</v>
      </c>
      <c r="F610">
        <v>0.860819795619719</v>
      </c>
      <c r="G610">
        <v>0.80609761365828103</v>
      </c>
      <c r="H610">
        <v>0.320994015140462</v>
      </c>
      <c r="I610">
        <v>0.23367111339517899</v>
      </c>
      <c r="J610">
        <v>0.20773694368102</v>
      </c>
      <c r="K610">
        <v>0.154386109920221</v>
      </c>
      <c r="L610">
        <v>1817.4876974086301</v>
      </c>
      <c r="M610">
        <v>32.900972808881001</v>
      </c>
      <c r="N610">
        <v>55.977403697180897</v>
      </c>
      <c r="O610">
        <v>55.038274097377098</v>
      </c>
      <c r="P610">
        <v>-0.123198202831229</v>
      </c>
      <c r="Q610">
        <v>0.175637055314249</v>
      </c>
      <c r="R610">
        <v>0.97544430490381695</v>
      </c>
      <c r="S610" t="s">
        <v>6193</v>
      </c>
      <c r="T610" t="s">
        <v>11164</v>
      </c>
      <c r="U610" t="s">
        <v>11164</v>
      </c>
      <c r="V610" t="s">
        <v>11164</v>
      </c>
      <c r="W610" t="s">
        <v>11767</v>
      </c>
      <c r="X610">
        <v>20</v>
      </c>
      <c r="Y610" t="s">
        <v>17300</v>
      </c>
      <c r="Z610" t="s">
        <v>22760</v>
      </c>
      <c r="AA610">
        <v>0.68132744562914993</v>
      </c>
      <c r="AB610" t="str">
        <f>HYPERLINK("Melting_Curves/meltCurve_F5H1X8_LRBA.pdf", "Melting_Curves/meltCurve_F5H1X8_LRBA.pdf")</f>
        <v>Melting_Curves/meltCurve_F5H1X8_LRBA.pdf</v>
      </c>
    </row>
    <row r="611" spans="1:28" x14ac:dyDescent="0.25">
      <c r="A611" t="s">
        <v>615</v>
      </c>
      <c r="B611">
        <v>0.99796759195183404</v>
      </c>
      <c r="C611">
        <v>0.95353446438460998</v>
      </c>
      <c r="D611">
        <v>0.98719081815903198</v>
      </c>
      <c r="E611">
        <v>0.72167709256571</v>
      </c>
      <c r="F611">
        <v>0.319595671768238</v>
      </c>
      <c r="G611">
        <v>0.247470210786671</v>
      </c>
      <c r="H611">
        <v>0.16625119914265801</v>
      </c>
      <c r="I611">
        <v>0.156518133277946</v>
      </c>
      <c r="J611">
        <v>0.138415016106648</v>
      </c>
      <c r="K611">
        <v>8.1889676167705996E-2</v>
      </c>
      <c r="L611">
        <v>1212.1944320070199</v>
      </c>
      <c r="M611">
        <v>25.286738791458198</v>
      </c>
      <c r="N611">
        <v>48.565732138326197</v>
      </c>
      <c r="O611">
        <v>47.641156613371599</v>
      </c>
      <c r="P611">
        <v>-0.11419636431097301</v>
      </c>
      <c r="Q611">
        <v>0.13941028159753199</v>
      </c>
      <c r="R611">
        <v>0.99231964801260597</v>
      </c>
      <c r="S611" t="s">
        <v>6194</v>
      </c>
      <c r="T611" t="s">
        <v>11164</v>
      </c>
      <c r="U611" t="s">
        <v>11164</v>
      </c>
      <c r="V611" t="s">
        <v>11164</v>
      </c>
      <c r="W611" t="s">
        <v>11768</v>
      </c>
      <c r="X611">
        <v>15</v>
      </c>
      <c r="Y611" t="s">
        <v>17301</v>
      </c>
      <c r="Z611" t="s">
        <v>22761</v>
      </c>
      <c r="AA611">
        <v>0.46034320645067878</v>
      </c>
      <c r="AB611" t="str">
        <f>HYPERLINK("Melting_Curves/meltCurve_F5H2H5_ANKLE2.pdf", "Melting_Curves/meltCurve_F5H2H5_ANKLE2.pdf")</f>
        <v>Melting_Curves/meltCurve_F5H2H5_ANKLE2.pdf</v>
      </c>
    </row>
    <row r="612" spans="1:28" x14ac:dyDescent="0.25">
      <c r="A612" t="s">
        <v>616</v>
      </c>
      <c r="B612">
        <v>0.99796759195183404</v>
      </c>
      <c r="C612">
        <v>0.92381531582500798</v>
      </c>
      <c r="D612">
        <v>1.0507223851976299</v>
      </c>
      <c r="E612">
        <v>0.89680981743345101</v>
      </c>
      <c r="F612">
        <v>1.0304405964899701</v>
      </c>
      <c r="G612">
        <v>0.790020823053872</v>
      </c>
      <c r="H612">
        <v>0.62280521675851896</v>
      </c>
      <c r="I612">
        <v>0.52347234192643999</v>
      </c>
      <c r="J612">
        <v>0.51769012374554901</v>
      </c>
      <c r="K612">
        <v>0.28111119847670402</v>
      </c>
      <c r="L612">
        <v>698.85653256961302</v>
      </c>
      <c r="M612">
        <v>11.702578124071501</v>
      </c>
      <c r="N612">
        <v>61.722674698348001</v>
      </c>
      <c r="O612">
        <v>58.054338338557102</v>
      </c>
      <c r="P612">
        <v>-4.2439387506571301E-2</v>
      </c>
      <c r="Q612">
        <v>0.158087427433067</v>
      </c>
      <c r="R612">
        <v>0.929006502719678</v>
      </c>
      <c r="S612" t="s">
        <v>6195</v>
      </c>
      <c r="T612" t="s">
        <v>11164</v>
      </c>
      <c r="U612" t="s">
        <v>11164</v>
      </c>
      <c r="V612" t="s">
        <v>11164</v>
      </c>
      <c r="W612" t="s">
        <v>11769</v>
      </c>
      <c r="X612">
        <v>2</v>
      </c>
      <c r="Y612" t="s">
        <v>17302</v>
      </c>
      <c r="Z612" t="s">
        <v>22762</v>
      </c>
      <c r="AA612">
        <v>0.78288363316083243</v>
      </c>
      <c r="AB612" t="str">
        <f>HYPERLINK("Melting_Curves/meltCurve_F5H2J3_VMP1.pdf", "Melting_Curves/meltCurve_F5H2J3_VMP1.pdf")</f>
        <v>Melting_Curves/meltCurve_F5H2J3_VMP1.pdf</v>
      </c>
    </row>
    <row r="613" spans="1:28" x14ac:dyDescent="0.25">
      <c r="A613" t="s">
        <v>617</v>
      </c>
      <c r="B613">
        <v>0.99796759195183404</v>
      </c>
      <c r="C613">
        <v>1.0847511252947799</v>
      </c>
      <c r="D613">
        <v>0.99578715690834696</v>
      </c>
      <c r="E613">
        <v>0.95396288967087395</v>
      </c>
      <c r="F613">
        <v>0.81297715524451897</v>
      </c>
      <c r="G613">
        <v>0.75471579791630605</v>
      </c>
      <c r="H613">
        <v>0.29945123204502699</v>
      </c>
      <c r="I613">
        <v>0.18629099060652901</v>
      </c>
      <c r="J613">
        <v>0.121602156325799</v>
      </c>
      <c r="K613">
        <v>8.25047683146935E-2</v>
      </c>
      <c r="L613">
        <v>1128.48536906447</v>
      </c>
      <c r="M613">
        <v>20.3839045326317</v>
      </c>
      <c r="N613">
        <v>55.6740796099471</v>
      </c>
      <c r="O613">
        <v>54.837027377813698</v>
      </c>
      <c r="P613">
        <v>-8.7909214106862602E-2</v>
      </c>
      <c r="Q613">
        <v>5.40508221152124E-2</v>
      </c>
      <c r="R613">
        <v>0.981571977929795</v>
      </c>
      <c r="S613" t="s">
        <v>6196</v>
      </c>
      <c r="T613" t="s">
        <v>11164</v>
      </c>
      <c r="U613" t="s">
        <v>11164</v>
      </c>
      <c r="V613" t="s">
        <v>11164</v>
      </c>
      <c r="W613" t="s">
        <v>11770</v>
      </c>
      <c r="X613">
        <v>22</v>
      </c>
      <c r="Y613" t="s">
        <v>17303</v>
      </c>
      <c r="Z613" t="s">
        <v>22763</v>
      </c>
      <c r="AA613">
        <v>0.64322843538842611</v>
      </c>
      <c r="AB613" t="str">
        <f>HYPERLINK("Melting_Curves/meltCurve_F5H2M7_WNK1.pdf", "Melting_Curves/meltCurve_F5H2M7_WNK1.pdf")</f>
        <v>Melting_Curves/meltCurve_F5H2M7_WNK1.pdf</v>
      </c>
    </row>
    <row r="614" spans="1:28" x14ac:dyDescent="0.25">
      <c r="A614" t="s">
        <v>618</v>
      </c>
      <c r="B614">
        <v>0.99796759195183404</v>
      </c>
      <c r="C614">
        <v>0.94099889313752205</v>
      </c>
      <c r="D614">
        <v>0.98221605952037006</v>
      </c>
      <c r="E614">
        <v>0.93875472834387896</v>
      </c>
      <c r="F614">
        <v>0.83249477750978895</v>
      </c>
      <c r="G614">
        <v>0.78652597710291305</v>
      </c>
      <c r="H614">
        <v>0.773647305482981</v>
      </c>
      <c r="I614">
        <v>0.64333833573126098</v>
      </c>
      <c r="J614">
        <v>0.68456471882374803</v>
      </c>
      <c r="K614">
        <v>0.45194281810800602</v>
      </c>
      <c r="L614">
        <v>362.89373109061802</v>
      </c>
      <c r="M614">
        <v>5.2938160008829103</v>
      </c>
      <c r="O614">
        <v>60.599300515837797</v>
      </c>
      <c r="P614">
        <v>-2.1949337869016899E-2</v>
      </c>
      <c r="Q614">
        <v>0</v>
      </c>
      <c r="R614">
        <v>0.92267006673704799</v>
      </c>
      <c r="S614" t="s">
        <v>6197</v>
      </c>
      <c r="T614" t="s">
        <v>11164</v>
      </c>
      <c r="U614" t="s">
        <v>11164</v>
      </c>
      <c r="V614" t="s">
        <v>11164</v>
      </c>
      <c r="W614" t="s">
        <v>11771</v>
      </c>
      <c r="X614">
        <v>6</v>
      </c>
      <c r="Y614" t="s">
        <v>17304</v>
      </c>
      <c r="Z614" t="s">
        <v>22764</v>
      </c>
      <c r="AA614">
        <v>0.81282446502607142</v>
      </c>
      <c r="AB614" t="str">
        <f>HYPERLINK("Melting_Curves/meltCurve_F5H2Q7_KIAA1715.pdf", "Melting_Curves/meltCurve_F5H2Q7_KIAA1715.pdf")</f>
        <v>Melting_Curves/meltCurve_F5H2Q7_KIAA1715.pdf</v>
      </c>
    </row>
    <row r="615" spans="1:28" x14ac:dyDescent="0.25">
      <c r="A615" t="s">
        <v>619</v>
      </c>
      <c r="B615">
        <v>0.99796759195183404</v>
      </c>
      <c r="C615">
        <v>0.90098588921901801</v>
      </c>
      <c r="D615">
        <v>0.87117320186957203</v>
      </c>
      <c r="E615">
        <v>0.81678768703910898</v>
      </c>
      <c r="F615">
        <v>0.765284661436201</v>
      </c>
      <c r="G615">
        <v>0.67537999675085103</v>
      </c>
      <c r="H615">
        <v>0.39917504140472398</v>
      </c>
      <c r="I615">
        <v>0.38005550164714502</v>
      </c>
      <c r="J615">
        <v>0.46485002529781499</v>
      </c>
      <c r="K615">
        <v>0.462078595743807</v>
      </c>
      <c r="L615">
        <v>485.930474114128</v>
      </c>
      <c r="M615">
        <v>9.4612204439932199</v>
      </c>
      <c r="N615">
        <v>58.314973874043098</v>
      </c>
      <c r="O615">
        <v>49.222668217641797</v>
      </c>
      <c r="P615">
        <v>-3.18198045273567E-2</v>
      </c>
      <c r="Q615">
        <v>0.33821844701748899</v>
      </c>
      <c r="R615">
        <v>0.91677043405256797</v>
      </c>
      <c r="S615" t="s">
        <v>6198</v>
      </c>
      <c r="T615" t="s">
        <v>11164</v>
      </c>
      <c r="U615" t="s">
        <v>11164</v>
      </c>
      <c r="V615" t="s">
        <v>11164</v>
      </c>
      <c r="W615" t="s">
        <v>11772</v>
      </c>
      <c r="X615">
        <v>19</v>
      </c>
      <c r="Y615" t="s">
        <v>17305</v>
      </c>
      <c r="Z615" t="s">
        <v>22765</v>
      </c>
      <c r="AA615">
        <v>0.67495602969608515</v>
      </c>
      <c r="AB615" t="str">
        <f>HYPERLINK("Melting_Curves/meltCurve_F5H2S7_DCTN2.pdf", "Melting_Curves/meltCurve_F5H2S7_DCTN2.pdf")</f>
        <v>Melting_Curves/meltCurve_F5H2S7_DCTN2.pdf</v>
      </c>
    </row>
    <row r="616" spans="1:28" x14ac:dyDescent="0.25">
      <c r="A616" t="s">
        <v>620</v>
      </c>
      <c r="B616">
        <v>0.99796759195183404</v>
      </c>
      <c r="C616">
        <v>0.98624436582686403</v>
      </c>
      <c r="D616">
        <v>1.02338390198521</v>
      </c>
      <c r="E616">
        <v>0.91493846210965202</v>
      </c>
      <c r="F616">
        <v>0.79944165053813598</v>
      </c>
      <c r="G616">
        <v>0.55519454033371596</v>
      </c>
      <c r="H616">
        <v>0.35958445319132798</v>
      </c>
      <c r="I616">
        <v>0.19877501381866799</v>
      </c>
      <c r="J616">
        <v>0.12825995443706401</v>
      </c>
      <c r="K616">
        <v>8.8621959018606297E-2</v>
      </c>
      <c r="L616">
        <v>808.90399535679796</v>
      </c>
      <c r="M616">
        <v>14.818592636869401</v>
      </c>
      <c r="N616">
        <v>54.832299790024997</v>
      </c>
      <c r="O616">
        <v>53.621929856321103</v>
      </c>
      <c r="P616">
        <v>-6.6880487832259805E-2</v>
      </c>
      <c r="Q616">
        <v>3.2059043898122398E-2</v>
      </c>
      <c r="R616">
        <v>0.99823368600507101</v>
      </c>
      <c r="S616" t="s">
        <v>6199</v>
      </c>
      <c r="T616" t="s">
        <v>11164</v>
      </c>
      <c r="U616" t="s">
        <v>11164</v>
      </c>
      <c r="V616" t="s">
        <v>11164</v>
      </c>
      <c r="W616" t="s">
        <v>11773</v>
      </c>
      <c r="X616">
        <v>2</v>
      </c>
      <c r="Y616" t="s">
        <v>17306</v>
      </c>
      <c r="Z616" t="s">
        <v>22766</v>
      </c>
      <c r="AA616">
        <v>0.61413902970294054</v>
      </c>
      <c r="AB616" t="str">
        <f>HYPERLINK("Melting_Curves/meltCurve_F5H2U7_NECAP1.pdf", "Melting_Curves/meltCurve_F5H2U7_NECAP1.pdf")</f>
        <v>Melting_Curves/meltCurve_F5H2U7_NECAP1.pdf</v>
      </c>
    </row>
    <row r="617" spans="1:28" x14ac:dyDescent="0.25">
      <c r="A617" t="s">
        <v>621</v>
      </c>
      <c r="B617">
        <v>0.99796759195183404</v>
      </c>
      <c r="C617">
        <v>0.96142207350490505</v>
      </c>
      <c r="D617">
        <v>0.923590358435188</v>
      </c>
      <c r="E617">
        <v>1.0454016596363001</v>
      </c>
      <c r="F617">
        <v>0.72207051110374199</v>
      </c>
      <c r="G617">
        <v>0.36461374721602902</v>
      </c>
      <c r="H617">
        <v>0.28386626409274801</v>
      </c>
      <c r="I617">
        <v>0.14170587847990199</v>
      </c>
      <c r="J617">
        <v>0.11392317780743599</v>
      </c>
      <c r="K617">
        <v>2.9120777370938301E-2</v>
      </c>
      <c r="L617">
        <v>1126.27190982241</v>
      </c>
      <c r="M617">
        <v>21.5112820287553</v>
      </c>
      <c r="N617">
        <v>52.814939472050803</v>
      </c>
      <c r="O617">
        <v>51.911095050367898</v>
      </c>
      <c r="P617">
        <v>-9.4789963360274898E-2</v>
      </c>
      <c r="Q617">
        <v>8.5032626627475294E-2</v>
      </c>
      <c r="R617">
        <v>0.97984367243517401</v>
      </c>
      <c r="S617" t="s">
        <v>6200</v>
      </c>
      <c r="T617" t="s">
        <v>11164</v>
      </c>
      <c r="U617" t="s">
        <v>11164</v>
      </c>
      <c r="V617" t="s">
        <v>11164</v>
      </c>
      <c r="W617" t="s">
        <v>11774</v>
      </c>
      <c r="X617">
        <v>1</v>
      </c>
      <c r="Y617" t="s">
        <v>17307</v>
      </c>
      <c r="Z617" t="s">
        <v>22767</v>
      </c>
      <c r="AA617">
        <v>0.56387343663419187</v>
      </c>
      <c r="AB617" t="str">
        <f>HYPERLINK("Melting_Curves/meltCurve_F5H2U8_HMGA2.pdf", "Melting_Curves/meltCurve_F5H2U8_HMGA2.pdf")</f>
        <v>Melting_Curves/meltCurve_F5H2U8_HMGA2.pdf</v>
      </c>
    </row>
    <row r="618" spans="1:28" x14ac:dyDescent="0.25">
      <c r="A618" t="s">
        <v>622</v>
      </c>
      <c r="B618">
        <v>0.99796759195183404</v>
      </c>
      <c r="C618">
        <v>1.02573750360038</v>
      </c>
      <c r="D618">
        <v>0.95828871531484605</v>
      </c>
      <c r="E618">
        <v>0.94888527827955105</v>
      </c>
      <c r="F618">
        <v>0.83401703312855202</v>
      </c>
      <c r="G618">
        <v>0.68290749868641398</v>
      </c>
      <c r="H618">
        <v>0.55018308005678196</v>
      </c>
      <c r="I618">
        <v>0.32193311500049598</v>
      </c>
      <c r="J618">
        <v>0.235623194448697</v>
      </c>
      <c r="K618">
        <v>5.63114692739504E-2</v>
      </c>
      <c r="L618">
        <v>735.95141253095801</v>
      </c>
      <c r="M618">
        <v>12.8200805366693</v>
      </c>
      <c r="N618">
        <v>57.406145969601098</v>
      </c>
      <c r="O618">
        <v>56.063164756349202</v>
      </c>
      <c r="P618">
        <v>-5.7178682661229698E-2</v>
      </c>
      <c r="Q618">
        <v>0</v>
      </c>
      <c r="R618">
        <v>0.98862922334960901</v>
      </c>
      <c r="S618" t="s">
        <v>6201</v>
      </c>
      <c r="T618" t="s">
        <v>11164</v>
      </c>
      <c r="U618" t="s">
        <v>11164</v>
      </c>
      <c r="V618" t="s">
        <v>11164</v>
      </c>
      <c r="W618" t="s">
        <v>11775</v>
      </c>
      <c r="X618">
        <v>3</v>
      </c>
      <c r="Y618" t="s">
        <v>17308</v>
      </c>
      <c r="Z618" t="s">
        <v>22768</v>
      </c>
      <c r="AA618">
        <v>0.68416322307376842</v>
      </c>
      <c r="AB618" t="str">
        <f>HYPERLINK("Melting_Curves/meltCurve_F5H2V5_FADS3.pdf", "Melting_Curves/meltCurve_F5H2V5_FADS3.pdf")</f>
        <v>Melting_Curves/meltCurve_F5H2V5_FADS3.pdf</v>
      </c>
    </row>
    <row r="619" spans="1:28" x14ac:dyDescent="0.25">
      <c r="A619" t="s">
        <v>623</v>
      </c>
      <c r="B619">
        <v>0.99796759195183404</v>
      </c>
      <c r="C619">
        <v>1.24993338442248</v>
      </c>
      <c r="D619">
        <v>0.94791299158459996</v>
      </c>
      <c r="E619">
        <v>1.0010071652874799</v>
      </c>
      <c r="F619">
        <v>1.03594764182836</v>
      </c>
      <c r="G619">
        <v>0.73111193135136698</v>
      </c>
      <c r="H619">
        <v>0.43931442091483602</v>
      </c>
      <c r="I619">
        <v>0.44836998979062997</v>
      </c>
      <c r="J619">
        <v>0.40644405077470902</v>
      </c>
      <c r="K619">
        <v>0.24428098508933099</v>
      </c>
      <c r="L619">
        <v>2103.5764710991998</v>
      </c>
      <c r="M619">
        <v>38.680736035783703</v>
      </c>
      <c r="N619">
        <v>56.253381792190602</v>
      </c>
      <c r="O619">
        <v>54.238307718995799</v>
      </c>
      <c r="P619">
        <v>-0.113781367154104</v>
      </c>
      <c r="Q619">
        <v>0.36182247981907201</v>
      </c>
      <c r="R619">
        <v>0.91410977147008599</v>
      </c>
      <c r="S619" t="s">
        <v>6202</v>
      </c>
      <c r="T619" t="s">
        <v>11164</v>
      </c>
      <c r="U619" t="s">
        <v>11164</v>
      </c>
      <c r="V619" t="s">
        <v>11164</v>
      </c>
      <c r="W619" t="s">
        <v>11776</v>
      </c>
      <c r="X619">
        <v>3</v>
      </c>
      <c r="Y619" t="s">
        <v>17309</v>
      </c>
      <c r="Z619" t="s">
        <v>22769</v>
      </c>
      <c r="AA619">
        <v>0.73413930063616983</v>
      </c>
      <c r="AB619" t="str">
        <f>HYPERLINK("Melting_Curves/meltCurve_F5H2X3_NRP2.pdf", "Melting_Curves/meltCurve_F5H2X3_NRP2.pdf")</f>
        <v>Melting_Curves/meltCurve_F5H2X3_NRP2.pdf</v>
      </c>
    </row>
    <row r="620" spans="1:28" x14ac:dyDescent="0.25">
      <c r="A620" t="s">
        <v>624</v>
      </c>
      <c r="B620">
        <v>0.99796759195183404</v>
      </c>
      <c r="C620">
        <v>1.1612720352604899</v>
      </c>
      <c r="D620">
        <v>1.0558195976314</v>
      </c>
      <c r="E620">
        <v>0.93567202632776902</v>
      </c>
      <c r="F620">
        <v>0.60787926859029495</v>
      </c>
      <c r="G620">
        <v>0.34765333126829201</v>
      </c>
      <c r="H620">
        <v>9.8120432870164906E-2</v>
      </c>
      <c r="I620">
        <v>0.159430250644782</v>
      </c>
      <c r="J620">
        <v>9.8064798433032896E-2</v>
      </c>
      <c r="K620">
        <v>0</v>
      </c>
      <c r="L620">
        <v>1151.19310841895</v>
      </c>
      <c r="M620">
        <v>22.4347680221132</v>
      </c>
      <c r="N620">
        <v>51.626334523955101</v>
      </c>
      <c r="O620">
        <v>50.910428137948998</v>
      </c>
      <c r="P620">
        <v>-0.10315582313171399</v>
      </c>
      <c r="Q620">
        <v>6.36678480257242E-2</v>
      </c>
      <c r="R620">
        <v>0.97518902026668397</v>
      </c>
      <c r="S620" t="s">
        <v>6203</v>
      </c>
      <c r="T620" t="s">
        <v>11164</v>
      </c>
      <c r="U620" t="s">
        <v>11164</v>
      </c>
      <c r="V620" t="s">
        <v>11164</v>
      </c>
      <c r="W620" t="s">
        <v>11777</v>
      </c>
      <c r="X620">
        <v>1</v>
      </c>
      <c r="Y620" t="s">
        <v>17310</v>
      </c>
      <c r="Z620" t="s">
        <v>22770</v>
      </c>
      <c r="AA620">
        <v>0.52044412787380989</v>
      </c>
      <c r="AB620" t="str">
        <f>HYPERLINK("Melting_Curves/meltCurve_F5H357_RBPMS.pdf", "Melting_Curves/meltCurve_F5H357_RBPMS.pdf")</f>
        <v>Melting_Curves/meltCurve_F5H357_RBPMS.pdf</v>
      </c>
    </row>
    <row r="621" spans="1:28" x14ac:dyDescent="0.25">
      <c r="A621" t="s">
        <v>625</v>
      </c>
      <c r="B621">
        <v>0.99796759195183404</v>
      </c>
      <c r="C621">
        <v>1.06066972716705</v>
      </c>
      <c r="D621">
        <v>0.98987344967412705</v>
      </c>
      <c r="E621">
        <v>0.96349302153664496</v>
      </c>
      <c r="F621">
        <v>0.83992928631205199</v>
      </c>
      <c r="G621">
        <v>0.46026048443900902</v>
      </c>
      <c r="H621">
        <v>0.240854040577616</v>
      </c>
      <c r="I621">
        <v>0.180962598856374</v>
      </c>
      <c r="J621">
        <v>0.14816093744504499</v>
      </c>
      <c r="K621">
        <v>0.10658592795668601</v>
      </c>
      <c r="L621">
        <v>1359.5446299140699</v>
      </c>
      <c r="M621">
        <v>25.698763755538199</v>
      </c>
      <c r="N621">
        <v>53.538300828529501</v>
      </c>
      <c r="O621">
        <v>52.585904083510798</v>
      </c>
      <c r="P621">
        <v>-0.106122819578113</v>
      </c>
      <c r="Q621">
        <v>0.131398525163891</v>
      </c>
      <c r="R621">
        <v>0.99618194288249495</v>
      </c>
      <c r="S621" t="s">
        <v>6204</v>
      </c>
      <c r="T621" t="s">
        <v>11164</v>
      </c>
      <c r="U621" t="s">
        <v>11164</v>
      </c>
      <c r="V621" t="s">
        <v>11164</v>
      </c>
      <c r="W621" t="s">
        <v>11778</v>
      </c>
      <c r="X621">
        <v>11</v>
      </c>
      <c r="Y621" t="s">
        <v>17311</v>
      </c>
      <c r="Z621" t="s">
        <v>22771</v>
      </c>
      <c r="AA621">
        <v>0.59916810903156281</v>
      </c>
      <c r="AB621" t="str">
        <f>HYPERLINK("Melting_Curves/meltCurve_F5H365_SEC23A.pdf", "Melting_Curves/meltCurve_F5H365_SEC23A.pdf")</f>
        <v>Melting_Curves/meltCurve_F5H365_SEC23A.pdf</v>
      </c>
    </row>
    <row r="622" spans="1:28" x14ac:dyDescent="0.25">
      <c r="A622" t="s">
        <v>626</v>
      </c>
      <c r="B622">
        <v>0.99796759195183404</v>
      </c>
      <c r="C622">
        <v>0.972223040767768</v>
      </c>
      <c r="D622">
        <v>0.90447831844643201</v>
      </c>
      <c r="E622">
        <v>0.86765916314865998</v>
      </c>
      <c r="F622">
        <v>0.74350407816578401</v>
      </c>
      <c r="G622">
        <v>0.59911369864085895</v>
      </c>
      <c r="H622">
        <v>0.172776114071855</v>
      </c>
      <c r="I622">
        <v>0.21108716352967999</v>
      </c>
      <c r="J622">
        <v>0.139867602956287</v>
      </c>
      <c r="K622">
        <v>5.4168277598074403E-2</v>
      </c>
      <c r="L622">
        <v>734.95940424974003</v>
      </c>
      <c r="M622">
        <v>13.637280048902699</v>
      </c>
      <c r="N622">
        <v>53.922392954982897</v>
      </c>
      <c r="O622">
        <v>52.774159154654399</v>
      </c>
      <c r="P622">
        <v>-6.4375643571335101E-2</v>
      </c>
      <c r="Q622">
        <v>3.6510515435293702E-3</v>
      </c>
      <c r="R622">
        <v>0.97391026147244097</v>
      </c>
      <c r="S622" t="s">
        <v>6205</v>
      </c>
      <c r="T622" t="s">
        <v>11164</v>
      </c>
      <c r="U622" t="s">
        <v>11164</v>
      </c>
      <c r="V622" t="s">
        <v>11164</v>
      </c>
      <c r="W622" t="s">
        <v>11779</v>
      </c>
      <c r="X622">
        <v>1</v>
      </c>
      <c r="Y622" t="s">
        <v>17312</v>
      </c>
      <c r="Z622" t="s">
        <v>22772</v>
      </c>
      <c r="AA622">
        <v>0.58206952392457523</v>
      </c>
      <c r="AB622" t="str">
        <f>HYPERLINK("Melting_Curves/meltCurve_F5H3J3_CHST10.pdf", "Melting_Curves/meltCurve_F5H3J3_CHST10.pdf")</f>
        <v>Melting_Curves/meltCurve_F5H3J3_CHST10.pdf</v>
      </c>
    </row>
    <row r="623" spans="1:28" x14ac:dyDescent="0.25">
      <c r="A623" t="s">
        <v>627</v>
      </c>
      <c r="B623">
        <v>0.99796759195183404</v>
      </c>
      <c r="C623">
        <v>0.85918931302776202</v>
      </c>
      <c r="D623">
        <v>0.83582550822711199</v>
      </c>
      <c r="E623">
        <v>0.76957715198151599</v>
      </c>
      <c r="F623">
        <v>0.69721819156702503</v>
      </c>
      <c r="G623">
        <v>1.8625357498588799</v>
      </c>
      <c r="H623">
        <v>1.4378428149329601</v>
      </c>
      <c r="I623">
        <v>1.1770360121968</v>
      </c>
      <c r="J623">
        <v>0.62912671923596797</v>
      </c>
      <c r="K623">
        <v>0.65205703993202602</v>
      </c>
      <c r="L623">
        <v>15000</v>
      </c>
      <c r="M623">
        <v>238.65206382043201</v>
      </c>
      <c r="O623">
        <v>62.848598685967801</v>
      </c>
      <c r="P623">
        <v>-0.34270566395067098</v>
      </c>
      <c r="Q623">
        <v>0.63899630713367195</v>
      </c>
      <c r="R623">
        <v>0.18178835482761899</v>
      </c>
      <c r="S623" t="s">
        <v>6206</v>
      </c>
      <c r="T623" t="s">
        <v>11164</v>
      </c>
      <c r="U623" t="s">
        <v>11164</v>
      </c>
      <c r="V623" t="s">
        <v>11164</v>
      </c>
      <c r="W623" t="s">
        <v>11780</v>
      </c>
      <c r="X623">
        <v>1</v>
      </c>
      <c r="Y623" t="s">
        <v>17313</v>
      </c>
      <c r="Z623" t="s">
        <v>22773</v>
      </c>
      <c r="AA623">
        <v>0.9501410460470926</v>
      </c>
      <c r="AB623" t="str">
        <f>HYPERLINK("Melting_Curves/meltCurve_F5H450_FZD10.pdf", "Melting_Curves/meltCurve_F5H450_FZD10.pdf")</f>
        <v>Melting_Curves/meltCurve_F5H450_FZD10.pdf</v>
      </c>
    </row>
    <row r="624" spans="1:28" x14ac:dyDescent="0.25">
      <c r="A624" t="s">
        <v>628</v>
      </c>
      <c r="B624">
        <v>0.99796759195183404</v>
      </c>
      <c r="C624">
        <v>1.0167133274267399</v>
      </c>
      <c r="D624">
        <v>0.97363367984239002</v>
      </c>
      <c r="E624">
        <v>0.88372505862899897</v>
      </c>
      <c r="F624">
        <v>0.65528061448330799</v>
      </c>
      <c r="G624">
        <v>0.24495549337323599</v>
      </c>
      <c r="H624">
        <v>0.17632906000165599</v>
      </c>
      <c r="I624">
        <v>0.13108126632730799</v>
      </c>
      <c r="J624">
        <v>0.116342632059884</v>
      </c>
      <c r="K624">
        <v>7.8095800183314301E-2</v>
      </c>
      <c r="L624">
        <v>1264.7819989442501</v>
      </c>
      <c r="M624">
        <v>24.8711954015644</v>
      </c>
      <c r="N624">
        <v>51.323405178459303</v>
      </c>
      <c r="O624">
        <v>50.527945338681498</v>
      </c>
      <c r="P624">
        <v>-0.11052289059819199</v>
      </c>
      <c r="Q624">
        <v>0.101865779925129</v>
      </c>
      <c r="R624">
        <v>0.99616492046800897</v>
      </c>
      <c r="S624" t="s">
        <v>6207</v>
      </c>
      <c r="T624" t="s">
        <v>11164</v>
      </c>
      <c r="U624" t="s">
        <v>11164</v>
      </c>
      <c r="V624" t="s">
        <v>11164</v>
      </c>
      <c r="W624" t="s">
        <v>11781</v>
      </c>
      <c r="X624">
        <v>10</v>
      </c>
      <c r="Y624" t="s">
        <v>17314</v>
      </c>
      <c r="Z624" t="s">
        <v>22774</v>
      </c>
      <c r="AA624">
        <v>0.52459500362789291</v>
      </c>
      <c r="AB624" t="str">
        <f>HYPERLINK("Melting_Curves/meltCurve_F5H4G7_KPNA6.pdf", "Melting_Curves/meltCurve_F5H4G7_KPNA6.pdf")</f>
        <v>Melting_Curves/meltCurve_F5H4G7_KPNA6.pdf</v>
      </c>
    </row>
    <row r="625" spans="1:28" x14ac:dyDescent="0.25">
      <c r="A625" t="s">
        <v>629</v>
      </c>
      <c r="B625">
        <v>0.99796759195183404</v>
      </c>
      <c r="C625">
        <v>1.02730736992211</v>
      </c>
      <c r="D625">
        <v>1.0373142405084099</v>
      </c>
      <c r="E625">
        <v>0.74075789282313198</v>
      </c>
      <c r="F625">
        <v>0.73218848027484895</v>
      </c>
      <c r="G625">
        <v>0.61357537355856295</v>
      </c>
      <c r="H625">
        <v>0.38028968268413399</v>
      </c>
      <c r="I625">
        <v>0.34808453007010198</v>
      </c>
      <c r="J625">
        <v>0.249742753501491</v>
      </c>
      <c r="K625">
        <v>0.27483125323071</v>
      </c>
      <c r="L625">
        <v>599.68400492783098</v>
      </c>
      <c r="M625">
        <v>11.3145247687183</v>
      </c>
      <c r="N625">
        <v>55.1902400646782</v>
      </c>
      <c r="O625">
        <v>51.426581234434003</v>
      </c>
      <c r="P625">
        <v>-4.5072804276943698E-2</v>
      </c>
      <c r="Q625">
        <v>0.18079140809769501</v>
      </c>
      <c r="R625">
        <v>0.96472336019367899</v>
      </c>
      <c r="S625" t="s">
        <v>6208</v>
      </c>
      <c r="T625" t="s">
        <v>11164</v>
      </c>
      <c r="U625" t="s">
        <v>11164</v>
      </c>
      <c r="V625" t="s">
        <v>11164</v>
      </c>
      <c r="W625" t="s">
        <v>11782</v>
      </c>
      <c r="X625">
        <v>1</v>
      </c>
      <c r="Y625" t="s">
        <v>17315</v>
      </c>
      <c r="Z625" t="s">
        <v>22775</v>
      </c>
      <c r="AA625">
        <v>0.63547661388672649</v>
      </c>
      <c r="AB625" t="str">
        <f>HYPERLINK("Melting_Curves/meltCurve_F5H4I5_ITM2C.pdf", "Melting_Curves/meltCurve_F5H4I5_ITM2C.pdf")</f>
        <v>Melting_Curves/meltCurve_F5H4I5_ITM2C.pdf</v>
      </c>
    </row>
    <row r="626" spans="1:28" x14ac:dyDescent="0.25">
      <c r="A626" t="s">
        <v>630</v>
      </c>
      <c r="B626">
        <v>0.99796759195183404</v>
      </c>
      <c r="C626">
        <v>0.94359832964344004</v>
      </c>
      <c r="D626">
        <v>1.017010817701</v>
      </c>
      <c r="E626">
        <v>0.92789820782869703</v>
      </c>
      <c r="F626">
        <v>0.70804846596660997</v>
      </c>
      <c r="G626">
        <v>0.55354099823137703</v>
      </c>
      <c r="H626">
        <v>0.441194650574391</v>
      </c>
      <c r="I626">
        <v>0.36149038404436701</v>
      </c>
      <c r="J626">
        <v>0.35241012749009498</v>
      </c>
      <c r="K626">
        <v>0.24207702832619199</v>
      </c>
      <c r="L626">
        <v>764.07602886537404</v>
      </c>
      <c r="M626">
        <v>14.6014749441063</v>
      </c>
      <c r="N626">
        <v>55.2032730733726</v>
      </c>
      <c r="O626">
        <v>51.376559700914598</v>
      </c>
      <c r="P626">
        <v>-5.2139992051693299E-2</v>
      </c>
      <c r="Q626">
        <v>0.26624598336663202</v>
      </c>
      <c r="R626">
        <v>0.98563533235131195</v>
      </c>
      <c r="S626" t="s">
        <v>6209</v>
      </c>
      <c r="T626" t="s">
        <v>11164</v>
      </c>
      <c r="U626" t="s">
        <v>11164</v>
      </c>
      <c r="V626" t="s">
        <v>11164</v>
      </c>
      <c r="W626" t="s">
        <v>11783</v>
      </c>
      <c r="X626">
        <v>4</v>
      </c>
      <c r="Y626" t="s">
        <v>17316</v>
      </c>
      <c r="Z626" t="s">
        <v>22776</v>
      </c>
      <c r="AA626">
        <v>0.65532082819050441</v>
      </c>
      <c r="AB626" t="str">
        <f>HYPERLINK("Melting_Curves/meltCurve_F5H4J2_PEX14.pdf", "Melting_Curves/meltCurve_F5H4J2_PEX14.pdf")</f>
        <v>Melting_Curves/meltCurve_F5H4J2_PEX14.pdf</v>
      </c>
    </row>
    <row r="627" spans="1:28" x14ac:dyDescent="0.25">
      <c r="A627" t="s">
        <v>631</v>
      </c>
      <c r="B627">
        <v>0.99796759195183404</v>
      </c>
      <c r="C627">
        <v>0.90645201473222303</v>
      </c>
      <c r="D627">
        <v>0.96952512319473205</v>
      </c>
      <c r="E627">
        <v>0.92775136375717404</v>
      </c>
      <c r="F627">
        <v>0.79008236545181498</v>
      </c>
      <c r="G627">
        <v>0.60251330565711403</v>
      </c>
      <c r="H627">
        <v>0.36848693132134602</v>
      </c>
      <c r="I627">
        <v>0.431223620476471</v>
      </c>
      <c r="J627">
        <v>0.33185588549210199</v>
      </c>
      <c r="K627">
        <v>0.31953773881209402</v>
      </c>
      <c r="L627">
        <v>932.130593282738</v>
      </c>
      <c r="M627">
        <v>17.7942823605567</v>
      </c>
      <c r="N627">
        <v>55.500545746347399</v>
      </c>
      <c r="O627">
        <v>51.735550579738003</v>
      </c>
      <c r="P627">
        <v>-5.8823808965733901E-2</v>
      </c>
      <c r="Q627">
        <v>0.31593175110669902</v>
      </c>
      <c r="R627">
        <v>0.97526241051190998</v>
      </c>
      <c r="S627" t="s">
        <v>6210</v>
      </c>
      <c r="T627" t="s">
        <v>11164</v>
      </c>
      <c r="U627" t="s">
        <v>11164</v>
      </c>
      <c r="V627" t="s">
        <v>11164</v>
      </c>
      <c r="W627" t="s">
        <v>11784</v>
      </c>
      <c r="X627">
        <v>3</v>
      </c>
      <c r="Y627" t="s">
        <v>17317</v>
      </c>
      <c r="Z627" t="s">
        <v>22777</v>
      </c>
      <c r="AA627">
        <v>0.67708563326135474</v>
      </c>
      <c r="AB627" t="str">
        <f>HYPERLINK("Melting_Curves/meltCurve_F5H4K0_WLS.pdf", "Melting_Curves/meltCurve_F5H4K0_WLS.pdf")</f>
        <v>Melting_Curves/meltCurve_F5H4K0_WLS.pdf</v>
      </c>
    </row>
    <row r="628" spans="1:28" x14ac:dyDescent="0.25">
      <c r="A628" t="s">
        <v>632</v>
      </c>
      <c r="B628">
        <v>0.99796759195183404</v>
      </c>
      <c r="C628">
        <v>0.83295505256776703</v>
      </c>
      <c r="D628">
        <v>0.83618443049322999</v>
      </c>
      <c r="E628">
        <v>0.75347217581051595</v>
      </c>
      <c r="F628">
        <v>0.65666725878757803</v>
      </c>
      <c r="G628">
        <v>0.33697749109934899</v>
      </c>
      <c r="H628">
        <v>0.247716393514467</v>
      </c>
      <c r="I628">
        <v>0.21199793786271201</v>
      </c>
      <c r="J628">
        <v>0.22456358168142401</v>
      </c>
      <c r="K628">
        <v>0.15542780717722901</v>
      </c>
      <c r="L628">
        <v>481.87767965851401</v>
      </c>
      <c r="M628">
        <v>9.4854680526730792</v>
      </c>
      <c r="N628">
        <v>51.535467782651303</v>
      </c>
      <c r="O628">
        <v>48.697403155901497</v>
      </c>
      <c r="P628">
        <v>-4.5647042992884301E-2</v>
      </c>
      <c r="Q628">
        <v>6.3168310605857703E-2</v>
      </c>
      <c r="R628">
        <v>0.96469396783473804</v>
      </c>
      <c r="S628" t="s">
        <v>6211</v>
      </c>
      <c r="T628" t="s">
        <v>11164</v>
      </c>
      <c r="U628" t="s">
        <v>11164</v>
      </c>
      <c r="V628" t="s">
        <v>11164</v>
      </c>
      <c r="W628" t="s">
        <v>11785</v>
      </c>
      <c r="X628">
        <v>1</v>
      </c>
      <c r="Y628" t="s">
        <v>17318</v>
      </c>
      <c r="Z628" t="s">
        <v>22778</v>
      </c>
      <c r="AA628">
        <v>0.52456371864353513</v>
      </c>
      <c r="AB628" t="str">
        <f>HYPERLINK("Melting_Curves/meltCurve_F5H4N6_GRIP1.pdf", "Melting_Curves/meltCurve_F5H4N6_GRIP1.pdf")</f>
        <v>Melting_Curves/meltCurve_F5H4N6_GRIP1.pdf</v>
      </c>
    </row>
    <row r="629" spans="1:28" x14ac:dyDescent="0.25">
      <c r="A629" t="s">
        <v>633</v>
      </c>
      <c r="B629">
        <v>0.99796759195183404</v>
      </c>
      <c r="C629">
        <v>1.09774544267749</v>
      </c>
      <c r="D629">
        <v>1.0410281091578499</v>
      </c>
      <c r="E629">
        <v>0.97111718170603301</v>
      </c>
      <c r="F629">
        <v>0.83603136336386796</v>
      </c>
      <c r="G629">
        <v>0.52070657637023099</v>
      </c>
      <c r="H629">
        <v>0.30393987117661497</v>
      </c>
      <c r="I629">
        <v>0.22542769855928699</v>
      </c>
      <c r="J629">
        <v>0.185175510805169</v>
      </c>
      <c r="K629">
        <v>0.179618127230675</v>
      </c>
      <c r="L629">
        <v>1261.21449522428</v>
      </c>
      <c r="M629">
        <v>23.748669323955902</v>
      </c>
      <c r="N629">
        <v>54.1147433721192</v>
      </c>
      <c r="O629">
        <v>52.734502887506203</v>
      </c>
      <c r="P629">
        <v>-9.2463532671176296E-2</v>
      </c>
      <c r="Q629">
        <v>0.17874353760571501</v>
      </c>
      <c r="R629">
        <v>0.99132492535038097</v>
      </c>
      <c r="S629" t="s">
        <v>6212</v>
      </c>
      <c r="T629" t="s">
        <v>11164</v>
      </c>
      <c r="U629" t="s">
        <v>11164</v>
      </c>
      <c r="V629" t="s">
        <v>11164</v>
      </c>
      <c r="W629" t="s">
        <v>11786</v>
      </c>
      <c r="X629">
        <v>4</v>
      </c>
      <c r="Y629" t="s">
        <v>17319</v>
      </c>
      <c r="Z629" t="s">
        <v>22779</v>
      </c>
      <c r="AA629">
        <v>0.62757487016546298</v>
      </c>
      <c r="AB629" t="str">
        <f>HYPERLINK("Melting_Curves/meltCurve_F5H4Q5_VPS37C.pdf", "Melting_Curves/meltCurve_F5H4Q5_VPS37C.pdf")</f>
        <v>Melting_Curves/meltCurve_F5H4Q5_VPS37C.pdf</v>
      </c>
    </row>
    <row r="630" spans="1:28" x14ac:dyDescent="0.25">
      <c r="A630" t="s">
        <v>634</v>
      </c>
      <c r="B630">
        <v>0.99796759195183404</v>
      </c>
      <c r="C630">
        <v>0.99151286881844203</v>
      </c>
      <c r="D630">
        <v>0.872862300397929</v>
      </c>
      <c r="E630">
        <v>0.86510138649924795</v>
      </c>
      <c r="F630">
        <v>0.75248721691483</v>
      </c>
      <c r="G630">
        <v>0.31317955753235499</v>
      </c>
      <c r="H630">
        <v>0.206383459680649</v>
      </c>
      <c r="I630">
        <v>0.16879660946046199</v>
      </c>
      <c r="J630">
        <v>0.13130307817634801</v>
      </c>
      <c r="K630">
        <v>9.6970985732744194E-2</v>
      </c>
      <c r="L630">
        <v>1074.5667499199899</v>
      </c>
      <c r="M630">
        <v>20.830820039669099</v>
      </c>
      <c r="N630">
        <v>52.187061767915097</v>
      </c>
      <c r="O630">
        <v>51.117079161398799</v>
      </c>
      <c r="P630">
        <v>-9.1005336590786898E-2</v>
      </c>
      <c r="Q630">
        <v>0.106746990965548</v>
      </c>
      <c r="R630">
        <v>0.98101448233653799</v>
      </c>
      <c r="S630" t="s">
        <v>6213</v>
      </c>
      <c r="T630" t="s">
        <v>11164</v>
      </c>
      <c r="U630" t="s">
        <v>11164</v>
      </c>
      <c r="V630" t="s">
        <v>11164</v>
      </c>
      <c r="W630" t="s">
        <v>11787</v>
      </c>
      <c r="X630">
        <v>5</v>
      </c>
      <c r="Y630" t="s">
        <v>17320</v>
      </c>
      <c r="Z630" t="s">
        <v>22780</v>
      </c>
      <c r="AA630">
        <v>0.5518977311615435</v>
      </c>
      <c r="AB630" t="str">
        <f>HYPERLINK("Melting_Curves/meltCurve_F5H4R0_EVI5.pdf", "Melting_Curves/meltCurve_F5H4R0_EVI5.pdf")</f>
        <v>Melting_Curves/meltCurve_F5H4R0_EVI5.pdf</v>
      </c>
    </row>
    <row r="631" spans="1:28" x14ac:dyDescent="0.25">
      <c r="A631" t="s">
        <v>635</v>
      </c>
      <c r="B631">
        <v>0.99796759195183404</v>
      </c>
      <c r="C631">
        <v>1.0735334099595299</v>
      </c>
      <c r="D631">
        <v>1.0632865084523999</v>
      </c>
      <c r="E631">
        <v>0.88712172262018396</v>
      </c>
      <c r="F631">
        <v>0.338281355825581</v>
      </c>
      <c r="G631">
        <v>0.25390267997018701</v>
      </c>
      <c r="H631">
        <v>0.19583976571933201</v>
      </c>
      <c r="I631">
        <v>0.211777786985507</v>
      </c>
      <c r="J631">
        <v>0.20288924679679701</v>
      </c>
      <c r="K631">
        <v>0.15785989128295499</v>
      </c>
      <c r="L631">
        <v>2175.2083849894998</v>
      </c>
      <c r="M631">
        <v>44.869218927330301</v>
      </c>
      <c r="N631">
        <v>49.043101118435899</v>
      </c>
      <c r="O631">
        <v>48.382854841436703</v>
      </c>
      <c r="P631">
        <v>-0.18510154626261499</v>
      </c>
      <c r="Q631">
        <v>0.201614871168078</v>
      </c>
      <c r="R631">
        <v>0.99085646693787199</v>
      </c>
      <c r="S631" t="s">
        <v>6214</v>
      </c>
      <c r="T631" t="s">
        <v>11164</v>
      </c>
      <c r="U631" t="s">
        <v>11164</v>
      </c>
      <c r="V631" t="s">
        <v>11164</v>
      </c>
      <c r="W631" t="s">
        <v>11788</v>
      </c>
      <c r="X631">
        <v>4</v>
      </c>
      <c r="Y631" t="s">
        <v>17321</v>
      </c>
      <c r="Z631" t="s">
        <v>22781</v>
      </c>
      <c r="AA631">
        <v>0.50922252973379789</v>
      </c>
      <c r="AB631" t="str">
        <f>HYPERLINK("Melting_Curves/meltCurve_F5H4V9_PDCD2.pdf", "Melting_Curves/meltCurve_F5H4V9_PDCD2.pdf")</f>
        <v>Melting_Curves/meltCurve_F5H4V9_PDCD2.pdf</v>
      </c>
    </row>
    <row r="632" spans="1:28" x14ac:dyDescent="0.25">
      <c r="A632" t="s">
        <v>636</v>
      </c>
      <c r="B632">
        <v>0.99796759195183404</v>
      </c>
      <c r="C632">
        <v>0.97928329155979499</v>
      </c>
      <c r="D632">
        <v>0.997945616042473</v>
      </c>
      <c r="E632">
        <v>0.91036885109156596</v>
      </c>
      <c r="F632">
        <v>0.76227485211906698</v>
      </c>
      <c r="G632">
        <v>0.61750967825998204</v>
      </c>
      <c r="H632">
        <v>0.49441528225847597</v>
      </c>
      <c r="I632">
        <v>0.231885285788547</v>
      </c>
      <c r="J632">
        <v>0.12714495964779299</v>
      </c>
      <c r="K632">
        <v>4.4438507312878503E-2</v>
      </c>
      <c r="L632">
        <v>728.66872377795596</v>
      </c>
      <c r="M632">
        <v>13.0594597028465</v>
      </c>
      <c r="N632">
        <v>55.796238330381499</v>
      </c>
      <c r="O632">
        <v>54.536570751644597</v>
      </c>
      <c r="P632">
        <v>-5.9875997397363101E-2</v>
      </c>
      <c r="Q632">
        <v>0</v>
      </c>
      <c r="R632">
        <v>0.98832233727603103</v>
      </c>
      <c r="S632" t="s">
        <v>6215</v>
      </c>
      <c r="T632" t="s">
        <v>11164</v>
      </c>
      <c r="U632" t="s">
        <v>11164</v>
      </c>
      <c r="V632" t="s">
        <v>11164</v>
      </c>
      <c r="W632" t="s">
        <v>11789</v>
      </c>
      <c r="X632">
        <v>7</v>
      </c>
      <c r="Y632" t="s">
        <v>17322</v>
      </c>
      <c r="Z632" t="s">
        <v>22782</v>
      </c>
      <c r="AA632">
        <v>0.63811581710314291</v>
      </c>
      <c r="AB632" t="str">
        <f>HYPERLINK("Melting_Curves/meltCurve_F5H4Z3_PSMF1.pdf", "Melting_Curves/meltCurve_F5H4Z3_PSMF1.pdf")</f>
        <v>Melting_Curves/meltCurve_F5H4Z3_PSMF1.pdf</v>
      </c>
    </row>
    <row r="633" spans="1:28" x14ac:dyDescent="0.25">
      <c r="A633" t="s">
        <v>637</v>
      </c>
      <c r="B633">
        <v>0.99796759195183404</v>
      </c>
      <c r="C633">
        <v>0.97098392065203498</v>
      </c>
      <c r="D633">
        <v>0.85282290208815503</v>
      </c>
      <c r="E633">
        <v>0.84960713117078202</v>
      </c>
      <c r="F633">
        <v>0.67618515362853004</v>
      </c>
      <c r="G633">
        <v>0.30695127781886899</v>
      </c>
      <c r="H633">
        <v>0.25204132954598202</v>
      </c>
      <c r="I633">
        <v>0.23469086986801099</v>
      </c>
      <c r="J633">
        <v>0.19052320769741499</v>
      </c>
      <c r="K633">
        <v>0.100547625699238</v>
      </c>
      <c r="L633">
        <v>772.78636627230605</v>
      </c>
      <c r="M633">
        <v>15.1768361348159</v>
      </c>
      <c r="N633">
        <v>51.868321686148597</v>
      </c>
      <c r="O633">
        <v>50.059323168994197</v>
      </c>
      <c r="P633">
        <v>-6.6607764915566206E-2</v>
      </c>
      <c r="Q633">
        <v>0.121287760173115</v>
      </c>
      <c r="R633">
        <v>0.97662128183310803</v>
      </c>
      <c r="S633" t="s">
        <v>6216</v>
      </c>
      <c r="T633" t="s">
        <v>11164</v>
      </c>
      <c r="U633" t="s">
        <v>11164</v>
      </c>
      <c r="V633" t="s">
        <v>11164</v>
      </c>
      <c r="W633" t="s">
        <v>11790</v>
      </c>
      <c r="X633">
        <v>3</v>
      </c>
      <c r="Y633" t="s">
        <v>17323</v>
      </c>
      <c r="Z633" t="s">
        <v>22783</v>
      </c>
      <c r="AA633">
        <v>0.54645247781180895</v>
      </c>
      <c r="AB633" t="str">
        <f>HYPERLINK("Melting_Curves/meltCurve_F5H527_SSH2.pdf", "Melting_Curves/meltCurve_F5H527_SSH2.pdf")</f>
        <v>Melting_Curves/meltCurve_F5H527_SSH2.pdf</v>
      </c>
    </row>
    <row r="634" spans="1:28" x14ac:dyDescent="0.25">
      <c r="A634" t="s">
        <v>638</v>
      </c>
      <c r="B634">
        <v>0.99796759195183404</v>
      </c>
      <c r="C634">
        <v>0.99099212345193299</v>
      </c>
      <c r="D634">
        <v>0.90997533064272096</v>
      </c>
      <c r="E634">
        <v>0.863903055077195</v>
      </c>
      <c r="F634">
        <v>0.47934287799526898</v>
      </c>
      <c r="G634">
        <v>0.21207176095611499</v>
      </c>
      <c r="H634">
        <v>0.19588457055050201</v>
      </c>
      <c r="I634">
        <v>0.201188254101801</v>
      </c>
      <c r="J634">
        <v>0.147486387909952</v>
      </c>
      <c r="K634">
        <v>0.12940353015320699</v>
      </c>
      <c r="L634">
        <v>1304.08964286984</v>
      </c>
      <c r="M634">
        <v>26.471738803889899</v>
      </c>
      <c r="N634">
        <v>49.972132148780403</v>
      </c>
      <c r="O634">
        <v>48.984912677517698</v>
      </c>
      <c r="P634">
        <v>-0.113960233256795</v>
      </c>
      <c r="Q634">
        <v>0.15649333387265901</v>
      </c>
      <c r="R634">
        <v>0.99305078037112904</v>
      </c>
      <c r="S634" t="s">
        <v>6217</v>
      </c>
      <c r="T634" t="s">
        <v>11164</v>
      </c>
      <c r="U634" t="s">
        <v>11164</v>
      </c>
      <c r="V634" t="s">
        <v>11164</v>
      </c>
      <c r="W634" t="s">
        <v>11791</v>
      </c>
      <c r="X634">
        <v>15</v>
      </c>
      <c r="Y634" t="s">
        <v>17324</v>
      </c>
      <c r="Z634" t="s">
        <v>22784</v>
      </c>
      <c r="AA634">
        <v>0.507847247782928</v>
      </c>
      <c r="AB634" t="str">
        <f>HYPERLINK("Melting_Curves/meltCurve_F5H564_EIF4G3.pdf", "Melting_Curves/meltCurve_F5H564_EIF4G3.pdf")</f>
        <v>Melting_Curves/meltCurve_F5H564_EIF4G3.pdf</v>
      </c>
    </row>
    <row r="635" spans="1:28" x14ac:dyDescent="0.25">
      <c r="A635" t="s">
        <v>639</v>
      </c>
      <c r="B635">
        <v>0.99796759195183404</v>
      </c>
      <c r="C635">
        <v>0.91412797503586496</v>
      </c>
      <c r="D635">
        <v>0.63910173840129103</v>
      </c>
      <c r="E635">
        <v>0.80983035980559404</v>
      </c>
      <c r="F635">
        <v>0.907358793194599</v>
      </c>
      <c r="G635">
        <v>0.62265227119775302</v>
      </c>
      <c r="H635">
        <v>0.74486691010480699</v>
      </c>
      <c r="I635">
        <v>0.92927312192307598</v>
      </c>
      <c r="J635">
        <v>0.506436472923672</v>
      </c>
      <c r="K635">
        <v>0.35400080592386501</v>
      </c>
      <c r="L635">
        <v>203.77724800186101</v>
      </c>
      <c r="M635">
        <v>2.8348682356370798</v>
      </c>
      <c r="O635">
        <v>51.585012102738702</v>
      </c>
      <c r="P635">
        <v>-1.4237392650418601E-2</v>
      </c>
      <c r="Q635">
        <v>0</v>
      </c>
      <c r="R635">
        <v>0.41630793122297</v>
      </c>
      <c r="S635" t="s">
        <v>6218</v>
      </c>
      <c r="T635" t="s">
        <v>11164</v>
      </c>
      <c r="U635" t="s">
        <v>11164</v>
      </c>
      <c r="V635" t="s">
        <v>11164</v>
      </c>
      <c r="W635" t="s">
        <v>11792</v>
      </c>
      <c r="X635">
        <v>3</v>
      </c>
      <c r="Y635" t="s">
        <v>17325</v>
      </c>
      <c r="Z635" t="s">
        <v>22785</v>
      </c>
      <c r="AA635">
        <v>0.74666146712576853</v>
      </c>
      <c r="AB635" t="str">
        <f>HYPERLINK("Melting_Curves/meltCurve_F5H569_ATP6V0A1.pdf", "Melting_Curves/meltCurve_F5H569_ATP6V0A1.pdf")</f>
        <v>Melting_Curves/meltCurve_F5H569_ATP6V0A1.pdf</v>
      </c>
    </row>
    <row r="636" spans="1:28" x14ac:dyDescent="0.25">
      <c r="A636" t="s">
        <v>640</v>
      </c>
      <c r="B636">
        <v>0.99796759195183404</v>
      </c>
      <c r="C636">
        <v>1.0093593732364801</v>
      </c>
      <c r="D636">
        <v>0.95720769350572199</v>
      </c>
      <c r="E636">
        <v>0.92754505278649602</v>
      </c>
      <c r="F636">
        <v>0.83044305925375295</v>
      </c>
      <c r="G636">
        <v>0.78876258262653998</v>
      </c>
      <c r="H636">
        <v>0.69208971937823005</v>
      </c>
      <c r="I636">
        <v>0.65884351790403095</v>
      </c>
      <c r="J636">
        <v>0.75057016661488896</v>
      </c>
      <c r="K636">
        <v>0.78900769059346698</v>
      </c>
      <c r="L636">
        <v>969.12741040396702</v>
      </c>
      <c r="M636">
        <v>19.808966555168801</v>
      </c>
      <c r="O636">
        <v>48.433268239782201</v>
      </c>
      <c r="P636">
        <v>-2.8281497846617001E-2</v>
      </c>
      <c r="Q636">
        <v>0.72341434698041895</v>
      </c>
      <c r="R636">
        <v>0.90767397903859903</v>
      </c>
      <c r="S636" t="s">
        <v>6219</v>
      </c>
      <c r="T636" t="s">
        <v>11164</v>
      </c>
      <c r="U636" t="s">
        <v>11164</v>
      </c>
      <c r="V636" t="s">
        <v>11164</v>
      </c>
      <c r="W636" t="s">
        <v>11793</v>
      </c>
      <c r="X636">
        <v>5</v>
      </c>
      <c r="Y636" t="s">
        <v>17326</v>
      </c>
      <c r="Z636" t="s">
        <v>22786</v>
      </c>
      <c r="AA636">
        <v>0.83705277620982577</v>
      </c>
      <c r="AB636" t="str">
        <f>HYPERLINK("Melting_Curves/meltCurve_F5H577_BRK1.pdf", "Melting_Curves/meltCurve_F5H577_BRK1.pdf")</f>
        <v>Melting_Curves/meltCurve_F5H577_BRK1.pdf</v>
      </c>
    </row>
    <row r="637" spans="1:28" x14ac:dyDescent="0.25">
      <c r="A637" t="s">
        <v>641</v>
      </c>
      <c r="B637">
        <v>0.99796759195183404</v>
      </c>
      <c r="C637">
        <v>1.03412314429866</v>
      </c>
      <c r="D637">
        <v>0.98279916946785795</v>
      </c>
      <c r="E637">
        <v>0.97581089031622503</v>
      </c>
      <c r="F637">
        <v>0.93743873796571697</v>
      </c>
      <c r="G637">
        <v>1.00875989236176</v>
      </c>
      <c r="H637">
        <v>0.49161276913329699</v>
      </c>
      <c r="I637">
        <v>0.36140076934683302</v>
      </c>
      <c r="J637">
        <v>0.17977043495119599</v>
      </c>
      <c r="K637">
        <v>9.6266706091131402E-2</v>
      </c>
      <c r="L637">
        <v>1733.72257940803</v>
      </c>
      <c r="M637">
        <v>30.168470656147001</v>
      </c>
      <c r="N637">
        <v>58.096242328337297</v>
      </c>
      <c r="O637">
        <v>57.217298563791402</v>
      </c>
      <c r="P637">
        <v>-0.113470536668452</v>
      </c>
      <c r="Q637">
        <v>0.13917599917894599</v>
      </c>
      <c r="R637">
        <v>0.97290390537679905</v>
      </c>
      <c r="S637" t="s">
        <v>6220</v>
      </c>
      <c r="T637" t="s">
        <v>11164</v>
      </c>
      <c r="U637" t="s">
        <v>11164</v>
      </c>
      <c r="V637" t="s">
        <v>11164</v>
      </c>
      <c r="W637" t="s">
        <v>11794</v>
      </c>
      <c r="X637">
        <v>35</v>
      </c>
      <c r="Y637" t="s">
        <v>17327</v>
      </c>
      <c r="Z637" t="s">
        <v>22787</v>
      </c>
      <c r="AA637">
        <v>0.73144440624764462</v>
      </c>
      <c r="AB637" t="str">
        <f>HYPERLINK("Melting_Curves/meltCurve_F5H5D3_TUBA1C.pdf", "Melting_Curves/meltCurve_F5H5D3_TUBA1C.pdf")</f>
        <v>Melting_Curves/meltCurve_F5H5D3_TUBA1C.pdf</v>
      </c>
    </row>
    <row r="638" spans="1:28" x14ac:dyDescent="0.25">
      <c r="A638" t="s">
        <v>642</v>
      </c>
      <c r="B638">
        <v>0.99796759195183404</v>
      </c>
      <c r="C638">
        <v>1.0928746500302899</v>
      </c>
      <c r="D638">
        <v>1.0719422281764399</v>
      </c>
      <c r="E638">
        <v>0.93697778651900498</v>
      </c>
      <c r="F638">
        <v>0.95393224986177905</v>
      </c>
      <c r="G638">
        <v>0.728720165821237</v>
      </c>
      <c r="H638">
        <v>0.38928578388051899</v>
      </c>
      <c r="I638">
        <v>0.318647519114996</v>
      </c>
      <c r="J638">
        <v>0.28210917314746897</v>
      </c>
      <c r="K638">
        <v>0.23610028817662401</v>
      </c>
      <c r="L638">
        <v>1630.43721350242</v>
      </c>
      <c r="M638">
        <v>29.802401615333</v>
      </c>
      <c r="N638">
        <v>56.088031592972101</v>
      </c>
      <c r="O638">
        <v>54.463702373709999</v>
      </c>
      <c r="P638">
        <v>-0.10125917461200901</v>
      </c>
      <c r="Q638">
        <v>0.25980295332015602</v>
      </c>
      <c r="R638">
        <v>0.98304630197099097</v>
      </c>
      <c r="S638" t="s">
        <v>6221</v>
      </c>
      <c r="T638" t="s">
        <v>11164</v>
      </c>
      <c r="U638" t="s">
        <v>11164</v>
      </c>
      <c r="V638" t="s">
        <v>11164</v>
      </c>
      <c r="W638" t="s">
        <v>11795</v>
      </c>
      <c r="X638">
        <v>1</v>
      </c>
      <c r="Y638" t="s">
        <v>17328</v>
      </c>
      <c r="Z638" t="s">
        <v>22788</v>
      </c>
      <c r="AA638">
        <v>0.7014900519250058</v>
      </c>
      <c r="AB638" t="str">
        <f>HYPERLINK("Melting_Curves/meltCurve_F5H5K6_NOC4L.pdf", "Melting_Curves/meltCurve_F5H5K6_NOC4L.pdf")</f>
        <v>Melting_Curves/meltCurve_F5H5K6_NOC4L.pdf</v>
      </c>
    </row>
    <row r="639" spans="1:28" x14ac:dyDescent="0.25">
      <c r="A639" t="s">
        <v>643</v>
      </c>
      <c r="B639">
        <v>0.99796759195183404</v>
      </c>
      <c r="C639">
        <v>1.0324576995975301</v>
      </c>
      <c r="D639">
        <v>1.0377287607571299</v>
      </c>
      <c r="E639">
        <v>0.94274535395402104</v>
      </c>
      <c r="F639">
        <v>0.88055943490862099</v>
      </c>
      <c r="G639">
        <v>0.72913147764173902</v>
      </c>
      <c r="H639">
        <v>0.56058468028104702</v>
      </c>
      <c r="I639">
        <v>0.371213807796201</v>
      </c>
      <c r="J639">
        <v>0.24747047171288</v>
      </c>
      <c r="K639">
        <v>0.21353584378335</v>
      </c>
      <c r="L639">
        <v>769.02688309448604</v>
      </c>
      <c r="M639">
        <v>13.3824133809649</v>
      </c>
      <c r="N639">
        <v>58.251072177554697</v>
      </c>
      <c r="O639">
        <v>56.227798110970497</v>
      </c>
      <c r="P639">
        <v>-5.45968339928882E-2</v>
      </c>
      <c r="Q639">
        <v>8.25644553675208E-2</v>
      </c>
      <c r="R639">
        <v>0.99520316232453199</v>
      </c>
      <c r="S639" t="s">
        <v>6222</v>
      </c>
      <c r="T639" t="s">
        <v>11164</v>
      </c>
      <c r="U639" t="s">
        <v>11164</v>
      </c>
      <c r="V639" t="s">
        <v>11164</v>
      </c>
      <c r="W639" t="s">
        <v>11796</v>
      </c>
      <c r="X639">
        <v>7</v>
      </c>
      <c r="Y639" t="s">
        <v>17329</v>
      </c>
      <c r="Z639" t="s">
        <v>22789</v>
      </c>
      <c r="AA639">
        <v>0.71260880379227742</v>
      </c>
      <c r="AB639" t="str">
        <f>HYPERLINK("Melting_Curves/meltCurve_F5H5M9_TNIK.pdf", "Melting_Curves/meltCurve_F5H5M9_TNIK.pdf")</f>
        <v>Melting_Curves/meltCurve_F5H5M9_TNIK.pdf</v>
      </c>
    </row>
    <row r="640" spans="1:28" x14ac:dyDescent="0.25">
      <c r="A640" t="s">
        <v>644</v>
      </c>
      <c r="B640">
        <v>0.99796759195183404</v>
      </c>
      <c r="C640">
        <v>1.0697226275909599</v>
      </c>
      <c r="D640">
        <v>1.04088066827947</v>
      </c>
      <c r="E640">
        <v>0.98031244910792503</v>
      </c>
      <c r="F640">
        <v>0.90655904913379604</v>
      </c>
      <c r="G640">
        <v>1.3790239008490299</v>
      </c>
      <c r="H640">
        <v>0.88977875843974497</v>
      </c>
      <c r="I640">
        <v>0.36065503376727698</v>
      </c>
      <c r="J640">
        <v>0.19607339227996801</v>
      </c>
      <c r="K640">
        <v>0.16099527492795099</v>
      </c>
      <c r="L640">
        <v>3272.6038207340398</v>
      </c>
      <c r="M640">
        <v>54.894637417591099</v>
      </c>
      <c r="N640">
        <v>60.071079355601299</v>
      </c>
      <c r="O640">
        <v>59.537134059374402</v>
      </c>
      <c r="P640">
        <v>-0.19129993805741699</v>
      </c>
      <c r="Q640">
        <v>0.17008699846592501</v>
      </c>
      <c r="R640">
        <v>0.89387785576688195</v>
      </c>
      <c r="S640" t="s">
        <v>6223</v>
      </c>
      <c r="T640" t="s">
        <v>11164</v>
      </c>
      <c r="U640" t="s">
        <v>11164</v>
      </c>
      <c r="V640" t="s">
        <v>11164</v>
      </c>
      <c r="W640" t="s">
        <v>11797</v>
      </c>
      <c r="X640">
        <v>2</v>
      </c>
      <c r="Y640" t="s">
        <v>17330</v>
      </c>
      <c r="Z640" t="s">
        <v>22790</v>
      </c>
      <c r="AA640">
        <v>0.79744887789935059</v>
      </c>
      <c r="AB640" t="str">
        <f>HYPERLINK("Melting_Curves/meltCurve_F5H5N1_NDUFS7.pdf", "Melting_Curves/meltCurve_F5H5N1_NDUFS7.pdf")</f>
        <v>Melting_Curves/meltCurve_F5H5N1_NDUFS7.pdf</v>
      </c>
    </row>
    <row r="641" spans="1:28" x14ac:dyDescent="0.25">
      <c r="A641" t="s">
        <v>645</v>
      </c>
      <c r="B641">
        <v>0.99796759195183404</v>
      </c>
      <c r="C641">
        <v>1.0335040311269199</v>
      </c>
      <c r="D641">
        <v>0.994286604337282</v>
      </c>
      <c r="E641">
        <v>0.94701038543291005</v>
      </c>
      <c r="F641">
        <v>0.819214178235952</v>
      </c>
      <c r="G641">
        <v>0.83872459467057803</v>
      </c>
      <c r="H641">
        <v>0.42995596792462298</v>
      </c>
      <c r="I641">
        <v>0.24247475570872801</v>
      </c>
      <c r="J641">
        <v>0.20186496713238899</v>
      </c>
      <c r="K641">
        <v>0.12574266880587001</v>
      </c>
      <c r="L641">
        <v>1061.59345472317</v>
      </c>
      <c r="M641">
        <v>18.805171701267302</v>
      </c>
      <c r="N641">
        <v>57.010950461028699</v>
      </c>
      <c r="O641">
        <v>55.825445094932</v>
      </c>
      <c r="P641">
        <v>-7.7130312040104704E-2</v>
      </c>
      <c r="Q641">
        <v>8.4154964121079701E-2</v>
      </c>
      <c r="R641">
        <v>0.97932151481706298</v>
      </c>
      <c r="S641" t="s">
        <v>6224</v>
      </c>
      <c r="T641" t="s">
        <v>11164</v>
      </c>
      <c r="U641" t="s">
        <v>11164</v>
      </c>
      <c r="V641" t="s">
        <v>11164</v>
      </c>
      <c r="W641" t="s">
        <v>11798</v>
      </c>
      <c r="X641">
        <v>4</v>
      </c>
      <c r="Y641" t="s">
        <v>17331</v>
      </c>
      <c r="Z641" t="s">
        <v>22791</v>
      </c>
      <c r="AA641">
        <v>0.68715087820805154</v>
      </c>
      <c r="AB641" t="str">
        <f>HYPERLINK("Melting_Curves/meltCurve_F5H5P2_BCKDHA.pdf", "Melting_Curves/meltCurve_F5H5P2_BCKDHA.pdf")</f>
        <v>Melting_Curves/meltCurve_F5H5P2_BCKDHA.pdf</v>
      </c>
    </row>
    <row r="642" spans="1:28" x14ac:dyDescent="0.25">
      <c r="A642" t="s">
        <v>646</v>
      </c>
      <c r="B642">
        <v>0.99796759195183404</v>
      </c>
      <c r="C642">
        <v>1.05762708129687</v>
      </c>
      <c r="D642">
        <v>1.0706200829507999</v>
      </c>
      <c r="E642">
        <v>1.0771435902324</v>
      </c>
      <c r="F642">
        <v>0.86715158747230503</v>
      </c>
      <c r="G642">
        <v>0.29468558067172601</v>
      </c>
      <c r="H642">
        <v>0.22097333155097901</v>
      </c>
      <c r="I642">
        <v>0.140356150917092</v>
      </c>
      <c r="J642">
        <v>0.13914206718675701</v>
      </c>
      <c r="K642">
        <v>0.103666552829699</v>
      </c>
      <c r="L642">
        <v>2397.89448813032</v>
      </c>
      <c r="M642">
        <v>46.069238423961004</v>
      </c>
      <c r="N642">
        <v>52.443545570731601</v>
      </c>
      <c r="O642">
        <v>51.951992426615099</v>
      </c>
      <c r="P642">
        <v>-0.18927920338538301</v>
      </c>
      <c r="Q642">
        <v>0.146204876274899</v>
      </c>
      <c r="R642">
        <v>0.98838213056939295</v>
      </c>
      <c r="S642" t="s">
        <v>6225</v>
      </c>
      <c r="T642" t="s">
        <v>11164</v>
      </c>
      <c r="U642" t="s">
        <v>11164</v>
      </c>
      <c r="V642" t="s">
        <v>11164</v>
      </c>
      <c r="W642" t="s">
        <v>11799</v>
      </c>
      <c r="X642">
        <v>3</v>
      </c>
      <c r="Y642" t="s">
        <v>17332</v>
      </c>
      <c r="Z642" t="s">
        <v>22792</v>
      </c>
      <c r="AA642">
        <v>0.57682906555414593</v>
      </c>
      <c r="AB642" t="str">
        <f>HYPERLINK("Melting_Curves/meltCurve_F5H5R8_NAT1.pdf", "Melting_Curves/meltCurve_F5H5R8_NAT1.pdf")</f>
        <v>Melting_Curves/meltCurve_F5H5R8_NAT1.pdf</v>
      </c>
    </row>
    <row r="643" spans="1:28" x14ac:dyDescent="0.25">
      <c r="A643" t="s">
        <v>647</v>
      </c>
      <c r="B643">
        <v>0.99796759195183404</v>
      </c>
      <c r="C643">
        <v>1.04235559665973</v>
      </c>
      <c r="D643">
        <v>0.92135761158556495</v>
      </c>
      <c r="E643">
        <v>0.97005734849572001</v>
      </c>
      <c r="F643">
        <v>0.792882750099279</v>
      </c>
      <c r="G643">
        <v>0.57305984062208604</v>
      </c>
      <c r="H643">
        <v>0.250199346550949</v>
      </c>
      <c r="I643">
        <v>0.19495830225449001</v>
      </c>
      <c r="J643">
        <v>0.154719951049791</v>
      </c>
      <c r="K643">
        <v>0.33019192200743802</v>
      </c>
      <c r="L643">
        <v>1308.4605988942401</v>
      </c>
      <c r="M643">
        <v>24.7697263926128</v>
      </c>
      <c r="N643">
        <v>53.986539990918899</v>
      </c>
      <c r="O643">
        <v>52.484292868521301</v>
      </c>
      <c r="P643">
        <v>-9.3616472527742703E-2</v>
      </c>
      <c r="Q643">
        <v>0.20655953326750101</v>
      </c>
      <c r="R643">
        <v>0.97072921890450103</v>
      </c>
      <c r="S643" t="s">
        <v>6226</v>
      </c>
      <c r="T643" t="s">
        <v>11164</v>
      </c>
      <c r="U643" t="s">
        <v>11164</v>
      </c>
      <c r="V643" t="s">
        <v>11164</v>
      </c>
      <c r="W643" t="s">
        <v>11800</v>
      </c>
      <c r="X643">
        <v>5</v>
      </c>
      <c r="Y643" t="s">
        <v>17333</v>
      </c>
      <c r="Z643" t="s">
        <v>22793</v>
      </c>
      <c r="AA643">
        <v>0.63223126569535004</v>
      </c>
      <c r="AB643" t="str">
        <f>HYPERLINK("Melting_Curves/meltCurve_F5H620_OXNAD1.pdf", "Melting_Curves/meltCurve_F5H620_OXNAD1.pdf")</f>
        <v>Melting_Curves/meltCurve_F5H620_OXNAD1.pdf</v>
      </c>
    </row>
    <row r="644" spans="1:28" x14ac:dyDescent="0.25">
      <c r="A644" t="s">
        <v>648</v>
      </c>
      <c r="B644">
        <v>0.99796759195183404</v>
      </c>
      <c r="C644">
        <v>1.0184704528230299</v>
      </c>
      <c r="D644">
        <v>1.03941188525779</v>
      </c>
      <c r="E644">
        <v>0.95224674321890002</v>
      </c>
      <c r="F644">
        <v>0.815689456092489</v>
      </c>
      <c r="G644">
        <v>0.22919788494109</v>
      </c>
      <c r="H644">
        <v>0.232655602240085</v>
      </c>
      <c r="I644">
        <v>0.19607627766823599</v>
      </c>
      <c r="J644">
        <v>0.217357072964521</v>
      </c>
      <c r="K644">
        <v>0.14649586454779701</v>
      </c>
      <c r="L644">
        <v>3178.98292135472</v>
      </c>
      <c r="M644">
        <v>62.125345374752598</v>
      </c>
      <c r="N644">
        <v>51.586061641337501</v>
      </c>
      <c r="O644">
        <v>51.117525913265197</v>
      </c>
      <c r="P644">
        <v>-0.244016462342108</v>
      </c>
      <c r="Q644">
        <v>0.196880869486427</v>
      </c>
      <c r="R644">
        <v>0.99446629654053798</v>
      </c>
      <c r="S644" t="s">
        <v>6227</v>
      </c>
      <c r="T644" t="s">
        <v>11164</v>
      </c>
      <c r="U644" t="s">
        <v>11164</v>
      </c>
      <c r="V644" t="s">
        <v>11164</v>
      </c>
      <c r="W644" t="s">
        <v>11801</v>
      </c>
      <c r="X644">
        <v>2</v>
      </c>
      <c r="Y644" t="s">
        <v>17334</v>
      </c>
      <c r="Z644" t="s">
        <v>22794</v>
      </c>
      <c r="AA644">
        <v>0.57740516613478754</v>
      </c>
      <c r="AB644" t="str">
        <f>HYPERLINK("Melting_Curves/meltCurve_F5H648_TAP1.pdf", "Melting_Curves/meltCurve_F5H648_TAP1.pdf")</f>
        <v>Melting_Curves/meltCurve_F5H648_TAP1.pdf</v>
      </c>
    </row>
    <row r="645" spans="1:28" x14ac:dyDescent="0.25">
      <c r="A645" t="s">
        <v>649</v>
      </c>
      <c r="B645">
        <v>0.99796759195183404</v>
      </c>
      <c r="C645">
        <v>0.91930936045648004</v>
      </c>
      <c r="D645">
        <v>0.89533435700459196</v>
      </c>
      <c r="E645">
        <v>0.88481549653321001</v>
      </c>
      <c r="F645">
        <v>0.60174220515221599</v>
      </c>
      <c r="G645">
        <v>0.664523726358759</v>
      </c>
      <c r="H645">
        <v>0.37386786162820301</v>
      </c>
      <c r="I645">
        <v>0.17919006861504899</v>
      </c>
      <c r="J645">
        <v>8.6587711661979899E-2</v>
      </c>
      <c r="K645">
        <v>3.6982717447389797E-2</v>
      </c>
      <c r="L645">
        <v>630.75028978920898</v>
      </c>
      <c r="M645">
        <v>11.6405638722663</v>
      </c>
      <c r="N645">
        <v>54.185539034129597</v>
      </c>
      <c r="O645">
        <v>52.660493832862599</v>
      </c>
      <c r="P645">
        <v>-5.5277304293048397E-2</v>
      </c>
      <c r="Q645">
        <v>0</v>
      </c>
      <c r="R645">
        <v>0.95888199947586705</v>
      </c>
      <c r="S645" t="s">
        <v>6228</v>
      </c>
      <c r="T645" t="s">
        <v>11164</v>
      </c>
      <c r="U645" t="s">
        <v>11164</v>
      </c>
      <c r="V645" t="s">
        <v>11164</v>
      </c>
      <c r="W645" t="s">
        <v>11802</v>
      </c>
      <c r="X645">
        <v>1</v>
      </c>
      <c r="Y645" t="s">
        <v>17335</v>
      </c>
      <c r="Z645" t="s">
        <v>22795</v>
      </c>
      <c r="AA645">
        <v>0.59014139197500415</v>
      </c>
      <c r="AB645" t="str">
        <f>HYPERLINK("Melting_Curves/meltCurve_F5H685_MED23.pdf", "Melting_Curves/meltCurve_F5H685_MED23.pdf")</f>
        <v>Melting_Curves/meltCurve_F5H685_MED23.pdf</v>
      </c>
    </row>
    <row r="646" spans="1:28" x14ac:dyDescent="0.25">
      <c r="A646" t="s">
        <v>650</v>
      </c>
      <c r="B646">
        <v>0.99796759195183404</v>
      </c>
      <c r="C646">
        <v>0.99654282759892199</v>
      </c>
      <c r="D646">
        <v>0.954003683650815</v>
      </c>
      <c r="E646">
        <v>0.89251098751129199</v>
      </c>
      <c r="F646">
        <v>0.678426056982533</v>
      </c>
      <c r="G646">
        <v>0.44249999396097101</v>
      </c>
      <c r="H646">
        <v>0.26901651321596598</v>
      </c>
      <c r="I646">
        <v>0.23781295157992399</v>
      </c>
      <c r="J646">
        <v>0.20358262392350199</v>
      </c>
      <c r="K646">
        <v>0.163583028588104</v>
      </c>
      <c r="L646">
        <v>888.54025775862999</v>
      </c>
      <c r="M646">
        <v>17.231101905867199</v>
      </c>
      <c r="N646">
        <v>52.786426166710299</v>
      </c>
      <c r="O646">
        <v>50.886577285594399</v>
      </c>
      <c r="P646">
        <v>-7.0750718527258893E-2</v>
      </c>
      <c r="Q646">
        <v>0.164290016942855</v>
      </c>
      <c r="R646">
        <v>0.99861406945745801</v>
      </c>
      <c r="S646" t="s">
        <v>6229</v>
      </c>
      <c r="T646" t="s">
        <v>11164</v>
      </c>
      <c r="U646" t="s">
        <v>11164</v>
      </c>
      <c r="V646" t="s">
        <v>11164</v>
      </c>
      <c r="W646" t="s">
        <v>11803</v>
      </c>
      <c r="X646">
        <v>10</v>
      </c>
      <c r="Y646" t="s">
        <v>17336</v>
      </c>
      <c r="Z646" t="s">
        <v>22796</v>
      </c>
      <c r="AA646">
        <v>0.58368874708910945</v>
      </c>
      <c r="AB646" t="str">
        <f>HYPERLINK("Melting_Curves/meltCurve_F5H698_LARS.pdf", "Melting_Curves/meltCurve_F5H698_LARS.pdf")</f>
        <v>Melting_Curves/meltCurve_F5H698_LARS.pdf</v>
      </c>
    </row>
    <row r="647" spans="1:28" x14ac:dyDescent="0.25">
      <c r="A647" t="s">
        <v>651</v>
      </c>
      <c r="B647">
        <v>0.99796759195183404</v>
      </c>
      <c r="C647">
        <v>0.91676609419738697</v>
      </c>
      <c r="D647">
        <v>0.82103421584381397</v>
      </c>
      <c r="E647">
        <v>0.75153377658902398</v>
      </c>
      <c r="F647">
        <v>0.58876255920517395</v>
      </c>
      <c r="G647">
        <v>0.46413323374839</v>
      </c>
      <c r="H647">
        <v>0.19432642639433101</v>
      </c>
      <c r="I647">
        <v>0.15293016458123301</v>
      </c>
      <c r="J647">
        <v>0.108316313559203</v>
      </c>
      <c r="K647">
        <v>9.2068754573896502E-2</v>
      </c>
      <c r="L647">
        <v>519.55238800133498</v>
      </c>
      <c r="M647">
        <v>10.0883781742283</v>
      </c>
      <c r="N647">
        <v>51.500090292682998</v>
      </c>
      <c r="O647">
        <v>49.599345634455901</v>
      </c>
      <c r="P647">
        <v>-5.0873265017994801E-2</v>
      </c>
      <c r="Q647">
        <v>0</v>
      </c>
      <c r="R647">
        <v>0.98626596147146695</v>
      </c>
      <c r="S647" t="s">
        <v>6230</v>
      </c>
      <c r="T647" t="s">
        <v>11164</v>
      </c>
      <c r="U647" t="s">
        <v>11164</v>
      </c>
      <c r="V647" t="s">
        <v>11164</v>
      </c>
      <c r="W647" t="s">
        <v>11804</v>
      </c>
      <c r="X647">
        <v>4</v>
      </c>
      <c r="Y647" t="s">
        <v>17337</v>
      </c>
      <c r="Z647" t="s">
        <v>22797</v>
      </c>
      <c r="AA647">
        <v>0.51179967732549336</v>
      </c>
      <c r="AB647" t="str">
        <f>HYPERLINK("Melting_Curves/meltCurve_F5H6I7_ATL3.pdf", "Melting_Curves/meltCurve_F5H6I7_ATL3.pdf")</f>
        <v>Melting_Curves/meltCurve_F5H6I7_ATL3.pdf</v>
      </c>
    </row>
    <row r="648" spans="1:28" x14ac:dyDescent="0.25">
      <c r="A648" t="s">
        <v>652</v>
      </c>
      <c r="B648">
        <v>0.99796759195183404</v>
      </c>
      <c r="C648">
        <v>0.99331006531973298</v>
      </c>
      <c r="D648">
        <v>1.03921383357681</v>
      </c>
      <c r="E648">
        <v>0.92213907101396098</v>
      </c>
      <c r="F648">
        <v>0.85038566957274497</v>
      </c>
      <c r="G648">
        <v>0.44321092624374198</v>
      </c>
      <c r="H648">
        <v>0.285921847067449</v>
      </c>
      <c r="I648">
        <v>0.257404256492616</v>
      </c>
      <c r="J648">
        <v>0.15869137724386601</v>
      </c>
      <c r="K648">
        <v>0.115870265942927</v>
      </c>
      <c r="L648">
        <v>1250.5793487743399</v>
      </c>
      <c r="M648">
        <v>23.6984268190261</v>
      </c>
      <c r="N648">
        <v>53.637283031739898</v>
      </c>
      <c r="O648">
        <v>52.399122636281398</v>
      </c>
      <c r="P648">
        <v>-9.5082583145245897E-2</v>
      </c>
      <c r="Q648">
        <v>0.159073197858175</v>
      </c>
      <c r="R648">
        <v>0.989159611018114</v>
      </c>
      <c r="S648" t="s">
        <v>6231</v>
      </c>
      <c r="T648" t="s">
        <v>11164</v>
      </c>
      <c r="U648" t="s">
        <v>11164</v>
      </c>
      <c r="V648" t="s">
        <v>11164</v>
      </c>
      <c r="W648" t="s">
        <v>11805</v>
      </c>
      <c r="X648">
        <v>6</v>
      </c>
      <c r="Y648" t="s">
        <v>17338</v>
      </c>
      <c r="Z648" t="s">
        <v>22798</v>
      </c>
      <c r="AA648">
        <v>0.6092902106715149</v>
      </c>
      <c r="AB648" t="str">
        <f>HYPERLINK("Melting_Curves/meltCurve_F5H715_AIDA.pdf", "Melting_Curves/meltCurve_F5H715_AIDA.pdf")</f>
        <v>Melting_Curves/meltCurve_F5H715_AIDA.pdf</v>
      </c>
    </row>
    <row r="649" spans="1:28" x14ac:dyDescent="0.25">
      <c r="A649" t="s">
        <v>653</v>
      </c>
      <c r="B649">
        <v>0.99796759195183404</v>
      </c>
      <c r="C649">
        <v>1.0435898264716701</v>
      </c>
      <c r="D649">
        <v>0.98219813341337203</v>
      </c>
      <c r="E649">
        <v>1.00602185898618</v>
      </c>
      <c r="F649">
        <v>0.86185837061569803</v>
      </c>
      <c r="G649">
        <v>0.75031198431171098</v>
      </c>
      <c r="H649">
        <v>0.59380215158896599</v>
      </c>
      <c r="I649">
        <v>0.42322894130910699</v>
      </c>
      <c r="J649">
        <v>0.31982113307883198</v>
      </c>
      <c r="K649">
        <v>0.370397861960922</v>
      </c>
      <c r="L649">
        <v>884.11675700797502</v>
      </c>
      <c r="M649">
        <v>15.825525288976801</v>
      </c>
      <c r="N649">
        <v>58.989768918645296</v>
      </c>
      <c r="O649">
        <v>54.997283480789903</v>
      </c>
      <c r="P649">
        <v>-5.1533941964133002E-2</v>
      </c>
      <c r="Q649">
        <v>0.28369021639042502</v>
      </c>
      <c r="R649">
        <v>0.98759130925560101</v>
      </c>
      <c r="S649" t="s">
        <v>6232</v>
      </c>
      <c r="T649" t="s">
        <v>11164</v>
      </c>
      <c r="U649" t="s">
        <v>11164</v>
      </c>
      <c r="V649" t="s">
        <v>11164</v>
      </c>
      <c r="W649" t="s">
        <v>11806</v>
      </c>
      <c r="X649">
        <v>17</v>
      </c>
      <c r="Y649" t="s">
        <v>17339</v>
      </c>
      <c r="Z649" t="s">
        <v>22799</v>
      </c>
      <c r="AA649">
        <v>0.74262759697626501</v>
      </c>
      <c r="AB649" t="str">
        <f>HYPERLINK("Melting_Curves/meltCurve_F5H721_WBP11.pdf", "Melting_Curves/meltCurve_F5H721_WBP11.pdf")</f>
        <v>Melting_Curves/meltCurve_F5H721_WBP11.pdf</v>
      </c>
    </row>
    <row r="650" spans="1:28" x14ac:dyDescent="0.25">
      <c r="A650" t="s">
        <v>654</v>
      </c>
      <c r="B650">
        <v>0.99796759195183404</v>
      </c>
      <c r="C650">
        <v>0.95818701198418998</v>
      </c>
      <c r="D650">
        <v>1.02116082883501</v>
      </c>
      <c r="E650">
        <v>0.896329354398265</v>
      </c>
      <c r="F650">
        <v>0.90828691415089802</v>
      </c>
      <c r="G650">
        <v>0.70327470644000101</v>
      </c>
      <c r="H650">
        <v>0.36708515827157601</v>
      </c>
      <c r="I650">
        <v>0.36964331802357497</v>
      </c>
      <c r="J650">
        <v>0.25812663681446002</v>
      </c>
      <c r="K650">
        <v>0.185594705744208</v>
      </c>
      <c r="L650">
        <v>1043.5163157880199</v>
      </c>
      <c r="M650">
        <v>19.015630292652499</v>
      </c>
      <c r="N650">
        <v>56.357269299778999</v>
      </c>
      <c r="O650">
        <v>54.280673329915103</v>
      </c>
      <c r="P650">
        <v>-7.0365127617633097E-2</v>
      </c>
      <c r="Q650">
        <v>0.19659465685921501</v>
      </c>
      <c r="R650">
        <v>0.97889847796487095</v>
      </c>
      <c r="S650" t="s">
        <v>6233</v>
      </c>
      <c r="T650" t="s">
        <v>11164</v>
      </c>
      <c r="U650" t="s">
        <v>11164</v>
      </c>
      <c r="V650" t="s">
        <v>11164</v>
      </c>
      <c r="W650" t="s">
        <v>11807</v>
      </c>
      <c r="X650">
        <v>3</v>
      </c>
      <c r="Y650" t="s">
        <v>17340</v>
      </c>
      <c r="Z650" t="s">
        <v>22800</v>
      </c>
      <c r="AA650">
        <v>0.68504542260491719</v>
      </c>
      <c r="AB650" t="str">
        <f>HYPERLINK("Melting_Curves/meltCurve_F5H7J5_RPTOR.pdf", "Melting_Curves/meltCurve_F5H7J5_RPTOR.pdf")</f>
        <v>Melting_Curves/meltCurve_F5H7J5_RPTOR.pdf</v>
      </c>
    </row>
    <row r="651" spans="1:28" x14ac:dyDescent="0.25">
      <c r="A651" t="s">
        <v>655</v>
      </c>
      <c r="B651">
        <v>0.99796759195183404</v>
      </c>
      <c r="C651">
        <v>0.99626340269411995</v>
      </c>
      <c r="D651">
        <v>0.89146237282025698</v>
      </c>
      <c r="E651">
        <v>0.81110986395487095</v>
      </c>
      <c r="F651">
        <v>0.71905386760909196</v>
      </c>
      <c r="G651">
        <v>0.75861611824200004</v>
      </c>
      <c r="H651">
        <v>0.83743185939487197</v>
      </c>
      <c r="I651">
        <v>0.78738750149940495</v>
      </c>
      <c r="J651">
        <v>0.48099981499470401</v>
      </c>
      <c r="K651">
        <v>0.26052799516953301</v>
      </c>
      <c r="L651">
        <v>372.38791654174997</v>
      </c>
      <c r="M651">
        <v>5.7487005862722302</v>
      </c>
      <c r="N651">
        <v>64.777754720232906</v>
      </c>
      <c r="O651">
        <v>58.223962889177002</v>
      </c>
      <c r="P651">
        <v>-2.4776621037145299E-2</v>
      </c>
      <c r="Q651">
        <v>0</v>
      </c>
      <c r="R651">
        <v>0.71969002423706097</v>
      </c>
      <c r="S651" t="s">
        <v>6234</v>
      </c>
      <c r="T651" t="s">
        <v>11164</v>
      </c>
      <c r="U651" t="s">
        <v>11164</v>
      </c>
      <c r="V651" t="s">
        <v>11164</v>
      </c>
      <c r="W651" t="s">
        <v>11808</v>
      </c>
      <c r="X651">
        <v>2</v>
      </c>
      <c r="Y651" t="s">
        <v>17341</v>
      </c>
      <c r="Z651" t="s">
        <v>22801</v>
      </c>
      <c r="AA651">
        <v>0.77285863277964639</v>
      </c>
      <c r="AB651" t="str">
        <f>HYPERLINK("Melting_Curves/meltCurve_F5H7M3_DLAT.pdf", "Melting_Curves/meltCurve_F5H7M3_DLAT.pdf")</f>
        <v>Melting_Curves/meltCurve_F5H7M3_DLAT.pdf</v>
      </c>
    </row>
    <row r="652" spans="1:28" x14ac:dyDescent="0.25">
      <c r="A652" t="s">
        <v>656</v>
      </c>
      <c r="B652">
        <v>0.99796759195183404</v>
      </c>
      <c r="C652">
        <v>0.94906352115010295</v>
      </c>
      <c r="D652">
        <v>0.86480974925943399</v>
      </c>
      <c r="E652">
        <v>0.69741063028254002</v>
      </c>
      <c r="F652">
        <v>0.95366035393986404</v>
      </c>
      <c r="G652">
        <v>0.545152469738578</v>
      </c>
      <c r="H652">
        <v>0.32301203926426297</v>
      </c>
      <c r="I652">
        <v>0.338455572832842</v>
      </c>
      <c r="J652">
        <v>0.691029161558253</v>
      </c>
      <c r="K652">
        <v>0.39841128793059</v>
      </c>
      <c r="L652">
        <v>552.009780209214</v>
      </c>
      <c r="M652">
        <v>11.0398008613095</v>
      </c>
      <c r="N652">
        <v>58.152899005241899</v>
      </c>
      <c r="O652">
        <v>48.445198196859899</v>
      </c>
      <c r="P652">
        <v>-3.4558371628676997E-2</v>
      </c>
      <c r="Q652">
        <v>0.39360126761837499</v>
      </c>
      <c r="R652">
        <v>0.67739635349344995</v>
      </c>
      <c r="S652" t="s">
        <v>6235</v>
      </c>
      <c r="T652" t="s">
        <v>11164</v>
      </c>
      <c r="U652" t="s">
        <v>11164</v>
      </c>
      <c r="V652" t="s">
        <v>11164</v>
      </c>
      <c r="W652" t="s">
        <v>11809</v>
      </c>
      <c r="X652">
        <v>1</v>
      </c>
      <c r="Y652" t="s">
        <v>17342</v>
      </c>
      <c r="Z652" t="s">
        <v>22802</v>
      </c>
      <c r="AA652">
        <v>0.67503927656377838</v>
      </c>
      <c r="AB652" t="str">
        <f>HYPERLINK("Melting_Curves/meltCurve_F5H7Q8_MICB.pdf", "Melting_Curves/meltCurve_F5H7Q8_MICB.pdf")</f>
        <v>Melting_Curves/meltCurve_F5H7Q8_MICB.pdf</v>
      </c>
    </row>
    <row r="653" spans="1:28" x14ac:dyDescent="0.25">
      <c r="A653" t="s">
        <v>657</v>
      </c>
      <c r="B653">
        <v>0.99796759195183404</v>
      </c>
      <c r="C653">
        <v>1.35884303229669</v>
      </c>
      <c r="D653">
        <v>1.50007123773142</v>
      </c>
      <c r="E653">
        <v>1.47591702029057</v>
      </c>
      <c r="F653">
        <v>1.2546865658942301</v>
      </c>
      <c r="G653">
        <v>1.0745883889813801</v>
      </c>
      <c r="H653">
        <v>1.6247240209918099</v>
      </c>
      <c r="I653">
        <v>1.8020279987226899</v>
      </c>
      <c r="J653">
        <v>2.0428767821739902</v>
      </c>
      <c r="K653">
        <v>2.2187482120479101</v>
      </c>
      <c r="L653">
        <v>8286.2703291097205</v>
      </c>
      <c r="M653">
        <v>208.608966003045</v>
      </c>
      <c r="O653">
        <v>39.717896803735997</v>
      </c>
      <c r="P653">
        <v>0.65653332023019395</v>
      </c>
      <c r="Q653">
        <v>1.5</v>
      </c>
      <c r="R653">
        <v>0.18293425517068901</v>
      </c>
      <c r="S653" t="s">
        <v>6236</v>
      </c>
      <c r="T653" t="s">
        <v>11164</v>
      </c>
      <c r="U653" t="s">
        <v>11164</v>
      </c>
      <c r="V653" t="s">
        <v>11164</v>
      </c>
      <c r="W653" t="s">
        <v>11810</v>
      </c>
      <c r="X653">
        <v>1</v>
      </c>
      <c r="Y653" t="s">
        <v>17343</v>
      </c>
      <c r="Z653" t="s">
        <v>22803</v>
      </c>
      <c r="AA653">
        <v>1.4545908601919919</v>
      </c>
      <c r="AB653" t="str">
        <f>HYPERLINK("Melting_Curves/meltCurve_F5H843_SLC16A7.pdf", "Melting_Curves/meltCurve_F5H843_SLC16A7.pdf")</f>
        <v>Melting_Curves/meltCurve_F5H843_SLC16A7.pdf</v>
      </c>
    </row>
    <row r="654" spans="1:28" x14ac:dyDescent="0.25">
      <c r="A654" t="s">
        <v>658</v>
      </c>
      <c r="B654">
        <v>0.99796759195183404</v>
      </c>
      <c r="C654">
        <v>1.0222301274769401</v>
      </c>
      <c r="D654">
        <v>1.00898853197314</v>
      </c>
      <c r="E654">
        <v>0.96325532728037599</v>
      </c>
      <c r="F654">
        <v>0.85637978144649696</v>
      </c>
      <c r="G654">
        <v>0.71893094838349803</v>
      </c>
      <c r="H654">
        <v>0.59518969034684299</v>
      </c>
      <c r="I654">
        <v>0.34166139947372198</v>
      </c>
      <c r="J654">
        <v>0.23023893674910101</v>
      </c>
      <c r="K654">
        <v>0.21356778020359701</v>
      </c>
      <c r="L654">
        <v>739.636237400082</v>
      </c>
      <c r="M654">
        <v>12.8011700135147</v>
      </c>
      <c r="N654">
        <v>58.240013750385799</v>
      </c>
      <c r="O654">
        <v>56.423258341481997</v>
      </c>
      <c r="P654">
        <v>-5.39954731825871E-2</v>
      </c>
      <c r="Q654">
        <v>4.8202891772668198E-2</v>
      </c>
      <c r="R654">
        <v>0.99319447546246498</v>
      </c>
      <c r="S654" t="s">
        <v>6237</v>
      </c>
      <c r="T654" t="s">
        <v>11164</v>
      </c>
      <c r="U654" t="s">
        <v>11164</v>
      </c>
      <c r="V654" t="s">
        <v>11164</v>
      </c>
      <c r="W654" t="s">
        <v>11811</v>
      </c>
      <c r="X654">
        <v>7</v>
      </c>
      <c r="Y654" t="s">
        <v>17344</v>
      </c>
      <c r="Z654" t="s">
        <v>22804</v>
      </c>
      <c r="AA654">
        <v>0.70923523465355587</v>
      </c>
      <c r="AB654" t="str">
        <f>HYPERLINK("Melting_Curves/meltCurve_F5H860_INPP4A.pdf", "Melting_Curves/meltCurve_F5H860_INPP4A.pdf")</f>
        <v>Melting_Curves/meltCurve_F5H860_INPP4A.pdf</v>
      </c>
    </row>
    <row r="655" spans="1:28" x14ac:dyDescent="0.25">
      <c r="A655" t="s">
        <v>659</v>
      </c>
      <c r="B655">
        <v>0.99796759195183404</v>
      </c>
      <c r="C655">
        <v>1.0138131049742301</v>
      </c>
      <c r="D655">
        <v>0.98062619551734698</v>
      </c>
      <c r="E655">
        <v>0.941028194005878</v>
      </c>
      <c r="F655">
        <v>0.79213026652962903</v>
      </c>
      <c r="G655">
        <v>0.61166312086904695</v>
      </c>
      <c r="H655">
        <v>0.21357779086812501</v>
      </c>
      <c r="I655">
        <v>0.128411250456646</v>
      </c>
      <c r="J655">
        <v>0.111993841181663</v>
      </c>
      <c r="K655">
        <v>9.6899218698407105E-2</v>
      </c>
      <c r="L655">
        <v>1119.88982113872</v>
      </c>
      <c r="M655">
        <v>20.768481194257799</v>
      </c>
      <c r="N655">
        <v>54.279234572489798</v>
      </c>
      <c r="O655">
        <v>53.430102557621503</v>
      </c>
      <c r="P655">
        <v>-9.0980269562574698E-2</v>
      </c>
      <c r="Q655">
        <v>6.37834810295137E-2</v>
      </c>
      <c r="R655">
        <v>0.99226419114461295</v>
      </c>
      <c r="S655" t="s">
        <v>6238</v>
      </c>
      <c r="T655" t="s">
        <v>11164</v>
      </c>
      <c r="U655" t="s">
        <v>11164</v>
      </c>
      <c r="V655" t="s">
        <v>11164</v>
      </c>
      <c r="W655" t="s">
        <v>11812</v>
      </c>
      <c r="X655">
        <v>34</v>
      </c>
      <c r="Y655" t="s">
        <v>17345</v>
      </c>
      <c r="Z655" t="s">
        <v>22805</v>
      </c>
      <c r="AA655">
        <v>0.60269875448015331</v>
      </c>
      <c r="AB655" t="str">
        <f>HYPERLINK("Melting_Curves/meltCurve_F5H897_TRAP1.pdf", "Melting_Curves/meltCurve_F5H897_TRAP1.pdf")</f>
        <v>Melting_Curves/meltCurve_F5H897_TRAP1.pdf</v>
      </c>
    </row>
    <row r="656" spans="1:28" x14ac:dyDescent="0.25">
      <c r="A656" t="s">
        <v>660</v>
      </c>
      <c r="B656">
        <v>0.99796759195183404</v>
      </c>
      <c r="C656">
        <v>1.0470481491183801</v>
      </c>
      <c r="D656">
        <v>0.92691677373467796</v>
      </c>
      <c r="E656">
        <v>0.99587478910568705</v>
      </c>
      <c r="F656">
        <v>1.06468321424861</v>
      </c>
      <c r="G656">
        <v>0.29196721123205099</v>
      </c>
      <c r="H656">
        <v>0.209742285077021</v>
      </c>
      <c r="I656">
        <v>0.169671422558103</v>
      </c>
      <c r="J656">
        <v>0.12898050326622201</v>
      </c>
      <c r="K656">
        <v>7.4085949097006096E-2</v>
      </c>
      <c r="L656">
        <v>13365.1838634459</v>
      </c>
      <c r="M656">
        <v>250</v>
      </c>
      <c r="N656">
        <v>53.534448802910298</v>
      </c>
      <c r="O656">
        <v>53.4573144089631</v>
      </c>
      <c r="P656">
        <v>-0.99890444159691105</v>
      </c>
      <c r="Q656">
        <v>0.14562002161901599</v>
      </c>
      <c r="R656">
        <v>0.98764275495585296</v>
      </c>
      <c r="S656" t="s">
        <v>6239</v>
      </c>
      <c r="T656" t="s">
        <v>11164</v>
      </c>
      <c r="U656" t="s">
        <v>11164</v>
      </c>
      <c r="V656" t="s">
        <v>11164</v>
      </c>
      <c r="W656" t="s">
        <v>11813</v>
      </c>
      <c r="X656">
        <v>5</v>
      </c>
      <c r="Y656" t="s">
        <v>17346</v>
      </c>
      <c r="Z656" t="s">
        <v>22806</v>
      </c>
      <c r="AA656">
        <v>0.61449094194352283</v>
      </c>
      <c r="AB656" t="str">
        <f>HYPERLINK("Melting_Curves/meltCurve_F5H8D7_XRCC1.pdf", "Melting_Curves/meltCurve_F5H8D7_XRCC1.pdf")</f>
        <v>Melting_Curves/meltCurve_F5H8D7_XRCC1.pdf</v>
      </c>
    </row>
    <row r="657" spans="1:28" x14ac:dyDescent="0.25">
      <c r="A657" t="s">
        <v>661</v>
      </c>
      <c r="B657">
        <v>0.99796759195183404</v>
      </c>
      <c r="C657">
        <v>0.98251274227656804</v>
      </c>
      <c r="D657">
        <v>0.836833328238619</v>
      </c>
      <c r="E657">
        <v>0.48645076329933801</v>
      </c>
      <c r="F657">
        <v>0.39074497305481798</v>
      </c>
      <c r="G657">
        <v>0.294779616181782</v>
      </c>
      <c r="H657">
        <v>0.238645324647454</v>
      </c>
      <c r="I657">
        <v>0.171967850021056</v>
      </c>
      <c r="J657">
        <v>0.16120949304365401</v>
      </c>
      <c r="K657">
        <v>0.11168533846375001</v>
      </c>
      <c r="L657">
        <v>704.53151770411</v>
      </c>
      <c r="M657">
        <v>15.175351347696701</v>
      </c>
      <c r="N657">
        <v>47.607575549820403</v>
      </c>
      <c r="O657">
        <v>45.642249065712299</v>
      </c>
      <c r="P657">
        <v>-7.0085192093834306E-2</v>
      </c>
      <c r="Q657">
        <v>0.15691259041255901</v>
      </c>
      <c r="R657">
        <v>0.98420413948671304</v>
      </c>
      <c r="S657" t="s">
        <v>6240</v>
      </c>
      <c r="T657" t="s">
        <v>11164</v>
      </c>
      <c r="U657" t="s">
        <v>11164</v>
      </c>
      <c r="V657" t="s">
        <v>11164</v>
      </c>
      <c r="W657" t="s">
        <v>11814</v>
      </c>
      <c r="X657">
        <v>2</v>
      </c>
      <c r="Y657" t="s">
        <v>17347</v>
      </c>
      <c r="Z657" t="s">
        <v>22807</v>
      </c>
      <c r="AA657">
        <v>0.44063536525764552</v>
      </c>
      <c r="AB657" t="str">
        <f>HYPERLINK("Melting_Curves/meltCurve_F5H8F7_ASH2L.pdf", "Melting_Curves/meltCurve_F5H8F7_ASH2L.pdf")</f>
        <v>Melting_Curves/meltCurve_F5H8F7_ASH2L.pdf</v>
      </c>
    </row>
    <row r="658" spans="1:28" x14ac:dyDescent="0.25">
      <c r="A658" t="s">
        <v>662</v>
      </c>
      <c r="B658">
        <v>0.99796759195183404</v>
      </c>
      <c r="C658">
        <v>0.91917838099002602</v>
      </c>
      <c r="D658">
        <v>0.79782234495932902</v>
      </c>
      <c r="E658">
        <v>0.79975380715619704</v>
      </c>
      <c r="F658">
        <v>0.68687341560299298</v>
      </c>
      <c r="G658">
        <v>0.386791587955918</v>
      </c>
      <c r="H658">
        <v>0.37186128740708102</v>
      </c>
      <c r="I658">
        <v>0.25921804503888302</v>
      </c>
      <c r="J658">
        <v>0.247386469690375</v>
      </c>
      <c r="K658">
        <v>0.19591809244594699</v>
      </c>
      <c r="L658">
        <v>454.29122191193898</v>
      </c>
      <c r="M658">
        <v>8.73604596981939</v>
      </c>
      <c r="N658">
        <v>53.0285394080055</v>
      </c>
      <c r="O658">
        <v>49.492848786670599</v>
      </c>
      <c r="P658">
        <v>-4.0727790879846501E-2</v>
      </c>
      <c r="Q658">
        <v>7.7799023207556703E-2</v>
      </c>
      <c r="R658">
        <v>0.97298029970948896</v>
      </c>
      <c r="S658" t="s">
        <v>6241</v>
      </c>
      <c r="T658" t="s">
        <v>11164</v>
      </c>
      <c r="U658" t="s">
        <v>11164</v>
      </c>
      <c r="V658" t="s">
        <v>11164</v>
      </c>
      <c r="W658" t="s">
        <v>11815</v>
      </c>
      <c r="X658">
        <v>2</v>
      </c>
      <c r="Y658" t="s">
        <v>17348</v>
      </c>
      <c r="Z658" t="s">
        <v>22808</v>
      </c>
      <c r="AA658">
        <v>0.56481441065955551</v>
      </c>
      <c r="AB658" t="str">
        <f>HYPERLINK("Melting_Curves/meltCurve_F5H8G1_STARD10.pdf", "Melting_Curves/meltCurve_F5H8G1_STARD10.pdf")</f>
        <v>Melting_Curves/meltCurve_F5H8G1_STARD10.pdf</v>
      </c>
    </row>
    <row r="659" spans="1:28" x14ac:dyDescent="0.25">
      <c r="A659" t="s">
        <v>663</v>
      </c>
      <c r="B659">
        <v>0.99796759195183404</v>
      </c>
      <c r="C659">
        <v>0.96361467845843995</v>
      </c>
      <c r="D659">
        <v>1.0134021577460699</v>
      </c>
      <c r="E659">
        <v>1.02569053715336</v>
      </c>
      <c r="F659">
        <v>0.90674127080867795</v>
      </c>
      <c r="G659">
        <v>0.51674504556312695</v>
      </c>
      <c r="H659">
        <v>0.374950827184792</v>
      </c>
      <c r="I659">
        <v>0.30316494972549202</v>
      </c>
      <c r="J659">
        <v>0.224108095642748</v>
      </c>
      <c r="K659">
        <v>0.12729173295721699</v>
      </c>
      <c r="L659">
        <v>1278.50683622469</v>
      </c>
      <c r="M659">
        <v>23.869840272954299</v>
      </c>
      <c r="N659">
        <v>54.727665584875098</v>
      </c>
      <c r="O659">
        <v>53.1899149099076</v>
      </c>
      <c r="P659">
        <v>-8.9830120708856501E-2</v>
      </c>
      <c r="Q659">
        <v>0.199327767766109</v>
      </c>
      <c r="R659">
        <v>0.98271875276654597</v>
      </c>
      <c r="S659" t="s">
        <v>6242</v>
      </c>
      <c r="T659" t="s">
        <v>11164</v>
      </c>
      <c r="U659" t="s">
        <v>11164</v>
      </c>
      <c r="V659" t="s">
        <v>11164</v>
      </c>
      <c r="W659" t="s">
        <v>11816</v>
      </c>
      <c r="X659">
        <v>3</v>
      </c>
      <c r="Y659" t="s">
        <v>17349</v>
      </c>
      <c r="Z659" t="s">
        <v>22809</v>
      </c>
      <c r="AA659">
        <v>0.64893281935459013</v>
      </c>
      <c r="AB659" t="str">
        <f>HYPERLINK("Melting_Curves/meltCurve_F5H8J3_CLPTM1.pdf", "Melting_Curves/meltCurve_F5H8J3_CLPTM1.pdf")</f>
        <v>Melting_Curves/meltCurve_F5H8J3_CLPTM1.pdf</v>
      </c>
    </row>
    <row r="660" spans="1:28" x14ac:dyDescent="0.25">
      <c r="A660" t="s">
        <v>664</v>
      </c>
      <c r="B660">
        <v>0.99796759195183404</v>
      </c>
      <c r="C660">
        <v>0.99116421318204595</v>
      </c>
      <c r="D660">
        <v>0.91038805747673401</v>
      </c>
      <c r="E660">
        <v>0.97235225991797702</v>
      </c>
      <c r="F660">
        <v>0.90210549362476</v>
      </c>
      <c r="G660">
        <v>0.55492103380569002</v>
      </c>
      <c r="H660">
        <v>0.26935145790517201</v>
      </c>
      <c r="I660">
        <v>0.21580022790296499</v>
      </c>
      <c r="J660">
        <v>0.12742588947965799</v>
      </c>
      <c r="K660">
        <v>0.12524221787383699</v>
      </c>
      <c r="L660">
        <v>1393.56999069464</v>
      </c>
      <c r="M660">
        <v>25.910617790797399</v>
      </c>
      <c r="N660">
        <v>54.438997726841301</v>
      </c>
      <c r="O660">
        <v>53.466442163771902</v>
      </c>
      <c r="P660">
        <v>-0.10492431635570899</v>
      </c>
      <c r="Q660">
        <v>0.13396670462896801</v>
      </c>
      <c r="R660">
        <v>0.99181144169712898</v>
      </c>
      <c r="S660" t="s">
        <v>6243</v>
      </c>
      <c r="T660" t="s">
        <v>11164</v>
      </c>
      <c r="U660" t="s">
        <v>11164</v>
      </c>
      <c r="V660" t="s">
        <v>11164</v>
      </c>
      <c r="W660" t="s">
        <v>11817</v>
      </c>
      <c r="X660">
        <v>7</v>
      </c>
      <c r="Y660" t="s">
        <v>17350</v>
      </c>
      <c r="Z660" t="s">
        <v>22810</v>
      </c>
      <c r="AA660">
        <v>0.62562649022798955</v>
      </c>
      <c r="AB660" t="str">
        <f>HYPERLINK("Melting_Curves/meltCurve_F5H8L0_RABGAP1L.pdf", "Melting_Curves/meltCurve_F5H8L0_RABGAP1L.pdf")</f>
        <v>Melting_Curves/meltCurve_F5H8L0_RABGAP1L.pdf</v>
      </c>
    </row>
    <row r="661" spans="1:28" x14ac:dyDescent="0.25">
      <c r="A661" t="s">
        <v>665</v>
      </c>
      <c r="B661">
        <v>0.99796759195183404</v>
      </c>
      <c r="C661">
        <v>1.01618754121291</v>
      </c>
      <c r="D661">
        <v>0.95113196263463995</v>
      </c>
      <c r="E661">
        <v>1.01363280175975</v>
      </c>
      <c r="F661">
        <v>0.84002216193874801</v>
      </c>
      <c r="G661">
        <v>0.71063679944250902</v>
      </c>
      <c r="H661">
        <v>0.70268166566838297</v>
      </c>
      <c r="I661">
        <v>0.42965763609094199</v>
      </c>
      <c r="J661">
        <v>0.29606155172044701</v>
      </c>
      <c r="K661">
        <v>0.196747627210063</v>
      </c>
      <c r="L661">
        <v>673.60976592524901</v>
      </c>
      <c r="M661">
        <v>11.3038685901495</v>
      </c>
      <c r="N661">
        <v>59.591082548632599</v>
      </c>
      <c r="O661">
        <v>57.817442769803399</v>
      </c>
      <c r="P661">
        <v>-4.8892255641282301E-2</v>
      </c>
      <c r="Q661">
        <v>0</v>
      </c>
      <c r="R661">
        <v>0.97506126880229405</v>
      </c>
      <c r="S661" t="s">
        <v>6244</v>
      </c>
      <c r="T661" t="s">
        <v>11164</v>
      </c>
      <c r="U661" t="s">
        <v>11164</v>
      </c>
      <c r="V661" t="s">
        <v>11164</v>
      </c>
      <c r="W661" t="s">
        <v>11818</v>
      </c>
      <c r="X661">
        <v>5</v>
      </c>
      <c r="Y661" t="s">
        <v>17351</v>
      </c>
      <c r="Z661" t="s">
        <v>22811</v>
      </c>
      <c r="AA661">
        <v>0.73718650932957719</v>
      </c>
      <c r="AB661" t="str">
        <f>HYPERLINK("Melting_Curves/meltCurve_F6PQP6_EPN2.pdf", "Melting_Curves/meltCurve_F6PQP6_EPN2.pdf")</f>
        <v>Melting_Curves/meltCurve_F6PQP6_EPN2.pdf</v>
      </c>
    </row>
    <row r="662" spans="1:28" x14ac:dyDescent="0.25">
      <c r="A662" t="s">
        <v>666</v>
      </c>
      <c r="B662">
        <v>0.99796759195183404</v>
      </c>
      <c r="C662">
        <v>0.86913721597460003</v>
      </c>
      <c r="D662">
        <v>0.83188126824631803</v>
      </c>
      <c r="E662">
        <v>0.82907711532679096</v>
      </c>
      <c r="F662">
        <v>0.63244398311848704</v>
      </c>
      <c r="G662">
        <v>0.251374927332016</v>
      </c>
      <c r="H662">
        <v>0.222732918468109</v>
      </c>
      <c r="I662">
        <v>0.16292578575604499</v>
      </c>
      <c r="J662">
        <v>0.188052558101165</v>
      </c>
      <c r="K662">
        <v>0.13045125649761399</v>
      </c>
      <c r="L662">
        <v>732.56117476069505</v>
      </c>
      <c r="M662">
        <v>14.597348125304601</v>
      </c>
      <c r="N662">
        <v>51.029684997421903</v>
      </c>
      <c r="O662">
        <v>49.2709009483508</v>
      </c>
      <c r="P662">
        <v>-6.6121086943762203E-2</v>
      </c>
      <c r="Q662">
        <v>0.107377368798534</v>
      </c>
      <c r="R662">
        <v>0.96179545096548003</v>
      </c>
      <c r="S662" t="s">
        <v>6245</v>
      </c>
      <c r="T662" t="s">
        <v>11164</v>
      </c>
      <c r="U662" t="s">
        <v>11164</v>
      </c>
      <c r="V662" t="s">
        <v>11164</v>
      </c>
      <c r="W662" t="s">
        <v>11819</v>
      </c>
      <c r="X662">
        <v>6</v>
      </c>
      <c r="Y662" t="s">
        <v>17352</v>
      </c>
      <c r="Z662" t="s">
        <v>22812</v>
      </c>
      <c r="AA662">
        <v>0.51893807930222235</v>
      </c>
      <c r="AB662" t="str">
        <f>HYPERLINK("Melting_Curves/meltCurve_F6RY50_SIPA1.pdf", "Melting_Curves/meltCurve_F6RY50_SIPA1.pdf")</f>
        <v>Melting_Curves/meltCurve_F6RY50_SIPA1.pdf</v>
      </c>
    </row>
    <row r="663" spans="1:28" x14ac:dyDescent="0.25">
      <c r="A663" t="s">
        <v>667</v>
      </c>
      <c r="B663">
        <v>0.99796759195183404</v>
      </c>
      <c r="C663">
        <v>1.04062042088616</v>
      </c>
      <c r="D663">
        <v>0.848589302147569</v>
      </c>
      <c r="E663">
        <v>0.85358662489002302</v>
      </c>
      <c r="F663">
        <v>0.74225096514354705</v>
      </c>
      <c r="G663">
        <v>0.54848851520056197</v>
      </c>
      <c r="H663">
        <v>0.31481040609557298</v>
      </c>
      <c r="I663">
        <v>0.26213453673743398</v>
      </c>
      <c r="J663">
        <v>0.18120995096774201</v>
      </c>
      <c r="K663">
        <v>0.12063026861843899</v>
      </c>
      <c r="L663">
        <v>568.11818774117705</v>
      </c>
      <c r="M663">
        <v>10.4376176797248</v>
      </c>
      <c r="N663">
        <v>54.429870730294297</v>
      </c>
      <c r="O663">
        <v>52.545685573693603</v>
      </c>
      <c r="P663">
        <v>-4.9680222732272399E-2</v>
      </c>
      <c r="Q663">
        <v>0</v>
      </c>
      <c r="R663">
        <v>0.98425156797022495</v>
      </c>
      <c r="S663" t="s">
        <v>6246</v>
      </c>
      <c r="T663" t="s">
        <v>11164</v>
      </c>
      <c r="U663" t="s">
        <v>11164</v>
      </c>
      <c r="V663" t="s">
        <v>11164</v>
      </c>
      <c r="W663" t="s">
        <v>11820</v>
      </c>
      <c r="X663">
        <v>1</v>
      </c>
      <c r="Y663" t="s">
        <v>17353</v>
      </c>
      <c r="Z663" t="s">
        <v>22813</v>
      </c>
      <c r="AA663">
        <v>0.59675765008369386</v>
      </c>
      <c r="AB663" t="str">
        <f>HYPERLINK("Melting_Curves/meltCurve_F6S0T5_KDM1A.pdf", "Melting_Curves/meltCurve_F6S0T5_KDM1A.pdf")</f>
        <v>Melting_Curves/meltCurve_F6S0T5_KDM1A.pdf</v>
      </c>
    </row>
    <row r="664" spans="1:28" x14ac:dyDescent="0.25">
      <c r="A664" t="s">
        <v>668</v>
      </c>
      <c r="B664">
        <v>0.99796759195183404</v>
      </c>
      <c r="C664">
        <v>0.97246669730382196</v>
      </c>
      <c r="D664">
        <v>0.93655649725142198</v>
      </c>
      <c r="E664">
        <v>0.87248409934184701</v>
      </c>
      <c r="F664">
        <v>0.85721290616491097</v>
      </c>
      <c r="G664">
        <v>0.67552834125448402</v>
      </c>
      <c r="H664">
        <v>0.32985108454415502</v>
      </c>
      <c r="I664">
        <v>0.20062617025136301</v>
      </c>
      <c r="J664">
        <v>0.16200614004823799</v>
      </c>
      <c r="K664">
        <v>0.11283034750056301</v>
      </c>
      <c r="L664">
        <v>920.33947635034303</v>
      </c>
      <c r="M664">
        <v>16.716201792118099</v>
      </c>
      <c r="N664">
        <v>55.491391910258699</v>
      </c>
      <c r="O664">
        <v>54.286909879229697</v>
      </c>
      <c r="P664">
        <v>-7.2261823226873106E-2</v>
      </c>
      <c r="Q664">
        <v>6.1362834492936003E-2</v>
      </c>
      <c r="R664">
        <v>0.98624794370991098</v>
      </c>
      <c r="S664" t="s">
        <v>6247</v>
      </c>
      <c r="T664" t="s">
        <v>11164</v>
      </c>
      <c r="U664" t="s">
        <v>11164</v>
      </c>
      <c r="V664" t="s">
        <v>11164</v>
      </c>
      <c r="W664" t="s">
        <v>11821</v>
      </c>
      <c r="X664">
        <v>15</v>
      </c>
      <c r="Y664" t="s">
        <v>17354</v>
      </c>
      <c r="Z664" t="s">
        <v>22814</v>
      </c>
      <c r="AA664">
        <v>0.63871790613912749</v>
      </c>
      <c r="AB664" t="str">
        <f>HYPERLINK("Melting_Curves/meltCurve_F6T1Q0_PDE12.pdf", "Melting_Curves/meltCurve_F6T1Q0_PDE12.pdf")</f>
        <v>Melting_Curves/meltCurve_F6T1Q0_PDE12.pdf</v>
      </c>
    </row>
    <row r="665" spans="1:28" x14ac:dyDescent="0.25">
      <c r="A665" t="s">
        <v>669</v>
      </c>
      <c r="B665">
        <v>0.99796759195183404</v>
      </c>
      <c r="C665">
        <v>0.97082300461665405</v>
      </c>
      <c r="D665">
        <v>0.88147499217055203</v>
      </c>
      <c r="E665">
        <v>0.75129218652257501</v>
      </c>
      <c r="F665">
        <v>0.75729813984799699</v>
      </c>
      <c r="G665">
        <v>0.77843570254711203</v>
      </c>
      <c r="H665">
        <v>0.37313708265286999</v>
      </c>
      <c r="I665">
        <v>0.40705992496619198</v>
      </c>
      <c r="J665">
        <v>0.44358535709524599</v>
      </c>
      <c r="K665">
        <v>0.64288667039639602</v>
      </c>
      <c r="L665">
        <v>530.99498451237696</v>
      </c>
      <c r="M665">
        <v>10.7227488566527</v>
      </c>
      <c r="N665">
        <v>62.4657516643694</v>
      </c>
      <c r="O665">
        <v>47.891286298805298</v>
      </c>
      <c r="P665">
        <v>-3.1031831351972999E-2</v>
      </c>
      <c r="Q665">
        <v>0.44581319411484999</v>
      </c>
      <c r="R665">
        <v>0.77198061835911902</v>
      </c>
      <c r="S665" t="s">
        <v>6248</v>
      </c>
      <c r="T665" t="s">
        <v>11164</v>
      </c>
      <c r="U665" t="s">
        <v>11164</v>
      </c>
      <c r="V665" t="s">
        <v>11164</v>
      </c>
      <c r="W665" t="s">
        <v>11822</v>
      </c>
      <c r="X665">
        <v>2</v>
      </c>
      <c r="Y665" t="s">
        <v>17355</v>
      </c>
      <c r="Z665" t="s">
        <v>22815</v>
      </c>
      <c r="AA665">
        <v>0.69535420742469811</v>
      </c>
      <c r="AB665" t="str">
        <f>HYPERLINK("Melting_Curves/meltCurve_F6U1T9_PPP3R1.pdf", "Melting_Curves/meltCurve_F6U1T9_PPP3R1.pdf")</f>
        <v>Melting_Curves/meltCurve_F6U1T9_PPP3R1.pdf</v>
      </c>
    </row>
    <row r="666" spans="1:28" x14ac:dyDescent="0.25">
      <c r="A666" t="s">
        <v>670</v>
      </c>
      <c r="B666">
        <v>0.99796759195183404</v>
      </c>
      <c r="C666">
        <v>0.90797903057491403</v>
      </c>
      <c r="D666">
        <v>0.87093086058604197</v>
      </c>
      <c r="E666">
        <v>0.74993470666501105</v>
      </c>
      <c r="F666">
        <v>0.71770323414223003</v>
      </c>
      <c r="G666">
        <v>0.55376464919234003</v>
      </c>
      <c r="H666">
        <v>0.515687320410118</v>
      </c>
      <c r="I666">
        <v>0.53361690004245599</v>
      </c>
      <c r="J666">
        <v>0.826027970729175</v>
      </c>
      <c r="K666">
        <v>0.50977447084928995</v>
      </c>
      <c r="L666">
        <v>655.28106075525898</v>
      </c>
      <c r="M666">
        <v>14.527624368971599</v>
      </c>
      <c r="O666">
        <v>44.2770454595586</v>
      </c>
      <c r="P666">
        <v>-3.4096331978374E-2</v>
      </c>
      <c r="Q666">
        <v>0.584374722594309</v>
      </c>
      <c r="R666">
        <v>0.72196412390158504</v>
      </c>
      <c r="S666" t="s">
        <v>6249</v>
      </c>
      <c r="T666" t="s">
        <v>11164</v>
      </c>
      <c r="U666" t="s">
        <v>11164</v>
      </c>
      <c r="V666" t="s">
        <v>11164</v>
      </c>
      <c r="W666" t="s">
        <v>11469</v>
      </c>
      <c r="X666">
        <v>11</v>
      </c>
      <c r="Y666" t="s">
        <v>17356</v>
      </c>
      <c r="Z666" t="s">
        <v>22816</v>
      </c>
      <c r="AA666">
        <v>0.70716547300506649</v>
      </c>
      <c r="AB666" t="str">
        <f>HYPERLINK("Melting_Curves/meltCurve_F6XY72_NME2.pdf", "Melting_Curves/meltCurve_F6XY72_NME2.pdf")</f>
        <v>Melting_Curves/meltCurve_F6XY72_NME2.pdf</v>
      </c>
    </row>
    <row r="667" spans="1:28" x14ac:dyDescent="0.25">
      <c r="A667" t="s">
        <v>671</v>
      </c>
      <c r="B667">
        <v>0.99796759195183404</v>
      </c>
      <c r="C667">
        <v>0.93497045314376503</v>
      </c>
      <c r="D667">
        <v>0.80986256811964397</v>
      </c>
      <c r="E667">
        <v>0.85558141003537702</v>
      </c>
      <c r="F667">
        <v>0.77789937499855</v>
      </c>
      <c r="G667">
        <v>0.69107863290591298</v>
      </c>
      <c r="H667">
        <v>0.60681023883759</v>
      </c>
      <c r="I667">
        <v>0.42836114547952198</v>
      </c>
      <c r="J667">
        <v>0.259919717817306</v>
      </c>
      <c r="K667">
        <v>0.235615267985257</v>
      </c>
      <c r="L667">
        <v>442.00431336291598</v>
      </c>
      <c r="M667">
        <v>7.58958476030611</v>
      </c>
      <c r="N667">
        <v>58.2382727879667</v>
      </c>
      <c r="O667">
        <v>54.607480222266801</v>
      </c>
      <c r="P667">
        <v>-3.4793890790153999E-2</v>
      </c>
      <c r="Q667">
        <v>0</v>
      </c>
      <c r="R667">
        <v>0.95138654780044896</v>
      </c>
      <c r="S667" t="s">
        <v>6250</v>
      </c>
      <c r="T667" t="s">
        <v>11164</v>
      </c>
      <c r="U667" t="s">
        <v>11164</v>
      </c>
      <c r="V667" t="s">
        <v>11164</v>
      </c>
      <c r="W667" t="s">
        <v>11823</v>
      </c>
      <c r="X667">
        <v>3</v>
      </c>
      <c r="Y667" t="s">
        <v>17357</v>
      </c>
      <c r="Z667" t="s">
        <v>22817</v>
      </c>
      <c r="AA667">
        <v>0.68097780928061513</v>
      </c>
      <c r="AB667" t="str">
        <f>HYPERLINK("Melting_Curves/meltCurve_F8VPD4_CAD.pdf", "Melting_Curves/meltCurve_F8VPD4_CAD.pdf")</f>
        <v>Melting_Curves/meltCurve_F8VPD4_CAD.pdf</v>
      </c>
    </row>
    <row r="668" spans="1:28" x14ac:dyDescent="0.25">
      <c r="A668" t="s">
        <v>672</v>
      </c>
      <c r="B668">
        <v>0.99796759195183404</v>
      </c>
      <c r="C668">
        <v>0.96581700537968795</v>
      </c>
      <c r="D668">
        <v>1.0007579975671601</v>
      </c>
      <c r="E668">
        <v>0.94608029515585701</v>
      </c>
      <c r="F668">
        <v>0.797395566736262</v>
      </c>
      <c r="G668">
        <v>0.55398532990573801</v>
      </c>
      <c r="H668">
        <v>0.34507218710035897</v>
      </c>
      <c r="I668">
        <v>0.15331171573920199</v>
      </c>
      <c r="J668">
        <v>0.110130554353527</v>
      </c>
      <c r="K668">
        <v>8.5458810972029606E-2</v>
      </c>
      <c r="L668">
        <v>881.62353349010402</v>
      </c>
      <c r="M668">
        <v>16.204432217851501</v>
      </c>
      <c r="N668">
        <v>54.638304160386397</v>
      </c>
      <c r="O668">
        <v>53.597999628034401</v>
      </c>
      <c r="P668">
        <v>-7.3076010944789604E-2</v>
      </c>
      <c r="Q668">
        <v>3.3243657573115398E-2</v>
      </c>
      <c r="R668">
        <v>0.99830937960483201</v>
      </c>
      <c r="S668" t="s">
        <v>6251</v>
      </c>
      <c r="T668" t="s">
        <v>11164</v>
      </c>
      <c r="U668" t="s">
        <v>11164</v>
      </c>
      <c r="V668" t="s">
        <v>11164</v>
      </c>
      <c r="W668" t="s">
        <v>11824</v>
      </c>
      <c r="X668">
        <v>26</v>
      </c>
      <c r="Y668" t="s">
        <v>17358</v>
      </c>
      <c r="Z668" t="s">
        <v>22818</v>
      </c>
      <c r="AA668">
        <v>0.60828465702851209</v>
      </c>
      <c r="AB668" t="str">
        <f>HYPERLINK("Melting_Curves/meltCurve_F8VQ10_DDX39B.pdf", "Melting_Curves/meltCurve_F8VQ10_DDX39B.pdf")</f>
        <v>Melting_Curves/meltCurve_F8VQ10_DDX39B.pdf</v>
      </c>
    </row>
    <row r="669" spans="1:28" x14ac:dyDescent="0.25">
      <c r="A669" t="s">
        <v>673</v>
      </c>
      <c r="B669">
        <v>0.99796759195183404</v>
      </c>
      <c r="C669">
        <v>1.2879694376228501</v>
      </c>
      <c r="D669">
        <v>1.0957335528443299</v>
      </c>
      <c r="E669">
        <v>1.0240955051971901</v>
      </c>
      <c r="F669">
        <v>0.98062877518814995</v>
      </c>
      <c r="G669">
        <v>0.79293302101263896</v>
      </c>
      <c r="H669">
        <v>0.502191277136944</v>
      </c>
      <c r="I669">
        <v>0.60493372214096597</v>
      </c>
      <c r="J669">
        <v>0.831554242185648</v>
      </c>
      <c r="K669">
        <v>0.59015374910140705</v>
      </c>
      <c r="L669">
        <v>13436.3697921597</v>
      </c>
      <c r="M669">
        <v>250</v>
      </c>
      <c r="O669">
        <v>53.742039858276698</v>
      </c>
      <c r="P669">
        <v>-0.42772817240344402</v>
      </c>
      <c r="Q669">
        <v>0.63220824889396099</v>
      </c>
      <c r="R669">
        <v>0.73263336776224097</v>
      </c>
      <c r="S669" t="s">
        <v>6252</v>
      </c>
      <c r="T669" t="s">
        <v>11164</v>
      </c>
      <c r="U669" t="s">
        <v>11164</v>
      </c>
      <c r="V669" t="s">
        <v>11164</v>
      </c>
      <c r="W669" t="s">
        <v>11825</v>
      </c>
      <c r="X669">
        <v>1</v>
      </c>
      <c r="Y669" t="s">
        <v>17359</v>
      </c>
      <c r="Z669" t="s">
        <v>22819</v>
      </c>
      <c r="AA669">
        <v>0.83753791014196843</v>
      </c>
      <c r="AB669" t="str">
        <f>HYPERLINK("Melting_Curves/meltCurve_F8VQD4_C12orf75.pdf", "Melting_Curves/meltCurve_F8VQD4_C12orf75.pdf")</f>
        <v>Melting_Curves/meltCurve_F8VQD4_C12orf75.pdf</v>
      </c>
    </row>
    <row r="670" spans="1:28" x14ac:dyDescent="0.25">
      <c r="A670" t="s">
        <v>674</v>
      </c>
      <c r="B670">
        <v>0.99796759195183404</v>
      </c>
      <c r="C670">
        <v>0.75955049503247496</v>
      </c>
      <c r="D670">
        <v>0.98139217137815704</v>
      </c>
      <c r="E670">
        <v>0.71692612469444394</v>
      </c>
      <c r="F670">
        <v>0.79785025217038097</v>
      </c>
      <c r="G670">
        <v>0.46196232185050001</v>
      </c>
      <c r="H670">
        <v>0.56069993297189702</v>
      </c>
      <c r="I670">
        <v>0.36481896824272297</v>
      </c>
      <c r="J670">
        <v>0.44127246253611302</v>
      </c>
      <c r="K670">
        <v>0.10369906556312899</v>
      </c>
      <c r="L670">
        <v>361.45545504659202</v>
      </c>
      <c r="M670">
        <v>6.4167165669198702</v>
      </c>
      <c r="N670">
        <v>56.330286758204899</v>
      </c>
      <c r="O670">
        <v>51.606007552847302</v>
      </c>
      <c r="P670">
        <v>-3.11642266078869E-2</v>
      </c>
      <c r="Q670">
        <v>0</v>
      </c>
      <c r="R670">
        <v>0.83083901153942397</v>
      </c>
      <c r="S670" t="s">
        <v>6253</v>
      </c>
      <c r="T670" t="s">
        <v>11164</v>
      </c>
      <c r="U670" t="s">
        <v>11164</v>
      </c>
      <c r="V670" t="s">
        <v>11164</v>
      </c>
      <c r="W670" t="s">
        <v>11826</v>
      </c>
      <c r="X670">
        <v>1</v>
      </c>
      <c r="Y670" t="s">
        <v>17360</v>
      </c>
      <c r="Z670" t="s">
        <v>22820</v>
      </c>
      <c r="AA670">
        <v>0.62801615460610105</v>
      </c>
      <c r="AB670" t="str">
        <f>HYPERLINK("Melting_Curves/meltCurve_F8VQX6_METTL7A.pdf", "Melting_Curves/meltCurve_F8VQX6_METTL7A.pdf")</f>
        <v>Melting_Curves/meltCurve_F8VQX6_METTL7A.pdf</v>
      </c>
    </row>
    <row r="671" spans="1:28" x14ac:dyDescent="0.25">
      <c r="A671" t="s">
        <v>675</v>
      </c>
      <c r="B671">
        <v>0.99796759195183404</v>
      </c>
      <c r="C671">
        <v>0.96997459752662096</v>
      </c>
      <c r="D671">
        <v>0.951170100202406</v>
      </c>
      <c r="E671">
        <v>0.86327359409259596</v>
      </c>
      <c r="F671">
        <v>0.83619311495677195</v>
      </c>
      <c r="G671">
        <v>0.47155565968073798</v>
      </c>
      <c r="H671">
        <v>0.44600542497472301</v>
      </c>
      <c r="I671">
        <v>0.39698196124587598</v>
      </c>
      <c r="J671">
        <v>0.27500938535716002</v>
      </c>
      <c r="K671">
        <v>0.19856747693823101</v>
      </c>
      <c r="L671">
        <v>624.98509402828597</v>
      </c>
      <c r="M671">
        <v>11.6130039639597</v>
      </c>
      <c r="N671">
        <v>55.651952250053697</v>
      </c>
      <c r="O671">
        <v>52.296119128362299</v>
      </c>
      <c r="P671">
        <v>-4.6700774292979703E-2</v>
      </c>
      <c r="Q671">
        <v>0.15901115449891001</v>
      </c>
      <c r="R671">
        <v>0.96948886762157105</v>
      </c>
      <c r="S671" t="s">
        <v>6254</v>
      </c>
      <c r="T671" t="s">
        <v>11164</v>
      </c>
      <c r="U671" t="s">
        <v>11164</v>
      </c>
      <c r="V671" t="s">
        <v>11164</v>
      </c>
      <c r="W671" t="s">
        <v>11827</v>
      </c>
      <c r="X671">
        <v>3</v>
      </c>
      <c r="Y671" t="s">
        <v>17361</v>
      </c>
      <c r="Z671" t="s">
        <v>22821</v>
      </c>
      <c r="AA671">
        <v>0.64614880085807636</v>
      </c>
      <c r="AB671" t="str">
        <f>HYPERLINK("Melting_Curves/meltCurve_F8VQY2_UIMC1.pdf", "Melting_Curves/meltCurve_F8VQY2_UIMC1.pdf")</f>
        <v>Melting_Curves/meltCurve_F8VQY2_UIMC1.pdf</v>
      </c>
    </row>
    <row r="672" spans="1:28" x14ac:dyDescent="0.25">
      <c r="A672" t="s">
        <v>676</v>
      </c>
      <c r="B672">
        <v>0.99796759195183404</v>
      </c>
      <c r="C672">
        <v>0.97997315505940896</v>
      </c>
      <c r="D672">
        <v>1.2256674880715399</v>
      </c>
      <c r="E672">
        <v>0.97484788173510495</v>
      </c>
      <c r="F672">
        <v>1.0067193626433699</v>
      </c>
      <c r="G672">
        <v>0.49136686348924402</v>
      </c>
      <c r="H672">
        <v>0.47760448667251698</v>
      </c>
      <c r="I672">
        <v>0.49042053451689199</v>
      </c>
      <c r="J672">
        <v>0.50768442462641405</v>
      </c>
      <c r="K672">
        <v>0.57671231776908405</v>
      </c>
      <c r="L672">
        <v>12962.042823130099</v>
      </c>
      <c r="M672">
        <v>250</v>
      </c>
      <c r="O672">
        <v>51.844853447815701</v>
      </c>
      <c r="P672">
        <v>-0.59221506140552305</v>
      </c>
      <c r="Q672">
        <v>0.50874715237932899</v>
      </c>
      <c r="R672">
        <v>0.92224936453253903</v>
      </c>
      <c r="S672" t="s">
        <v>6255</v>
      </c>
      <c r="T672" t="s">
        <v>11164</v>
      </c>
      <c r="U672" t="s">
        <v>11164</v>
      </c>
      <c r="V672" t="s">
        <v>11164</v>
      </c>
      <c r="W672" t="s">
        <v>11828</v>
      </c>
      <c r="X672">
        <v>17</v>
      </c>
      <c r="Y672" t="s">
        <v>17362</v>
      </c>
      <c r="Z672" t="s">
        <v>22822</v>
      </c>
      <c r="AA672">
        <v>0.75193206713253535</v>
      </c>
      <c r="AB672" t="str">
        <f>HYPERLINK("Melting_Curves/meltCurve_F8VQZ7_METAP2.pdf", "Melting_Curves/meltCurve_F8VQZ7_METAP2.pdf")</f>
        <v>Melting_Curves/meltCurve_F8VQZ7_METAP2.pdf</v>
      </c>
    </row>
    <row r="673" spans="1:28" x14ac:dyDescent="0.25">
      <c r="A673" t="s">
        <v>677</v>
      </c>
      <c r="B673">
        <v>0.99796759195183404</v>
      </c>
      <c r="C673">
        <v>1.08889782219369</v>
      </c>
      <c r="D673">
        <v>0.92855564961971404</v>
      </c>
      <c r="E673">
        <v>0.86526850433624103</v>
      </c>
      <c r="F673">
        <v>0.81251105404037705</v>
      </c>
      <c r="G673">
        <v>0.50865213677652099</v>
      </c>
      <c r="H673">
        <v>0.52314923431776195</v>
      </c>
      <c r="I673">
        <v>0.463760483607216</v>
      </c>
      <c r="J673">
        <v>0.67577640028584796</v>
      </c>
      <c r="K673">
        <v>0.509774287905017</v>
      </c>
      <c r="L673">
        <v>1193.83105071921</v>
      </c>
      <c r="M673">
        <v>24.041052801174001</v>
      </c>
      <c r="O673">
        <v>49.3182644196174</v>
      </c>
      <c r="P673">
        <v>-5.7584332823282298E-2</v>
      </c>
      <c r="Q673">
        <v>0.52748915975487698</v>
      </c>
      <c r="R673">
        <v>0.88546006283703105</v>
      </c>
      <c r="S673" t="s">
        <v>6256</v>
      </c>
      <c r="T673" t="s">
        <v>11164</v>
      </c>
      <c r="U673" t="s">
        <v>11164</v>
      </c>
      <c r="V673" t="s">
        <v>11164</v>
      </c>
      <c r="W673" t="s">
        <v>11829</v>
      </c>
      <c r="X673">
        <v>2</v>
      </c>
      <c r="Y673" t="s">
        <v>17363</v>
      </c>
      <c r="Z673" t="s">
        <v>22823</v>
      </c>
      <c r="AA673">
        <v>0.73129341477149745</v>
      </c>
      <c r="AB673" t="str">
        <f>HYPERLINK("Melting_Curves/meltCurve_F8VSL3_NFYB.pdf", "Melting_Curves/meltCurve_F8VSL3_NFYB.pdf")</f>
        <v>Melting_Curves/meltCurve_F8VSL3_NFYB.pdf</v>
      </c>
    </row>
    <row r="674" spans="1:28" x14ac:dyDescent="0.25">
      <c r="A674" t="s">
        <v>678</v>
      </c>
      <c r="B674">
        <v>0.99796759195183404</v>
      </c>
      <c r="C674">
        <v>1.15683300975409</v>
      </c>
      <c r="D674">
        <v>1.1714742715800299</v>
      </c>
      <c r="E674">
        <v>1.09589427318515</v>
      </c>
      <c r="F674">
        <v>0.950691490656844</v>
      </c>
      <c r="G674">
        <v>1.0192542206111901</v>
      </c>
      <c r="H674">
        <v>0.60193894567092399</v>
      </c>
      <c r="I674">
        <v>0.16061324972469401</v>
      </c>
      <c r="J674">
        <v>0.12775561495423601</v>
      </c>
      <c r="K674">
        <v>0</v>
      </c>
      <c r="L674">
        <v>2513.2572099041199</v>
      </c>
      <c r="M674">
        <v>43.413481018358503</v>
      </c>
      <c r="N674">
        <v>58.055755530724099</v>
      </c>
      <c r="O674">
        <v>57.768739498162802</v>
      </c>
      <c r="P674">
        <v>-0.17699802317879501</v>
      </c>
      <c r="Q674">
        <v>5.7902095095852799E-2</v>
      </c>
      <c r="R674">
        <v>0.96137516329000505</v>
      </c>
      <c r="S674" t="s">
        <v>6257</v>
      </c>
      <c r="T674" t="s">
        <v>11164</v>
      </c>
      <c r="U674" t="s">
        <v>11164</v>
      </c>
      <c r="V674" t="s">
        <v>11164</v>
      </c>
      <c r="W674" t="s">
        <v>11830</v>
      </c>
      <c r="X674">
        <v>2</v>
      </c>
      <c r="Y674" t="s">
        <v>17364</v>
      </c>
      <c r="Z674" t="s">
        <v>22824</v>
      </c>
      <c r="AA674">
        <v>0.71698799581199768</v>
      </c>
      <c r="AB674" t="str">
        <f>HYPERLINK("Melting_Curves/meltCurve_F8VSZ4_PLXNA1.pdf", "Melting_Curves/meltCurve_F8VSZ4_PLXNA1.pdf")</f>
        <v>Melting_Curves/meltCurve_F8VSZ4_PLXNA1.pdf</v>
      </c>
    </row>
    <row r="675" spans="1:28" x14ac:dyDescent="0.25">
      <c r="A675" t="s">
        <v>679</v>
      </c>
      <c r="B675">
        <v>0.99796759195183404</v>
      </c>
      <c r="C675">
        <v>0.81545804702637104</v>
      </c>
      <c r="D675">
        <v>0.757939651567892</v>
      </c>
      <c r="E675">
        <v>0.60632179905567396</v>
      </c>
      <c r="F675">
        <v>0.63807783070466795</v>
      </c>
      <c r="G675">
        <v>0.64953418736934099</v>
      </c>
      <c r="H675">
        <v>0.52475773379181601</v>
      </c>
      <c r="I675">
        <v>0.36428930829577999</v>
      </c>
      <c r="J675">
        <v>0.42042904350514498</v>
      </c>
      <c r="K675">
        <v>0.29043179687696302</v>
      </c>
      <c r="L675">
        <v>235.29556254135099</v>
      </c>
      <c r="M675">
        <v>4.1670474406025102</v>
      </c>
      <c r="N675">
        <v>56.465774791968101</v>
      </c>
      <c r="O675">
        <v>46.945920508850598</v>
      </c>
      <c r="P675">
        <v>-2.2440607077938102E-2</v>
      </c>
      <c r="Q675">
        <v>0</v>
      </c>
      <c r="R675">
        <v>0.90247033629954398</v>
      </c>
      <c r="S675" t="s">
        <v>6258</v>
      </c>
      <c r="T675" t="s">
        <v>11164</v>
      </c>
      <c r="U675" t="s">
        <v>11164</v>
      </c>
      <c r="V675" t="s">
        <v>11164</v>
      </c>
      <c r="W675" t="s">
        <v>11831</v>
      </c>
      <c r="X675">
        <v>1</v>
      </c>
      <c r="Y675" t="s">
        <v>17365</v>
      </c>
      <c r="Z675" t="s">
        <v>22825</v>
      </c>
      <c r="AA675">
        <v>0.60199440301447527</v>
      </c>
      <c r="AB675" t="str">
        <f>HYPERLINK("Melting_Curves/meltCurve_F8VUA8_C14orf79.pdf", "Melting_Curves/meltCurve_F8VUA8_C14orf79.pdf")</f>
        <v>Melting_Curves/meltCurve_F8VUA8_C14orf79.pdf</v>
      </c>
    </row>
    <row r="676" spans="1:28" x14ac:dyDescent="0.25">
      <c r="A676" t="s">
        <v>680</v>
      </c>
      <c r="B676">
        <v>0.99796759195183404</v>
      </c>
      <c r="C676">
        <v>0.94635729688987602</v>
      </c>
      <c r="D676">
        <v>0.92209504349363403</v>
      </c>
      <c r="E676">
        <v>0.90089119163897102</v>
      </c>
      <c r="F676">
        <v>0.782645508765347</v>
      </c>
      <c r="G676">
        <v>0.61033477335123498</v>
      </c>
      <c r="H676">
        <v>0.51014840982913501</v>
      </c>
      <c r="I676">
        <v>0.43940589713132999</v>
      </c>
      <c r="J676">
        <v>0.462994101927173</v>
      </c>
      <c r="K676">
        <v>0.37565364757022701</v>
      </c>
      <c r="L676">
        <v>621.73604542421799</v>
      </c>
      <c r="M676">
        <v>11.8541120527003</v>
      </c>
      <c r="N676">
        <v>58.3871921890591</v>
      </c>
      <c r="O676">
        <v>51.023156110706402</v>
      </c>
      <c r="P676">
        <v>-3.7748589099371697E-2</v>
      </c>
      <c r="Q676">
        <v>0.35024560666634103</v>
      </c>
      <c r="R676">
        <v>0.98718491160328703</v>
      </c>
      <c r="S676" t="s">
        <v>6259</v>
      </c>
      <c r="T676" t="s">
        <v>11164</v>
      </c>
      <c r="U676" t="s">
        <v>11164</v>
      </c>
      <c r="V676" t="s">
        <v>11164</v>
      </c>
      <c r="W676" t="s">
        <v>11832</v>
      </c>
      <c r="X676">
        <v>2</v>
      </c>
      <c r="Y676" t="s">
        <v>17366</v>
      </c>
      <c r="Z676" t="s">
        <v>22826</v>
      </c>
      <c r="AA676">
        <v>0.69965662227559233</v>
      </c>
      <c r="AB676" t="str">
        <f>HYPERLINK("Melting_Curves/meltCurve_F8VUY8_SLC38A2.pdf", "Melting_Curves/meltCurve_F8VUY8_SLC38A2.pdf")</f>
        <v>Melting_Curves/meltCurve_F8VUY8_SLC38A2.pdf</v>
      </c>
    </row>
    <row r="677" spans="1:28" x14ac:dyDescent="0.25">
      <c r="A677" t="s">
        <v>681</v>
      </c>
      <c r="B677">
        <v>0.99796759195183404</v>
      </c>
      <c r="C677">
        <v>1.0183936305524599</v>
      </c>
      <c r="D677">
        <v>0.94173138024630099</v>
      </c>
      <c r="E677">
        <v>0.76437101500414795</v>
      </c>
      <c r="F677">
        <v>0.97284148356745204</v>
      </c>
      <c r="G677">
        <v>0.50818955162183999</v>
      </c>
      <c r="H677">
        <v>0.29574992064546302</v>
      </c>
      <c r="I677">
        <v>0.15076591003322701</v>
      </c>
      <c r="J677">
        <v>0.124582471031067</v>
      </c>
      <c r="K677">
        <v>0.139178045862141</v>
      </c>
      <c r="L677">
        <v>1375.8482574366701</v>
      </c>
      <c r="M677">
        <v>25.61237106443</v>
      </c>
      <c r="N677">
        <v>54.317104428305797</v>
      </c>
      <c r="O677">
        <v>53.3938513068817</v>
      </c>
      <c r="P677">
        <v>-0.10516926447076901</v>
      </c>
      <c r="Q677">
        <v>0.123029499461872</v>
      </c>
      <c r="R677">
        <v>0.95268992157240695</v>
      </c>
      <c r="S677" t="s">
        <v>6260</v>
      </c>
      <c r="T677" t="s">
        <v>11164</v>
      </c>
      <c r="U677" t="s">
        <v>11164</v>
      </c>
      <c r="V677" t="s">
        <v>11164</v>
      </c>
      <c r="W677" t="s">
        <v>11833</v>
      </c>
      <c r="X677">
        <v>14</v>
      </c>
      <c r="Y677" t="s">
        <v>17367</v>
      </c>
      <c r="Z677" t="s">
        <v>22827</v>
      </c>
      <c r="AA677">
        <v>0.61912780119804078</v>
      </c>
      <c r="AB677" t="str">
        <f>HYPERLINK("Melting_Curves/meltCurve_F8VV59_NAP1L1.pdf", "Melting_Curves/meltCurve_F8VV59_NAP1L1.pdf")</f>
        <v>Melting_Curves/meltCurve_F8VV59_NAP1L1.pdf</v>
      </c>
    </row>
    <row r="678" spans="1:28" x14ac:dyDescent="0.25">
      <c r="A678" t="s">
        <v>682</v>
      </c>
      <c r="B678">
        <v>0.99796759195183404</v>
      </c>
      <c r="C678">
        <v>0.97133274809075598</v>
      </c>
      <c r="D678">
        <v>0.98090161362649797</v>
      </c>
      <c r="E678">
        <v>0.88709541615459697</v>
      </c>
      <c r="F678">
        <v>0.69335131498584701</v>
      </c>
      <c r="G678">
        <v>0.62613321357923801</v>
      </c>
      <c r="H678">
        <v>0.39603919670673599</v>
      </c>
      <c r="I678">
        <v>0.268337252759837</v>
      </c>
      <c r="J678">
        <v>0.14733519533296699</v>
      </c>
      <c r="K678">
        <v>8.1446602996538095E-2</v>
      </c>
      <c r="L678">
        <v>629.20338435992903</v>
      </c>
      <c r="M678">
        <v>11.407788985730701</v>
      </c>
      <c r="N678">
        <v>55.155605721797897</v>
      </c>
      <c r="O678">
        <v>53.542319273797297</v>
      </c>
      <c r="P678">
        <v>-5.3280908691473103E-2</v>
      </c>
      <c r="Q678">
        <v>0</v>
      </c>
      <c r="R678">
        <v>0.99174941313669895</v>
      </c>
      <c r="S678" t="s">
        <v>6261</v>
      </c>
      <c r="T678" t="s">
        <v>11164</v>
      </c>
      <c r="U678" t="s">
        <v>11164</v>
      </c>
      <c r="V678" t="s">
        <v>11164</v>
      </c>
      <c r="W678" t="s">
        <v>11834</v>
      </c>
      <c r="X678">
        <v>5</v>
      </c>
      <c r="Y678" t="s">
        <v>17368</v>
      </c>
      <c r="Z678" t="s">
        <v>22828</v>
      </c>
      <c r="AA678">
        <v>0.61831126741254494</v>
      </c>
      <c r="AB678" t="str">
        <f>HYPERLINK("Melting_Curves/meltCurve_F8VVA7_COPZ1.pdf", "Melting_Curves/meltCurve_F8VVA7_COPZ1.pdf")</f>
        <v>Melting_Curves/meltCurve_F8VVA7_COPZ1.pdf</v>
      </c>
    </row>
    <row r="679" spans="1:28" x14ac:dyDescent="0.25">
      <c r="A679" t="s">
        <v>683</v>
      </c>
      <c r="B679">
        <v>0.99796759195183404</v>
      </c>
      <c r="C679">
        <v>1.0040913979758701</v>
      </c>
      <c r="D679">
        <v>0.93411865658245696</v>
      </c>
      <c r="E679">
        <v>0.88195052381792405</v>
      </c>
      <c r="F679">
        <v>0.82019452565849005</v>
      </c>
      <c r="G679">
        <v>0.72783361730835205</v>
      </c>
      <c r="H679">
        <v>0.69150088331485604</v>
      </c>
      <c r="I679">
        <v>0.59612162964516602</v>
      </c>
      <c r="J679">
        <v>0.58363549126243497</v>
      </c>
      <c r="K679">
        <v>0.38755577714863298</v>
      </c>
      <c r="L679">
        <v>357.22837875985999</v>
      </c>
      <c r="M679">
        <v>5.5111633230961496</v>
      </c>
      <c r="N679">
        <v>64.819051408138407</v>
      </c>
      <c r="O679">
        <v>57.782646100782699</v>
      </c>
      <c r="P679">
        <v>-2.39486569284015E-2</v>
      </c>
      <c r="Q679">
        <v>0</v>
      </c>
      <c r="R679">
        <v>0.96627804160103903</v>
      </c>
      <c r="S679" t="s">
        <v>6262</v>
      </c>
      <c r="T679" t="s">
        <v>11164</v>
      </c>
      <c r="U679" t="s">
        <v>11164</v>
      </c>
      <c r="V679" t="s">
        <v>11164</v>
      </c>
      <c r="W679" t="s">
        <v>11835</v>
      </c>
      <c r="X679">
        <v>1</v>
      </c>
      <c r="Y679" t="s">
        <v>17369</v>
      </c>
      <c r="Z679" t="s">
        <v>22829</v>
      </c>
      <c r="AA679">
        <v>0.76782117369178016</v>
      </c>
      <c r="AB679" t="str">
        <f>HYPERLINK("Melting_Curves/meltCurve_F8VVB6_NELL2.pdf", "Melting_Curves/meltCurve_F8VVB6_NELL2.pdf")</f>
        <v>Melting_Curves/meltCurve_F8VVB6_NELL2.pdf</v>
      </c>
    </row>
    <row r="680" spans="1:28" x14ac:dyDescent="0.25">
      <c r="A680" t="s">
        <v>684</v>
      </c>
      <c r="B680">
        <v>0.99796759195183404</v>
      </c>
      <c r="C680">
        <v>1.00926092547392</v>
      </c>
      <c r="D680">
        <v>1.0188649429166099</v>
      </c>
      <c r="E680">
        <v>0.99567837870454701</v>
      </c>
      <c r="F680">
        <v>0.85782466259632095</v>
      </c>
      <c r="G680">
        <v>0.59975455218495799</v>
      </c>
      <c r="H680">
        <v>0.62905973126810399</v>
      </c>
      <c r="I680">
        <v>0.55339488720330099</v>
      </c>
      <c r="J680">
        <v>0.69985452036448903</v>
      </c>
      <c r="K680">
        <v>0.70802967470886902</v>
      </c>
      <c r="L680">
        <v>12571.8713419428</v>
      </c>
      <c r="M680">
        <v>250</v>
      </c>
      <c r="O680">
        <v>50.284267283250102</v>
      </c>
      <c r="P680">
        <v>-0.44991872087157198</v>
      </c>
      <c r="Q680">
        <v>0.63801866883075697</v>
      </c>
      <c r="R680">
        <v>0.94419097345944003</v>
      </c>
      <c r="S680" t="s">
        <v>6263</v>
      </c>
      <c r="T680" t="s">
        <v>11164</v>
      </c>
      <c r="U680" t="s">
        <v>11164</v>
      </c>
      <c r="V680" t="s">
        <v>11164</v>
      </c>
      <c r="W680" t="s">
        <v>11836</v>
      </c>
      <c r="X680">
        <v>17</v>
      </c>
      <c r="Y680" t="s">
        <v>17370</v>
      </c>
      <c r="Z680" t="s">
        <v>22830</v>
      </c>
      <c r="AA680">
        <v>0.79837800308609552</v>
      </c>
      <c r="AB680" t="str">
        <f>HYPERLINK("Melting_Curves/meltCurve_F8VW96_CSRP2.pdf", "Melting_Curves/meltCurve_F8VW96_CSRP2.pdf")</f>
        <v>Melting_Curves/meltCurve_F8VW96_CSRP2.pdf</v>
      </c>
    </row>
    <row r="681" spans="1:28" x14ac:dyDescent="0.25">
      <c r="A681" t="s">
        <v>685</v>
      </c>
      <c r="B681">
        <v>0.99796759195183404</v>
      </c>
      <c r="C681">
        <v>0.92829594810655902</v>
      </c>
      <c r="D681">
        <v>0.92377643854241998</v>
      </c>
      <c r="E681">
        <v>0.95177280605916303</v>
      </c>
      <c r="F681">
        <v>0.83628175943166605</v>
      </c>
      <c r="G681">
        <v>0.43647356282211203</v>
      </c>
      <c r="H681">
        <v>0.30506268001919301</v>
      </c>
      <c r="I681">
        <v>0.39946449023321801</v>
      </c>
      <c r="J681">
        <v>0.223370698458985</v>
      </c>
      <c r="K681">
        <v>0.21227127633652801</v>
      </c>
      <c r="L681">
        <v>1649.8529980003</v>
      </c>
      <c r="M681">
        <v>31.761800510459601</v>
      </c>
      <c r="N681">
        <v>53.259098985827897</v>
      </c>
      <c r="O681">
        <v>51.739955627450001</v>
      </c>
      <c r="P681">
        <v>-0.111772037974516</v>
      </c>
      <c r="Q681">
        <v>0.27169743194715701</v>
      </c>
      <c r="R681">
        <v>0.96660741716384202</v>
      </c>
      <c r="S681" t="s">
        <v>6264</v>
      </c>
      <c r="T681" t="s">
        <v>11164</v>
      </c>
      <c r="U681" t="s">
        <v>11164</v>
      </c>
      <c r="V681" t="s">
        <v>11164</v>
      </c>
      <c r="W681" t="s">
        <v>11837</v>
      </c>
      <c r="X681">
        <v>2</v>
      </c>
      <c r="Y681" t="s">
        <v>17371</v>
      </c>
      <c r="Z681" t="s">
        <v>22831</v>
      </c>
      <c r="AA681">
        <v>0.63861627985721614</v>
      </c>
      <c r="AB681" t="str">
        <f>HYPERLINK("Melting_Curves/meltCurve_F8VWA5_CASP9.pdf", "Melting_Curves/meltCurve_F8VWA5_CASP9.pdf")</f>
        <v>Melting_Curves/meltCurve_F8VWA5_CASP9.pdf</v>
      </c>
    </row>
    <row r="682" spans="1:28" x14ac:dyDescent="0.25">
      <c r="A682" t="s">
        <v>686</v>
      </c>
      <c r="B682">
        <v>0.99796759195183404</v>
      </c>
      <c r="C682">
        <v>1.3335299406572501</v>
      </c>
      <c r="D682">
        <v>1.2109338777241201</v>
      </c>
      <c r="E682">
        <v>1.25310110167998</v>
      </c>
      <c r="F682">
        <v>1.07119768421077</v>
      </c>
      <c r="G682">
        <v>1.01621913234815</v>
      </c>
      <c r="H682">
        <v>0.33657037833632097</v>
      </c>
      <c r="I682">
        <v>0.36177352266537499</v>
      </c>
      <c r="J682">
        <v>0.25608429323324</v>
      </c>
      <c r="K682">
        <v>0.31487710681735098</v>
      </c>
      <c r="L682">
        <v>14163.3069089783</v>
      </c>
      <c r="M682">
        <v>250</v>
      </c>
      <c r="N682">
        <v>56.8744566873144</v>
      </c>
      <c r="O682">
        <v>56.649607100632103</v>
      </c>
      <c r="P682">
        <v>-0.76025316846787905</v>
      </c>
      <c r="Q682">
        <v>0.31091136762548299</v>
      </c>
      <c r="R682">
        <v>0.86844831227779395</v>
      </c>
      <c r="S682" t="s">
        <v>6265</v>
      </c>
      <c r="T682" t="s">
        <v>11164</v>
      </c>
      <c r="U682" t="s">
        <v>11164</v>
      </c>
      <c r="V682" t="s">
        <v>11164</v>
      </c>
      <c r="W682" t="s">
        <v>11838</v>
      </c>
      <c r="X682">
        <v>1</v>
      </c>
      <c r="Y682" t="s">
        <v>17372</v>
      </c>
      <c r="Z682" t="s">
        <v>22832</v>
      </c>
      <c r="AA682">
        <v>0.7624070724091071</v>
      </c>
      <c r="AB682" t="str">
        <f>HYPERLINK("Melting_Curves/meltCurve_F8VWA9_ALG10B.pdf", "Melting_Curves/meltCurve_F8VWA9_ALG10B.pdf")</f>
        <v>Melting_Curves/meltCurve_F8VWA9_ALG10B.pdf</v>
      </c>
    </row>
    <row r="683" spans="1:28" x14ac:dyDescent="0.25">
      <c r="A683" t="s">
        <v>687</v>
      </c>
      <c r="B683">
        <v>0.99796759195183404</v>
      </c>
      <c r="C683">
        <v>0.86697470577260805</v>
      </c>
      <c r="D683">
        <v>0.91741273920052502</v>
      </c>
      <c r="E683">
        <v>1.0054710649836101</v>
      </c>
      <c r="F683">
        <v>0.75838131062179404</v>
      </c>
      <c r="G683">
        <v>0.56559516381128305</v>
      </c>
      <c r="H683">
        <v>0.678439731391143</v>
      </c>
      <c r="I683">
        <v>0.62935431686768695</v>
      </c>
      <c r="J683">
        <v>0.71685770573868901</v>
      </c>
      <c r="K683">
        <v>0.69748434158311901</v>
      </c>
      <c r="L683">
        <v>12506.131482206099</v>
      </c>
      <c r="M683">
        <v>250</v>
      </c>
      <c r="O683">
        <v>50.021320310805002</v>
      </c>
      <c r="P683">
        <v>-0.42788469524555101</v>
      </c>
      <c r="Q683">
        <v>0.65754625202139305</v>
      </c>
      <c r="R683">
        <v>0.81691008542480803</v>
      </c>
      <c r="S683" t="s">
        <v>6266</v>
      </c>
      <c r="T683" t="s">
        <v>11164</v>
      </c>
      <c r="U683" t="s">
        <v>11164</v>
      </c>
      <c r="V683" t="s">
        <v>11164</v>
      </c>
      <c r="W683" t="s">
        <v>11839</v>
      </c>
      <c r="X683">
        <v>2</v>
      </c>
      <c r="Y683" t="s">
        <v>17373</v>
      </c>
      <c r="Z683" t="s">
        <v>22833</v>
      </c>
      <c r="AA683">
        <v>0.80625290747707956</v>
      </c>
      <c r="AB683" t="str">
        <f>HYPERLINK("Melting_Curves/meltCurve_F8VWE0_TSPAN31.pdf", "Melting_Curves/meltCurve_F8VWE0_TSPAN31.pdf")</f>
        <v>Melting_Curves/meltCurve_F8VWE0_TSPAN31.pdf</v>
      </c>
    </row>
    <row r="684" spans="1:28" x14ac:dyDescent="0.25">
      <c r="A684" t="s">
        <v>688</v>
      </c>
      <c r="B684">
        <v>0.99796759195183404</v>
      </c>
      <c r="C684">
        <v>1.0409404799898301</v>
      </c>
      <c r="D684">
        <v>1.01370914259358</v>
      </c>
      <c r="E684">
        <v>0.95827441807102098</v>
      </c>
      <c r="F684">
        <v>0.79769410573856603</v>
      </c>
      <c r="G684">
        <v>0.276501710404156</v>
      </c>
      <c r="H684">
        <v>0.21102276881816401</v>
      </c>
      <c r="I684">
        <v>0.16416528643943201</v>
      </c>
      <c r="J684">
        <v>0.13718131244840701</v>
      </c>
      <c r="K684">
        <v>0.101160873763406</v>
      </c>
      <c r="L684">
        <v>2010.6230943964799</v>
      </c>
      <c r="M684">
        <v>38.941479789813698</v>
      </c>
      <c r="N684">
        <v>52.091593140483702</v>
      </c>
      <c r="O684">
        <v>51.496316318056103</v>
      </c>
      <c r="P684">
        <v>-0.16156118556222901</v>
      </c>
      <c r="Q684">
        <v>0.145406208832948</v>
      </c>
      <c r="R684">
        <v>0.99510699772610001</v>
      </c>
      <c r="S684" t="s">
        <v>6267</v>
      </c>
      <c r="T684" t="s">
        <v>11164</v>
      </c>
      <c r="U684" t="s">
        <v>11164</v>
      </c>
      <c r="V684" t="s">
        <v>11164</v>
      </c>
      <c r="W684" t="s">
        <v>11840</v>
      </c>
      <c r="X684">
        <v>11</v>
      </c>
      <c r="Y684" t="s">
        <v>17374</v>
      </c>
      <c r="Z684" t="s">
        <v>22834</v>
      </c>
      <c r="AA684">
        <v>0.56542916284595701</v>
      </c>
      <c r="AB684" t="str">
        <f>HYPERLINK("Melting_Curves/meltCurve_F8VWH9_ARFGAP1.pdf", "Melting_Curves/meltCurve_F8VWH9_ARFGAP1.pdf")</f>
        <v>Melting_Curves/meltCurve_F8VWH9_ARFGAP1.pdf</v>
      </c>
    </row>
    <row r="685" spans="1:28" x14ac:dyDescent="0.25">
      <c r="A685" t="s">
        <v>689</v>
      </c>
      <c r="B685">
        <v>0.99796759195183404</v>
      </c>
      <c r="C685">
        <v>0.874500550603728</v>
      </c>
      <c r="D685">
        <v>0.78609973887676399</v>
      </c>
      <c r="E685">
        <v>0.74509627270330103</v>
      </c>
      <c r="F685">
        <v>0.56733725938996105</v>
      </c>
      <c r="G685">
        <v>0.47632007710748703</v>
      </c>
      <c r="H685">
        <v>0.38258911504054599</v>
      </c>
      <c r="I685">
        <v>0.21717840474265099</v>
      </c>
      <c r="J685">
        <v>0.156418065350133</v>
      </c>
      <c r="K685">
        <v>0.14970085376042</v>
      </c>
      <c r="L685">
        <v>397.56009536999397</v>
      </c>
      <c r="M685">
        <v>7.6106622700991702</v>
      </c>
      <c r="N685">
        <v>52.237253613267796</v>
      </c>
      <c r="O685">
        <v>48.996809715695498</v>
      </c>
      <c r="P685">
        <v>-3.8885329449960503E-2</v>
      </c>
      <c r="Q685">
        <v>0</v>
      </c>
      <c r="R685">
        <v>0.98523071850016897</v>
      </c>
      <c r="S685" t="s">
        <v>6268</v>
      </c>
      <c r="T685" t="s">
        <v>11164</v>
      </c>
      <c r="U685" t="s">
        <v>11164</v>
      </c>
      <c r="V685" t="s">
        <v>11164</v>
      </c>
      <c r="W685" t="s">
        <v>11841</v>
      </c>
      <c r="X685">
        <v>2</v>
      </c>
      <c r="Y685" t="s">
        <v>17375</v>
      </c>
      <c r="Z685" t="s">
        <v>22835</v>
      </c>
      <c r="AA685">
        <v>0.53491269715476097</v>
      </c>
      <c r="AB685" t="str">
        <f>HYPERLINK("Melting_Curves/meltCurve_F8VWL0_TFCP2.pdf", "Melting_Curves/meltCurve_F8VWL0_TFCP2.pdf")</f>
        <v>Melting_Curves/meltCurve_F8VWL0_TFCP2.pdf</v>
      </c>
    </row>
    <row r="686" spans="1:28" x14ac:dyDescent="0.25">
      <c r="A686" t="s">
        <v>690</v>
      </c>
      <c r="B686">
        <v>0.99796759195183404</v>
      </c>
      <c r="C686">
        <v>1.0851423864490599</v>
      </c>
      <c r="D686">
        <v>0.822591175112381</v>
      </c>
      <c r="E686">
        <v>0.78239875818279103</v>
      </c>
      <c r="F686">
        <v>1.1269654236373701</v>
      </c>
      <c r="G686">
        <v>1.0429825063170199</v>
      </c>
      <c r="H686">
        <v>1.3798009799811</v>
      </c>
      <c r="I686">
        <v>1.0301757307419099</v>
      </c>
      <c r="J686">
        <v>1.3143559564559</v>
      </c>
      <c r="K686">
        <v>0.63801185855360198</v>
      </c>
      <c r="L686">
        <v>15000</v>
      </c>
      <c r="M686">
        <v>223.31371813741899</v>
      </c>
      <c r="Q686">
        <v>0</v>
      </c>
      <c r="R686">
        <v>0.266054940219008</v>
      </c>
      <c r="S686" t="s">
        <v>6269</v>
      </c>
      <c r="T686" t="s">
        <v>11164</v>
      </c>
      <c r="U686" t="s">
        <v>11164</v>
      </c>
      <c r="V686" t="s">
        <v>11164</v>
      </c>
      <c r="W686" t="s">
        <v>11842</v>
      </c>
      <c r="X686">
        <v>2</v>
      </c>
      <c r="Y686" t="s">
        <v>17376</v>
      </c>
      <c r="Z686" t="s">
        <v>22836</v>
      </c>
      <c r="AA686">
        <v>0.99556162499978729</v>
      </c>
      <c r="AB686" t="str">
        <f>HYPERLINK("Melting_Curves/meltCurve_F8VX04_SLC38A1.pdf", "Melting_Curves/meltCurve_F8VX04_SLC38A1.pdf")</f>
        <v>Melting_Curves/meltCurve_F8VX04_SLC38A1.pdf</v>
      </c>
    </row>
    <row r="687" spans="1:28" x14ac:dyDescent="0.25">
      <c r="A687" t="s">
        <v>691</v>
      </c>
      <c r="B687">
        <v>0.99796759195183404</v>
      </c>
      <c r="C687">
        <v>0.949801274845263</v>
      </c>
      <c r="D687">
        <v>0.85092661413752502</v>
      </c>
      <c r="E687">
        <v>0.89467752190674099</v>
      </c>
      <c r="F687">
        <v>1.02849616814276</v>
      </c>
      <c r="G687">
        <v>0.54700730110889995</v>
      </c>
      <c r="H687">
        <v>0.40238666408436802</v>
      </c>
      <c r="I687">
        <v>0.28495522657215699</v>
      </c>
      <c r="J687">
        <v>0.308383258727354</v>
      </c>
      <c r="K687">
        <v>0.17180575304719101</v>
      </c>
      <c r="L687">
        <v>2381.8372245137798</v>
      </c>
      <c r="M687">
        <v>44.623280088117298</v>
      </c>
      <c r="N687">
        <v>54.371795004067799</v>
      </c>
      <c r="O687">
        <v>53.269695735402202</v>
      </c>
      <c r="P687">
        <v>-0.150977159669966</v>
      </c>
      <c r="Q687">
        <v>0.279076164191079</v>
      </c>
      <c r="R687">
        <v>0.93801038991733598</v>
      </c>
      <c r="S687" t="s">
        <v>6270</v>
      </c>
      <c r="T687" t="s">
        <v>11164</v>
      </c>
      <c r="U687" t="s">
        <v>11164</v>
      </c>
      <c r="V687" t="s">
        <v>11164</v>
      </c>
      <c r="W687" t="s">
        <v>11843</v>
      </c>
      <c r="X687">
        <v>4</v>
      </c>
      <c r="Y687" t="s">
        <v>17377</v>
      </c>
      <c r="Z687" t="s">
        <v>22837</v>
      </c>
      <c r="AA687">
        <v>0.67474657376768932</v>
      </c>
      <c r="AB687" t="str">
        <f>HYPERLINK("Melting_Curves/meltCurve_F8VXC8_SMARCC2.pdf", "Melting_Curves/meltCurve_F8VXC8_SMARCC2.pdf")</f>
        <v>Melting_Curves/meltCurve_F8VXC8_SMARCC2.pdf</v>
      </c>
    </row>
    <row r="688" spans="1:28" x14ac:dyDescent="0.25">
      <c r="A688" t="s">
        <v>692</v>
      </c>
      <c r="B688">
        <v>0.99796759195183404</v>
      </c>
      <c r="C688">
        <v>0.970038768271546</v>
      </c>
      <c r="D688">
        <v>0.96760939494450904</v>
      </c>
      <c r="E688">
        <v>0.944519525821088</v>
      </c>
      <c r="F688">
        <v>0.87231086464013097</v>
      </c>
      <c r="G688">
        <v>0.69195664589054195</v>
      </c>
      <c r="H688">
        <v>0.599330157055186</v>
      </c>
      <c r="I688">
        <v>0.496024537741309</v>
      </c>
      <c r="J688">
        <v>0.31908083865166698</v>
      </c>
      <c r="K688">
        <v>0.23725064652924899</v>
      </c>
      <c r="L688">
        <v>568.25862125660296</v>
      </c>
      <c r="M688">
        <v>9.5356079927381998</v>
      </c>
      <c r="N688">
        <v>59.593345104725898</v>
      </c>
      <c r="O688">
        <v>57.149076882254903</v>
      </c>
      <c r="P688">
        <v>-4.17380690625931E-2</v>
      </c>
      <c r="Q688">
        <v>0</v>
      </c>
      <c r="R688">
        <v>0.99138710824806497</v>
      </c>
      <c r="S688" t="s">
        <v>6271</v>
      </c>
      <c r="T688" t="s">
        <v>11164</v>
      </c>
      <c r="U688" t="s">
        <v>11164</v>
      </c>
      <c r="V688" t="s">
        <v>11164</v>
      </c>
      <c r="W688" t="s">
        <v>11844</v>
      </c>
      <c r="X688">
        <v>5</v>
      </c>
      <c r="Y688" t="s">
        <v>17378</v>
      </c>
      <c r="Z688" t="s">
        <v>22838</v>
      </c>
      <c r="AA688">
        <v>0.72724053733451477</v>
      </c>
      <c r="AB688" t="str">
        <f>HYPERLINK("Melting_Curves/meltCurve_F8VXG7_SCAF11.pdf", "Melting_Curves/meltCurve_F8VXG7_SCAF11.pdf")</f>
        <v>Melting_Curves/meltCurve_F8VXG7_SCAF11.pdf</v>
      </c>
    </row>
    <row r="689" spans="1:28" x14ac:dyDescent="0.25">
      <c r="A689" t="s">
        <v>693</v>
      </c>
      <c r="B689">
        <v>0.99796759195183404</v>
      </c>
      <c r="C689">
        <v>1.07098168465336</v>
      </c>
      <c r="D689">
        <v>0.93650895269313095</v>
      </c>
      <c r="E689">
        <v>0.68434595619171401</v>
      </c>
      <c r="F689">
        <v>0.45492155568559001</v>
      </c>
      <c r="G689">
        <v>0.44549531028148198</v>
      </c>
      <c r="H689">
        <v>0.286563206739056</v>
      </c>
      <c r="I689">
        <v>0.31675260602708899</v>
      </c>
      <c r="J689">
        <v>0.18911914906725699</v>
      </c>
      <c r="K689">
        <v>0.16563804458172701</v>
      </c>
      <c r="L689">
        <v>721.38768995644398</v>
      </c>
      <c r="M689">
        <v>14.857301233504799</v>
      </c>
      <c r="N689">
        <v>50.409535481506801</v>
      </c>
      <c r="O689">
        <v>47.700259229848903</v>
      </c>
      <c r="P689">
        <v>-6.1476320273581901E-2</v>
      </c>
      <c r="Q689">
        <v>0.21058918863560599</v>
      </c>
      <c r="R689">
        <v>0.96826971193895806</v>
      </c>
      <c r="S689" t="s">
        <v>6272</v>
      </c>
      <c r="T689" t="s">
        <v>11164</v>
      </c>
      <c r="U689" t="s">
        <v>11164</v>
      </c>
      <c r="V689" t="s">
        <v>11164</v>
      </c>
      <c r="W689" t="s">
        <v>11845</v>
      </c>
      <c r="X689">
        <v>3</v>
      </c>
      <c r="Y689" t="s">
        <v>17379</v>
      </c>
      <c r="Z689" t="s">
        <v>22839</v>
      </c>
      <c r="AA689">
        <v>0.53206455721835832</v>
      </c>
      <c r="AB689" t="str">
        <f>HYPERLINK("Melting_Curves/meltCurve_F8VXI9_GIT2.pdf", "Melting_Curves/meltCurve_F8VXI9_GIT2.pdf")</f>
        <v>Melting_Curves/meltCurve_F8VXI9_GIT2.pdf</v>
      </c>
    </row>
    <row r="690" spans="1:28" x14ac:dyDescent="0.25">
      <c r="A690" t="s">
        <v>694</v>
      </c>
      <c r="B690">
        <v>0.99796759195183404</v>
      </c>
      <c r="C690">
        <v>0.85759161056189104</v>
      </c>
      <c r="D690">
        <v>0.96343749152171299</v>
      </c>
      <c r="E690">
        <v>0.76523983292340902</v>
      </c>
      <c r="F690">
        <v>0.684557703070241</v>
      </c>
      <c r="G690">
        <v>0.50617189448782596</v>
      </c>
      <c r="H690">
        <v>0.450364832805347</v>
      </c>
      <c r="I690">
        <v>0.41614778777124001</v>
      </c>
      <c r="J690">
        <v>0.33521204113831099</v>
      </c>
      <c r="K690">
        <v>0.203723695427969</v>
      </c>
      <c r="L690">
        <v>375.03380618567297</v>
      </c>
      <c r="M690">
        <v>6.7752101248023804</v>
      </c>
      <c r="N690">
        <v>55.753708353998597</v>
      </c>
      <c r="O690">
        <v>51.131360034517897</v>
      </c>
      <c r="P690">
        <v>-3.24084755364819E-2</v>
      </c>
      <c r="Q690">
        <v>2.37147303046863E-2</v>
      </c>
      <c r="R690">
        <v>0.96489565449436299</v>
      </c>
      <c r="S690" t="s">
        <v>6273</v>
      </c>
      <c r="T690" t="s">
        <v>11164</v>
      </c>
      <c r="U690" t="s">
        <v>11164</v>
      </c>
      <c r="V690" t="s">
        <v>11164</v>
      </c>
      <c r="W690" t="s">
        <v>11834</v>
      </c>
      <c r="X690">
        <v>5</v>
      </c>
      <c r="Y690" t="s">
        <v>17368</v>
      </c>
      <c r="Z690" t="s">
        <v>22840</v>
      </c>
      <c r="AA690">
        <v>0.6182199599299576</v>
      </c>
      <c r="AB690" t="str">
        <f>HYPERLINK("Melting_Curves/meltCurve_F8VYZ4_COPZ1.pdf", "Melting_Curves/meltCurve_F8VYZ4_COPZ1.pdf")</f>
        <v>Melting_Curves/meltCurve_F8VYZ4_COPZ1.pdf</v>
      </c>
    </row>
    <row r="691" spans="1:28" x14ac:dyDescent="0.25">
      <c r="A691" t="s">
        <v>695</v>
      </c>
      <c r="B691">
        <v>0.99796759195183404</v>
      </c>
      <c r="C691">
        <v>1.02390727006502</v>
      </c>
      <c r="D691">
        <v>0.992798461120867</v>
      </c>
      <c r="E691">
        <v>0.84860976353025297</v>
      </c>
      <c r="F691">
        <v>0.68507868075756295</v>
      </c>
      <c r="G691">
        <v>0.64549208507811695</v>
      </c>
      <c r="H691">
        <v>0.49713555324325698</v>
      </c>
      <c r="I691">
        <v>0.17267449456040099</v>
      </c>
      <c r="J691">
        <v>0.10877032258128499</v>
      </c>
      <c r="K691">
        <v>7.3426747178587395E-2</v>
      </c>
      <c r="L691">
        <v>669.43943577625896</v>
      </c>
      <c r="M691">
        <v>12.116518506316799</v>
      </c>
      <c r="N691">
        <v>55.250147625852101</v>
      </c>
      <c r="O691">
        <v>53.8097679808781</v>
      </c>
      <c r="P691">
        <v>-5.63063757655346E-2</v>
      </c>
      <c r="Q691">
        <v>0</v>
      </c>
      <c r="R691">
        <v>0.97126552473310301</v>
      </c>
      <c r="S691" t="s">
        <v>6274</v>
      </c>
      <c r="T691" t="s">
        <v>11164</v>
      </c>
      <c r="U691" t="s">
        <v>11164</v>
      </c>
      <c r="V691" t="s">
        <v>11164</v>
      </c>
      <c r="W691" t="s">
        <v>11846</v>
      </c>
      <c r="X691">
        <v>8</v>
      </c>
      <c r="Y691" t="s">
        <v>17380</v>
      </c>
      <c r="Z691" t="s">
        <v>22841</v>
      </c>
      <c r="AA691">
        <v>0.62156003055009068</v>
      </c>
      <c r="AB691" t="str">
        <f>HYPERLINK("Melting_Curves/meltCurve_F8VZ44_AAAS.pdf", "Melting_Curves/meltCurve_F8VZ44_AAAS.pdf")</f>
        <v>Melting_Curves/meltCurve_F8VZ44_AAAS.pdf</v>
      </c>
    </row>
    <row r="692" spans="1:28" x14ac:dyDescent="0.25">
      <c r="A692" t="s">
        <v>696</v>
      </c>
      <c r="B692">
        <v>0.99796759195183404</v>
      </c>
      <c r="C692">
        <v>1.0329861403467799</v>
      </c>
      <c r="D692">
        <v>0.99271182240748801</v>
      </c>
      <c r="E692">
        <v>0.95188101776387601</v>
      </c>
      <c r="F692">
        <v>0.90546158146366595</v>
      </c>
      <c r="G692">
        <v>0.58771540485435902</v>
      </c>
      <c r="H692">
        <v>0.44490883290109801</v>
      </c>
      <c r="I692">
        <v>0.47728974171081001</v>
      </c>
      <c r="J692">
        <v>0.651003836927327</v>
      </c>
      <c r="K692">
        <v>0.62746560259744599</v>
      </c>
      <c r="L692">
        <v>2935.8572930485502</v>
      </c>
      <c r="M692">
        <v>57.166550194579699</v>
      </c>
      <c r="O692">
        <v>51.293489107926902</v>
      </c>
      <c r="P692">
        <v>-0.12505044177486799</v>
      </c>
      <c r="Q692">
        <v>0.55118727169106196</v>
      </c>
      <c r="R692">
        <v>0.9248803370216</v>
      </c>
      <c r="S692" t="s">
        <v>6275</v>
      </c>
      <c r="T692" t="s">
        <v>11164</v>
      </c>
      <c r="U692" t="s">
        <v>11164</v>
      </c>
      <c r="V692" t="s">
        <v>11164</v>
      </c>
      <c r="W692" t="s">
        <v>11847</v>
      </c>
      <c r="X692">
        <v>8</v>
      </c>
      <c r="Y692" t="s">
        <v>17381</v>
      </c>
      <c r="Z692" t="s">
        <v>22842</v>
      </c>
      <c r="AA692">
        <v>0.76673895979761897</v>
      </c>
      <c r="AB692" t="str">
        <f>HYPERLINK("Melting_Curves/meltCurve_F8VZJ2_NACA.pdf", "Melting_Curves/meltCurve_F8VZJ2_NACA.pdf")</f>
        <v>Melting_Curves/meltCurve_F8VZJ2_NACA.pdf</v>
      </c>
    </row>
    <row r="693" spans="1:28" x14ac:dyDescent="0.25">
      <c r="A693" t="s">
        <v>697</v>
      </c>
      <c r="B693">
        <v>0.99796759195183404</v>
      </c>
      <c r="C693">
        <v>0.94590220935827396</v>
      </c>
      <c r="D693">
        <v>0.964365559365853</v>
      </c>
      <c r="E693">
        <v>0.87288849501693699</v>
      </c>
      <c r="F693">
        <v>0.80148378875766502</v>
      </c>
      <c r="G693">
        <v>0.62931665579020502</v>
      </c>
      <c r="H693">
        <v>0.44624398828106598</v>
      </c>
      <c r="I693">
        <v>0.334491666170041</v>
      </c>
      <c r="J693">
        <v>0.29450896113528602</v>
      </c>
      <c r="K693">
        <v>0.202640317902679</v>
      </c>
      <c r="L693">
        <v>576.52581885855</v>
      </c>
      <c r="M693">
        <v>10.3494641265487</v>
      </c>
      <c r="N693">
        <v>56.6182061459645</v>
      </c>
      <c r="O693">
        <v>53.746420065812103</v>
      </c>
      <c r="P693">
        <v>-4.4461863326359097E-2</v>
      </c>
      <c r="Q693">
        <v>7.6803470682460295E-2</v>
      </c>
      <c r="R693">
        <v>0.99506110078311305</v>
      </c>
      <c r="S693" t="s">
        <v>6276</v>
      </c>
      <c r="T693" t="s">
        <v>11164</v>
      </c>
      <c r="U693" t="s">
        <v>11164</v>
      </c>
      <c r="V693" t="s">
        <v>11164</v>
      </c>
      <c r="W693" t="s">
        <v>11848</v>
      </c>
      <c r="X693">
        <v>5</v>
      </c>
      <c r="Y693" t="s">
        <v>17382</v>
      </c>
      <c r="Z693" t="s">
        <v>22843</v>
      </c>
      <c r="AA693">
        <v>0.66048586289669164</v>
      </c>
      <c r="AB693" t="str">
        <f>HYPERLINK("Melting_Curves/meltCurve_F8W038_C17orf49.pdf", "Melting_Curves/meltCurve_F8W038_C17orf49.pdf")</f>
        <v>Melting_Curves/meltCurve_F8W038_C17orf49.pdf</v>
      </c>
    </row>
    <row r="694" spans="1:28" x14ac:dyDescent="0.25">
      <c r="A694" t="s">
        <v>698</v>
      </c>
      <c r="B694">
        <v>0.99796759195183404</v>
      </c>
      <c r="C694">
        <v>0.73764456234020803</v>
      </c>
      <c r="D694">
        <v>0.78701428455537503</v>
      </c>
      <c r="E694">
        <v>0.83349572698892704</v>
      </c>
      <c r="F694">
        <v>0.58417464291815402</v>
      </c>
      <c r="G694">
        <v>0.61703960349704601</v>
      </c>
      <c r="H694">
        <v>0.34915356236781703</v>
      </c>
      <c r="I694">
        <v>0.33859258621006399</v>
      </c>
      <c r="J694">
        <v>0.35638345311023401</v>
      </c>
      <c r="K694">
        <v>0.23558819652141599</v>
      </c>
      <c r="L694">
        <v>299.83367453929202</v>
      </c>
      <c r="M694">
        <v>5.4835215899436003</v>
      </c>
      <c r="N694">
        <v>54.679036020447903</v>
      </c>
      <c r="O694">
        <v>48.693739622037</v>
      </c>
      <c r="P694">
        <v>-2.82784334523743E-2</v>
      </c>
      <c r="Q694">
        <v>0</v>
      </c>
      <c r="R694">
        <v>0.89682842508770999</v>
      </c>
      <c r="S694" t="s">
        <v>6277</v>
      </c>
      <c r="T694" t="s">
        <v>11164</v>
      </c>
      <c r="U694" t="s">
        <v>11164</v>
      </c>
      <c r="V694" t="s">
        <v>11164</v>
      </c>
      <c r="W694" t="s">
        <v>11849</v>
      </c>
      <c r="X694">
        <v>3</v>
      </c>
      <c r="Y694" t="s">
        <v>17383</v>
      </c>
      <c r="Z694" t="s">
        <v>22844</v>
      </c>
      <c r="AA694">
        <v>0.58454185884003307</v>
      </c>
      <c r="AB694" t="str">
        <f>HYPERLINK("Melting_Curves/meltCurve_F8W052_TROAP.pdf", "Melting_Curves/meltCurve_F8W052_TROAP.pdf")</f>
        <v>Melting_Curves/meltCurve_F8W052_TROAP.pdf</v>
      </c>
    </row>
    <row r="695" spans="1:28" x14ac:dyDescent="0.25">
      <c r="A695" t="s">
        <v>699</v>
      </c>
      <c r="B695">
        <v>0.99796759195183404</v>
      </c>
      <c r="C695">
        <v>1.04188203717879</v>
      </c>
      <c r="D695">
        <v>0.99522487137322202</v>
      </c>
      <c r="E695">
        <v>1.0271697461454501</v>
      </c>
      <c r="F695">
        <v>0.88639661634637201</v>
      </c>
      <c r="G695">
        <v>0.92518913234403</v>
      </c>
      <c r="H695">
        <v>0.43608118802093998</v>
      </c>
      <c r="I695">
        <v>0.17161276497782399</v>
      </c>
      <c r="J695">
        <v>8.9170867923351604E-2</v>
      </c>
      <c r="K695">
        <v>7.2175885207518303E-2</v>
      </c>
      <c r="L695">
        <v>2097.0858598822501</v>
      </c>
      <c r="M695">
        <v>36.925086987664301</v>
      </c>
      <c r="N695">
        <v>57.063722009995303</v>
      </c>
      <c r="O695">
        <v>56.6271796234156</v>
      </c>
      <c r="P695">
        <v>-0.14991997944659</v>
      </c>
      <c r="Q695">
        <v>8.0351910592864895E-2</v>
      </c>
      <c r="R695">
        <v>0.99009341330203904</v>
      </c>
      <c r="S695" t="s">
        <v>6278</v>
      </c>
      <c r="T695" t="s">
        <v>11164</v>
      </c>
      <c r="U695" t="s">
        <v>11164</v>
      </c>
      <c r="V695" t="s">
        <v>11164</v>
      </c>
      <c r="W695" t="s">
        <v>11850</v>
      </c>
      <c r="X695">
        <v>4</v>
      </c>
      <c r="Y695" t="s">
        <v>17384</v>
      </c>
      <c r="Z695" t="s">
        <v>22845</v>
      </c>
      <c r="AA695">
        <v>0.6910959977645923</v>
      </c>
      <c r="AB695" t="str">
        <f>HYPERLINK("Melting_Curves/meltCurve_F8W0J4_YEATS4.pdf", "Melting_Curves/meltCurve_F8W0J4_YEATS4.pdf")</f>
        <v>Melting_Curves/meltCurve_F8W0J4_YEATS4.pdf</v>
      </c>
    </row>
    <row r="696" spans="1:28" x14ac:dyDescent="0.25">
      <c r="A696" t="s">
        <v>700</v>
      </c>
      <c r="B696">
        <v>0.99796759195183404</v>
      </c>
      <c r="C696">
        <v>1.0397277900056101</v>
      </c>
      <c r="D696">
        <v>0.97644141835139497</v>
      </c>
      <c r="E696">
        <v>0.84470666422466301</v>
      </c>
      <c r="F696">
        <v>0.78430946183479</v>
      </c>
      <c r="G696">
        <v>0.680552828039938</v>
      </c>
      <c r="H696">
        <v>0.283842848649421</v>
      </c>
      <c r="I696">
        <v>0.162475226149733</v>
      </c>
      <c r="J696">
        <v>0.12532603097790501</v>
      </c>
      <c r="K696">
        <v>8.9449524392693297E-2</v>
      </c>
      <c r="L696">
        <v>800.73243681101599</v>
      </c>
      <c r="M696">
        <v>14.5668350653508</v>
      </c>
      <c r="N696">
        <v>54.969554996864197</v>
      </c>
      <c r="O696">
        <v>53.964754141201603</v>
      </c>
      <c r="P696">
        <v>-6.7490741100324797E-2</v>
      </c>
      <c r="Q696">
        <v>0</v>
      </c>
      <c r="R696">
        <v>0.98093224233969301</v>
      </c>
      <c r="S696" t="s">
        <v>6279</v>
      </c>
      <c r="T696" t="s">
        <v>11164</v>
      </c>
      <c r="U696" t="s">
        <v>11164</v>
      </c>
      <c r="V696" t="s">
        <v>11164</v>
      </c>
      <c r="W696" t="s">
        <v>11833</v>
      </c>
      <c r="X696">
        <v>14</v>
      </c>
      <c r="Y696" t="s">
        <v>17367</v>
      </c>
      <c r="Z696" t="s">
        <v>22846</v>
      </c>
      <c r="AA696">
        <v>0.61330681394569675</v>
      </c>
      <c r="AB696" t="str">
        <f>HYPERLINK("Melting_Curves/meltCurve_F8W0J6_NAP1L1.pdf", "Melting_Curves/meltCurve_F8W0J6_NAP1L1.pdf")</f>
        <v>Melting_Curves/meltCurve_F8W0J6_NAP1L1.pdf</v>
      </c>
    </row>
    <row r="697" spans="1:28" x14ac:dyDescent="0.25">
      <c r="A697" t="s">
        <v>701</v>
      </c>
      <c r="B697">
        <v>0.99796759195183404</v>
      </c>
      <c r="C697">
        <v>1.00504183311745</v>
      </c>
      <c r="D697">
        <v>0.97538947758019201</v>
      </c>
      <c r="E697">
        <v>0.90667615423932202</v>
      </c>
      <c r="F697">
        <v>0.86043369963632399</v>
      </c>
      <c r="G697">
        <v>0.75950453212040403</v>
      </c>
      <c r="H697">
        <v>0.55612768136048596</v>
      </c>
      <c r="I697">
        <v>0.397829821600863</v>
      </c>
      <c r="J697">
        <v>0.23924284418514999</v>
      </c>
      <c r="K697">
        <v>0.168828958294751</v>
      </c>
      <c r="L697">
        <v>691.40733091144</v>
      </c>
      <c r="M697">
        <v>11.8289542296795</v>
      </c>
      <c r="N697">
        <v>58.450419059643998</v>
      </c>
      <c r="O697">
        <v>56.854988351191601</v>
      </c>
      <c r="P697">
        <v>-5.2026963563545102E-2</v>
      </c>
      <c r="Q697">
        <v>0</v>
      </c>
      <c r="R697">
        <v>0.99561996363718197</v>
      </c>
      <c r="S697" t="s">
        <v>6280</v>
      </c>
      <c r="T697" t="s">
        <v>11164</v>
      </c>
      <c r="U697" t="s">
        <v>11164</v>
      </c>
      <c r="V697" t="s">
        <v>11164</v>
      </c>
      <c r="W697" t="s">
        <v>11851</v>
      </c>
      <c r="X697">
        <v>2</v>
      </c>
      <c r="Y697" t="s">
        <v>17385</v>
      </c>
      <c r="Z697" t="s">
        <v>22847</v>
      </c>
      <c r="AA697">
        <v>0.71012896896266342</v>
      </c>
      <c r="AB697" t="str">
        <f>HYPERLINK("Melting_Curves/meltCurve_F8W0R1_ERGIC2.pdf", "Melting_Curves/meltCurve_F8W0R1_ERGIC2.pdf")</f>
        <v>Melting_Curves/meltCurve_F8W0R1_ERGIC2.pdf</v>
      </c>
    </row>
    <row r="698" spans="1:28" x14ac:dyDescent="0.25">
      <c r="A698" t="s">
        <v>702</v>
      </c>
      <c r="B698">
        <v>0.99796759195183404</v>
      </c>
      <c r="C698">
        <v>1.0158458495439</v>
      </c>
      <c r="D698">
        <v>1.0822292846346899</v>
      </c>
      <c r="E698">
        <v>0.98530683045626299</v>
      </c>
      <c r="F698">
        <v>0.86084722273691705</v>
      </c>
      <c r="G698">
        <v>0.58297844789577602</v>
      </c>
      <c r="H698">
        <v>0.46709926743639502</v>
      </c>
      <c r="I698">
        <v>0.31020777086755302</v>
      </c>
      <c r="J698">
        <v>0.123637469333059</v>
      </c>
      <c r="K698">
        <v>7.7816590964919205E-2</v>
      </c>
      <c r="L698">
        <v>788.84611971414097</v>
      </c>
      <c r="M698">
        <v>14.0021292741939</v>
      </c>
      <c r="N698">
        <v>56.337583328345502</v>
      </c>
      <c r="O698">
        <v>55.225799849505499</v>
      </c>
      <c r="P698">
        <v>-6.3394197797569996E-2</v>
      </c>
      <c r="Q698">
        <v>0</v>
      </c>
      <c r="R698">
        <v>0.98371066154832199</v>
      </c>
      <c r="S698" t="s">
        <v>6281</v>
      </c>
      <c r="T698" t="s">
        <v>11164</v>
      </c>
      <c r="U698" t="s">
        <v>11164</v>
      </c>
      <c r="V698" t="s">
        <v>11164</v>
      </c>
      <c r="W698" t="s">
        <v>11852</v>
      </c>
      <c r="X698">
        <v>13</v>
      </c>
      <c r="Y698" t="s">
        <v>17386</v>
      </c>
      <c r="Z698" t="s">
        <v>22848</v>
      </c>
      <c r="AA698">
        <v>0.65463245420460814</v>
      </c>
      <c r="AB698" t="str">
        <f>HYPERLINK("Melting_Curves/meltCurve_F8W0W8_PPP1CC.pdf", "Melting_Curves/meltCurve_F8W0W8_PPP1CC.pdf")</f>
        <v>Melting_Curves/meltCurve_F8W0W8_PPP1CC.pdf</v>
      </c>
    </row>
    <row r="699" spans="1:28" x14ac:dyDescent="0.25">
      <c r="A699" t="s">
        <v>703</v>
      </c>
      <c r="B699">
        <v>0.99796759195183404</v>
      </c>
      <c r="C699">
        <v>0.72620787120111197</v>
      </c>
      <c r="D699">
        <v>0.74511495090520796</v>
      </c>
      <c r="E699">
        <v>0.72787921137131595</v>
      </c>
      <c r="F699">
        <v>0.65781679090974898</v>
      </c>
      <c r="G699">
        <v>0.45619417054060901</v>
      </c>
      <c r="H699">
        <v>0.28771666516649502</v>
      </c>
      <c r="I699">
        <v>0.24797885153170901</v>
      </c>
      <c r="J699">
        <v>0.241654935764333</v>
      </c>
      <c r="K699">
        <v>0.21987731967361099</v>
      </c>
      <c r="L699">
        <v>320.81910743562298</v>
      </c>
      <c r="M699">
        <v>6.1658169254272197</v>
      </c>
      <c r="N699">
        <v>52.031889870152298</v>
      </c>
      <c r="O699">
        <v>47.357651118734204</v>
      </c>
      <c r="P699">
        <v>-3.2644825125695498E-2</v>
      </c>
      <c r="Q699">
        <v>0</v>
      </c>
      <c r="R699">
        <v>0.93049123345272999</v>
      </c>
      <c r="S699" t="s">
        <v>6282</v>
      </c>
      <c r="T699" t="s">
        <v>11164</v>
      </c>
      <c r="U699" t="s">
        <v>11164</v>
      </c>
      <c r="V699" t="s">
        <v>11164</v>
      </c>
      <c r="W699" t="s">
        <v>11853</v>
      </c>
      <c r="X699">
        <v>1</v>
      </c>
      <c r="Y699" t="s">
        <v>17387</v>
      </c>
      <c r="Z699" t="s">
        <v>22849</v>
      </c>
      <c r="AA699">
        <v>0.52901256336157654</v>
      </c>
      <c r="AB699" t="str">
        <f>HYPERLINK("Melting_Curves/meltCurve_F8W145_CNOT2.pdf", "Melting_Curves/meltCurve_F8W145_CNOT2.pdf")</f>
        <v>Melting_Curves/meltCurve_F8W145_CNOT2.pdf</v>
      </c>
    </row>
    <row r="700" spans="1:28" x14ac:dyDescent="0.25">
      <c r="A700" t="s">
        <v>704</v>
      </c>
      <c r="B700">
        <v>0.99796759195183404</v>
      </c>
      <c r="C700">
        <v>1.0168779321454999</v>
      </c>
      <c r="D700">
        <v>0.99467916867970696</v>
      </c>
      <c r="E700">
        <v>1.13310601094945</v>
      </c>
      <c r="F700">
        <v>1.18778843794736</v>
      </c>
      <c r="G700">
        <v>1.74385282931602</v>
      </c>
      <c r="H700">
        <v>0.81471654653398395</v>
      </c>
      <c r="I700">
        <v>0.96534882844000902</v>
      </c>
      <c r="J700">
        <v>0.51062969690145199</v>
      </c>
      <c r="K700">
        <v>0.47525709736171801</v>
      </c>
      <c r="L700">
        <v>6598.8321818738696</v>
      </c>
      <c r="M700">
        <v>105.54384781617399</v>
      </c>
      <c r="N700">
        <v>64.337173076041296</v>
      </c>
      <c r="O700">
        <v>62.499749800691703</v>
      </c>
      <c r="P700">
        <v>-0.22183774831067901</v>
      </c>
      <c r="Q700">
        <v>0.47453865129254602</v>
      </c>
      <c r="R700">
        <v>0.444808757228637</v>
      </c>
      <c r="S700" t="s">
        <v>6283</v>
      </c>
      <c r="T700" t="s">
        <v>11164</v>
      </c>
      <c r="U700" t="s">
        <v>11164</v>
      </c>
      <c r="V700" t="s">
        <v>11164</v>
      </c>
      <c r="W700" t="s">
        <v>11854</v>
      </c>
      <c r="X700">
        <v>5</v>
      </c>
      <c r="Y700" t="s">
        <v>17388</v>
      </c>
      <c r="Z700" t="s">
        <v>22850</v>
      </c>
      <c r="AA700">
        <v>0.92188272472144694</v>
      </c>
      <c r="AB700" t="str">
        <f>HYPERLINK("Melting_Curves/meltCurve_F8W181_RPL6.pdf", "Melting_Curves/meltCurve_F8W181_RPL6.pdf")</f>
        <v>Melting_Curves/meltCurve_F8W181_RPL6.pdf</v>
      </c>
    </row>
    <row r="701" spans="1:28" x14ac:dyDescent="0.25">
      <c r="A701" t="s">
        <v>705</v>
      </c>
      <c r="B701">
        <v>0.99796759195183404</v>
      </c>
      <c r="C701">
        <v>0.84734931674281599</v>
      </c>
      <c r="D701">
        <v>1.0395747504526001</v>
      </c>
      <c r="E701">
        <v>0.96579294709965302</v>
      </c>
      <c r="F701">
        <v>0.622832545605711</v>
      </c>
      <c r="G701">
        <v>0.23269646628877899</v>
      </c>
      <c r="H701">
        <v>0.27927957499077599</v>
      </c>
      <c r="I701">
        <v>0.20459624093037401</v>
      </c>
      <c r="J701">
        <v>0.20873118253202599</v>
      </c>
      <c r="K701">
        <v>0.13234292284934299</v>
      </c>
      <c r="L701">
        <v>2130.6299838075702</v>
      </c>
      <c r="M701">
        <v>42.347386046095899</v>
      </c>
      <c r="N701">
        <v>50.932716294774899</v>
      </c>
      <c r="O701">
        <v>50.2013451528248</v>
      </c>
      <c r="P701">
        <v>-0.16843834720151701</v>
      </c>
      <c r="Q701">
        <v>0.20129045876700899</v>
      </c>
      <c r="R701">
        <v>0.97248413522653598</v>
      </c>
      <c r="S701" t="s">
        <v>6284</v>
      </c>
      <c r="T701" t="s">
        <v>11164</v>
      </c>
      <c r="U701" t="s">
        <v>11164</v>
      </c>
      <c r="V701" t="s">
        <v>11164</v>
      </c>
      <c r="W701" t="s">
        <v>11855</v>
      </c>
      <c r="X701">
        <v>2</v>
      </c>
      <c r="Y701" t="s">
        <v>17389</v>
      </c>
      <c r="Z701" t="s">
        <v>22851</v>
      </c>
      <c r="AA701">
        <v>0.55820996373920839</v>
      </c>
      <c r="AB701" t="str">
        <f>HYPERLINK("Melting_Curves/meltCurve_F8W1R9_TGFBR1.pdf", "Melting_Curves/meltCurve_F8W1R9_TGFBR1.pdf")</f>
        <v>Melting_Curves/meltCurve_F8W1R9_TGFBR1.pdf</v>
      </c>
    </row>
    <row r="702" spans="1:28" x14ac:dyDescent="0.25">
      <c r="A702" t="s">
        <v>706</v>
      </c>
      <c r="B702">
        <v>0.99796759195183404</v>
      </c>
      <c r="C702">
        <v>0.76775327164362495</v>
      </c>
      <c r="D702">
        <v>0.84118572406611802</v>
      </c>
      <c r="E702">
        <v>0.73119537584494498</v>
      </c>
      <c r="F702">
        <v>0.70218820671751903</v>
      </c>
      <c r="G702">
        <v>0.45026844795488302</v>
      </c>
      <c r="H702">
        <v>0.59930317721415105</v>
      </c>
      <c r="I702">
        <v>0.66026870001181404</v>
      </c>
      <c r="J702">
        <v>0.801588070049993</v>
      </c>
      <c r="K702">
        <v>0.78115792435029596</v>
      </c>
      <c r="L702">
        <v>662.08421712729398</v>
      </c>
      <c r="M702">
        <v>16.304155288689302</v>
      </c>
      <c r="O702">
        <v>40.0121555736213</v>
      </c>
      <c r="P702">
        <v>-3.3625982198566398E-2</v>
      </c>
      <c r="Q702">
        <v>0.66993690246054605</v>
      </c>
      <c r="R702">
        <v>0.46581458935870701</v>
      </c>
      <c r="S702" t="s">
        <v>6285</v>
      </c>
      <c r="T702" t="s">
        <v>11164</v>
      </c>
      <c r="U702" t="s">
        <v>11164</v>
      </c>
      <c r="V702" t="s">
        <v>11164</v>
      </c>
      <c r="W702" t="s">
        <v>11856</v>
      </c>
      <c r="X702">
        <v>2</v>
      </c>
      <c r="Y702" t="s">
        <v>17390</v>
      </c>
      <c r="Z702" t="s">
        <v>22852</v>
      </c>
      <c r="AA702">
        <v>0.71913567855993688</v>
      </c>
      <c r="AB702" t="str">
        <f>HYPERLINK("Melting_Curves/meltCurve_F8W681_DPAGT1.pdf", "Melting_Curves/meltCurve_F8W681_DPAGT1.pdf")</f>
        <v>Melting_Curves/meltCurve_F8W681_DPAGT1.pdf</v>
      </c>
    </row>
    <row r="703" spans="1:28" x14ac:dyDescent="0.25">
      <c r="A703" t="s">
        <v>707</v>
      </c>
      <c r="B703">
        <v>0.99796759195183404</v>
      </c>
      <c r="C703">
        <v>0.94729835064879897</v>
      </c>
      <c r="D703">
        <v>0.90964957964284399</v>
      </c>
      <c r="E703">
        <v>0.87680769278401005</v>
      </c>
      <c r="F703">
        <v>0.89023934518024495</v>
      </c>
      <c r="G703">
        <v>0.917784223296645</v>
      </c>
      <c r="H703">
        <v>0.58275951913427504</v>
      </c>
      <c r="I703">
        <v>0.37877011094428997</v>
      </c>
      <c r="J703">
        <v>0.33946569735211801</v>
      </c>
      <c r="K703">
        <v>0.219048247273021</v>
      </c>
      <c r="L703">
        <v>1030.2340224444699</v>
      </c>
      <c r="M703">
        <v>17.7983932589928</v>
      </c>
      <c r="N703">
        <v>59.252800892084402</v>
      </c>
      <c r="O703">
        <v>57.167687313826598</v>
      </c>
      <c r="P703">
        <v>-6.4714415965504105E-2</v>
      </c>
      <c r="Q703">
        <v>0.168603306288135</v>
      </c>
      <c r="R703">
        <v>0.95076124907173098</v>
      </c>
      <c r="S703" t="s">
        <v>6286</v>
      </c>
      <c r="T703" t="s">
        <v>11164</v>
      </c>
      <c r="U703" t="s">
        <v>11164</v>
      </c>
      <c r="V703" t="s">
        <v>11164</v>
      </c>
      <c r="W703" t="s">
        <v>11857</v>
      </c>
      <c r="X703">
        <v>1</v>
      </c>
      <c r="Y703" t="s">
        <v>17391</v>
      </c>
      <c r="Z703" t="s">
        <v>22853</v>
      </c>
      <c r="AA703">
        <v>0.75281705102279139</v>
      </c>
      <c r="AB703" t="str">
        <f>HYPERLINK("Melting_Curves/meltCurve_F8W685_BNIPL.pdf", "Melting_Curves/meltCurve_F8W685_BNIPL.pdf")</f>
        <v>Melting_Curves/meltCurve_F8W685_BNIPL.pdf</v>
      </c>
    </row>
    <row r="704" spans="1:28" x14ac:dyDescent="0.25">
      <c r="A704" t="s">
        <v>708</v>
      </c>
      <c r="B704">
        <v>0.99796759195183404</v>
      </c>
      <c r="C704">
        <v>0.76017706874143798</v>
      </c>
      <c r="D704">
        <v>0.99839406805299302</v>
      </c>
      <c r="E704">
        <v>0.60571140820788905</v>
      </c>
      <c r="F704">
        <v>0.73486348070148699</v>
      </c>
      <c r="G704">
        <v>0.592305128911358</v>
      </c>
      <c r="H704">
        <v>0.39755054609561802</v>
      </c>
      <c r="I704">
        <v>0.23289965636533599</v>
      </c>
      <c r="J704">
        <v>0.30922232443500902</v>
      </c>
      <c r="K704">
        <v>0.24220891487904</v>
      </c>
      <c r="L704">
        <v>356.71886529885001</v>
      </c>
      <c r="M704">
        <v>6.5338343699232801</v>
      </c>
      <c r="N704">
        <v>54.595639421016898</v>
      </c>
      <c r="O704">
        <v>50.158401316566298</v>
      </c>
      <c r="P704">
        <v>-3.26436296995022E-2</v>
      </c>
      <c r="Q704">
        <v>0</v>
      </c>
      <c r="R704">
        <v>0.87231432330813596</v>
      </c>
      <c r="S704" t="s">
        <v>6287</v>
      </c>
      <c r="T704" t="s">
        <v>11164</v>
      </c>
      <c r="U704" t="s">
        <v>11164</v>
      </c>
      <c r="V704" t="s">
        <v>11164</v>
      </c>
      <c r="W704" t="s">
        <v>11858</v>
      </c>
      <c r="X704">
        <v>4</v>
      </c>
      <c r="Y704" t="s">
        <v>17392</v>
      </c>
      <c r="Z704" t="s">
        <v>22854</v>
      </c>
      <c r="AA704">
        <v>0.5899831848166105</v>
      </c>
      <c r="AB704" t="str">
        <f>HYPERLINK("Melting_Curves/meltCurve_F8W689_RFX5.pdf", "Melting_Curves/meltCurve_F8W689_RFX5.pdf")</f>
        <v>Melting_Curves/meltCurve_F8W689_RFX5.pdf</v>
      </c>
    </row>
    <row r="705" spans="1:28" x14ac:dyDescent="0.25">
      <c r="A705" t="s">
        <v>709</v>
      </c>
      <c r="B705">
        <v>0.99796759195183404</v>
      </c>
      <c r="C705">
        <v>1.1610887299844901</v>
      </c>
      <c r="D705">
        <v>1.21645040899297</v>
      </c>
      <c r="E705">
        <v>1.2250598680638001</v>
      </c>
      <c r="F705">
        <v>0.79939592505940904</v>
      </c>
      <c r="G705">
        <v>0.74970189541080401</v>
      </c>
      <c r="H705">
        <v>0.50258908558413795</v>
      </c>
      <c r="I705">
        <v>0.30267770366537899</v>
      </c>
      <c r="J705">
        <v>0.212937183794222</v>
      </c>
      <c r="K705">
        <v>0.17776600110736299</v>
      </c>
      <c r="L705">
        <v>1063.94544406919</v>
      </c>
      <c r="M705">
        <v>18.926177569372999</v>
      </c>
      <c r="N705">
        <v>57.221733721031299</v>
      </c>
      <c r="O705">
        <v>55.599228726477001</v>
      </c>
      <c r="P705">
        <v>-7.3058691291531294E-2</v>
      </c>
      <c r="Q705">
        <v>0.14153978208394399</v>
      </c>
      <c r="R705">
        <v>0.90501976464970402</v>
      </c>
      <c r="S705" t="s">
        <v>6288</v>
      </c>
      <c r="T705" t="s">
        <v>11164</v>
      </c>
      <c r="U705" t="s">
        <v>11164</v>
      </c>
      <c r="V705" t="s">
        <v>11164</v>
      </c>
      <c r="W705" t="s">
        <v>11859</v>
      </c>
      <c r="X705">
        <v>8</v>
      </c>
      <c r="Y705" t="s">
        <v>17393</v>
      </c>
      <c r="Z705" t="s">
        <v>22855</v>
      </c>
      <c r="AA705">
        <v>0.70029650185742576</v>
      </c>
      <c r="AB705" t="str">
        <f>HYPERLINK("Melting_Curves/meltCurve_F8W6I7_HNRNPA1.pdf", "Melting_Curves/meltCurve_F8W6I7_HNRNPA1.pdf")</f>
        <v>Melting_Curves/meltCurve_F8W6I7_HNRNPA1.pdf</v>
      </c>
    </row>
    <row r="706" spans="1:28" x14ac:dyDescent="0.25">
      <c r="A706" t="s">
        <v>710</v>
      </c>
      <c r="B706">
        <v>0.99796759195183404</v>
      </c>
      <c r="C706">
        <v>1.04122627871243</v>
      </c>
      <c r="D706">
        <v>0.88367993913919896</v>
      </c>
      <c r="E706">
        <v>0.87825207419426599</v>
      </c>
      <c r="F706">
        <v>0.91557946509732002</v>
      </c>
      <c r="G706">
        <v>0.63808970557398403</v>
      </c>
      <c r="H706">
        <v>0.58445522647259895</v>
      </c>
      <c r="I706">
        <v>0.67566285736096199</v>
      </c>
      <c r="J706">
        <v>0.31222958913107202</v>
      </c>
      <c r="K706">
        <v>0.27123043561876797</v>
      </c>
      <c r="L706">
        <v>475.44248567626499</v>
      </c>
      <c r="M706">
        <v>7.8477481721171198</v>
      </c>
      <c r="N706">
        <v>60.583297409062602</v>
      </c>
      <c r="O706">
        <v>57.027539249708802</v>
      </c>
      <c r="P706">
        <v>-3.4445126697030801E-2</v>
      </c>
      <c r="Q706">
        <v>0</v>
      </c>
      <c r="R706">
        <v>0.893708001358124</v>
      </c>
      <c r="S706" t="s">
        <v>6289</v>
      </c>
      <c r="T706" t="s">
        <v>11164</v>
      </c>
      <c r="U706" t="s">
        <v>11164</v>
      </c>
      <c r="V706" t="s">
        <v>11164</v>
      </c>
      <c r="W706" t="s">
        <v>11860</v>
      </c>
      <c r="X706">
        <v>14</v>
      </c>
      <c r="Y706" t="s">
        <v>17394</v>
      </c>
      <c r="Z706" t="s">
        <v>22856</v>
      </c>
      <c r="AA706">
        <v>0.73381564025831514</v>
      </c>
      <c r="AB706" t="str">
        <f>HYPERLINK("Melting_Curves/meltCurve_F8W6T6_TLE4.pdf", "Melting_Curves/meltCurve_F8W6T6_TLE4.pdf")</f>
        <v>Melting_Curves/meltCurve_F8W6T6_TLE4.pdf</v>
      </c>
    </row>
    <row r="707" spans="1:28" x14ac:dyDescent="0.25">
      <c r="A707" t="s">
        <v>711</v>
      </c>
      <c r="B707">
        <v>0.99796759195183404</v>
      </c>
      <c r="C707">
        <v>0.89011353850258601</v>
      </c>
      <c r="D707">
        <v>0.89516474009403502</v>
      </c>
      <c r="E707">
        <v>0.83386709963693695</v>
      </c>
      <c r="F707">
        <v>0.74379315401476598</v>
      </c>
      <c r="G707">
        <v>0.56486156438671797</v>
      </c>
      <c r="H707">
        <v>0.34628728174680201</v>
      </c>
      <c r="I707">
        <v>0.28679428174798299</v>
      </c>
      <c r="J707">
        <v>0.21862277279961401</v>
      </c>
      <c r="K707">
        <v>0.123940808000276</v>
      </c>
      <c r="L707">
        <v>514.15965717159997</v>
      </c>
      <c r="M707">
        <v>9.3922702493015606</v>
      </c>
      <c r="N707">
        <v>54.742851651201697</v>
      </c>
      <c r="O707">
        <v>52.433248419965302</v>
      </c>
      <c r="P707">
        <v>-4.4809701310098198E-2</v>
      </c>
      <c r="Q707">
        <v>0</v>
      </c>
      <c r="R707">
        <v>0.98568097505216101</v>
      </c>
      <c r="S707" t="s">
        <v>6290</v>
      </c>
      <c r="T707" t="s">
        <v>11164</v>
      </c>
      <c r="U707" t="s">
        <v>11164</v>
      </c>
      <c r="V707" t="s">
        <v>11164</v>
      </c>
      <c r="W707" t="s">
        <v>11861</v>
      </c>
      <c r="X707">
        <v>3</v>
      </c>
      <c r="Y707" t="s">
        <v>17395</v>
      </c>
      <c r="Z707" t="s">
        <v>22857</v>
      </c>
      <c r="AA707">
        <v>0.60403318339076606</v>
      </c>
      <c r="AB707" t="str">
        <f>HYPERLINK("Melting_Curves/meltCurve_F8W717_EML1.pdf", "Melting_Curves/meltCurve_F8W717_EML1.pdf")</f>
        <v>Melting_Curves/meltCurve_F8W717_EML1.pdf</v>
      </c>
    </row>
    <row r="708" spans="1:28" x14ac:dyDescent="0.25">
      <c r="A708" t="s">
        <v>712</v>
      </c>
      <c r="B708">
        <v>0.99796759195183404</v>
      </c>
      <c r="C708">
        <v>1.0875884302776699</v>
      </c>
      <c r="D708">
        <v>0.98955156964412305</v>
      </c>
      <c r="E708">
        <v>0.93360633361191103</v>
      </c>
      <c r="F708">
        <v>0.92818992927498201</v>
      </c>
      <c r="G708">
        <v>0.82276637075582004</v>
      </c>
      <c r="H708">
        <v>0.57811255597920597</v>
      </c>
      <c r="I708">
        <v>0.39991590278634498</v>
      </c>
      <c r="J708">
        <v>0.352623196391184</v>
      </c>
      <c r="K708">
        <v>0.112424836296285</v>
      </c>
      <c r="L708">
        <v>793.166120614796</v>
      </c>
      <c r="M708">
        <v>13.3666507454077</v>
      </c>
      <c r="N708">
        <v>59.339181958758303</v>
      </c>
      <c r="O708">
        <v>58.058241065322399</v>
      </c>
      <c r="P708">
        <v>-5.7566212372923302E-2</v>
      </c>
      <c r="Q708">
        <v>0</v>
      </c>
      <c r="R708">
        <v>0.97764855842432896</v>
      </c>
      <c r="S708" t="s">
        <v>6291</v>
      </c>
      <c r="T708" t="s">
        <v>11164</v>
      </c>
      <c r="U708" t="s">
        <v>11164</v>
      </c>
      <c r="V708" t="s">
        <v>11164</v>
      </c>
      <c r="W708" t="s">
        <v>11862</v>
      </c>
      <c r="X708">
        <v>1</v>
      </c>
      <c r="Y708" t="s">
        <v>17396</v>
      </c>
      <c r="Z708" t="s">
        <v>22858</v>
      </c>
      <c r="AA708">
        <v>0.73818506642135706</v>
      </c>
      <c r="AB708" t="str">
        <f>HYPERLINK("Melting_Curves/meltCurve_F8W782_ADIPOR1.pdf", "Melting_Curves/meltCurve_F8W782_ADIPOR1.pdf")</f>
        <v>Melting_Curves/meltCurve_F8W782_ADIPOR1.pdf</v>
      </c>
    </row>
    <row r="709" spans="1:28" x14ac:dyDescent="0.25">
      <c r="A709" t="s">
        <v>713</v>
      </c>
      <c r="B709">
        <v>0.99796759195183404</v>
      </c>
      <c r="C709">
        <v>1.00810253797518</v>
      </c>
      <c r="D709">
        <v>0.99548852220678996</v>
      </c>
      <c r="E709">
        <v>0.96553922877251896</v>
      </c>
      <c r="F709">
        <v>0.75174380560880205</v>
      </c>
      <c r="G709">
        <v>0.82621459280326603</v>
      </c>
      <c r="H709">
        <v>0.78181110273660503</v>
      </c>
      <c r="I709">
        <v>0.78984568761148899</v>
      </c>
      <c r="J709">
        <v>0.46883584146755403</v>
      </c>
      <c r="K709">
        <v>0.17996017740051201</v>
      </c>
      <c r="L709">
        <v>835.15987654069602</v>
      </c>
      <c r="M709">
        <v>13.22165937069</v>
      </c>
      <c r="N709">
        <v>63.166034176261903</v>
      </c>
      <c r="O709">
        <v>61.773510405168999</v>
      </c>
      <c r="P709">
        <v>-5.3517470877415603E-2</v>
      </c>
      <c r="Q709">
        <v>0</v>
      </c>
      <c r="R709">
        <v>0.83644215566630997</v>
      </c>
      <c r="S709" t="s">
        <v>6292</v>
      </c>
      <c r="T709" t="s">
        <v>11164</v>
      </c>
      <c r="U709" t="s">
        <v>11164</v>
      </c>
      <c r="V709" t="s">
        <v>11164</v>
      </c>
      <c r="W709" t="s">
        <v>11863</v>
      </c>
      <c r="X709">
        <v>9</v>
      </c>
      <c r="Y709" t="s">
        <v>17397</v>
      </c>
      <c r="Z709" t="s">
        <v>22859</v>
      </c>
      <c r="AA709">
        <v>0.82971424221337564</v>
      </c>
      <c r="AB709" t="str">
        <f>HYPERLINK("Melting_Curves/meltCurve_F8W7D6_GPHN.pdf", "Melting_Curves/meltCurve_F8W7D6_GPHN.pdf")</f>
        <v>Melting_Curves/meltCurve_F8W7D6_GPHN.pdf</v>
      </c>
    </row>
    <row r="710" spans="1:28" x14ac:dyDescent="0.25">
      <c r="A710" t="s">
        <v>714</v>
      </c>
      <c r="B710">
        <v>0.99796759195183404</v>
      </c>
      <c r="C710">
        <v>1.4954727140761499</v>
      </c>
      <c r="D710">
        <v>1.1423001436971101</v>
      </c>
      <c r="E710">
        <v>1.0916480697588899</v>
      </c>
      <c r="F710">
        <v>1.2271540494702</v>
      </c>
      <c r="G710">
        <v>1.1164836241871401</v>
      </c>
      <c r="H710">
        <v>0.95435381902861205</v>
      </c>
      <c r="I710">
        <v>0.98602975796310599</v>
      </c>
      <c r="J710">
        <v>2.1246604889834702</v>
      </c>
      <c r="K710">
        <v>1.63276431357626</v>
      </c>
      <c r="L710">
        <v>317.54749801003697</v>
      </c>
      <c r="M710">
        <v>6.1493738063296197</v>
      </c>
      <c r="O710">
        <v>46.978793081808298</v>
      </c>
      <c r="P710">
        <v>1.64106303210888E-2</v>
      </c>
      <c r="Q710">
        <v>1.5</v>
      </c>
      <c r="R710">
        <v>0.116596844621049</v>
      </c>
      <c r="S710" t="s">
        <v>6293</v>
      </c>
      <c r="T710" t="s">
        <v>11164</v>
      </c>
      <c r="U710" t="s">
        <v>11164</v>
      </c>
      <c r="V710" t="s">
        <v>11164</v>
      </c>
      <c r="W710" t="s">
        <v>11864</v>
      </c>
      <c r="X710">
        <v>3</v>
      </c>
      <c r="Y710" t="s">
        <v>17398</v>
      </c>
      <c r="Z710" t="s">
        <v>22860</v>
      </c>
      <c r="AA710">
        <v>1.240112127870779</v>
      </c>
      <c r="AB710" t="str">
        <f>HYPERLINK("Melting_Curves/meltCurve_F8W7Q4_FAM162A.pdf", "Melting_Curves/meltCurve_F8W7Q4_FAM162A.pdf")</f>
        <v>Melting_Curves/meltCurve_F8W7Q4_FAM162A.pdf</v>
      </c>
    </row>
    <row r="711" spans="1:28" x14ac:dyDescent="0.25">
      <c r="A711" t="s">
        <v>715</v>
      </c>
      <c r="B711">
        <v>0.99796759195183404</v>
      </c>
      <c r="C711">
        <v>0.88836989792966803</v>
      </c>
      <c r="D711">
        <v>0.79371897181425899</v>
      </c>
      <c r="E711">
        <v>0.74035335937938196</v>
      </c>
      <c r="F711">
        <v>0.68554215100577198</v>
      </c>
      <c r="G711">
        <v>0.39912243696364802</v>
      </c>
      <c r="H711">
        <v>0.349179754220105</v>
      </c>
      <c r="I711">
        <v>0.26652792056144597</v>
      </c>
      <c r="J711">
        <v>6.9684531305222605E-2</v>
      </c>
      <c r="K711">
        <v>0.13556305901855401</v>
      </c>
      <c r="L711">
        <v>447.48048722939399</v>
      </c>
      <c r="M711">
        <v>8.5482779089954093</v>
      </c>
      <c r="N711">
        <v>52.347442590991598</v>
      </c>
      <c r="O711">
        <v>49.718672867840297</v>
      </c>
      <c r="P711">
        <v>-4.3021150111041698E-2</v>
      </c>
      <c r="Q711">
        <v>0</v>
      </c>
      <c r="R711">
        <v>0.96738313704712398</v>
      </c>
      <c r="S711" t="s">
        <v>6294</v>
      </c>
      <c r="T711" t="s">
        <v>11164</v>
      </c>
      <c r="U711" t="s">
        <v>11164</v>
      </c>
      <c r="V711" t="s">
        <v>11164</v>
      </c>
      <c r="W711" t="s">
        <v>11865</v>
      </c>
      <c r="X711">
        <v>3</v>
      </c>
      <c r="Y711" t="s">
        <v>17399</v>
      </c>
      <c r="Z711" t="s">
        <v>22861</v>
      </c>
      <c r="AA711">
        <v>0.53777588475068072</v>
      </c>
      <c r="AB711" t="str">
        <f>HYPERLINK("Melting_Curves/meltCurve_F8W8C2_VEZT.pdf", "Melting_Curves/meltCurve_F8W8C2_VEZT.pdf")</f>
        <v>Melting_Curves/meltCurve_F8W8C2_VEZT.pdf</v>
      </c>
    </row>
    <row r="712" spans="1:28" x14ac:dyDescent="0.25">
      <c r="A712" t="s">
        <v>716</v>
      </c>
      <c r="B712">
        <v>0.99796759195183404</v>
      </c>
      <c r="C712">
        <v>1.0686652989219001</v>
      </c>
      <c r="D712">
        <v>0.94680003683712199</v>
      </c>
      <c r="E712">
        <v>0.93567941963053203</v>
      </c>
      <c r="F712">
        <v>0.66033768727136399</v>
      </c>
      <c r="G712">
        <v>0.37081066923221701</v>
      </c>
      <c r="H712">
        <v>0.34503782778759301</v>
      </c>
      <c r="I712">
        <v>0.26034298673921402</v>
      </c>
      <c r="J712">
        <v>0.27077904926352298</v>
      </c>
      <c r="K712">
        <v>0.26562610854962498</v>
      </c>
      <c r="L712">
        <v>1333.3312258583301</v>
      </c>
      <c r="M712">
        <v>26.436123938210802</v>
      </c>
      <c r="N712">
        <v>51.978271473219898</v>
      </c>
      <c r="O712">
        <v>50.150009533392399</v>
      </c>
      <c r="P712">
        <v>-9.59660375192469E-2</v>
      </c>
      <c r="Q712">
        <v>0.27180764446422101</v>
      </c>
      <c r="R712">
        <v>0.99083738907024099</v>
      </c>
      <c r="S712" t="s">
        <v>6295</v>
      </c>
      <c r="T712" t="s">
        <v>11164</v>
      </c>
      <c r="U712" t="s">
        <v>11164</v>
      </c>
      <c r="V712" t="s">
        <v>11164</v>
      </c>
      <c r="W712" t="s">
        <v>11866</v>
      </c>
      <c r="X712">
        <v>3</v>
      </c>
      <c r="Y712" t="s">
        <v>17400</v>
      </c>
      <c r="Z712" t="s">
        <v>22862</v>
      </c>
      <c r="AA712">
        <v>0.60369112626890031</v>
      </c>
      <c r="AB712" t="str">
        <f>HYPERLINK("Melting_Curves/meltCurve_F8W8D3_SLBP.pdf", "Melting_Curves/meltCurve_F8W8D3_SLBP.pdf")</f>
        <v>Melting_Curves/meltCurve_F8W8D3_SLBP.pdf</v>
      </c>
    </row>
    <row r="713" spans="1:28" x14ac:dyDescent="0.25">
      <c r="A713" t="s">
        <v>717</v>
      </c>
      <c r="B713">
        <v>0.99796759195183404</v>
      </c>
      <c r="C713">
        <v>0.76309354313177702</v>
      </c>
      <c r="D713">
        <v>0.66526631647387302</v>
      </c>
      <c r="E713">
        <v>0.78062661346084194</v>
      </c>
      <c r="F713">
        <v>0.71543865520113403</v>
      </c>
      <c r="G713">
        <v>0.31446764666153398</v>
      </c>
      <c r="H713">
        <v>0.38728105333936003</v>
      </c>
      <c r="I713">
        <v>0.23244382936975999</v>
      </c>
      <c r="J713">
        <v>2.7080621945184302E-2</v>
      </c>
      <c r="K713">
        <v>7.3851219406185498E-2</v>
      </c>
      <c r="L713">
        <v>408.76811549689</v>
      </c>
      <c r="M713">
        <v>7.9704557550928303</v>
      </c>
      <c r="N713">
        <v>51.285412872277703</v>
      </c>
      <c r="O713">
        <v>48.358838557816597</v>
      </c>
      <c r="P713">
        <v>-4.1252001278119899E-2</v>
      </c>
      <c r="Q713">
        <v>0</v>
      </c>
      <c r="R713">
        <v>0.87376418310244697</v>
      </c>
      <c r="S713" t="s">
        <v>6296</v>
      </c>
      <c r="T713" t="s">
        <v>11164</v>
      </c>
      <c r="U713" t="s">
        <v>11164</v>
      </c>
      <c r="V713" t="s">
        <v>11164</v>
      </c>
      <c r="W713" t="s">
        <v>11867</v>
      </c>
      <c r="X713">
        <v>1</v>
      </c>
      <c r="Y713" t="s">
        <v>17401</v>
      </c>
      <c r="Z713" t="s">
        <v>22863</v>
      </c>
      <c r="AA713">
        <v>0.50930450529332116</v>
      </c>
      <c r="AB713" t="str">
        <f>HYPERLINK("Melting_Curves/meltCurve_F8W8I6_TIA1.pdf", "Melting_Curves/meltCurve_F8W8I6_TIA1.pdf")</f>
        <v>Melting_Curves/meltCurve_F8W8I6_TIA1.pdf</v>
      </c>
    </row>
    <row r="714" spans="1:28" x14ac:dyDescent="0.25">
      <c r="A714" t="s">
        <v>718</v>
      </c>
      <c r="B714">
        <v>0.99796759195183404</v>
      </c>
      <c r="C714">
        <v>1.0359595893559399</v>
      </c>
      <c r="D714">
        <v>1.0254245909564099</v>
      </c>
      <c r="E714">
        <v>0.89173326565665001</v>
      </c>
      <c r="F714">
        <v>0.72191895303586195</v>
      </c>
      <c r="G714">
        <v>0.50258321244791304</v>
      </c>
      <c r="H714">
        <v>0.47280859158417199</v>
      </c>
      <c r="I714">
        <v>0.389219794107447</v>
      </c>
      <c r="J714">
        <v>0.33115201942700601</v>
      </c>
      <c r="K714">
        <v>0.41614171874908601</v>
      </c>
      <c r="L714">
        <v>1032.92242291703</v>
      </c>
      <c r="M714">
        <v>20.405259904859399</v>
      </c>
      <c r="N714">
        <v>54.375196813993597</v>
      </c>
      <c r="O714">
        <v>50.1417250195599</v>
      </c>
      <c r="P714">
        <v>-6.3301910139047596E-2</v>
      </c>
      <c r="Q714">
        <v>0.37781276786817303</v>
      </c>
      <c r="R714">
        <v>0.98647065583577098</v>
      </c>
      <c r="S714" t="s">
        <v>6297</v>
      </c>
      <c r="T714" t="s">
        <v>11164</v>
      </c>
      <c r="U714" t="s">
        <v>11164</v>
      </c>
      <c r="V714" t="s">
        <v>11164</v>
      </c>
      <c r="W714" t="s">
        <v>11868</v>
      </c>
      <c r="X714">
        <v>11</v>
      </c>
      <c r="Y714" t="s">
        <v>17402</v>
      </c>
      <c r="Z714" t="s">
        <v>22864</v>
      </c>
      <c r="AA714">
        <v>0.6681891813167844</v>
      </c>
      <c r="AB714" t="str">
        <f>HYPERLINK("Melting_Curves/meltCurve_F8W8M4_ABLIM1.pdf", "Melting_Curves/meltCurve_F8W8M4_ABLIM1.pdf")</f>
        <v>Melting_Curves/meltCurve_F8W8M4_ABLIM1.pdf</v>
      </c>
    </row>
    <row r="715" spans="1:28" x14ac:dyDescent="0.25">
      <c r="A715" t="s">
        <v>719</v>
      </c>
      <c r="B715">
        <v>0.99796759195183404</v>
      </c>
      <c r="C715">
        <v>1.0110094988655201</v>
      </c>
      <c r="D715">
        <v>1.0087212674344599</v>
      </c>
      <c r="E715">
        <v>0.87807952221740604</v>
      </c>
      <c r="F715">
        <v>0.613306485518747</v>
      </c>
      <c r="G715">
        <v>0.22904589281757601</v>
      </c>
      <c r="H715">
        <v>0.15949168545531001</v>
      </c>
      <c r="I715">
        <v>0.158190672174602</v>
      </c>
      <c r="J715">
        <v>9.6889119306139707E-2</v>
      </c>
      <c r="K715">
        <v>6.3830284062786596E-2</v>
      </c>
      <c r="L715">
        <v>1265.55628015447</v>
      </c>
      <c r="M715">
        <v>25.0312405704056</v>
      </c>
      <c r="N715">
        <v>51.008619715161799</v>
      </c>
      <c r="O715">
        <v>50.239696600663997</v>
      </c>
      <c r="P715">
        <v>-0.112231321829208</v>
      </c>
      <c r="Q715">
        <v>9.8983251575644304E-2</v>
      </c>
      <c r="R715">
        <v>0.99569838947047096</v>
      </c>
      <c r="S715" t="s">
        <v>6298</v>
      </c>
      <c r="T715" t="s">
        <v>11164</v>
      </c>
      <c r="U715" t="s">
        <v>11164</v>
      </c>
      <c r="V715" t="s">
        <v>11164</v>
      </c>
      <c r="W715" t="s">
        <v>11869</v>
      </c>
      <c r="X715">
        <v>4</v>
      </c>
      <c r="Y715" t="s">
        <v>17403</v>
      </c>
      <c r="Z715" t="s">
        <v>22865</v>
      </c>
      <c r="AA715">
        <v>0.51411868203362043</v>
      </c>
      <c r="AB715" t="str">
        <f>HYPERLINK("Melting_Curves/meltCurve_F8W8Q9_STX5.pdf", "Melting_Curves/meltCurve_F8W8Q9_STX5.pdf")</f>
        <v>Melting_Curves/meltCurve_F8W8Q9_STX5.pdf</v>
      </c>
    </row>
    <row r="716" spans="1:28" x14ac:dyDescent="0.25">
      <c r="A716" t="s">
        <v>720</v>
      </c>
      <c r="B716">
        <v>0.99796759195183404</v>
      </c>
      <c r="C716">
        <v>1.1021472553523299</v>
      </c>
      <c r="D716">
        <v>1.0411739241567399</v>
      </c>
      <c r="E716">
        <v>0.97904911712545195</v>
      </c>
      <c r="F716">
        <v>0.96612598057747201</v>
      </c>
      <c r="G716">
        <v>0.49999453645875203</v>
      </c>
      <c r="H716">
        <v>0.319839614748678</v>
      </c>
      <c r="I716">
        <v>0.25672546980885602</v>
      </c>
      <c r="J716">
        <v>0.22897242640702201</v>
      </c>
      <c r="K716">
        <v>0.15622765927548901</v>
      </c>
      <c r="L716">
        <v>2125.48091524758</v>
      </c>
      <c r="M716">
        <v>39.983826503674798</v>
      </c>
      <c r="N716">
        <v>53.970348430345801</v>
      </c>
      <c r="O716">
        <v>53.026089701196398</v>
      </c>
      <c r="P716">
        <v>-0.14590958760520101</v>
      </c>
      <c r="Q716">
        <v>0.225987514763766</v>
      </c>
      <c r="R716">
        <v>0.98368437751716498</v>
      </c>
      <c r="S716" t="s">
        <v>6299</v>
      </c>
      <c r="T716" t="s">
        <v>11164</v>
      </c>
      <c r="U716" t="s">
        <v>11164</v>
      </c>
      <c r="V716" t="s">
        <v>11164</v>
      </c>
      <c r="W716" t="s">
        <v>11870</v>
      </c>
      <c r="X716">
        <v>11</v>
      </c>
      <c r="Y716" t="s">
        <v>17404</v>
      </c>
      <c r="Z716" t="s">
        <v>22866</v>
      </c>
      <c r="AA716">
        <v>0.64571612812856338</v>
      </c>
      <c r="AB716" t="str">
        <f>HYPERLINK("Melting_Curves/meltCurve_F8W8R3_POLD2.pdf", "Melting_Curves/meltCurve_F8W8R3_POLD2.pdf")</f>
        <v>Melting_Curves/meltCurve_F8W8R3_POLD2.pdf</v>
      </c>
    </row>
    <row r="717" spans="1:28" x14ac:dyDescent="0.25">
      <c r="A717" t="s">
        <v>721</v>
      </c>
      <c r="B717">
        <v>0.99796759195183404</v>
      </c>
      <c r="C717">
        <v>0.87092769256392299</v>
      </c>
      <c r="D717">
        <v>0.85502168283800495</v>
      </c>
      <c r="E717">
        <v>0.81584483086722703</v>
      </c>
      <c r="F717">
        <v>0.71930840645954897</v>
      </c>
      <c r="G717">
        <v>0.552604209599591</v>
      </c>
      <c r="H717">
        <v>0.73349963879156799</v>
      </c>
      <c r="I717">
        <v>0.90272385118689102</v>
      </c>
      <c r="J717">
        <v>0.89470887578035696</v>
      </c>
      <c r="K717">
        <v>1.07186712149358</v>
      </c>
      <c r="L717">
        <v>1709.4774561725999</v>
      </c>
      <c r="M717">
        <v>43.5639809282955</v>
      </c>
      <c r="O717">
        <v>39.158199901831601</v>
      </c>
      <c r="P717">
        <v>-5.0853581209922699E-2</v>
      </c>
      <c r="Q717">
        <v>0.81715796673776797</v>
      </c>
      <c r="R717">
        <v>0.15224490263488799</v>
      </c>
      <c r="S717" t="s">
        <v>6300</v>
      </c>
      <c r="T717" t="s">
        <v>11164</v>
      </c>
      <c r="U717" t="s">
        <v>11164</v>
      </c>
      <c r="V717" t="s">
        <v>11164</v>
      </c>
      <c r="W717" t="s">
        <v>11871</v>
      </c>
      <c r="X717">
        <v>5</v>
      </c>
      <c r="Y717" t="s">
        <v>17405</v>
      </c>
      <c r="Z717" t="s">
        <v>22867</v>
      </c>
      <c r="AA717">
        <v>0.83155468504270003</v>
      </c>
      <c r="AB717" t="str">
        <f>HYPERLINK("Melting_Curves/meltCurve_F8W8Z9_TOMM5.pdf", "Melting_Curves/meltCurve_F8W8Z9_TOMM5.pdf")</f>
        <v>Melting_Curves/meltCurve_F8W8Z9_TOMM5.pdf</v>
      </c>
    </row>
    <row r="718" spans="1:28" x14ac:dyDescent="0.25">
      <c r="A718" t="s">
        <v>722</v>
      </c>
      <c r="B718">
        <v>0.99796759195183404</v>
      </c>
      <c r="C718">
        <v>1.05399212816247</v>
      </c>
      <c r="D718">
        <v>0.93931774393594203</v>
      </c>
      <c r="E718">
        <v>0.97616899811236801</v>
      </c>
      <c r="F718">
        <v>0.88059912604569401</v>
      </c>
      <c r="G718">
        <v>0.52163008438108205</v>
      </c>
      <c r="H718">
        <v>0.28982205312388698</v>
      </c>
      <c r="I718">
        <v>0.340553076971645</v>
      </c>
      <c r="J718">
        <v>9.2334762419805302E-2</v>
      </c>
      <c r="K718">
        <v>0.23873745647029401</v>
      </c>
      <c r="L718">
        <v>1434.1465034013199</v>
      </c>
      <c r="M718">
        <v>27.004106712561899</v>
      </c>
      <c r="N718">
        <v>54.181301597996097</v>
      </c>
      <c r="O718">
        <v>52.819779087416897</v>
      </c>
      <c r="P718">
        <v>-0.101346104649293</v>
      </c>
      <c r="Q718">
        <v>0.20707973468472601</v>
      </c>
      <c r="R718">
        <v>0.97191310700175104</v>
      </c>
      <c r="S718" t="s">
        <v>6301</v>
      </c>
      <c r="T718" t="s">
        <v>11164</v>
      </c>
      <c r="U718" t="s">
        <v>11164</v>
      </c>
      <c r="V718" t="s">
        <v>11164</v>
      </c>
      <c r="W718" t="s">
        <v>11872</v>
      </c>
      <c r="X718">
        <v>1</v>
      </c>
      <c r="Y718" t="s">
        <v>17406</v>
      </c>
      <c r="Z718" t="s">
        <v>22868</v>
      </c>
      <c r="AA718">
        <v>0.63895642120465157</v>
      </c>
      <c r="AB718" t="str">
        <f>HYPERLINK("Melting_Curves/meltCurve_F8W930_IGF2BP2.pdf", "Melting_Curves/meltCurve_F8W930_IGF2BP2.pdf")</f>
        <v>Melting_Curves/meltCurve_F8W930_IGF2BP2.pdf</v>
      </c>
    </row>
    <row r="719" spans="1:28" x14ac:dyDescent="0.25">
      <c r="A719" t="s">
        <v>723</v>
      </c>
      <c r="B719">
        <v>0.99796759195183404</v>
      </c>
      <c r="C719">
        <v>1.0578310987433099</v>
      </c>
      <c r="D719">
        <v>0.85724620623294601</v>
      </c>
      <c r="E719">
        <v>0.80686284000564501</v>
      </c>
      <c r="F719">
        <v>0.85204542001252304</v>
      </c>
      <c r="G719">
        <v>1.15260936489387</v>
      </c>
      <c r="H719">
        <v>0.86247009241956196</v>
      </c>
      <c r="I719">
        <v>0.82469882435754405</v>
      </c>
      <c r="J719">
        <v>0.305408533361896</v>
      </c>
      <c r="K719">
        <v>0.24387587880851999</v>
      </c>
      <c r="L719">
        <v>4138.5640590362</v>
      </c>
      <c r="M719">
        <v>66.681681226654007</v>
      </c>
      <c r="N719">
        <v>62.649068615831702</v>
      </c>
      <c r="O719">
        <v>62.008733929336401</v>
      </c>
      <c r="P719">
        <v>-0.20656968718025301</v>
      </c>
      <c r="Q719">
        <v>0.23162577791028499</v>
      </c>
      <c r="R719">
        <v>0.84339603244477201</v>
      </c>
      <c r="S719" t="s">
        <v>6302</v>
      </c>
      <c r="T719" t="s">
        <v>11164</v>
      </c>
      <c r="U719" t="s">
        <v>11164</v>
      </c>
      <c r="V719" t="s">
        <v>11164</v>
      </c>
      <c r="W719" t="s">
        <v>11873</v>
      </c>
      <c r="X719">
        <v>2</v>
      </c>
      <c r="Y719" t="s">
        <v>17407</v>
      </c>
      <c r="Z719" t="s">
        <v>22869</v>
      </c>
      <c r="AA719">
        <v>0.87455842306498488</v>
      </c>
      <c r="AB719" t="str">
        <f>HYPERLINK("Melting_Curves/meltCurve_F8W943_ASL.pdf", "Melting_Curves/meltCurve_F8W943_ASL.pdf")</f>
        <v>Melting_Curves/meltCurve_F8W943_ASL.pdf</v>
      </c>
    </row>
    <row r="720" spans="1:28" x14ac:dyDescent="0.25">
      <c r="A720" t="s">
        <v>724</v>
      </c>
      <c r="B720">
        <v>0.99796759195183404</v>
      </c>
      <c r="C720">
        <v>1.28396825415664</v>
      </c>
      <c r="D720">
        <v>1.07694086258452</v>
      </c>
      <c r="E720">
        <v>0.95683218418484695</v>
      </c>
      <c r="F720">
        <v>0.77504064237475701</v>
      </c>
      <c r="G720">
        <v>0.78283163127373301</v>
      </c>
      <c r="H720">
        <v>0.29460168756724803</v>
      </c>
      <c r="I720">
        <v>0.18594956691518999</v>
      </c>
      <c r="J720">
        <v>0.16776606201664301</v>
      </c>
      <c r="K720">
        <v>9.4136944344032206E-2</v>
      </c>
      <c r="L720">
        <v>1131.3947868360301</v>
      </c>
      <c r="M720">
        <v>20.475696488979501</v>
      </c>
      <c r="N720">
        <v>55.711741902613902</v>
      </c>
      <c r="O720">
        <v>54.7365506523318</v>
      </c>
      <c r="P720">
        <v>-8.6302828020691003E-2</v>
      </c>
      <c r="Q720">
        <v>7.7193009403714402E-2</v>
      </c>
      <c r="R720">
        <v>0.92768532174273</v>
      </c>
      <c r="S720" t="s">
        <v>6303</v>
      </c>
      <c r="T720" t="s">
        <v>11164</v>
      </c>
      <c r="U720" t="s">
        <v>11164</v>
      </c>
      <c r="V720" t="s">
        <v>11164</v>
      </c>
      <c r="W720" t="s">
        <v>11874</v>
      </c>
      <c r="X720">
        <v>3</v>
      </c>
      <c r="Y720" t="s">
        <v>17408</v>
      </c>
      <c r="Z720" t="s">
        <v>22870</v>
      </c>
      <c r="AA720">
        <v>0.64873570255471313</v>
      </c>
      <c r="AB720" t="str">
        <f>HYPERLINK("Melting_Curves/meltCurve_F8W9A8_PPIP5K1.pdf", "Melting_Curves/meltCurve_F8W9A8_PPIP5K1.pdf")</f>
        <v>Melting_Curves/meltCurve_F8W9A8_PPIP5K1.pdf</v>
      </c>
    </row>
    <row r="721" spans="1:28" x14ac:dyDescent="0.25">
      <c r="A721" t="s">
        <v>725</v>
      </c>
      <c r="B721">
        <v>0.99796759195183404</v>
      </c>
      <c r="C721">
        <v>0.98332692213054196</v>
      </c>
      <c r="D721">
        <v>0.83640270622454704</v>
      </c>
      <c r="E721">
        <v>0.66460858783323695</v>
      </c>
      <c r="F721">
        <v>0.51424622927984798</v>
      </c>
      <c r="G721">
        <v>0.33760964834122198</v>
      </c>
      <c r="H721">
        <v>0.283409030884753</v>
      </c>
      <c r="I721">
        <v>0.19751340570053</v>
      </c>
      <c r="J721">
        <v>0.210658372582605</v>
      </c>
      <c r="K721">
        <v>0.14375678057542601</v>
      </c>
      <c r="L721">
        <v>577.33142297885001</v>
      </c>
      <c r="M721">
        <v>11.8385192428889</v>
      </c>
      <c r="N721">
        <v>50.1201597611729</v>
      </c>
      <c r="O721">
        <v>47.4381267778991</v>
      </c>
      <c r="P721">
        <v>-5.38699755885204E-2</v>
      </c>
      <c r="Q721">
        <v>0.13676985699393299</v>
      </c>
      <c r="R721">
        <v>0.99476280618305801</v>
      </c>
      <c r="S721" t="s">
        <v>6304</v>
      </c>
      <c r="T721" t="s">
        <v>11164</v>
      </c>
      <c r="U721" t="s">
        <v>11164</v>
      </c>
      <c r="V721" t="s">
        <v>11164</v>
      </c>
      <c r="W721" t="s">
        <v>11875</v>
      </c>
      <c r="X721">
        <v>6</v>
      </c>
      <c r="Y721" t="s">
        <v>17409</v>
      </c>
      <c r="Z721" t="s">
        <v>22871</v>
      </c>
      <c r="AA721">
        <v>0.50182446948488968</v>
      </c>
      <c r="AB721" t="str">
        <f>HYPERLINK("Melting_Curves/meltCurve_F8W9F9_WNK2.pdf", "Melting_Curves/meltCurve_F8W9F9_WNK2.pdf")</f>
        <v>Melting_Curves/meltCurve_F8W9F9_WNK2.pdf</v>
      </c>
    </row>
    <row r="722" spans="1:28" x14ac:dyDescent="0.25">
      <c r="A722" t="s">
        <v>726</v>
      </c>
      <c r="B722">
        <v>0.99796759195183404</v>
      </c>
      <c r="C722">
        <v>1.3468134408269099</v>
      </c>
      <c r="D722">
        <v>1.1159578654225499</v>
      </c>
      <c r="E722">
        <v>1.0185206567276199</v>
      </c>
      <c r="F722">
        <v>1.29704619999311</v>
      </c>
      <c r="G722">
        <v>1.1432538624581801</v>
      </c>
      <c r="H722">
        <v>0.95611942843700104</v>
      </c>
      <c r="I722">
        <v>0.54409864849966205</v>
      </c>
      <c r="J722">
        <v>0.45969841669145201</v>
      </c>
      <c r="K722">
        <v>0.44663307238053901</v>
      </c>
      <c r="L722">
        <v>4002.58461731238</v>
      </c>
      <c r="M722">
        <v>67.209162993462201</v>
      </c>
      <c r="N722">
        <v>61.6825728392161</v>
      </c>
      <c r="O722">
        <v>59.501495506805703</v>
      </c>
      <c r="P722">
        <v>-0.15508003759363401</v>
      </c>
      <c r="Q722">
        <v>0.45081945953230201</v>
      </c>
      <c r="R722">
        <v>0.75828933702927803</v>
      </c>
      <c r="S722" t="s">
        <v>6305</v>
      </c>
      <c r="T722" t="s">
        <v>11164</v>
      </c>
      <c r="U722" t="s">
        <v>11164</v>
      </c>
      <c r="V722" t="s">
        <v>11164</v>
      </c>
      <c r="W722" t="s">
        <v>11876</v>
      </c>
      <c r="X722">
        <v>1</v>
      </c>
      <c r="Y722" t="s">
        <v>17410</v>
      </c>
      <c r="Z722" t="s">
        <v>22872</v>
      </c>
      <c r="AA722">
        <v>0.86448048456437121</v>
      </c>
      <c r="AB722" t="str">
        <f>HYPERLINK("Melting_Curves/meltCurve_F8W9I8_SLC26A6.pdf", "Melting_Curves/meltCurve_F8W9I8_SLC26A6.pdf")</f>
        <v>Melting_Curves/meltCurve_F8W9I8_SLC26A6.pdf</v>
      </c>
    </row>
    <row r="723" spans="1:28" x14ac:dyDescent="0.25">
      <c r="A723" t="s">
        <v>727</v>
      </c>
      <c r="B723">
        <v>0.99796759195183404</v>
      </c>
      <c r="C723">
        <v>0.97025292390334394</v>
      </c>
      <c r="D723">
        <v>0.93796380361759202</v>
      </c>
      <c r="E723">
        <v>0.78861125791790398</v>
      </c>
      <c r="F723">
        <v>0.53843793628175496</v>
      </c>
      <c r="G723">
        <v>0.543126336095894</v>
      </c>
      <c r="H723">
        <v>0.33500925732612602</v>
      </c>
      <c r="I723">
        <v>0.14716883165459799</v>
      </c>
      <c r="J723">
        <v>0.124805170119072</v>
      </c>
      <c r="K723">
        <v>7.7927935404728907E-2</v>
      </c>
      <c r="L723">
        <v>546.831575135918</v>
      </c>
      <c r="M723">
        <v>10.3723444605659</v>
      </c>
      <c r="N723">
        <v>52.720151862133498</v>
      </c>
      <c r="O723">
        <v>50.873433742718703</v>
      </c>
      <c r="P723">
        <v>-5.0992872745797301E-2</v>
      </c>
      <c r="Q723">
        <v>0</v>
      </c>
      <c r="R723">
        <v>0.98164302270082504</v>
      </c>
      <c r="S723" t="s">
        <v>6306</v>
      </c>
      <c r="T723" t="s">
        <v>11164</v>
      </c>
      <c r="U723" t="s">
        <v>11164</v>
      </c>
      <c r="V723" t="s">
        <v>11164</v>
      </c>
      <c r="W723" t="s">
        <v>11877</v>
      </c>
      <c r="X723">
        <v>4</v>
      </c>
      <c r="Y723" t="s">
        <v>17411</v>
      </c>
      <c r="Z723" t="s">
        <v>22873</v>
      </c>
      <c r="AA723">
        <v>0.54739968659489691</v>
      </c>
      <c r="AB723" t="str">
        <f>HYPERLINK("Melting_Curves/meltCurve_F8W9R9_MED24.pdf", "Melting_Curves/meltCurve_F8W9R9_MED24.pdf")</f>
        <v>Melting_Curves/meltCurve_F8W9R9_MED24.pdf</v>
      </c>
    </row>
    <row r="724" spans="1:28" x14ac:dyDescent="0.25">
      <c r="A724" t="s">
        <v>728</v>
      </c>
      <c r="B724">
        <v>0.99796759195183404</v>
      </c>
      <c r="C724">
        <v>1.00877843157928</v>
      </c>
      <c r="D724">
        <v>0.99125926007034704</v>
      </c>
      <c r="E724">
        <v>0.93197726819913596</v>
      </c>
      <c r="F724">
        <v>0.93235933324112596</v>
      </c>
      <c r="G724">
        <v>0.48537077605715501</v>
      </c>
      <c r="H724">
        <v>0.32271923416315401</v>
      </c>
      <c r="I724">
        <v>0.221837259048108</v>
      </c>
      <c r="J724">
        <v>0.22942524885797599</v>
      </c>
      <c r="K724">
        <v>0.12318698720721601</v>
      </c>
      <c r="L724">
        <v>1593.3210827389801</v>
      </c>
      <c r="M724">
        <v>29.963139513304199</v>
      </c>
      <c r="N724">
        <v>54.053408293215</v>
      </c>
      <c r="O724">
        <v>52.940863956786998</v>
      </c>
      <c r="P724">
        <v>-0.11424730633980699</v>
      </c>
      <c r="Q724">
        <v>0.1925663881136</v>
      </c>
      <c r="R724">
        <v>0.98745554065201002</v>
      </c>
      <c r="S724" t="s">
        <v>6307</v>
      </c>
      <c r="T724" t="s">
        <v>11164</v>
      </c>
      <c r="U724" t="s">
        <v>11164</v>
      </c>
      <c r="V724" t="s">
        <v>11164</v>
      </c>
      <c r="W724" t="s">
        <v>11878</v>
      </c>
      <c r="X724">
        <v>1</v>
      </c>
      <c r="Y724" t="s">
        <v>17412</v>
      </c>
      <c r="Z724" t="s">
        <v>22874</v>
      </c>
      <c r="AA724">
        <v>0.6330922547921527</v>
      </c>
      <c r="AB724" t="str">
        <f>HYPERLINK("Melting_Curves/meltCurve_F8W9Z6_STX16.pdf", "Melting_Curves/meltCurve_F8W9Z6_STX16.pdf")</f>
        <v>Melting_Curves/meltCurve_F8W9Z6_STX16.pdf</v>
      </c>
    </row>
    <row r="725" spans="1:28" x14ac:dyDescent="0.25">
      <c r="A725" t="s">
        <v>729</v>
      </c>
      <c r="B725">
        <v>0.99796759195183404</v>
      </c>
      <c r="C725">
        <v>0.92161096433623102</v>
      </c>
      <c r="D725">
        <v>0.8605988337703</v>
      </c>
      <c r="E725">
        <v>0.87915526210870698</v>
      </c>
      <c r="F725">
        <v>0.63336616767966303</v>
      </c>
      <c r="G725">
        <v>0.31477349864719301</v>
      </c>
      <c r="H725">
        <v>0.247897210837393</v>
      </c>
      <c r="I725">
        <v>0.21287581012159301</v>
      </c>
      <c r="J725">
        <v>0.17142408765688599</v>
      </c>
      <c r="K725">
        <v>0.15546813784180599</v>
      </c>
      <c r="L725">
        <v>881.03919869659001</v>
      </c>
      <c r="M725">
        <v>17.429115665742199</v>
      </c>
      <c r="N725">
        <v>51.5957158520851</v>
      </c>
      <c r="O725">
        <v>49.898461512971402</v>
      </c>
      <c r="P725">
        <v>-7.4332141464170207E-2</v>
      </c>
      <c r="Q725">
        <v>0.14881448073444201</v>
      </c>
      <c r="R725">
        <v>0.98085720216984496</v>
      </c>
      <c r="S725" t="s">
        <v>6308</v>
      </c>
      <c r="T725" t="s">
        <v>11164</v>
      </c>
      <c r="U725" t="s">
        <v>11164</v>
      </c>
      <c r="V725" t="s">
        <v>11164</v>
      </c>
      <c r="W725" t="s">
        <v>11879</v>
      </c>
      <c r="X725">
        <v>11</v>
      </c>
      <c r="Y725" t="s">
        <v>17413</v>
      </c>
      <c r="Z725" t="s">
        <v>22875</v>
      </c>
      <c r="AA725">
        <v>0.54726421321376728</v>
      </c>
      <c r="AB725" t="str">
        <f>HYPERLINK("Melting_Curves/meltCurve_F8WA11_CLASP1.pdf", "Melting_Curves/meltCurve_F8WA11_CLASP1.pdf")</f>
        <v>Melting_Curves/meltCurve_F8WA11_CLASP1.pdf</v>
      </c>
    </row>
    <row r="726" spans="1:28" x14ac:dyDescent="0.25">
      <c r="A726" t="s">
        <v>730</v>
      </c>
      <c r="B726">
        <v>0.99796759195183404</v>
      </c>
      <c r="C726">
        <v>1.03032720105801</v>
      </c>
      <c r="D726">
        <v>1.0269729047388101</v>
      </c>
      <c r="E726">
        <v>0.99841648526422999</v>
      </c>
      <c r="F726">
        <v>0.78620249348361704</v>
      </c>
      <c r="G726">
        <v>0.33675686075716099</v>
      </c>
      <c r="H726">
        <v>0.209924798297841</v>
      </c>
      <c r="I726">
        <v>0.14703205018773</v>
      </c>
      <c r="J726">
        <v>0.14137159175035599</v>
      </c>
      <c r="K726">
        <v>0.122293514200198</v>
      </c>
      <c r="L726">
        <v>1700.4404906478401</v>
      </c>
      <c r="M726">
        <v>32.770737507963503</v>
      </c>
      <c r="N726">
        <v>52.4240906685882</v>
      </c>
      <c r="O726">
        <v>51.696913191208701</v>
      </c>
      <c r="P726">
        <v>-0.13594824457148999</v>
      </c>
      <c r="Q726">
        <v>0.142152683747614</v>
      </c>
      <c r="R726">
        <v>0.99770777979485803</v>
      </c>
      <c r="S726" t="s">
        <v>6309</v>
      </c>
      <c r="T726" t="s">
        <v>11164</v>
      </c>
      <c r="U726" t="s">
        <v>11164</v>
      </c>
      <c r="V726" t="s">
        <v>11164</v>
      </c>
      <c r="W726" t="s">
        <v>11880</v>
      </c>
      <c r="X726">
        <v>11</v>
      </c>
      <c r="Y726" t="s">
        <v>17414</v>
      </c>
      <c r="Z726" t="s">
        <v>22876</v>
      </c>
      <c r="AA726">
        <v>0.57245700666157118</v>
      </c>
      <c r="AB726" t="str">
        <f>HYPERLINK("Melting_Curves/meltCurve_F8WA86_CNN3.pdf", "Melting_Curves/meltCurve_F8WA86_CNN3.pdf")</f>
        <v>Melting_Curves/meltCurve_F8WA86_CNN3.pdf</v>
      </c>
    </row>
    <row r="727" spans="1:28" x14ac:dyDescent="0.25">
      <c r="A727" t="s">
        <v>731</v>
      </c>
      <c r="B727">
        <v>0.99796759195183404</v>
      </c>
      <c r="C727">
        <v>0.91726328889482101</v>
      </c>
      <c r="D727">
        <v>0.95554530209104604</v>
      </c>
      <c r="E727">
        <v>0.85800737874070798</v>
      </c>
      <c r="F727">
        <v>0.65535287899469596</v>
      </c>
      <c r="G727">
        <v>0.57213063485815296</v>
      </c>
      <c r="H727">
        <v>0.69520527396371301</v>
      </c>
      <c r="I727">
        <v>0.43515466889521198</v>
      </c>
      <c r="J727">
        <v>0.405091303720921</v>
      </c>
      <c r="K727">
        <v>0.121616348060215</v>
      </c>
      <c r="L727">
        <v>405.81783625547899</v>
      </c>
      <c r="M727">
        <v>6.9885041684381299</v>
      </c>
      <c r="N727">
        <v>58.069341626725098</v>
      </c>
      <c r="O727">
        <v>53.875109954997498</v>
      </c>
      <c r="P727">
        <v>-3.2489673437408002E-2</v>
      </c>
      <c r="Q727">
        <v>0</v>
      </c>
      <c r="R727">
        <v>0.893037072054359</v>
      </c>
      <c r="S727" t="s">
        <v>6310</v>
      </c>
      <c r="T727" t="s">
        <v>11164</v>
      </c>
      <c r="U727" t="s">
        <v>11164</v>
      </c>
      <c r="V727" t="s">
        <v>11164</v>
      </c>
      <c r="W727" t="s">
        <v>11881</v>
      </c>
      <c r="X727">
        <v>1</v>
      </c>
      <c r="Y727" t="s">
        <v>17415</v>
      </c>
      <c r="Z727" t="s">
        <v>22877</v>
      </c>
      <c r="AA727">
        <v>0.67140573547500848</v>
      </c>
      <c r="AB727" t="str">
        <f>HYPERLINK("Melting_Curves/meltCurve_F8WAD8_ADAM22.pdf", "Melting_Curves/meltCurve_F8WAD8_ADAM22.pdf")</f>
        <v>Melting_Curves/meltCurve_F8WAD8_ADAM22.pdf</v>
      </c>
    </row>
    <row r="728" spans="1:28" x14ac:dyDescent="0.25">
      <c r="A728" t="s">
        <v>732</v>
      </c>
      <c r="B728">
        <v>0.99796759195183404</v>
      </c>
      <c r="C728">
        <v>0.90333469998156801</v>
      </c>
      <c r="D728">
        <v>0.96363418064893702</v>
      </c>
      <c r="E728">
        <v>0.864780993316004</v>
      </c>
      <c r="F728">
        <v>0.69604657898464195</v>
      </c>
      <c r="G728">
        <v>0.49178859108613698</v>
      </c>
      <c r="H728">
        <v>0.28000962195222301</v>
      </c>
      <c r="I728">
        <v>0.14161903805154599</v>
      </c>
      <c r="J728">
        <v>0.101432343748156</v>
      </c>
      <c r="K728">
        <v>7.3332913275819395E-2</v>
      </c>
      <c r="L728">
        <v>694.78141379554904</v>
      </c>
      <c r="M728">
        <v>13.020581277314699</v>
      </c>
      <c r="N728">
        <v>53.3602443878004</v>
      </c>
      <c r="O728">
        <v>52.148654278632797</v>
      </c>
      <c r="P728">
        <v>-6.24314838650478E-2</v>
      </c>
      <c r="Q728">
        <v>0</v>
      </c>
      <c r="R728">
        <v>0.99372013246477098</v>
      </c>
      <c r="S728" t="s">
        <v>6311</v>
      </c>
      <c r="T728" t="s">
        <v>11164</v>
      </c>
      <c r="U728" t="s">
        <v>11164</v>
      </c>
      <c r="V728" t="s">
        <v>11164</v>
      </c>
      <c r="W728" t="s">
        <v>11882</v>
      </c>
      <c r="X728">
        <v>11</v>
      </c>
      <c r="Y728" t="s">
        <v>17416</v>
      </c>
      <c r="Z728" t="s">
        <v>22878</v>
      </c>
      <c r="AA728">
        <v>0.56454215255295714</v>
      </c>
      <c r="AB728" t="str">
        <f>HYPERLINK("Melting_Curves/meltCurve_F8WAE5_EIF2A.pdf", "Melting_Curves/meltCurve_F8WAE5_EIF2A.pdf")</f>
        <v>Melting_Curves/meltCurve_F8WAE5_EIF2A.pdf</v>
      </c>
    </row>
    <row r="729" spans="1:28" x14ac:dyDescent="0.25">
      <c r="A729" t="s">
        <v>733</v>
      </c>
      <c r="B729">
        <v>0.99796759195183404</v>
      </c>
      <c r="C729">
        <v>0.91444759244206997</v>
      </c>
      <c r="D729">
        <v>1.0753473064620001</v>
      </c>
      <c r="E729">
        <v>1.0243495362813499</v>
      </c>
      <c r="F729">
        <v>0.78542163351049199</v>
      </c>
      <c r="G729">
        <v>0.26389592291777197</v>
      </c>
      <c r="H729">
        <v>0.20016477548167799</v>
      </c>
      <c r="I729">
        <v>0.14956914390131801</v>
      </c>
      <c r="J729">
        <v>0.14720002305002999</v>
      </c>
      <c r="K729">
        <v>6.9003440712635006E-2</v>
      </c>
      <c r="L729">
        <v>2102.2063358763198</v>
      </c>
      <c r="M729">
        <v>40.758543001233001</v>
      </c>
      <c r="N729">
        <v>51.981478391288697</v>
      </c>
      <c r="O729">
        <v>51.453384448844503</v>
      </c>
      <c r="P729">
        <v>-0.17112968298247899</v>
      </c>
      <c r="Q729">
        <v>0.135868636339601</v>
      </c>
      <c r="R729">
        <v>0.98684523072309405</v>
      </c>
      <c r="S729" t="s">
        <v>6312</v>
      </c>
      <c r="T729" t="s">
        <v>11164</v>
      </c>
      <c r="U729" t="s">
        <v>11164</v>
      </c>
      <c r="V729" t="s">
        <v>11164</v>
      </c>
      <c r="W729" t="s">
        <v>11533</v>
      </c>
      <c r="X729">
        <v>1</v>
      </c>
      <c r="Z729" t="s">
        <v>22879</v>
      </c>
      <c r="AA729">
        <v>0.55871365717319565</v>
      </c>
      <c r="AB729" t="str">
        <f>HYPERLINK("Melting_Curves/meltCurve_F8WAN1_.pdf", "Melting_Curves/meltCurve_F8WAN1_.pdf")</f>
        <v>Melting_Curves/meltCurve_F8WAN1_.pdf</v>
      </c>
    </row>
    <row r="730" spans="1:28" x14ac:dyDescent="0.25">
      <c r="A730" t="s">
        <v>734</v>
      </c>
      <c r="B730">
        <v>0.99796759195183404</v>
      </c>
      <c r="C730">
        <v>0.91983482674948003</v>
      </c>
      <c r="D730">
        <v>0.75137729008513099</v>
      </c>
      <c r="E730">
        <v>0.77392029690300002</v>
      </c>
      <c r="F730">
        <v>0.91750215211667496</v>
      </c>
      <c r="G730">
        <v>0.62778767436430505</v>
      </c>
      <c r="H730">
        <v>0.70739208561108702</v>
      </c>
      <c r="I730">
        <v>0.90363345434332498</v>
      </c>
      <c r="J730">
        <v>0.52676239106315703</v>
      </c>
      <c r="K730">
        <v>0.30521430218608803</v>
      </c>
      <c r="L730">
        <v>248.97942652984599</v>
      </c>
      <c r="M730">
        <v>3.64936660446386</v>
      </c>
      <c r="O730">
        <v>54.3084541206414</v>
      </c>
      <c r="P730">
        <v>-1.7087790669255899E-2</v>
      </c>
      <c r="Q730">
        <v>0</v>
      </c>
      <c r="R730">
        <v>0.532754728592856</v>
      </c>
      <c r="S730" t="s">
        <v>6313</v>
      </c>
      <c r="T730" t="s">
        <v>11164</v>
      </c>
      <c r="U730" t="s">
        <v>11164</v>
      </c>
      <c r="V730" t="s">
        <v>11164</v>
      </c>
      <c r="W730" t="s">
        <v>11883</v>
      </c>
      <c r="X730">
        <v>4</v>
      </c>
      <c r="Y730" t="s">
        <v>17417</v>
      </c>
      <c r="Z730" t="s">
        <v>22880</v>
      </c>
      <c r="AA730">
        <v>0.75084029021131959</v>
      </c>
      <c r="AB730" t="str">
        <f>HYPERLINK("Melting_Curves/meltCurve_F8WBH3_ALDH16A1.pdf", "Melting_Curves/meltCurve_F8WBH3_ALDH16A1.pdf")</f>
        <v>Melting_Curves/meltCurve_F8WBH3_ALDH16A1.pdf</v>
      </c>
    </row>
    <row r="731" spans="1:28" x14ac:dyDescent="0.25">
      <c r="A731" t="s">
        <v>735</v>
      </c>
      <c r="B731">
        <v>0.99796759195183404</v>
      </c>
      <c r="C731">
        <v>1.17877640917153</v>
      </c>
      <c r="D731">
        <v>0.809268142399725</v>
      </c>
      <c r="E731">
        <v>1.18595263391998</v>
      </c>
      <c r="F731">
        <v>1.0617003750771801</v>
      </c>
      <c r="G731">
        <v>0.50702193050282895</v>
      </c>
      <c r="H731">
        <v>0.40891839776990002</v>
      </c>
      <c r="I731">
        <v>0.44706676331416301</v>
      </c>
      <c r="J731">
        <v>0</v>
      </c>
      <c r="K731">
        <v>0</v>
      </c>
      <c r="L731">
        <v>970.20908181526102</v>
      </c>
      <c r="M731">
        <v>17.195692378964502</v>
      </c>
      <c r="N731">
        <v>56.421635455220503</v>
      </c>
      <c r="O731">
        <v>55.675156576450703</v>
      </c>
      <c r="P731">
        <v>-7.7218944907641807E-2</v>
      </c>
      <c r="Q731">
        <v>0</v>
      </c>
      <c r="R731">
        <v>0.86628304605251105</v>
      </c>
      <c r="S731" t="s">
        <v>6314</v>
      </c>
      <c r="T731" t="s">
        <v>11164</v>
      </c>
      <c r="U731" t="s">
        <v>11164</v>
      </c>
      <c r="V731" t="s">
        <v>11164</v>
      </c>
      <c r="W731" t="s">
        <v>11884</v>
      </c>
      <c r="X731">
        <v>1</v>
      </c>
      <c r="Y731" t="s">
        <v>17418</v>
      </c>
      <c r="Z731" t="s">
        <v>22881</v>
      </c>
      <c r="AA731">
        <v>0.65773114659600529</v>
      </c>
      <c r="AB731" t="str">
        <f>HYPERLINK("Melting_Curves/meltCurve_F8WBJ6_PNO1.pdf", "Melting_Curves/meltCurve_F8WBJ6_PNO1.pdf")</f>
        <v>Melting_Curves/meltCurve_F8WBJ6_PNO1.pdf</v>
      </c>
    </row>
    <row r="732" spans="1:28" x14ac:dyDescent="0.25">
      <c r="A732" t="s">
        <v>736</v>
      </c>
      <c r="B732">
        <v>0.99796759195183404</v>
      </c>
      <c r="C732">
        <v>0.99794489672995801</v>
      </c>
      <c r="D732">
        <v>0.87162737091312603</v>
      </c>
      <c r="E732">
        <v>1.17917855990936</v>
      </c>
      <c r="F732">
        <v>1.52698460796758</v>
      </c>
      <c r="G732">
        <v>1.22925105062483</v>
      </c>
      <c r="H732">
        <v>0.998573047234532</v>
      </c>
      <c r="I732">
        <v>0.635313087809387</v>
      </c>
      <c r="J732">
        <v>0.49815924834098402</v>
      </c>
      <c r="K732">
        <v>0.401146917940783</v>
      </c>
      <c r="L732">
        <v>3803.4286285887101</v>
      </c>
      <c r="M732">
        <v>62.910501471818598</v>
      </c>
      <c r="N732">
        <v>62.545592082132103</v>
      </c>
      <c r="O732">
        <v>60.396778423566502</v>
      </c>
      <c r="P732">
        <v>-0.14614667348360699</v>
      </c>
      <c r="Q732">
        <v>0.43877198796459899</v>
      </c>
      <c r="R732">
        <v>0.64499445948304002</v>
      </c>
      <c r="S732" t="s">
        <v>6315</v>
      </c>
      <c r="T732" t="s">
        <v>11164</v>
      </c>
      <c r="U732" t="s">
        <v>11164</v>
      </c>
      <c r="V732" t="s">
        <v>11164</v>
      </c>
      <c r="W732" t="s">
        <v>11885</v>
      </c>
      <c r="X732">
        <v>2</v>
      </c>
      <c r="Y732" t="s">
        <v>17419</v>
      </c>
      <c r="Z732" t="s">
        <v>22882</v>
      </c>
      <c r="AA732">
        <v>0.87850488890577139</v>
      </c>
      <c r="AB732" t="str">
        <f>HYPERLINK("Melting_Curves/meltCurve_F8WBK5_MRPL40.pdf", "Melting_Curves/meltCurve_F8WBK5_MRPL40.pdf")</f>
        <v>Melting_Curves/meltCurve_F8WBK5_MRPL40.pdf</v>
      </c>
    </row>
    <row r="733" spans="1:28" x14ac:dyDescent="0.25">
      <c r="A733" t="s">
        <v>737</v>
      </c>
      <c r="B733">
        <v>0.99796759195183404</v>
      </c>
      <c r="C733">
        <v>0.99504667710719796</v>
      </c>
      <c r="D733">
        <v>1.0117380515244301</v>
      </c>
      <c r="E733">
        <v>1.23546358084789</v>
      </c>
      <c r="F733">
        <v>1.1300839235095099</v>
      </c>
      <c r="G733">
        <v>3.8603199225058802</v>
      </c>
      <c r="H733">
        <v>0.72962086114569802</v>
      </c>
      <c r="I733">
        <v>0.67983705571187503</v>
      </c>
      <c r="J733">
        <v>0.49662154456890401</v>
      </c>
      <c r="K733">
        <v>0.71752626948412801</v>
      </c>
      <c r="L733">
        <v>14291.9205763472</v>
      </c>
      <c r="M733">
        <v>250</v>
      </c>
      <c r="O733">
        <v>57.164019923850901</v>
      </c>
      <c r="P733">
        <v>-0.40308591169119801</v>
      </c>
      <c r="Q733">
        <v>0.63132779702744202</v>
      </c>
      <c r="R733">
        <v>1.6278281816148699E-2</v>
      </c>
      <c r="S733" t="s">
        <v>6316</v>
      </c>
      <c r="T733" t="s">
        <v>11164</v>
      </c>
      <c r="U733" t="s">
        <v>11164</v>
      </c>
      <c r="V733" t="s">
        <v>11164</v>
      </c>
      <c r="W733" t="s">
        <v>11886</v>
      </c>
      <c r="X733">
        <v>2</v>
      </c>
      <c r="Y733" t="s">
        <v>17420</v>
      </c>
      <c r="Z733" t="s">
        <v>22883</v>
      </c>
      <c r="AA733">
        <v>0.87920691412961871</v>
      </c>
      <c r="AB733" t="str">
        <f>HYPERLINK("Melting_Curves/meltCurve_F8WBS5_RPL35A.pdf", "Melting_Curves/meltCurve_F8WBS5_RPL35A.pdf")</f>
        <v>Melting_Curves/meltCurve_F8WBS5_RPL35A.pdf</v>
      </c>
    </row>
    <row r="734" spans="1:28" x14ac:dyDescent="0.25">
      <c r="A734" t="s">
        <v>738</v>
      </c>
      <c r="B734">
        <v>0.99796759195183404</v>
      </c>
      <c r="C734">
        <v>1.0877777109500499</v>
      </c>
      <c r="D734">
        <v>1.0073471916155301</v>
      </c>
      <c r="E734">
        <v>1.03497815085052</v>
      </c>
      <c r="F734">
        <v>0.83563002681395504</v>
      </c>
      <c r="G734">
        <v>0.54548325926207497</v>
      </c>
      <c r="H734">
        <v>0.27610025880132599</v>
      </c>
      <c r="I734">
        <v>0.19445175373873799</v>
      </c>
      <c r="J734">
        <v>0.213634568685069</v>
      </c>
      <c r="K734">
        <v>7.2100465846670694E-2</v>
      </c>
      <c r="L734">
        <v>1261.0138339384901</v>
      </c>
      <c r="M734">
        <v>23.539957726757802</v>
      </c>
      <c r="N734">
        <v>54.285633665656498</v>
      </c>
      <c r="O734">
        <v>53.186974664896603</v>
      </c>
      <c r="P734">
        <v>-9.5872832281639203E-2</v>
      </c>
      <c r="Q734">
        <v>0.133541509539091</v>
      </c>
      <c r="R734">
        <v>0.986255358697672</v>
      </c>
      <c r="S734" t="s">
        <v>6317</v>
      </c>
      <c r="T734" t="s">
        <v>11164</v>
      </c>
      <c r="U734" t="s">
        <v>11164</v>
      </c>
      <c r="V734" t="s">
        <v>11164</v>
      </c>
      <c r="W734" t="s">
        <v>11887</v>
      </c>
      <c r="X734">
        <v>4</v>
      </c>
      <c r="Y734" t="s">
        <v>17421</v>
      </c>
      <c r="Z734" t="s">
        <v>22884</v>
      </c>
      <c r="AA734">
        <v>0.62048767178307995</v>
      </c>
      <c r="AB734" t="str">
        <f>HYPERLINK("Melting_Curves/meltCurve_F8WBY6_GTPBP8.pdf", "Melting_Curves/meltCurve_F8WBY6_GTPBP8.pdf")</f>
        <v>Melting_Curves/meltCurve_F8WBY6_GTPBP8.pdf</v>
      </c>
    </row>
    <row r="735" spans="1:28" x14ac:dyDescent="0.25">
      <c r="A735" t="s">
        <v>739</v>
      </c>
      <c r="B735">
        <v>0.99796759195183404</v>
      </c>
      <c r="C735">
        <v>0.97685774844723605</v>
      </c>
      <c r="D735">
        <v>0.88696894400289195</v>
      </c>
      <c r="E735">
        <v>0.84544529868385399</v>
      </c>
      <c r="F735">
        <v>0.77382362243675396</v>
      </c>
      <c r="G735">
        <v>0.50268194056314197</v>
      </c>
      <c r="H735">
        <v>0.22198847103549199</v>
      </c>
      <c r="I735">
        <v>0.14130432716049701</v>
      </c>
      <c r="J735">
        <v>0.104414570674854</v>
      </c>
      <c r="K735">
        <v>8.0177956960879801E-2</v>
      </c>
      <c r="L735">
        <v>764.01006083835205</v>
      </c>
      <c r="M735">
        <v>14.303006853926799</v>
      </c>
      <c r="N735">
        <v>53.485672816943598</v>
      </c>
      <c r="O735">
        <v>52.404430887358401</v>
      </c>
      <c r="P735">
        <v>-6.7612542417613802E-2</v>
      </c>
      <c r="Q735">
        <v>9.2249995170482994E-3</v>
      </c>
      <c r="R735">
        <v>0.98747320826322504</v>
      </c>
      <c r="S735" t="s">
        <v>6318</v>
      </c>
      <c r="T735" t="s">
        <v>11164</v>
      </c>
      <c r="U735" t="s">
        <v>11164</v>
      </c>
      <c r="V735" t="s">
        <v>11164</v>
      </c>
      <c r="W735" t="s">
        <v>11888</v>
      </c>
      <c r="X735">
        <v>6</v>
      </c>
      <c r="Y735" t="s">
        <v>17422</v>
      </c>
      <c r="Z735" t="s">
        <v>22885</v>
      </c>
      <c r="AA735">
        <v>0.56910809255275452</v>
      </c>
      <c r="AB735" t="str">
        <f>HYPERLINK("Melting_Curves/meltCurve_F8WC68_DOM3Z.pdf", "Melting_Curves/meltCurve_F8WC68_DOM3Z.pdf")</f>
        <v>Melting_Curves/meltCurve_F8WC68_DOM3Z.pdf</v>
      </c>
    </row>
    <row r="736" spans="1:28" x14ac:dyDescent="0.25">
      <c r="A736" t="s">
        <v>740</v>
      </c>
      <c r="B736">
        <v>0.99796759195183404</v>
      </c>
      <c r="C736">
        <v>0.98675307050167305</v>
      </c>
      <c r="D736">
        <v>0.83660154304507595</v>
      </c>
      <c r="E736">
        <v>0.90839788347362604</v>
      </c>
      <c r="F736">
        <v>0.60146197205635599</v>
      </c>
      <c r="G736">
        <v>0.59993653680951498</v>
      </c>
      <c r="H736">
        <v>0.57086885474392202</v>
      </c>
      <c r="I736">
        <v>0.54881369955827697</v>
      </c>
      <c r="J736">
        <v>0.36418240444949701</v>
      </c>
      <c r="K736">
        <v>0.31610720592790498</v>
      </c>
      <c r="L736">
        <v>346.37663766597097</v>
      </c>
      <c r="M736">
        <v>6.0738163366900499</v>
      </c>
      <c r="N736">
        <v>58.879786396317101</v>
      </c>
      <c r="O736">
        <v>51.771363767311101</v>
      </c>
      <c r="P736">
        <v>-2.68627843309364E-2</v>
      </c>
      <c r="Q736">
        <v>8.6949676509788895E-2</v>
      </c>
      <c r="R736">
        <v>0.92147328982685195</v>
      </c>
      <c r="S736" t="s">
        <v>6319</v>
      </c>
      <c r="T736" t="s">
        <v>11164</v>
      </c>
      <c r="U736" t="s">
        <v>11164</v>
      </c>
      <c r="V736" t="s">
        <v>11164</v>
      </c>
      <c r="W736" t="s">
        <v>11889</v>
      </c>
      <c r="X736">
        <v>1</v>
      </c>
      <c r="Y736" t="s">
        <v>17423</v>
      </c>
      <c r="Z736" t="s">
        <v>22886</v>
      </c>
      <c r="AA736">
        <v>0.67070774064313454</v>
      </c>
      <c r="AB736" t="str">
        <f>HYPERLINK("Melting_Curves/meltCurve_F8WCX2_ZNF687.pdf", "Melting_Curves/meltCurve_F8WCX2_ZNF687.pdf")</f>
        <v>Melting_Curves/meltCurve_F8WCX2_ZNF687.pdf</v>
      </c>
    </row>
    <row r="737" spans="1:28" x14ac:dyDescent="0.25">
      <c r="A737" t="s">
        <v>741</v>
      </c>
      <c r="B737">
        <v>0.99796759195183404</v>
      </c>
      <c r="C737">
        <v>1.1418298831909901</v>
      </c>
      <c r="D737">
        <v>0.93379106720585703</v>
      </c>
      <c r="E737">
        <v>1.8878557064102801</v>
      </c>
      <c r="F737">
        <v>1.0389897025767401</v>
      </c>
      <c r="G737">
        <v>0.52631834901281604</v>
      </c>
      <c r="H737">
        <v>0.40288218359561001</v>
      </c>
      <c r="I737">
        <v>0.33128770422609199</v>
      </c>
      <c r="J737">
        <v>0.51159907849145303</v>
      </c>
      <c r="K737">
        <v>1.2975826709035501</v>
      </c>
      <c r="L737">
        <v>7074.8322022873699</v>
      </c>
      <c r="M737">
        <v>136.548136479997</v>
      </c>
      <c r="O737">
        <v>51.8008898820664</v>
      </c>
      <c r="P737">
        <v>-0.25459785719002598</v>
      </c>
      <c r="Q737">
        <v>0.61366311693828002</v>
      </c>
      <c r="R737">
        <v>0.31585308468062401</v>
      </c>
      <c r="S737" t="s">
        <v>6320</v>
      </c>
      <c r="T737" t="s">
        <v>11164</v>
      </c>
      <c r="U737" t="s">
        <v>11164</v>
      </c>
      <c r="V737" t="s">
        <v>11164</v>
      </c>
      <c r="W737" t="s">
        <v>11890</v>
      </c>
      <c r="X737">
        <v>1</v>
      </c>
      <c r="Y737" t="s">
        <v>17424</v>
      </c>
      <c r="Z737" t="s">
        <v>22887</v>
      </c>
      <c r="AA737">
        <v>0.80452834467468959</v>
      </c>
      <c r="AB737" t="str">
        <f>HYPERLINK("Melting_Curves/meltCurve_F8WE74_SLC25A17.pdf", "Melting_Curves/meltCurve_F8WE74_SLC25A17.pdf")</f>
        <v>Melting_Curves/meltCurve_F8WE74_SLC25A17.pdf</v>
      </c>
    </row>
    <row r="738" spans="1:28" x14ac:dyDescent="0.25">
      <c r="A738" t="s">
        <v>742</v>
      </c>
      <c r="B738">
        <v>0.99796759195183404</v>
      </c>
      <c r="C738">
        <v>1.1737617054262399</v>
      </c>
      <c r="D738">
        <v>0.8808220545537</v>
      </c>
      <c r="E738">
        <v>0.81604292190413497</v>
      </c>
      <c r="F738">
        <v>0.79080174087745803</v>
      </c>
      <c r="G738">
        <v>0.475189123165005</v>
      </c>
      <c r="H738">
        <v>0.55999579429958302</v>
      </c>
      <c r="I738">
        <v>0.54972011749908101</v>
      </c>
      <c r="J738">
        <v>0.47848521060548999</v>
      </c>
      <c r="K738">
        <v>0.17028608394400799</v>
      </c>
      <c r="L738">
        <v>418.84343622635799</v>
      </c>
      <c r="M738">
        <v>7.3653725811762998</v>
      </c>
      <c r="N738">
        <v>58.4729692708095</v>
      </c>
      <c r="O738">
        <v>53.125414623128499</v>
      </c>
      <c r="P738">
        <v>-3.1534040661724098E-2</v>
      </c>
      <c r="Q738">
        <v>9.1593817376807898E-2</v>
      </c>
      <c r="R738">
        <v>0.84238803402545004</v>
      </c>
      <c r="S738" t="s">
        <v>6321</v>
      </c>
      <c r="T738" t="s">
        <v>11164</v>
      </c>
      <c r="U738" t="s">
        <v>11164</v>
      </c>
      <c r="V738" t="s">
        <v>11164</v>
      </c>
      <c r="W738" t="s">
        <v>11891</v>
      </c>
      <c r="X738">
        <v>1</v>
      </c>
      <c r="Y738" t="s">
        <v>17425</v>
      </c>
      <c r="Z738" t="s">
        <v>22888</v>
      </c>
      <c r="AA738">
        <v>0.68029394779679708</v>
      </c>
      <c r="AB738" t="str">
        <f>HYPERLINK("Melting_Curves/meltCurve_F8WE91_DNMT3A.pdf", "Melting_Curves/meltCurve_F8WE91_DNMT3A.pdf")</f>
        <v>Melting_Curves/meltCurve_F8WE91_DNMT3A.pdf</v>
      </c>
    </row>
    <row r="739" spans="1:28" x14ac:dyDescent="0.25">
      <c r="A739" t="s">
        <v>743</v>
      </c>
      <c r="B739">
        <v>0.99796759195183404</v>
      </c>
      <c r="C739">
        <v>1.1214728154775699</v>
      </c>
      <c r="D739">
        <v>0.94648547489958201</v>
      </c>
      <c r="E739">
        <v>0.95770806642522599</v>
      </c>
      <c r="F739">
        <v>0.96137097614893896</v>
      </c>
      <c r="G739">
        <v>0.69914946280002199</v>
      </c>
      <c r="H739">
        <v>0.56576307600098097</v>
      </c>
      <c r="I739">
        <v>0.60719965974577605</v>
      </c>
      <c r="J739">
        <v>0.80893796253109196</v>
      </c>
      <c r="K739">
        <v>0.44450212918486698</v>
      </c>
      <c r="L739">
        <v>2688.4086575902502</v>
      </c>
      <c r="M739">
        <v>51.2220136368624</v>
      </c>
      <c r="O739">
        <v>52.405588649603999</v>
      </c>
      <c r="P739">
        <v>-9.6188502750645E-2</v>
      </c>
      <c r="Q739">
        <v>0.60635578385411604</v>
      </c>
      <c r="R739">
        <v>0.79950343410688796</v>
      </c>
      <c r="S739" t="s">
        <v>6322</v>
      </c>
      <c r="T739" t="s">
        <v>11164</v>
      </c>
      <c r="U739" t="s">
        <v>11164</v>
      </c>
      <c r="V739" t="s">
        <v>11164</v>
      </c>
      <c r="W739" t="s">
        <v>11892</v>
      </c>
      <c r="X739">
        <v>4</v>
      </c>
      <c r="Y739" t="s">
        <v>17426</v>
      </c>
      <c r="Z739" t="s">
        <v>22889</v>
      </c>
      <c r="AA739">
        <v>0.81041505680239057</v>
      </c>
      <c r="AB739" t="str">
        <f>HYPERLINK("Melting_Curves/meltCurve_F8WEE4_ZFAND2B.pdf", "Melting_Curves/meltCurve_F8WEE4_ZFAND2B.pdf")</f>
        <v>Melting_Curves/meltCurve_F8WEE4_ZFAND2B.pdf</v>
      </c>
    </row>
    <row r="740" spans="1:28" x14ac:dyDescent="0.25">
      <c r="A740" t="s">
        <v>744</v>
      </c>
      <c r="B740">
        <v>0.99796759195183404</v>
      </c>
      <c r="C740">
        <v>1.0040059849677501</v>
      </c>
      <c r="D740">
        <v>1.0152801885033</v>
      </c>
      <c r="E740">
        <v>0.77313452411337003</v>
      </c>
      <c r="F740">
        <v>0.726856156943814</v>
      </c>
      <c r="G740">
        <v>0.64303521692944998</v>
      </c>
      <c r="H740">
        <v>0.30338903164238901</v>
      </c>
      <c r="I740">
        <v>0.24338463154331699</v>
      </c>
      <c r="J740">
        <v>0.30016718249365898</v>
      </c>
      <c r="K740">
        <v>0.18932689968074101</v>
      </c>
      <c r="L740">
        <v>642.46077962719301</v>
      </c>
      <c r="M740">
        <v>12.0561307231256</v>
      </c>
      <c r="N740">
        <v>54.674275152060702</v>
      </c>
      <c r="O740">
        <v>51.886523591925801</v>
      </c>
      <c r="P740">
        <v>-5.04564468831048E-2</v>
      </c>
      <c r="Q740">
        <v>0.131598551216876</v>
      </c>
      <c r="R740">
        <v>0.96262434920592599</v>
      </c>
      <c r="S740" t="s">
        <v>6323</v>
      </c>
      <c r="T740" t="s">
        <v>11164</v>
      </c>
      <c r="U740" t="s">
        <v>11164</v>
      </c>
      <c r="V740" t="s">
        <v>11164</v>
      </c>
      <c r="W740" t="s">
        <v>11893</v>
      </c>
      <c r="X740">
        <v>4</v>
      </c>
      <c r="Y740" t="s">
        <v>17427</v>
      </c>
      <c r="Z740" t="s">
        <v>22890</v>
      </c>
      <c r="AA740">
        <v>0.62063659419987094</v>
      </c>
      <c r="AB740" t="str">
        <f>HYPERLINK("Melting_Curves/meltCurve_F8WEG4_CBWD2.pdf", "Melting_Curves/meltCurve_F8WEG4_CBWD2.pdf")</f>
        <v>Melting_Curves/meltCurve_F8WEG4_CBWD2.pdf</v>
      </c>
    </row>
    <row r="741" spans="1:28" x14ac:dyDescent="0.25">
      <c r="A741" t="s">
        <v>745</v>
      </c>
      <c r="B741">
        <v>0.99796759195183404</v>
      </c>
      <c r="C741">
        <v>0.93868805978099601</v>
      </c>
      <c r="D741">
        <v>0.92708438741595001</v>
      </c>
      <c r="E741">
        <v>0.99972455717586295</v>
      </c>
      <c r="F741">
        <v>0.854339429538025</v>
      </c>
      <c r="G741">
        <v>0.67394002335939496</v>
      </c>
      <c r="H741">
        <v>0.43998052680141603</v>
      </c>
      <c r="I741">
        <v>0.129719020098605</v>
      </c>
      <c r="J741">
        <v>0.107765114518103</v>
      </c>
      <c r="K741">
        <v>8.5095737797124996E-2</v>
      </c>
      <c r="L741">
        <v>987.57338089418204</v>
      </c>
      <c r="M741">
        <v>17.651289313788901</v>
      </c>
      <c r="N741">
        <v>56.0024743574524</v>
      </c>
      <c r="O741">
        <v>55.245811199155099</v>
      </c>
      <c r="P741">
        <v>-7.9213902005610695E-2</v>
      </c>
      <c r="Q741">
        <v>8.3441030707357804E-3</v>
      </c>
      <c r="R741">
        <v>0.98761084134823995</v>
      </c>
      <c r="S741" t="s">
        <v>6324</v>
      </c>
      <c r="T741" t="s">
        <v>11164</v>
      </c>
      <c r="U741" t="s">
        <v>11164</v>
      </c>
      <c r="V741" t="s">
        <v>11164</v>
      </c>
      <c r="W741" t="s">
        <v>11894</v>
      </c>
      <c r="X741">
        <v>1</v>
      </c>
      <c r="Y741" t="s">
        <v>17428</v>
      </c>
      <c r="Z741" t="s">
        <v>22891</v>
      </c>
      <c r="AA741">
        <v>0.64584146649239349</v>
      </c>
      <c r="AB741" t="str">
        <f>HYPERLINK("Melting_Curves/meltCurve_F8WF93_ALG3.pdf", "Melting_Curves/meltCurve_F8WF93_ALG3.pdf")</f>
        <v>Melting_Curves/meltCurve_F8WF93_ALG3.pdf</v>
      </c>
    </row>
    <row r="742" spans="1:28" x14ac:dyDescent="0.25">
      <c r="A742" t="s">
        <v>746</v>
      </c>
      <c r="B742">
        <v>0.99796759195183404</v>
      </c>
      <c r="C742">
        <v>0.94132068670929303</v>
      </c>
      <c r="D742">
        <v>0.89432552352585404</v>
      </c>
      <c r="E742">
        <v>0.90063601547685801</v>
      </c>
      <c r="F742">
        <v>0.77132113397662105</v>
      </c>
      <c r="G742">
        <v>1.3337030541216801</v>
      </c>
      <c r="H742">
        <v>1.2730911978075099</v>
      </c>
      <c r="I742">
        <v>0.348814090504379</v>
      </c>
      <c r="J742">
        <v>0.19399771566016299</v>
      </c>
      <c r="K742">
        <v>0.18241022414106001</v>
      </c>
      <c r="L742">
        <v>15000</v>
      </c>
      <c r="M742">
        <v>247.30143605660899</v>
      </c>
      <c r="N742">
        <v>60.770776714624503</v>
      </c>
      <c r="O742">
        <v>60.650757232505399</v>
      </c>
      <c r="P742">
        <v>-0.82751901277209305</v>
      </c>
      <c r="Q742">
        <v>0.18820279562999701</v>
      </c>
      <c r="R742">
        <v>0.82905478955346101</v>
      </c>
      <c r="S742" t="s">
        <v>6325</v>
      </c>
      <c r="T742" t="s">
        <v>11164</v>
      </c>
      <c r="U742" t="s">
        <v>11164</v>
      </c>
      <c r="V742" t="s">
        <v>11164</v>
      </c>
      <c r="W742" t="s">
        <v>11895</v>
      </c>
      <c r="X742">
        <v>7</v>
      </c>
      <c r="Y742" t="s">
        <v>17429</v>
      </c>
      <c r="Z742" t="s">
        <v>22892</v>
      </c>
      <c r="AA742">
        <v>0.82838569546901764</v>
      </c>
      <c r="AB742" t="str">
        <f>HYPERLINK("Melting_Curves/meltCurve_G3V0I5_NDUFV1.pdf", "Melting_Curves/meltCurve_G3V0I5_NDUFV1.pdf")</f>
        <v>Melting_Curves/meltCurve_G3V0I5_NDUFV1.pdf</v>
      </c>
    </row>
    <row r="743" spans="1:28" x14ac:dyDescent="0.25">
      <c r="A743" t="s">
        <v>747</v>
      </c>
      <c r="B743">
        <v>0.99796759195183404</v>
      </c>
      <c r="C743">
        <v>0.93311555376196598</v>
      </c>
      <c r="D743">
        <v>0.89873462998272502</v>
      </c>
      <c r="E743">
        <v>0.89175651059405603</v>
      </c>
      <c r="F743">
        <v>0.87223929588204696</v>
      </c>
      <c r="G743">
        <v>0.56894457164808798</v>
      </c>
      <c r="H743">
        <v>0.33364523706695898</v>
      </c>
      <c r="I743">
        <v>0.27110122324614799</v>
      </c>
      <c r="J743">
        <v>0.18209077872013399</v>
      </c>
      <c r="K743">
        <v>0.118661437759834</v>
      </c>
      <c r="L743">
        <v>810.46355270125196</v>
      </c>
      <c r="M743">
        <v>14.8707894403338</v>
      </c>
      <c r="N743">
        <v>55.151987589408101</v>
      </c>
      <c r="O743">
        <v>53.543266606341199</v>
      </c>
      <c r="P743">
        <v>-6.3846323491330806E-2</v>
      </c>
      <c r="Q743">
        <v>8.0563958325856097E-2</v>
      </c>
      <c r="R743">
        <v>0.98046265441984504</v>
      </c>
      <c r="S743" t="s">
        <v>6326</v>
      </c>
      <c r="T743" t="s">
        <v>11164</v>
      </c>
      <c r="U743" t="s">
        <v>11164</v>
      </c>
      <c r="V743" t="s">
        <v>11164</v>
      </c>
      <c r="W743" t="s">
        <v>11896</v>
      </c>
      <c r="X743">
        <v>5</v>
      </c>
      <c r="Y743" t="s">
        <v>17430</v>
      </c>
      <c r="Z743" t="s">
        <v>22893</v>
      </c>
      <c r="AA743">
        <v>0.63096488964148612</v>
      </c>
      <c r="AB743" t="str">
        <f>HYPERLINK("Melting_Curves/meltCurve_G3V0I6_OTUD4.pdf", "Melting_Curves/meltCurve_G3V0I6_OTUD4.pdf")</f>
        <v>Melting_Curves/meltCurve_G3V0I6_OTUD4.pdf</v>
      </c>
    </row>
    <row r="744" spans="1:28" x14ac:dyDescent="0.25">
      <c r="A744" t="s">
        <v>748</v>
      </c>
      <c r="B744">
        <v>0.99796759195183404</v>
      </c>
      <c r="C744">
        <v>0.99374752340307104</v>
      </c>
      <c r="D744">
        <v>1.0318122452419201</v>
      </c>
      <c r="E744">
        <v>0.96395952164036902</v>
      </c>
      <c r="F744">
        <v>0.779671063000689</v>
      </c>
      <c r="G744">
        <v>0.47840123125907102</v>
      </c>
      <c r="H744">
        <v>0.17965271834323401</v>
      </c>
      <c r="I744">
        <v>0.14340787058196999</v>
      </c>
      <c r="J744">
        <v>9.4679212178236605E-2</v>
      </c>
      <c r="K744">
        <v>9.1018467130195804E-2</v>
      </c>
      <c r="L744">
        <v>1225.8994633504201</v>
      </c>
      <c r="M744">
        <v>23.167458711234602</v>
      </c>
      <c r="N744">
        <v>53.330498603259798</v>
      </c>
      <c r="O744">
        <v>52.525195877426398</v>
      </c>
      <c r="P744">
        <v>-0.101159252964793</v>
      </c>
      <c r="Q744">
        <v>8.2624818182103807E-2</v>
      </c>
      <c r="R744">
        <v>0.99770157524895298</v>
      </c>
      <c r="S744" t="s">
        <v>6327</v>
      </c>
      <c r="T744" t="s">
        <v>11164</v>
      </c>
      <c r="U744" t="s">
        <v>11164</v>
      </c>
      <c r="V744" t="s">
        <v>11164</v>
      </c>
      <c r="W744" t="s">
        <v>11897</v>
      </c>
      <c r="X744">
        <v>4</v>
      </c>
      <c r="Y744" t="s">
        <v>17431</v>
      </c>
      <c r="Z744" t="s">
        <v>22894</v>
      </c>
      <c r="AA744">
        <v>0.57850579984791062</v>
      </c>
      <c r="AB744" t="str">
        <f>HYPERLINK("Melting_Curves/meltCurve_G3V130_MTERFD1.pdf", "Melting_Curves/meltCurve_G3V130_MTERFD1.pdf")</f>
        <v>Melting_Curves/meltCurve_G3V130_MTERFD1.pdf</v>
      </c>
    </row>
    <row r="745" spans="1:28" x14ac:dyDescent="0.25">
      <c r="A745" t="s">
        <v>749</v>
      </c>
      <c r="B745">
        <v>0.99796759195183404</v>
      </c>
      <c r="C745">
        <v>0.994590463796443</v>
      </c>
      <c r="D745">
        <v>0.97346258149465204</v>
      </c>
      <c r="E745">
        <v>0.93803146653075498</v>
      </c>
      <c r="F745">
        <v>0.86109088595106498</v>
      </c>
      <c r="G745">
        <v>0.61949865605756704</v>
      </c>
      <c r="H745">
        <v>0.34221230543248798</v>
      </c>
      <c r="I745">
        <v>0.13272361980696301</v>
      </c>
      <c r="J745">
        <v>9.1151230176350503E-2</v>
      </c>
      <c r="K745">
        <v>7.2196025666599495E-2</v>
      </c>
      <c r="L745">
        <v>1017.23244323771</v>
      </c>
      <c r="M745">
        <v>18.485973234862598</v>
      </c>
      <c r="N745">
        <v>55.166977354221103</v>
      </c>
      <c r="O745">
        <v>54.395449222392699</v>
      </c>
      <c r="P745">
        <v>-8.3021758160092496E-2</v>
      </c>
      <c r="Q745">
        <v>2.28688163183722E-2</v>
      </c>
      <c r="R745">
        <v>0.99836084827386296</v>
      </c>
      <c r="S745" t="s">
        <v>6328</v>
      </c>
      <c r="T745" t="s">
        <v>11164</v>
      </c>
      <c r="U745" t="s">
        <v>11164</v>
      </c>
      <c r="V745" t="s">
        <v>11164</v>
      </c>
      <c r="W745" t="s">
        <v>11898</v>
      </c>
      <c r="X745">
        <v>27</v>
      </c>
      <c r="Y745" t="s">
        <v>17432</v>
      </c>
      <c r="Z745" t="s">
        <v>22895</v>
      </c>
      <c r="AA745">
        <v>0.62199848435615479</v>
      </c>
      <c r="AB745" t="str">
        <f>HYPERLINK("Melting_Curves/meltCurve_G3V1D3_DPP3.pdf", "Melting_Curves/meltCurve_G3V1D3_DPP3.pdf")</f>
        <v>Melting_Curves/meltCurve_G3V1D3_DPP3.pdf</v>
      </c>
    </row>
    <row r="746" spans="1:28" x14ac:dyDescent="0.25">
      <c r="A746" t="s">
        <v>750</v>
      </c>
      <c r="B746">
        <v>0.99796759195183404</v>
      </c>
      <c r="C746">
        <v>0.96347272628070402</v>
      </c>
      <c r="D746">
        <v>0.94019010445255102</v>
      </c>
      <c r="E746">
        <v>0.80609785294213199</v>
      </c>
      <c r="F746">
        <v>0.80324838150529398</v>
      </c>
      <c r="G746">
        <v>0.32435864903016498</v>
      </c>
      <c r="H746">
        <v>0.21263914333051101</v>
      </c>
      <c r="I746">
        <v>0.191930175479571</v>
      </c>
      <c r="J746">
        <v>0.118802913459794</v>
      </c>
      <c r="K746">
        <v>8.4398024400662006E-2</v>
      </c>
      <c r="L746">
        <v>973.36082393524498</v>
      </c>
      <c r="M746">
        <v>18.744935196800402</v>
      </c>
      <c r="N746">
        <v>52.486670190749798</v>
      </c>
      <c r="O746">
        <v>51.346454684367103</v>
      </c>
      <c r="P746">
        <v>-8.2997799570959499E-2</v>
      </c>
      <c r="Q746">
        <v>9.0642194320823405E-2</v>
      </c>
      <c r="R746">
        <v>0.97414157932546996</v>
      </c>
      <c r="S746" t="s">
        <v>6329</v>
      </c>
      <c r="T746" t="s">
        <v>11164</v>
      </c>
      <c r="U746" t="s">
        <v>11164</v>
      </c>
      <c r="V746" t="s">
        <v>11164</v>
      </c>
      <c r="W746" t="s">
        <v>11899</v>
      </c>
      <c r="X746">
        <v>4</v>
      </c>
      <c r="Y746" t="s">
        <v>17433</v>
      </c>
      <c r="Z746" t="s">
        <v>22896</v>
      </c>
      <c r="AA746">
        <v>0.55608364522809939</v>
      </c>
      <c r="AB746" t="str">
        <f>HYPERLINK("Melting_Curves/meltCurve_G3V1K3_PON2.pdf", "Melting_Curves/meltCurve_G3V1K3_PON2.pdf")</f>
        <v>Melting_Curves/meltCurve_G3V1K3_PON2.pdf</v>
      </c>
    </row>
    <row r="747" spans="1:28" x14ac:dyDescent="0.25">
      <c r="A747" t="s">
        <v>751</v>
      </c>
      <c r="B747">
        <v>0.99796759195183404</v>
      </c>
      <c r="C747">
        <v>0.81854511201810698</v>
      </c>
      <c r="D747">
        <v>0.78058309378600799</v>
      </c>
      <c r="E747">
        <v>0.88667920374630904</v>
      </c>
      <c r="F747">
        <v>0.84752850804550395</v>
      </c>
      <c r="G747">
        <v>1.39114155046614</v>
      </c>
      <c r="H747">
        <v>0.86730120585248205</v>
      </c>
      <c r="I747">
        <v>0.67018135401566503</v>
      </c>
      <c r="J747">
        <v>0.492771646658131</v>
      </c>
      <c r="K747">
        <v>0.29834424839623302</v>
      </c>
      <c r="L747">
        <v>1864.54667030733</v>
      </c>
      <c r="M747">
        <v>30.223193941932401</v>
      </c>
      <c r="N747">
        <v>63.270943680969303</v>
      </c>
      <c r="O747">
        <v>61.424357844292302</v>
      </c>
      <c r="P747">
        <v>-9.0443684068149996E-2</v>
      </c>
      <c r="Q747">
        <v>0.26474855813005299</v>
      </c>
      <c r="R747">
        <v>0.62867193797911602</v>
      </c>
      <c r="S747" t="s">
        <v>6330</v>
      </c>
      <c r="T747" t="s">
        <v>11164</v>
      </c>
      <c r="U747" t="s">
        <v>11164</v>
      </c>
      <c r="V747" t="s">
        <v>11164</v>
      </c>
      <c r="W747" t="s">
        <v>11900</v>
      </c>
      <c r="X747">
        <v>7</v>
      </c>
      <c r="Y747" t="s">
        <v>17434</v>
      </c>
      <c r="Z747" t="s">
        <v>22897</v>
      </c>
      <c r="AA747">
        <v>0.86987488776139221</v>
      </c>
      <c r="AB747" t="str">
        <f>HYPERLINK("Melting_Curves/meltCurve_G3V1N2_HBA2.pdf", "Melting_Curves/meltCurve_G3V1N2_HBA2.pdf")</f>
        <v>Melting_Curves/meltCurve_G3V1N2_HBA2.pdf</v>
      </c>
    </row>
    <row r="748" spans="1:28" x14ac:dyDescent="0.25">
      <c r="A748" t="s">
        <v>752</v>
      </c>
      <c r="B748">
        <v>0.99796759195183404</v>
      </c>
      <c r="C748">
        <v>0.93420830785096498</v>
      </c>
      <c r="D748">
        <v>0.97653784532492605</v>
      </c>
      <c r="E748">
        <v>0.86460691832228798</v>
      </c>
      <c r="F748">
        <v>0.95025451635647895</v>
      </c>
      <c r="G748">
        <v>0.71827940821108005</v>
      </c>
      <c r="H748">
        <v>0.66306484333161597</v>
      </c>
      <c r="I748">
        <v>0.44758202399072899</v>
      </c>
      <c r="J748">
        <v>0.33499702537537401</v>
      </c>
      <c r="K748">
        <v>0.15724716218318199</v>
      </c>
      <c r="L748">
        <v>681.96884613393104</v>
      </c>
      <c r="M748">
        <v>11.432423241351101</v>
      </c>
      <c r="N748">
        <v>59.652169280943298</v>
      </c>
      <c r="O748">
        <v>57.914513145832601</v>
      </c>
      <c r="P748">
        <v>-4.9364765323224001E-2</v>
      </c>
      <c r="Q748">
        <v>0</v>
      </c>
      <c r="R748">
        <v>0.96606221638499401</v>
      </c>
      <c r="S748" t="s">
        <v>6331</v>
      </c>
      <c r="T748" t="s">
        <v>11164</v>
      </c>
      <c r="U748" t="s">
        <v>11164</v>
      </c>
      <c r="V748" t="s">
        <v>11164</v>
      </c>
      <c r="W748" t="s">
        <v>11901</v>
      </c>
      <c r="X748">
        <v>8</v>
      </c>
      <c r="Y748" t="s">
        <v>17435</v>
      </c>
      <c r="Z748" t="s">
        <v>22898</v>
      </c>
      <c r="AA748">
        <v>0.73928362230937028</v>
      </c>
      <c r="AB748" t="str">
        <f>HYPERLINK("Melting_Curves/meltCurve_G3V1P3_LOH12CR1.pdf", "Melting_Curves/meltCurve_G3V1P3_LOH12CR1.pdf")</f>
        <v>Melting_Curves/meltCurve_G3V1P3_LOH12CR1.pdf</v>
      </c>
    </row>
    <row r="749" spans="1:28" x14ac:dyDescent="0.25">
      <c r="A749" t="s">
        <v>753</v>
      </c>
      <c r="B749">
        <v>0.99796759195183404</v>
      </c>
      <c r="C749">
        <v>1.0794101723387699</v>
      </c>
      <c r="D749">
        <v>0.87720563364278403</v>
      </c>
      <c r="E749">
        <v>0.99588941390682895</v>
      </c>
      <c r="F749">
        <v>0.92882133693723501</v>
      </c>
      <c r="G749">
        <v>0.55720704400291199</v>
      </c>
      <c r="H749">
        <v>0.55690254433929798</v>
      </c>
      <c r="I749">
        <v>0.52616398948825205</v>
      </c>
      <c r="J749">
        <v>0.46601905139541699</v>
      </c>
      <c r="K749">
        <v>0.40740888884441401</v>
      </c>
      <c r="L749">
        <v>2581.7528977617799</v>
      </c>
      <c r="M749">
        <v>49.6751749697045</v>
      </c>
      <c r="N749">
        <v>56.001606377267898</v>
      </c>
      <c r="O749">
        <v>51.888678689255997</v>
      </c>
      <c r="P749">
        <v>-0.123024449608091</v>
      </c>
      <c r="Q749">
        <v>0.48597499632729202</v>
      </c>
      <c r="R749">
        <v>0.94325546722504205</v>
      </c>
      <c r="S749" t="s">
        <v>6332</v>
      </c>
      <c r="T749" t="s">
        <v>11164</v>
      </c>
      <c r="U749" t="s">
        <v>11164</v>
      </c>
      <c r="V749" t="s">
        <v>11164</v>
      </c>
      <c r="W749" t="s">
        <v>11902</v>
      </c>
      <c r="X749">
        <v>5</v>
      </c>
      <c r="Y749" t="s">
        <v>17436</v>
      </c>
      <c r="Z749" t="s">
        <v>22899</v>
      </c>
      <c r="AA749">
        <v>0.74371322802682893</v>
      </c>
      <c r="AB749" t="str">
        <f>HYPERLINK("Melting_Curves/meltCurve_G3V1R3_ZEB1.pdf", "Melting_Curves/meltCurve_G3V1R3_ZEB1.pdf")</f>
        <v>Melting_Curves/meltCurve_G3V1R3_ZEB1.pdf</v>
      </c>
    </row>
    <row r="750" spans="1:28" x14ac:dyDescent="0.25">
      <c r="A750" t="s">
        <v>754</v>
      </c>
      <c r="B750">
        <v>0.99796759195183404</v>
      </c>
      <c r="C750">
        <v>0.99560747640384495</v>
      </c>
      <c r="D750">
        <v>0.95247295930675702</v>
      </c>
      <c r="E750">
        <v>0.92064016689527395</v>
      </c>
      <c r="F750">
        <v>0.82208334300113795</v>
      </c>
      <c r="G750">
        <v>0.95491471200989997</v>
      </c>
      <c r="H750">
        <v>0.939796529816464</v>
      </c>
      <c r="I750">
        <v>0.93840198328790003</v>
      </c>
      <c r="J750">
        <v>0.93026448857436195</v>
      </c>
      <c r="K750">
        <v>0.68773881418417104</v>
      </c>
      <c r="L750">
        <v>235.39360055618201</v>
      </c>
      <c r="M750">
        <v>1.99597284895014</v>
      </c>
      <c r="Q750">
        <v>0</v>
      </c>
      <c r="R750">
        <v>0.36704522199299</v>
      </c>
      <c r="S750" t="s">
        <v>6333</v>
      </c>
      <c r="T750" t="s">
        <v>11164</v>
      </c>
      <c r="U750" t="s">
        <v>11164</v>
      </c>
      <c r="V750" t="s">
        <v>11164</v>
      </c>
      <c r="W750" t="s">
        <v>11903</v>
      </c>
      <c r="X750">
        <v>18</v>
      </c>
      <c r="Y750" t="s">
        <v>17437</v>
      </c>
      <c r="Z750" t="s">
        <v>22900</v>
      </c>
      <c r="AA750">
        <v>0.91859133944992655</v>
      </c>
      <c r="AB750" t="str">
        <f>HYPERLINK("Melting_Curves/meltCurve_G3V1R9_ISYNA1.pdf", "Melting_Curves/meltCurve_G3V1R9_ISYNA1.pdf")</f>
        <v>Melting_Curves/meltCurve_G3V1R9_ISYNA1.pdf</v>
      </c>
    </row>
    <row r="751" spans="1:28" x14ac:dyDescent="0.25">
      <c r="A751" t="s">
        <v>755</v>
      </c>
      <c r="B751">
        <v>0.99796759195183404</v>
      </c>
      <c r="C751">
        <v>1.0181648522094999</v>
      </c>
      <c r="D751">
        <v>1.0141992290825299</v>
      </c>
      <c r="E751">
        <v>0.96272865947659703</v>
      </c>
      <c r="F751">
        <v>0.86464068456233101</v>
      </c>
      <c r="G751">
        <v>0.53293542433246999</v>
      </c>
      <c r="H751">
        <v>0.244323036185399</v>
      </c>
      <c r="I751">
        <v>0.22403788792733001</v>
      </c>
      <c r="J751">
        <v>0.18100087119911501</v>
      </c>
      <c r="K751">
        <v>0.12705601546918199</v>
      </c>
      <c r="L751">
        <v>1405.12524270171</v>
      </c>
      <c r="M751">
        <v>26.3619838538132</v>
      </c>
      <c r="N751">
        <v>54.073256059485303</v>
      </c>
      <c r="O751">
        <v>52.997316237987299</v>
      </c>
      <c r="P751">
        <v>-0.104853280033349</v>
      </c>
      <c r="Q751">
        <v>0.15683403172427901</v>
      </c>
      <c r="R751">
        <v>0.99685478487885204</v>
      </c>
      <c r="S751" t="s">
        <v>6334</v>
      </c>
      <c r="T751" t="s">
        <v>11164</v>
      </c>
      <c r="U751" t="s">
        <v>11164</v>
      </c>
      <c r="V751" t="s">
        <v>11164</v>
      </c>
      <c r="W751" t="s">
        <v>11904</v>
      </c>
      <c r="X751">
        <v>5</v>
      </c>
      <c r="Y751" t="s">
        <v>17438</v>
      </c>
      <c r="Z751" t="s">
        <v>22901</v>
      </c>
      <c r="AA751">
        <v>0.62177293827880642</v>
      </c>
      <c r="AB751" t="str">
        <f>HYPERLINK("Melting_Curves/meltCurve_G3V1S6_GALNT2.pdf", "Melting_Curves/meltCurve_G3V1S6_GALNT2.pdf")</f>
        <v>Melting_Curves/meltCurve_G3V1S6_GALNT2.pdf</v>
      </c>
    </row>
    <row r="752" spans="1:28" x14ac:dyDescent="0.25">
      <c r="A752" t="s">
        <v>756</v>
      </c>
      <c r="B752">
        <v>0.99796759195183404</v>
      </c>
      <c r="C752">
        <v>0.94369282547686295</v>
      </c>
      <c r="D752">
        <v>0.90368812002876397</v>
      </c>
      <c r="E752">
        <v>0.78872063038558604</v>
      </c>
      <c r="F752">
        <v>0.62022453655304199</v>
      </c>
      <c r="G752">
        <v>0.335390992731886</v>
      </c>
      <c r="H752">
        <v>0.26628112308534302</v>
      </c>
      <c r="I752">
        <v>0.24324633337880699</v>
      </c>
      <c r="J752">
        <v>0.282760167181144</v>
      </c>
      <c r="K752">
        <v>0.27242646291996397</v>
      </c>
      <c r="L752">
        <v>845.56024360330105</v>
      </c>
      <c r="M752">
        <v>17.1435978355263</v>
      </c>
      <c r="N752">
        <v>51.229872966920603</v>
      </c>
      <c r="O752">
        <v>48.665783233291499</v>
      </c>
      <c r="P752">
        <v>-6.7294449140652995E-2</v>
      </c>
      <c r="Q752">
        <v>0.23592670320030501</v>
      </c>
      <c r="R752">
        <v>0.98612426338860204</v>
      </c>
      <c r="S752" t="s">
        <v>6335</v>
      </c>
      <c r="T752" t="s">
        <v>11164</v>
      </c>
      <c r="U752" t="s">
        <v>11164</v>
      </c>
      <c r="V752" t="s">
        <v>11164</v>
      </c>
      <c r="W752" t="s">
        <v>11905</v>
      </c>
      <c r="X752">
        <v>4</v>
      </c>
      <c r="Y752" t="s">
        <v>17439</v>
      </c>
      <c r="Z752" t="s">
        <v>22902</v>
      </c>
      <c r="AA752">
        <v>0.56292286493401478</v>
      </c>
      <c r="AB752" t="str">
        <f>HYPERLINK("Melting_Curves/meltCurve_G3V1U0_ATF7IP.pdf", "Melting_Curves/meltCurve_G3V1U0_ATF7IP.pdf")</f>
        <v>Melting_Curves/meltCurve_G3V1U0_ATF7IP.pdf</v>
      </c>
    </row>
    <row r="753" spans="1:28" x14ac:dyDescent="0.25">
      <c r="A753" t="s">
        <v>757</v>
      </c>
      <c r="B753">
        <v>0.99796759195183404</v>
      </c>
      <c r="C753">
        <v>1.02063567278709</v>
      </c>
      <c r="D753">
        <v>1.10406615578025</v>
      </c>
      <c r="E753">
        <v>1.02291300700544</v>
      </c>
      <c r="F753">
        <v>0.95362451561394201</v>
      </c>
      <c r="G753">
        <v>0.57460383404667503</v>
      </c>
      <c r="H753">
        <v>0.61879152878834898</v>
      </c>
      <c r="I753">
        <v>0.54399694785803498</v>
      </c>
      <c r="J753">
        <v>0.71447007579637301</v>
      </c>
      <c r="K753">
        <v>0.50216074777783803</v>
      </c>
      <c r="L753">
        <v>12653.268141648001</v>
      </c>
      <c r="M753">
        <v>250</v>
      </c>
      <c r="O753">
        <v>50.609834041458697</v>
      </c>
      <c r="P753">
        <v>-0.50533089599663705</v>
      </c>
      <c r="Q753">
        <v>0.59080459899918503</v>
      </c>
      <c r="R753">
        <v>0.92343117984299306</v>
      </c>
      <c r="S753" t="s">
        <v>6336</v>
      </c>
      <c r="T753" t="s">
        <v>11164</v>
      </c>
      <c r="U753" t="s">
        <v>11164</v>
      </c>
      <c r="V753" t="s">
        <v>11164</v>
      </c>
      <c r="W753" t="s">
        <v>11906</v>
      </c>
      <c r="X753">
        <v>1</v>
      </c>
      <c r="Y753" t="s">
        <v>17440</v>
      </c>
      <c r="Z753" t="s">
        <v>22903</v>
      </c>
      <c r="AA753">
        <v>0.77652116876861743</v>
      </c>
      <c r="AB753" t="str">
        <f>HYPERLINK("Melting_Curves/meltCurve_G3V1U5_GOLT1B.pdf", "Melting_Curves/meltCurve_G3V1U5_GOLT1B.pdf")</f>
        <v>Melting_Curves/meltCurve_G3V1U5_GOLT1B.pdf</v>
      </c>
    </row>
    <row r="754" spans="1:28" x14ac:dyDescent="0.25">
      <c r="A754" t="s">
        <v>758</v>
      </c>
      <c r="B754">
        <v>0.99796759195183404</v>
      </c>
      <c r="C754">
        <v>0.97385679627795396</v>
      </c>
      <c r="D754">
        <v>0.85514117841880299</v>
      </c>
      <c r="E754">
        <v>0.76377662143820202</v>
      </c>
      <c r="F754">
        <v>0.91478704017331003</v>
      </c>
      <c r="G754">
        <v>0.96583511338164096</v>
      </c>
      <c r="H754">
        <v>0.75310863110894999</v>
      </c>
      <c r="I754">
        <v>0.67192107202206797</v>
      </c>
      <c r="J754">
        <v>0.51562541397809403</v>
      </c>
      <c r="K754">
        <v>0.53188443184374801</v>
      </c>
      <c r="L754">
        <v>364.333395422813</v>
      </c>
      <c r="M754">
        <v>5.3115788382939604</v>
      </c>
      <c r="O754">
        <v>60.679743873181202</v>
      </c>
      <c r="P754">
        <v>-2.1992516559144699E-2</v>
      </c>
      <c r="Q754">
        <v>0</v>
      </c>
      <c r="R754">
        <v>0.76037708408319704</v>
      </c>
      <c r="S754" t="s">
        <v>6337</v>
      </c>
      <c r="T754" t="s">
        <v>11164</v>
      </c>
      <c r="U754" t="s">
        <v>11164</v>
      </c>
      <c r="V754" t="s">
        <v>11164</v>
      </c>
      <c r="W754" t="s">
        <v>11907</v>
      </c>
      <c r="X754">
        <v>3</v>
      </c>
      <c r="Y754" t="s">
        <v>17441</v>
      </c>
      <c r="Z754" t="s">
        <v>22904</v>
      </c>
      <c r="AA754">
        <v>0.81384234799889166</v>
      </c>
      <c r="AB754" t="str">
        <f>HYPERLINK("Melting_Curves/meltCurve_G3V1V4_GTSF1.pdf", "Melting_Curves/meltCurve_G3V1V4_GTSF1.pdf")</f>
        <v>Melting_Curves/meltCurve_G3V1V4_GTSF1.pdf</v>
      </c>
    </row>
    <row r="755" spans="1:28" x14ac:dyDescent="0.25">
      <c r="A755" t="s">
        <v>759</v>
      </c>
      <c r="B755">
        <v>0.99796759195183404</v>
      </c>
      <c r="C755">
        <v>1.01909069474195</v>
      </c>
      <c r="D755">
        <v>0.99058808185372704</v>
      </c>
      <c r="E755">
        <v>0.90074851172683001</v>
      </c>
      <c r="F755">
        <v>0.84049676227238401</v>
      </c>
      <c r="G755">
        <v>0.94437616952712899</v>
      </c>
      <c r="H755">
        <v>0.54458035518909997</v>
      </c>
      <c r="I755">
        <v>0.39706068537603101</v>
      </c>
      <c r="J755">
        <v>0.23817379475341899</v>
      </c>
      <c r="K755">
        <v>0.192724855431851</v>
      </c>
      <c r="L755">
        <v>1006.89065430742</v>
      </c>
      <c r="M755">
        <v>17.299218257485499</v>
      </c>
      <c r="N755">
        <v>58.954037126419301</v>
      </c>
      <c r="O755">
        <v>57.443333452398399</v>
      </c>
      <c r="P755">
        <v>-6.7859092640994795E-2</v>
      </c>
      <c r="Q755">
        <v>9.8727516156789999E-2</v>
      </c>
      <c r="R755">
        <v>0.96146808731817601</v>
      </c>
      <c r="S755" t="s">
        <v>6338</v>
      </c>
      <c r="T755" t="s">
        <v>11164</v>
      </c>
      <c r="U755" t="s">
        <v>11164</v>
      </c>
      <c r="V755" t="s">
        <v>11164</v>
      </c>
      <c r="W755" t="s">
        <v>11908</v>
      </c>
      <c r="X755">
        <v>5</v>
      </c>
      <c r="Y755" t="s">
        <v>17442</v>
      </c>
      <c r="Z755" t="s">
        <v>22905</v>
      </c>
      <c r="AA755">
        <v>0.7405207544880239</v>
      </c>
      <c r="AB755" t="str">
        <f>HYPERLINK("Melting_Curves/meltCurve_G3V203_RPL18.pdf", "Melting_Curves/meltCurve_G3V203_RPL18.pdf")</f>
        <v>Melting_Curves/meltCurve_G3V203_RPL18.pdf</v>
      </c>
    </row>
    <row r="756" spans="1:28" x14ac:dyDescent="0.25">
      <c r="A756" t="s">
        <v>760</v>
      </c>
      <c r="B756">
        <v>0.99796759195183404</v>
      </c>
      <c r="C756">
        <v>0.97823669957805204</v>
      </c>
      <c r="D756">
        <v>1.2090547956403901</v>
      </c>
      <c r="E756">
        <v>0.94727331426917205</v>
      </c>
      <c r="F756">
        <v>0.72702443257940996</v>
      </c>
      <c r="G756">
        <v>0.26159274537870802</v>
      </c>
      <c r="H756">
        <v>0.19268677943854601</v>
      </c>
      <c r="I756">
        <v>0.12941135355897601</v>
      </c>
      <c r="J756">
        <v>8.2827071300341906E-2</v>
      </c>
      <c r="K756">
        <v>2.21852750843523E-2</v>
      </c>
      <c r="L756">
        <v>1539.4754187195099</v>
      </c>
      <c r="M756">
        <v>29.866418294787</v>
      </c>
      <c r="N756">
        <v>51.880190644702999</v>
      </c>
      <c r="O756">
        <v>51.315933088172102</v>
      </c>
      <c r="P756">
        <v>-0.132749132104197</v>
      </c>
      <c r="Q756">
        <v>8.7657539264773196E-2</v>
      </c>
      <c r="R756">
        <v>0.97041398492490605</v>
      </c>
      <c r="S756" t="s">
        <v>6339</v>
      </c>
      <c r="T756" t="s">
        <v>11164</v>
      </c>
      <c r="U756" t="s">
        <v>11164</v>
      </c>
      <c r="V756" t="s">
        <v>11164</v>
      </c>
      <c r="W756" t="s">
        <v>11909</v>
      </c>
      <c r="X756">
        <v>2</v>
      </c>
      <c r="Y756" t="s">
        <v>17443</v>
      </c>
      <c r="Z756" t="s">
        <v>22906</v>
      </c>
      <c r="AA756">
        <v>0.53577783894282427</v>
      </c>
      <c r="AB756" t="str">
        <f>HYPERLINK("Melting_Curves/meltCurve_G3V238_METTL10.pdf", "Melting_Curves/meltCurve_G3V238_METTL10.pdf")</f>
        <v>Melting_Curves/meltCurve_G3V238_METTL10.pdf</v>
      </c>
    </row>
    <row r="757" spans="1:28" x14ac:dyDescent="0.25">
      <c r="A757" t="s">
        <v>761</v>
      </c>
      <c r="B757">
        <v>0.99796759195183404</v>
      </c>
      <c r="C757">
        <v>0.99545865273085299</v>
      </c>
      <c r="D757">
        <v>1.04386954637254</v>
      </c>
      <c r="E757">
        <v>0.93441144682236099</v>
      </c>
      <c r="F757">
        <v>0.81346324408861204</v>
      </c>
      <c r="G757">
        <v>0.46528594296961201</v>
      </c>
      <c r="H757">
        <v>0.46164856005577198</v>
      </c>
      <c r="I757">
        <v>0.35710150933163198</v>
      </c>
      <c r="J757">
        <v>0.186450229875569</v>
      </c>
      <c r="K757">
        <v>0.101183439381416</v>
      </c>
      <c r="L757">
        <v>671.14586077200499</v>
      </c>
      <c r="M757">
        <v>12.1807643185383</v>
      </c>
      <c r="N757">
        <v>55.593541095811297</v>
      </c>
      <c r="O757">
        <v>53.676866196012597</v>
      </c>
      <c r="P757">
        <v>-5.3830323385729503E-2</v>
      </c>
      <c r="Q757">
        <v>5.1361375036661397E-2</v>
      </c>
      <c r="R757">
        <v>0.96939936754845701</v>
      </c>
      <c r="S757" t="s">
        <v>6340</v>
      </c>
      <c r="T757" t="s">
        <v>11164</v>
      </c>
      <c r="U757" t="s">
        <v>11164</v>
      </c>
      <c r="V757" t="s">
        <v>11164</v>
      </c>
      <c r="W757" t="s">
        <v>11910</v>
      </c>
      <c r="X757">
        <v>10</v>
      </c>
      <c r="Y757" t="s">
        <v>17444</v>
      </c>
      <c r="Z757" t="s">
        <v>22907</v>
      </c>
      <c r="AA757">
        <v>0.63682597855157763</v>
      </c>
      <c r="AB757" t="str">
        <f>HYPERLINK("Melting_Curves/meltCurve_G3V2F7_TMEM189.pdf", "Melting_Curves/meltCurve_G3V2F7_TMEM189.pdf")</f>
        <v>Melting_Curves/meltCurve_G3V2F7_TMEM189.pdf</v>
      </c>
    </row>
    <row r="758" spans="1:28" x14ac:dyDescent="0.25">
      <c r="A758" t="s">
        <v>762</v>
      </c>
      <c r="B758">
        <v>0.99796759195183404</v>
      </c>
      <c r="C758">
        <v>0.91689801950131</v>
      </c>
      <c r="D758">
        <v>0.94967140955983098</v>
      </c>
      <c r="E758">
        <v>0.793967549552275</v>
      </c>
      <c r="F758">
        <v>0.66024631370299403</v>
      </c>
      <c r="G758">
        <v>0.19148552240493699</v>
      </c>
      <c r="H758">
        <v>5.8217368276810198E-2</v>
      </c>
      <c r="I758">
        <v>0.11511765393536599</v>
      </c>
      <c r="J758">
        <v>2.2865751283672998E-2</v>
      </c>
      <c r="K758">
        <v>3.7540768828655098E-2</v>
      </c>
      <c r="L758">
        <v>1065.9172203968401</v>
      </c>
      <c r="M758">
        <v>20.9932388625909</v>
      </c>
      <c r="N758">
        <v>50.888121416294602</v>
      </c>
      <c r="O758">
        <v>50.320327757699303</v>
      </c>
      <c r="P758">
        <v>-0.101908882178583</v>
      </c>
      <c r="Q758">
        <v>2.2932949346916101E-2</v>
      </c>
      <c r="R758">
        <v>0.98055801003008303</v>
      </c>
      <c r="S758" t="s">
        <v>6341</v>
      </c>
      <c r="T758" t="s">
        <v>11164</v>
      </c>
      <c r="U758" t="s">
        <v>11164</v>
      </c>
      <c r="V758" t="s">
        <v>11164</v>
      </c>
      <c r="W758" t="s">
        <v>11911</v>
      </c>
      <c r="X758">
        <v>1</v>
      </c>
      <c r="Y758" t="s">
        <v>17445</v>
      </c>
      <c r="Z758" t="s">
        <v>22908</v>
      </c>
      <c r="AA758">
        <v>0.48334457034717448</v>
      </c>
      <c r="AB758" t="str">
        <f>HYPERLINK("Melting_Curves/meltCurve_G3V2J7_CDKN3.pdf", "Melting_Curves/meltCurve_G3V2J7_CDKN3.pdf")</f>
        <v>Melting_Curves/meltCurve_G3V2J7_CDKN3.pdf</v>
      </c>
    </row>
    <row r="759" spans="1:28" x14ac:dyDescent="0.25">
      <c r="A759" t="s">
        <v>763</v>
      </c>
      <c r="B759">
        <v>0.99796759195183404</v>
      </c>
      <c r="C759">
        <v>0.95495741262496603</v>
      </c>
      <c r="D759">
        <v>0.95573502535703003</v>
      </c>
      <c r="E759">
        <v>0.80503799156628097</v>
      </c>
      <c r="F759">
        <v>0.39382150590451698</v>
      </c>
      <c r="G759">
        <v>0.32813052571630702</v>
      </c>
      <c r="H759">
        <v>0.23206331069744701</v>
      </c>
      <c r="I759">
        <v>0.19226575330298901</v>
      </c>
      <c r="J759">
        <v>0.17074183022494899</v>
      </c>
      <c r="K759">
        <v>0.13681412025634401</v>
      </c>
      <c r="L759">
        <v>1053.74468731207</v>
      </c>
      <c r="M759">
        <v>21.667322663324299</v>
      </c>
      <c r="N759">
        <v>49.633980148813002</v>
      </c>
      <c r="O759">
        <v>48.224325581305997</v>
      </c>
      <c r="P759">
        <v>-9.2444069402447607E-2</v>
      </c>
      <c r="Q759">
        <v>0.177019283551718</v>
      </c>
      <c r="R759">
        <v>0.989544749356009</v>
      </c>
      <c r="S759" t="s">
        <v>6342</v>
      </c>
      <c r="T759" t="s">
        <v>11164</v>
      </c>
      <c r="U759" t="s">
        <v>11164</v>
      </c>
      <c r="V759" t="s">
        <v>11164</v>
      </c>
      <c r="W759" t="s">
        <v>11912</v>
      </c>
      <c r="X759">
        <v>8</v>
      </c>
      <c r="Y759" t="s">
        <v>17446</v>
      </c>
      <c r="Z759" t="s">
        <v>22909</v>
      </c>
      <c r="AA759">
        <v>0.5054662073889572</v>
      </c>
      <c r="AB759" t="str">
        <f>HYPERLINK("Melting_Curves/meltCurve_G3V325_ATP5J2_PTCD1.pdf", "Melting_Curves/meltCurve_G3V325_ATP5J2_PTCD1.pdf")</f>
        <v>Melting_Curves/meltCurve_G3V325_ATP5J2_PTCD1.pdf</v>
      </c>
    </row>
    <row r="760" spans="1:28" x14ac:dyDescent="0.25">
      <c r="A760" t="s">
        <v>764</v>
      </c>
      <c r="B760">
        <v>0.99796759195183404</v>
      </c>
      <c r="C760">
        <v>0.96153362621599203</v>
      </c>
      <c r="D760">
        <v>0.98041126069711904</v>
      </c>
      <c r="E760">
        <v>0.94865265980681301</v>
      </c>
      <c r="F760">
        <v>0.79804677396149704</v>
      </c>
      <c r="G760">
        <v>0.31354828368029197</v>
      </c>
      <c r="H760">
        <v>0.119422786131039</v>
      </c>
      <c r="I760">
        <v>8.6425810193959396E-2</v>
      </c>
      <c r="J760">
        <v>7.2754291548559197E-2</v>
      </c>
      <c r="K760">
        <v>5.9043904654984901E-2</v>
      </c>
      <c r="L760">
        <v>1660.7996544896801</v>
      </c>
      <c r="M760">
        <v>31.862893107005601</v>
      </c>
      <c r="N760">
        <v>52.366051895263404</v>
      </c>
      <c r="O760">
        <v>51.919291985686598</v>
      </c>
      <c r="P760">
        <v>-0.14289282466463701</v>
      </c>
      <c r="Q760">
        <v>6.8652525944198198E-2</v>
      </c>
      <c r="R760">
        <v>0.99817147452379495</v>
      </c>
      <c r="S760" t="s">
        <v>6343</v>
      </c>
      <c r="T760" t="s">
        <v>11164</v>
      </c>
      <c r="U760" t="s">
        <v>11164</v>
      </c>
      <c r="V760" t="s">
        <v>11164</v>
      </c>
      <c r="W760" t="s">
        <v>11913</v>
      </c>
      <c r="X760">
        <v>17</v>
      </c>
      <c r="Y760" t="s">
        <v>17447</v>
      </c>
      <c r="Z760" t="s">
        <v>22910</v>
      </c>
      <c r="AA760">
        <v>0.5433944347791323</v>
      </c>
      <c r="AB760" t="str">
        <f>HYPERLINK("Melting_Curves/meltCurve_G3V3M6_APEX1.pdf", "Melting_Curves/meltCurve_G3V3M6_APEX1.pdf")</f>
        <v>Melting_Curves/meltCurve_G3V3M6_APEX1.pdf</v>
      </c>
    </row>
    <row r="761" spans="1:28" x14ac:dyDescent="0.25">
      <c r="A761" t="s">
        <v>765</v>
      </c>
      <c r="B761">
        <v>0.99796759195183404</v>
      </c>
      <c r="C761">
        <v>0.95801538498600503</v>
      </c>
      <c r="D761">
        <v>0.97039111765499897</v>
      </c>
      <c r="E761">
        <v>0.91167936589768594</v>
      </c>
      <c r="F761">
        <v>0.75348974985911898</v>
      </c>
      <c r="G761">
        <v>0.30047633453811001</v>
      </c>
      <c r="H761">
        <v>0.19369266708217001</v>
      </c>
      <c r="I761">
        <v>0.12599911967942101</v>
      </c>
      <c r="J761">
        <v>0.104535211802949</v>
      </c>
      <c r="K761">
        <v>8.2874072517516897E-2</v>
      </c>
      <c r="L761">
        <v>1383.25846540827</v>
      </c>
      <c r="M761">
        <v>26.753577864395599</v>
      </c>
      <c r="N761">
        <v>52.145125163761698</v>
      </c>
      <c r="O761">
        <v>51.417397874219098</v>
      </c>
      <c r="P761">
        <v>-0.116899839475701</v>
      </c>
      <c r="Q761">
        <v>0.101335336538502</v>
      </c>
      <c r="R761">
        <v>0.99460326515886199</v>
      </c>
      <c r="S761" t="s">
        <v>6344</v>
      </c>
      <c r="T761" t="s">
        <v>11164</v>
      </c>
      <c r="U761" t="s">
        <v>11164</v>
      </c>
      <c r="V761" t="s">
        <v>11164</v>
      </c>
      <c r="W761" t="s">
        <v>11914</v>
      </c>
      <c r="X761">
        <v>9</v>
      </c>
      <c r="Y761" t="s">
        <v>17448</v>
      </c>
      <c r="Z761" t="s">
        <v>22911</v>
      </c>
      <c r="AA761">
        <v>0.54881398793578995</v>
      </c>
      <c r="AB761" t="str">
        <f>HYPERLINK("Melting_Curves/meltCurve_G3V3R7_ATXN3.pdf", "Melting_Curves/meltCurve_G3V3R7_ATXN3.pdf")</f>
        <v>Melting_Curves/meltCurve_G3V3R7_ATXN3.pdf</v>
      </c>
    </row>
    <row r="762" spans="1:28" x14ac:dyDescent="0.25">
      <c r="A762" t="s">
        <v>766</v>
      </c>
      <c r="B762">
        <v>0.99796759195183404</v>
      </c>
      <c r="C762">
        <v>0.98727537673918597</v>
      </c>
      <c r="D762">
        <v>0.93842276913224898</v>
      </c>
      <c r="E762">
        <v>0.92292819713539298</v>
      </c>
      <c r="F762">
        <v>0.54797523501870204</v>
      </c>
      <c r="G762">
        <v>0.29162249221431402</v>
      </c>
      <c r="H762">
        <v>0.17477738137107199</v>
      </c>
      <c r="I762">
        <v>0.16460286330263199</v>
      </c>
      <c r="J762">
        <v>0.11632938442657401</v>
      </c>
      <c r="K762">
        <v>3.8818364027680401E-2</v>
      </c>
      <c r="L762">
        <v>1093.75223415353</v>
      </c>
      <c r="M762">
        <v>21.657034930499702</v>
      </c>
      <c r="N762">
        <v>51.016149526362703</v>
      </c>
      <c r="O762">
        <v>50.078639857627302</v>
      </c>
      <c r="P762">
        <v>-9.7542130183841794E-2</v>
      </c>
      <c r="Q762">
        <v>9.7815346168986406E-2</v>
      </c>
      <c r="R762">
        <v>0.99214979900108002</v>
      </c>
      <c r="S762" t="s">
        <v>6345</v>
      </c>
      <c r="T762" t="s">
        <v>11164</v>
      </c>
      <c r="U762" t="s">
        <v>11164</v>
      </c>
      <c r="V762" t="s">
        <v>11164</v>
      </c>
      <c r="W762" t="s">
        <v>11915</v>
      </c>
      <c r="X762">
        <v>2</v>
      </c>
      <c r="Y762" t="s">
        <v>17449</v>
      </c>
      <c r="Z762" t="s">
        <v>22912</v>
      </c>
      <c r="AA762">
        <v>0.51421600188074523</v>
      </c>
      <c r="AB762" t="str">
        <f>HYPERLINK("Melting_Curves/meltCurve_G3V439_SIVA1.pdf", "Melting_Curves/meltCurve_G3V439_SIVA1.pdf")</f>
        <v>Melting_Curves/meltCurve_G3V439_SIVA1.pdf</v>
      </c>
    </row>
    <row r="763" spans="1:28" x14ac:dyDescent="0.25">
      <c r="A763" t="s">
        <v>767</v>
      </c>
      <c r="B763">
        <v>0.99796759195183404</v>
      </c>
      <c r="C763">
        <v>0.99695233769860703</v>
      </c>
      <c r="D763">
        <v>0.94545605896957696</v>
      </c>
      <c r="E763">
        <v>0.68030524034220996</v>
      </c>
      <c r="F763">
        <v>0.69999452640396698</v>
      </c>
      <c r="G763">
        <v>0.32034709772813003</v>
      </c>
      <c r="H763">
        <v>0.16990215293411201</v>
      </c>
      <c r="I763">
        <v>0.178051148313741</v>
      </c>
      <c r="J763">
        <v>0.11714783712301</v>
      </c>
      <c r="K763">
        <v>0.123436275818551</v>
      </c>
      <c r="L763">
        <v>695.48273206821398</v>
      </c>
      <c r="M763">
        <v>13.6989055399635</v>
      </c>
      <c r="N763">
        <v>51.325443793157099</v>
      </c>
      <c r="O763">
        <v>49.723980327242501</v>
      </c>
      <c r="P763">
        <v>-6.4132683256580406E-2</v>
      </c>
      <c r="Q763">
        <v>6.8984207328753502E-2</v>
      </c>
      <c r="R763">
        <v>0.97262023339401704</v>
      </c>
      <c r="S763" t="s">
        <v>6346</v>
      </c>
      <c r="T763" t="s">
        <v>11164</v>
      </c>
      <c r="U763" t="s">
        <v>11164</v>
      </c>
      <c r="V763" t="s">
        <v>11164</v>
      </c>
      <c r="W763" t="s">
        <v>11916</v>
      </c>
      <c r="X763">
        <v>1</v>
      </c>
      <c r="Y763" t="s">
        <v>17450</v>
      </c>
      <c r="Z763" t="s">
        <v>22913</v>
      </c>
      <c r="AA763">
        <v>0.51755439651469903</v>
      </c>
      <c r="AB763" t="str">
        <f>HYPERLINK("Melting_Curves/meltCurve_G3V541_HAUS4.pdf", "Melting_Curves/meltCurve_G3V541_HAUS4.pdf")</f>
        <v>Melting_Curves/meltCurve_G3V541_HAUS4.pdf</v>
      </c>
    </row>
    <row r="764" spans="1:28" x14ac:dyDescent="0.25">
      <c r="A764" t="s">
        <v>768</v>
      </c>
      <c r="B764">
        <v>0.99796759195183404</v>
      </c>
      <c r="C764">
        <v>0.87272895999880495</v>
      </c>
      <c r="D764">
        <v>0.857039187336194</v>
      </c>
      <c r="E764">
        <v>0.88706100428837498</v>
      </c>
      <c r="F764">
        <v>0.94800588113733197</v>
      </c>
      <c r="G764">
        <v>0.998061373195961</v>
      </c>
      <c r="H764">
        <v>0.596368348933213</v>
      </c>
      <c r="I764">
        <v>0.26432891194241698</v>
      </c>
      <c r="J764">
        <v>0.15242257998751199</v>
      </c>
      <c r="K764">
        <v>6.0868371552206597E-2</v>
      </c>
      <c r="L764">
        <v>1872.81037329891</v>
      </c>
      <c r="M764">
        <v>32.246980940665203</v>
      </c>
      <c r="N764">
        <v>58.405838345579198</v>
      </c>
      <c r="O764">
        <v>57.855096507609403</v>
      </c>
      <c r="P764">
        <v>-0.12777869353495799</v>
      </c>
      <c r="Q764">
        <v>8.3000978607982598E-2</v>
      </c>
      <c r="R764">
        <v>0.95195510247027704</v>
      </c>
      <c r="S764" t="s">
        <v>6347</v>
      </c>
      <c r="T764" t="s">
        <v>11164</v>
      </c>
      <c r="U764" t="s">
        <v>11164</v>
      </c>
      <c r="V764" t="s">
        <v>11164</v>
      </c>
      <c r="W764" t="s">
        <v>11917</v>
      </c>
      <c r="X764">
        <v>1</v>
      </c>
      <c r="Y764" t="s">
        <v>17451</v>
      </c>
      <c r="Z764" t="s">
        <v>22914</v>
      </c>
      <c r="AA764">
        <v>0.731876550393875</v>
      </c>
      <c r="AB764" t="str">
        <f>HYPERLINK("Melting_Curves/meltCurve_G3V578_NDRG2.pdf", "Melting_Curves/meltCurve_G3V578_NDRG2.pdf")</f>
        <v>Melting_Curves/meltCurve_G3V578_NDRG2.pdf</v>
      </c>
    </row>
    <row r="765" spans="1:28" x14ac:dyDescent="0.25">
      <c r="A765" t="s">
        <v>769</v>
      </c>
      <c r="B765">
        <v>0.99796759195183404</v>
      </c>
      <c r="C765">
        <v>1.0084885005109701</v>
      </c>
      <c r="D765">
        <v>0.945360748794428</v>
      </c>
      <c r="E765">
        <v>0.86006075747272803</v>
      </c>
      <c r="F765">
        <v>0.73523516092679597</v>
      </c>
      <c r="G765">
        <v>0.55222959280276096</v>
      </c>
      <c r="H765">
        <v>0.47710950935100599</v>
      </c>
      <c r="I765">
        <v>0.41452898262451598</v>
      </c>
      <c r="J765">
        <v>0.46410050905467098</v>
      </c>
      <c r="K765">
        <v>0.39248616543987902</v>
      </c>
      <c r="L765">
        <v>779.48994075573796</v>
      </c>
      <c r="M765">
        <v>15.435345697572499</v>
      </c>
      <c r="N765">
        <v>56.2838908141118</v>
      </c>
      <c r="O765">
        <v>49.675452218080899</v>
      </c>
      <c r="P765">
        <v>-4.6796310153201397E-2</v>
      </c>
      <c r="Q765">
        <v>0.397637591496458</v>
      </c>
      <c r="R765">
        <v>0.99259253033248496</v>
      </c>
      <c r="S765" t="s">
        <v>6348</v>
      </c>
      <c r="T765" t="s">
        <v>11164</v>
      </c>
      <c r="U765" t="s">
        <v>11164</v>
      </c>
      <c r="V765" t="s">
        <v>11164</v>
      </c>
      <c r="W765" t="s">
        <v>11918</v>
      </c>
      <c r="X765">
        <v>3</v>
      </c>
      <c r="Y765" t="s">
        <v>17452</v>
      </c>
      <c r="Z765" t="s">
        <v>22915</v>
      </c>
      <c r="AA765">
        <v>0.68059521594081407</v>
      </c>
      <c r="AB765" t="str">
        <f>HYPERLINK("Melting_Curves/meltCurve_G3V583_FAM177A1.pdf", "Melting_Curves/meltCurve_G3V583_FAM177A1.pdf")</f>
        <v>Melting_Curves/meltCurve_G3V583_FAM177A1.pdf</v>
      </c>
    </row>
    <row r="766" spans="1:28" x14ac:dyDescent="0.25">
      <c r="A766" t="s">
        <v>770</v>
      </c>
      <c r="B766">
        <v>0.99796759195183404</v>
      </c>
      <c r="C766">
        <v>0.93698584063508905</v>
      </c>
      <c r="D766">
        <v>0.96883087136964297</v>
      </c>
      <c r="E766">
        <v>0.90442457035092505</v>
      </c>
      <c r="F766">
        <v>0.74932139435200895</v>
      </c>
      <c r="G766">
        <v>0.33021265882982098</v>
      </c>
      <c r="H766">
        <v>0.26219967700151398</v>
      </c>
      <c r="I766">
        <v>0.18671287624486901</v>
      </c>
      <c r="J766">
        <v>0.17615600275192</v>
      </c>
      <c r="K766">
        <v>0.151812955484142</v>
      </c>
      <c r="L766">
        <v>1320.09226577152</v>
      </c>
      <c r="M766">
        <v>25.658332869652899</v>
      </c>
      <c r="N766">
        <v>52.288402681851103</v>
      </c>
      <c r="O766">
        <v>51.139387756692699</v>
      </c>
      <c r="P766">
        <v>-0.10425796568367</v>
      </c>
      <c r="Q766">
        <v>0.168827382231725</v>
      </c>
      <c r="R766">
        <v>0.99087379560123301</v>
      </c>
      <c r="S766" t="s">
        <v>6349</v>
      </c>
      <c r="T766" t="s">
        <v>11164</v>
      </c>
      <c r="U766" t="s">
        <v>11164</v>
      </c>
      <c r="V766" t="s">
        <v>11164</v>
      </c>
      <c r="W766" t="s">
        <v>11919</v>
      </c>
      <c r="X766">
        <v>11</v>
      </c>
      <c r="Y766" t="s">
        <v>17453</v>
      </c>
      <c r="Z766" t="s">
        <v>22916</v>
      </c>
      <c r="AA766">
        <v>0.57615239485963099</v>
      </c>
      <c r="AB766" t="str">
        <f>HYPERLINK("Melting_Curves/meltCurve_G3V599_CTAGE5.pdf", "Melting_Curves/meltCurve_G3V599_CTAGE5.pdf")</f>
        <v>Melting_Curves/meltCurve_G3V599_CTAGE5.pdf</v>
      </c>
    </row>
    <row r="767" spans="1:28" x14ac:dyDescent="0.25">
      <c r="A767" t="s">
        <v>771</v>
      </c>
      <c r="B767">
        <v>0.99796759195183404</v>
      </c>
      <c r="C767">
        <v>0.99540243920939198</v>
      </c>
      <c r="D767">
        <v>0.96641374486017895</v>
      </c>
      <c r="E767">
        <v>0.90391276125490305</v>
      </c>
      <c r="F767">
        <v>0.78164342327195302</v>
      </c>
      <c r="G767">
        <v>0.58385286023486105</v>
      </c>
      <c r="H767">
        <v>0.45347835946312098</v>
      </c>
      <c r="I767">
        <v>0.183427907112378</v>
      </c>
      <c r="J767">
        <v>0.13543723813372999</v>
      </c>
      <c r="K767">
        <v>0.10866519705148001</v>
      </c>
      <c r="L767">
        <v>706.99184928024397</v>
      </c>
      <c r="M767">
        <v>12.764494126577601</v>
      </c>
      <c r="N767">
        <v>55.387377159705601</v>
      </c>
      <c r="O767">
        <v>54.080763478190697</v>
      </c>
      <c r="P767">
        <v>-5.9017832772572297E-2</v>
      </c>
      <c r="Q767">
        <v>0</v>
      </c>
      <c r="R767">
        <v>0.99386232868487101</v>
      </c>
      <c r="S767" t="s">
        <v>6350</v>
      </c>
      <c r="T767" t="s">
        <v>11164</v>
      </c>
      <c r="U767" t="s">
        <v>11164</v>
      </c>
      <c r="V767" t="s">
        <v>11164</v>
      </c>
      <c r="W767" t="s">
        <v>11920</v>
      </c>
      <c r="X767">
        <v>6</v>
      </c>
      <c r="Y767" t="s">
        <v>17454</v>
      </c>
      <c r="Z767" t="s">
        <v>22917</v>
      </c>
      <c r="AA767">
        <v>0.62590969412009734</v>
      </c>
      <c r="AB767" t="str">
        <f>HYPERLINK("Melting_Curves/meltCurve_G3V5T0_GSTZ1.pdf", "Melting_Curves/meltCurve_G3V5T0_GSTZ1.pdf")</f>
        <v>Melting_Curves/meltCurve_G3V5T0_GSTZ1.pdf</v>
      </c>
    </row>
    <row r="768" spans="1:28" x14ac:dyDescent="0.25">
      <c r="A768" t="s">
        <v>772</v>
      </c>
      <c r="B768">
        <v>0.99796759195183404</v>
      </c>
      <c r="C768">
        <v>0.94199919467808702</v>
      </c>
      <c r="D768">
        <v>0.90950771656595697</v>
      </c>
      <c r="E768">
        <v>0.87190105160216202</v>
      </c>
      <c r="F768">
        <v>0.76828976153109696</v>
      </c>
      <c r="G768">
        <v>0.50260571067599802</v>
      </c>
      <c r="H768">
        <v>0.34747397009191899</v>
      </c>
      <c r="I768">
        <v>0.202524708763719</v>
      </c>
      <c r="J768">
        <v>0.14206719123494799</v>
      </c>
      <c r="K768">
        <v>0.105208722179227</v>
      </c>
      <c r="L768">
        <v>637.67575822345304</v>
      </c>
      <c r="M768">
        <v>11.749499743002</v>
      </c>
      <c r="N768">
        <v>54.272579040012701</v>
      </c>
      <c r="O768">
        <v>52.771999932715801</v>
      </c>
      <c r="P768">
        <v>-5.5676178903303598E-2</v>
      </c>
      <c r="Q768">
        <v>0</v>
      </c>
      <c r="R768">
        <v>0.99392661064357002</v>
      </c>
      <c r="S768" t="s">
        <v>6351</v>
      </c>
      <c r="T768" t="s">
        <v>11164</v>
      </c>
      <c r="U768" t="s">
        <v>11164</v>
      </c>
      <c r="V768" t="s">
        <v>11164</v>
      </c>
      <c r="W768" t="s">
        <v>11921</v>
      </c>
      <c r="X768">
        <v>12</v>
      </c>
      <c r="Y768" t="s">
        <v>17455</v>
      </c>
      <c r="Z768" t="s">
        <v>22918</v>
      </c>
      <c r="AA768">
        <v>0.59271578313429274</v>
      </c>
      <c r="AB768" t="str">
        <f>HYPERLINK("Melting_Curves/meltCurve_G3V5T9_CDK2.pdf", "Melting_Curves/meltCurve_G3V5T9_CDK2.pdf")</f>
        <v>Melting_Curves/meltCurve_G3V5T9_CDK2.pdf</v>
      </c>
    </row>
    <row r="769" spans="1:28" x14ac:dyDescent="0.25">
      <c r="A769" t="s">
        <v>773</v>
      </c>
      <c r="B769">
        <v>0.99796759195183404</v>
      </c>
      <c r="C769">
        <v>0.98407373455116698</v>
      </c>
      <c r="D769">
        <v>1.16288846708938</v>
      </c>
      <c r="E769">
        <v>0.87946776361059198</v>
      </c>
      <c r="F769">
        <v>0.76779215412372204</v>
      </c>
      <c r="G769">
        <v>0.94500787473584202</v>
      </c>
      <c r="H769">
        <v>0.69913310263206796</v>
      </c>
      <c r="I769">
        <v>0.39523256776288701</v>
      </c>
      <c r="J769">
        <v>0.26432558593563399</v>
      </c>
      <c r="K769">
        <v>8.3082283477701094E-2</v>
      </c>
      <c r="L769">
        <v>1050.16862691854</v>
      </c>
      <c r="M769">
        <v>17.558386092253102</v>
      </c>
      <c r="N769">
        <v>59.8100900119233</v>
      </c>
      <c r="O769">
        <v>59.0504565161378</v>
      </c>
      <c r="P769">
        <v>-7.4340415197135204E-2</v>
      </c>
      <c r="Q769">
        <v>0</v>
      </c>
      <c r="R769">
        <v>0.92259060915812297</v>
      </c>
      <c r="S769" t="s">
        <v>6352</v>
      </c>
      <c r="T769" t="s">
        <v>11164</v>
      </c>
      <c r="U769" t="s">
        <v>11164</v>
      </c>
      <c r="V769" t="s">
        <v>11164</v>
      </c>
      <c r="W769" t="s">
        <v>11922</v>
      </c>
      <c r="X769">
        <v>1</v>
      </c>
      <c r="Y769" t="s">
        <v>17456</v>
      </c>
      <c r="Z769" t="s">
        <v>22919</v>
      </c>
      <c r="AA769">
        <v>0.75914031885191746</v>
      </c>
      <c r="AB769" t="str">
        <f>HYPERLINK("Melting_Curves/meltCurve_G3V5X4_SYNE2.pdf", "Melting_Curves/meltCurve_G3V5X4_SYNE2.pdf")</f>
        <v>Melting_Curves/meltCurve_G3V5X4_SYNE2.pdf</v>
      </c>
    </row>
    <row r="770" spans="1:28" x14ac:dyDescent="0.25">
      <c r="A770" t="s">
        <v>774</v>
      </c>
      <c r="B770">
        <v>0.99796759195183404</v>
      </c>
      <c r="C770">
        <v>0.99224465093053704</v>
      </c>
      <c r="D770">
        <v>0.96500705386269903</v>
      </c>
      <c r="E770">
        <v>1.4239703850274901</v>
      </c>
      <c r="F770">
        <v>1.6366124280766701</v>
      </c>
      <c r="G770">
        <v>2.12089043933711</v>
      </c>
      <c r="H770">
        <v>1.74235835706479</v>
      </c>
      <c r="I770">
        <v>1.87416189766895</v>
      </c>
      <c r="J770">
        <v>1.7468238419634601</v>
      </c>
      <c r="K770">
        <v>1.66355165434768</v>
      </c>
      <c r="L770">
        <v>11569.916003423399</v>
      </c>
      <c r="M770">
        <v>250</v>
      </c>
      <c r="O770">
        <v>46.276684833027701</v>
      </c>
      <c r="P770">
        <v>0.67528579890866003</v>
      </c>
      <c r="Q770">
        <v>1.5</v>
      </c>
      <c r="R770">
        <v>0.53558406896460298</v>
      </c>
      <c r="S770" t="s">
        <v>6353</v>
      </c>
      <c r="T770" t="s">
        <v>11164</v>
      </c>
      <c r="U770" t="s">
        <v>11164</v>
      </c>
      <c r="V770" t="s">
        <v>11164</v>
      </c>
      <c r="W770" t="s">
        <v>11923</v>
      </c>
      <c r="X770">
        <v>11</v>
      </c>
      <c r="Y770" t="s">
        <v>17457</v>
      </c>
      <c r="Z770" t="s">
        <v>22920</v>
      </c>
      <c r="AA770">
        <v>1.3452983230600719</v>
      </c>
      <c r="AB770" t="str">
        <f>HYPERLINK("Melting_Curves/meltCurve_G3V5Z7_PSMA6.pdf", "Melting_Curves/meltCurve_G3V5Z7_PSMA6.pdf")</f>
        <v>Melting_Curves/meltCurve_G3V5Z7_PSMA6.pdf</v>
      </c>
    </row>
    <row r="771" spans="1:28" x14ac:dyDescent="0.25">
      <c r="A771" t="s">
        <v>775</v>
      </c>
      <c r="B771">
        <v>0.99796759195183404</v>
      </c>
      <c r="C771">
        <v>0.98298036787609899</v>
      </c>
      <c r="D771">
        <v>0.97826662187366897</v>
      </c>
      <c r="E771">
        <v>0.97522404471982505</v>
      </c>
      <c r="F771">
        <v>0.76559792394861303</v>
      </c>
      <c r="G771">
        <v>0.79509927543623304</v>
      </c>
      <c r="H771">
        <v>0.62293113266231703</v>
      </c>
      <c r="I771">
        <v>0.28602949366404001</v>
      </c>
      <c r="J771">
        <v>0.142708773851115</v>
      </c>
      <c r="K771">
        <v>0.117050233883274</v>
      </c>
      <c r="L771">
        <v>864.60581771964701</v>
      </c>
      <c r="M771">
        <v>14.9167750856975</v>
      </c>
      <c r="N771">
        <v>57.961979910176801</v>
      </c>
      <c r="O771">
        <v>56.9501801581712</v>
      </c>
      <c r="P771">
        <v>-6.5488430921415805E-2</v>
      </c>
      <c r="Q771">
        <v>0</v>
      </c>
      <c r="R771">
        <v>0.97067168487086797</v>
      </c>
      <c r="S771" t="s">
        <v>6354</v>
      </c>
      <c r="T771" t="s">
        <v>11164</v>
      </c>
      <c r="U771" t="s">
        <v>11164</v>
      </c>
      <c r="V771" t="s">
        <v>11164</v>
      </c>
      <c r="W771" t="s">
        <v>11924</v>
      </c>
      <c r="X771">
        <v>6</v>
      </c>
      <c r="Y771" t="s">
        <v>17458</v>
      </c>
      <c r="Z771" t="s">
        <v>22921</v>
      </c>
      <c r="AA771">
        <v>0.70295998184250619</v>
      </c>
      <c r="AB771" t="str">
        <f>HYPERLINK("Melting_Curves/meltCurve_G3XA81_TMEM48.pdf", "Melting_Curves/meltCurve_G3XA81_TMEM48.pdf")</f>
        <v>Melting_Curves/meltCurve_G3XA81_TMEM48.pdf</v>
      </c>
    </row>
    <row r="772" spans="1:28" x14ac:dyDescent="0.25">
      <c r="A772" t="s">
        <v>776</v>
      </c>
      <c r="B772">
        <v>0.99796759195183404</v>
      </c>
      <c r="C772">
        <v>0.93991278701491099</v>
      </c>
      <c r="D772">
        <v>0.88077441924364397</v>
      </c>
      <c r="E772">
        <v>0.842455411388213</v>
      </c>
      <c r="F772">
        <v>0.80236003453691296</v>
      </c>
      <c r="G772">
        <v>0.44554290939401903</v>
      </c>
      <c r="H772">
        <v>0.45624706209724802</v>
      </c>
      <c r="I772">
        <v>0.366650838750395</v>
      </c>
      <c r="J772">
        <v>0.348591551104799</v>
      </c>
      <c r="K772">
        <v>0.34001086060807301</v>
      </c>
      <c r="L772">
        <v>647.93136828439697</v>
      </c>
      <c r="M772">
        <v>12.620891245893199</v>
      </c>
      <c r="N772">
        <v>55.1351382510638</v>
      </c>
      <c r="O772">
        <v>50.100291041873703</v>
      </c>
      <c r="P772">
        <v>-4.4700935886170197E-2</v>
      </c>
      <c r="Q772">
        <v>0.29035563863729502</v>
      </c>
      <c r="R772">
        <v>0.958342521850019</v>
      </c>
      <c r="S772" t="s">
        <v>6355</v>
      </c>
      <c r="T772" t="s">
        <v>11164</v>
      </c>
      <c r="U772" t="s">
        <v>11164</v>
      </c>
      <c r="V772" t="s">
        <v>11164</v>
      </c>
      <c r="W772" t="s">
        <v>11925</v>
      </c>
      <c r="X772">
        <v>4</v>
      </c>
      <c r="Y772" t="s">
        <v>17459</v>
      </c>
      <c r="Z772" t="s">
        <v>22922</v>
      </c>
      <c r="AA772">
        <v>0.64662178845926133</v>
      </c>
      <c r="AB772" t="str">
        <f>HYPERLINK("Melting_Curves/meltCurve_G3XAA0_ARID1B.pdf", "Melting_Curves/meltCurve_G3XAA0_ARID1B.pdf")</f>
        <v>Melting_Curves/meltCurve_G3XAA0_ARID1B.pdf</v>
      </c>
    </row>
    <row r="773" spans="1:28" x14ac:dyDescent="0.25">
      <c r="A773" t="s">
        <v>777</v>
      </c>
      <c r="B773">
        <v>0.99796759195183404</v>
      </c>
      <c r="C773">
        <v>1.0482502191663099</v>
      </c>
      <c r="D773">
        <v>0.99250834736969895</v>
      </c>
      <c r="E773">
        <v>0.94225326542240695</v>
      </c>
      <c r="F773">
        <v>0.76646404917844302</v>
      </c>
      <c r="G773">
        <v>0.42897168569613903</v>
      </c>
      <c r="H773">
        <v>0.16275934140951701</v>
      </c>
      <c r="I773">
        <v>0.120271554705163</v>
      </c>
      <c r="J773">
        <v>8.4489634088611695E-2</v>
      </c>
      <c r="K773">
        <v>7.3451838001315495E-2</v>
      </c>
      <c r="L773">
        <v>1213.3329801345701</v>
      </c>
      <c r="M773">
        <v>23.0677136685728</v>
      </c>
      <c r="N773">
        <v>52.936259788380703</v>
      </c>
      <c r="O773">
        <v>52.208270780889201</v>
      </c>
      <c r="P773">
        <v>-0.10290794050909</v>
      </c>
      <c r="Q773">
        <v>6.8387315000782795E-2</v>
      </c>
      <c r="R773">
        <v>0.99787667463781204</v>
      </c>
      <c r="S773" t="s">
        <v>6356</v>
      </c>
      <c r="T773" t="s">
        <v>11164</v>
      </c>
      <c r="U773" t="s">
        <v>11164</v>
      </c>
      <c r="V773" t="s">
        <v>11164</v>
      </c>
      <c r="W773" t="s">
        <v>11926</v>
      </c>
      <c r="X773">
        <v>15</v>
      </c>
      <c r="Y773" t="s">
        <v>17460</v>
      </c>
      <c r="Z773" t="s">
        <v>22923</v>
      </c>
      <c r="AA773">
        <v>0.56225464267854608</v>
      </c>
      <c r="AB773" t="str">
        <f>HYPERLINK("Melting_Curves/meltCurve_G3XAA2_MAP4K4.pdf", "Melting_Curves/meltCurve_G3XAA2_MAP4K4.pdf")</f>
        <v>Melting_Curves/meltCurve_G3XAA2_MAP4K4.pdf</v>
      </c>
    </row>
    <row r="774" spans="1:28" x14ac:dyDescent="0.25">
      <c r="A774" t="s">
        <v>778</v>
      </c>
      <c r="B774">
        <v>0.99796759195183404</v>
      </c>
      <c r="C774">
        <v>1.0058098265296</v>
      </c>
      <c r="D774">
        <v>0.978095705058045</v>
      </c>
      <c r="E774">
        <v>0.95615251467927798</v>
      </c>
      <c r="F774">
        <v>0.85567098597685298</v>
      </c>
      <c r="G774">
        <v>0.73835847275768596</v>
      </c>
      <c r="H774">
        <v>0.53825760260856104</v>
      </c>
      <c r="I774">
        <v>0.37420809904387398</v>
      </c>
      <c r="J774">
        <v>0.24739459837484301</v>
      </c>
      <c r="K774">
        <v>0.176832670327603</v>
      </c>
      <c r="L774">
        <v>689.19210823348305</v>
      </c>
      <c r="M774">
        <v>11.833417490154099</v>
      </c>
      <c r="N774">
        <v>58.241172488356199</v>
      </c>
      <c r="O774">
        <v>56.652614544697997</v>
      </c>
      <c r="P774">
        <v>-5.2232509830914597E-2</v>
      </c>
      <c r="Q774">
        <v>0</v>
      </c>
      <c r="R774">
        <v>0.99937719665304703</v>
      </c>
      <c r="S774" t="s">
        <v>6357</v>
      </c>
      <c r="T774" t="s">
        <v>11164</v>
      </c>
      <c r="U774" t="s">
        <v>11164</v>
      </c>
      <c r="V774" t="s">
        <v>11164</v>
      </c>
      <c r="W774" t="s">
        <v>11927</v>
      </c>
      <c r="X774">
        <v>19</v>
      </c>
      <c r="Y774" t="s">
        <v>17461</v>
      </c>
      <c r="Z774" t="s">
        <v>22924</v>
      </c>
      <c r="AA774">
        <v>0.70461548297294196</v>
      </c>
      <c r="AB774" t="str">
        <f>HYPERLINK("Melting_Curves/meltCurve_G3XAI2_LAMB1.pdf", "Melting_Curves/meltCurve_G3XAI2_LAMB1.pdf")</f>
        <v>Melting_Curves/meltCurve_G3XAI2_LAMB1.pdf</v>
      </c>
    </row>
    <row r="775" spans="1:28" x14ac:dyDescent="0.25">
      <c r="A775" t="s">
        <v>779</v>
      </c>
      <c r="B775">
        <v>0.99796759195183404</v>
      </c>
      <c r="C775">
        <v>1.0105016484323699</v>
      </c>
      <c r="D775">
        <v>0.89575559532703297</v>
      </c>
      <c r="E775">
        <v>0.987230972129302</v>
      </c>
      <c r="F775">
        <v>0.98527896098355405</v>
      </c>
      <c r="G775">
        <v>0.78001961748852799</v>
      </c>
      <c r="H775">
        <v>0.770843820758224</v>
      </c>
      <c r="I775">
        <v>0.69944633834823799</v>
      </c>
      <c r="J775">
        <v>0.81875765282014501</v>
      </c>
      <c r="K775">
        <v>0.83745502652547599</v>
      </c>
      <c r="L775">
        <v>12681.9615629576</v>
      </c>
      <c r="M775">
        <v>250</v>
      </c>
      <c r="O775">
        <v>50.724608656229002</v>
      </c>
      <c r="P775">
        <v>-0.26946434301774502</v>
      </c>
      <c r="Q775">
        <v>0.78130446390929997</v>
      </c>
      <c r="R775">
        <v>0.80221712846665305</v>
      </c>
      <c r="S775" t="s">
        <v>6358</v>
      </c>
      <c r="T775" t="s">
        <v>11164</v>
      </c>
      <c r="U775" t="s">
        <v>11164</v>
      </c>
      <c r="V775" t="s">
        <v>11164</v>
      </c>
      <c r="W775" t="s">
        <v>11928</v>
      </c>
      <c r="X775">
        <v>4</v>
      </c>
      <c r="Y775" t="s">
        <v>17462</v>
      </c>
      <c r="Z775" t="s">
        <v>22925</v>
      </c>
      <c r="AA775">
        <v>0.8813978901389099</v>
      </c>
      <c r="AB775" t="str">
        <f>HYPERLINK("Melting_Curves/meltCurve_G3XAN8_TIMM8B.pdf", "Melting_Curves/meltCurve_G3XAN8_TIMM8B.pdf")</f>
        <v>Melting_Curves/meltCurve_G3XAN8_TIMM8B.pdf</v>
      </c>
    </row>
    <row r="776" spans="1:28" x14ac:dyDescent="0.25">
      <c r="A776" t="s">
        <v>780</v>
      </c>
      <c r="B776">
        <v>0.99796759195183404</v>
      </c>
      <c r="C776">
        <v>0.88028447339694305</v>
      </c>
      <c r="D776">
        <v>1.0346689558861599</v>
      </c>
      <c r="E776">
        <v>0.75185637391563898</v>
      </c>
      <c r="F776">
        <v>0.90239285733419194</v>
      </c>
      <c r="G776">
        <v>0.56953150052238499</v>
      </c>
      <c r="H776">
        <v>0.46885086116281099</v>
      </c>
      <c r="I776">
        <v>0.346045632243278</v>
      </c>
      <c r="J776">
        <v>0.25304469602518498</v>
      </c>
      <c r="K776">
        <v>0.15305636617780799</v>
      </c>
      <c r="L776">
        <v>544.85970624032302</v>
      </c>
      <c r="M776">
        <v>9.6310195042273694</v>
      </c>
      <c r="N776">
        <v>56.573403409740301</v>
      </c>
      <c r="O776">
        <v>54.295770834101198</v>
      </c>
      <c r="P776">
        <v>-4.4370060979159402E-2</v>
      </c>
      <c r="Q776">
        <v>0</v>
      </c>
      <c r="R776">
        <v>0.93988725774082604</v>
      </c>
      <c r="S776" t="s">
        <v>6359</v>
      </c>
      <c r="T776" t="s">
        <v>11164</v>
      </c>
      <c r="U776" t="s">
        <v>11164</v>
      </c>
      <c r="V776" t="s">
        <v>11164</v>
      </c>
      <c r="W776" t="s">
        <v>11929</v>
      </c>
      <c r="X776">
        <v>3</v>
      </c>
      <c r="Y776" t="s">
        <v>17463</v>
      </c>
      <c r="Z776" t="s">
        <v>22926</v>
      </c>
      <c r="AA776">
        <v>0.65336940149250455</v>
      </c>
      <c r="AB776" t="str">
        <f>HYPERLINK("Melting_Curves/meltCurve_G3XAP3_ABCB8.pdf", "Melting_Curves/meltCurve_G3XAP3_ABCB8.pdf")</f>
        <v>Melting_Curves/meltCurve_G3XAP3_ABCB8.pdf</v>
      </c>
    </row>
    <row r="777" spans="1:28" x14ac:dyDescent="0.25">
      <c r="A777" t="s">
        <v>781</v>
      </c>
      <c r="B777">
        <v>0.99796759195183404</v>
      </c>
      <c r="C777">
        <v>1.0581457661226401</v>
      </c>
      <c r="D777">
        <v>1.05227734207638</v>
      </c>
      <c r="E777">
        <v>0.98901109528665498</v>
      </c>
      <c r="F777">
        <v>0.75210406361425997</v>
      </c>
      <c r="G777">
        <v>0.17631817587588799</v>
      </c>
      <c r="H777">
        <v>9.32229386032222E-2</v>
      </c>
      <c r="I777">
        <v>9.4122424229607302E-2</v>
      </c>
      <c r="J777">
        <v>5.9609991161739199E-2</v>
      </c>
      <c r="K777">
        <v>3.3007946813709797E-2</v>
      </c>
      <c r="L777">
        <v>2246.6364358215401</v>
      </c>
      <c r="M777">
        <v>43.741095538687901</v>
      </c>
      <c r="N777">
        <v>51.530714215750201</v>
      </c>
      <c r="O777">
        <v>51.2551416847542</v>
      </c>
      <c r="P777">
        <v>-0.19912869666549801</v>
      </c>
      <c r="Q777">
        <v>6.6657698972814899E-2</v>
      </c>
      <c r="R777">
        <v>0.99584018858776802</v>
      </c>
      <c r="S777" t="s">
        <v>6360</v>
      </c>
      <c r="T777" t="s">
        <v>11164</v>
      </c>
      <c r="U777" t="s">
        <v>11164</v>
      </c>
      <c r="V777" t="s">
        <v>11164</v>
      </c>
      <c r="W777" t="s">
        <v>11930</v>
      </c>
      <c r="X777">
        <v>1</v>
      </c>
      <c r="Y777" t="s">
        <v>17464</v>
      </c>
      <c r="Z777" t="s">
        <v>22927</v>
      </c>
      <c r="AA777">
        <v>0.51624963311022143</v>
      </c>
      <c r="AB777" t="str">
        <f>HYPERLINK("Melting_Curves/meltCurve_G5E979_ATG4A.pdf", "Melting_Curves/meltCurve_G5E979_ATG4A.pdf")</f>
        <v>Melting_Curves/meltCurve_G5E979_ATG4A.pdf</v>
      </c>
    </row>
    <row r="778" spans="1:28" x14ac:dyDescent="0.25">
      <c r="A778" t="s">
        <v>782</v>
      </c>
      <c r="B778">
        <v>0.99796759195183404</v>
      </c>
      <c r="C778">
        <v>1.0457409806082401</v>
      </c>
      <c r="D778">
        <v>1.11228652288338</v>
      </c>
      <c r="E778">
        <v>1.0114227210642299</v>
      </c>
      <c r="F778">
        <v>0.76795277568173104</v>
      </c>
      <c r="G778">
        <v>0.59494670790029303</v>
      </c>
      <c r="H778">
        <v>0.59202924890979403</v>
      </c>
      <c r="I778">
        <v>0.44898128414607702</v>
      </c>
      <c r="J778">
        <v>0.33922167063750602</v>
      </c>
      <c r="K778">
        <v>0.17408052557918599</v>
      </c>
      <c r="L778">
        <v>592.005152127413</v>
      </c>
      <c r="M778">
        <v>10.2267369227242</v>
      </c>
      <c r="N778">
        <v>58.4091856703524</v>
      </c>
      <c r="O778">
        <v>55.805513890354703</v>
      </c>
      <c r="P778">
        <v>-4.3835868725515502E-2</v>
      </c>
      <c r="Q778">
        <v>4.36082673625275E-2</v>
      </c>
      <c r="R778">
        <v>0.94358701938482603</v>
      </c>
      <c r="S778" t="s">
        <v>6361</v>
      </c>
      <c r="T778" t="s">
        <v>11164</v>
      </c>
      <c r="U778" t="s">
        <v>11164</v>
      </c>
      <c r="V778" t="s">
        <v>11164</v>
      </c>
      <c r="W778" t="s">
        <v>11931</v>
      </c>
      <c r="X778">
        <v>2</v>
      </c>
      <c r="Y778" t="s">
        <v>17465</v>
      </c>
      <c r="Z778" t="s">
        <v>22928</v>
      </c>
      <c r="AA778">
        <v>0.70314102733077344</v>
      </c>
      <c r="AB778" t="str">
        <f>HYPERLINK("Melting_Curves/meltCurve_G5E994_GPR107.pdf", "Melting_Curves/meltCurve_G5E994_GPR107.pdf")</f>
        <v>Melting_Curves/meltCurve_G5E994_GPR107.pdf</v>
      </c>
    </row>
    <row r="779" spans="1:28" x14ac:dyDescent="0.25">
      <c r="A779" t="s">
        <v>783</v>
      </c>
      <c r="B779">
        <v>0.99796759195183404</v>
      </c>
      <c r="C779">
        <v>0.97741207413367903</v>
      </c>
      <c r="D779">
        <v>0.97040640054983096</v>
      </c>
      <c r="E779">
        <v>0.81153500485797003</v>
      </c>
      <c r="F779">
        <v>0.48709412849898998</v>
      </c>
      <c r="G779">
        <v>0.32038672617776698</v>
      </c>
      <c r="H779">
        <v>0.23194401487719801</v>
      </c>
      <c r="I779">
        <v>0.16389480668390299</v>
      </c>
      <c r="J779">
        <v>0.12526497148669799</v>
      </c>
      <c r="K779">
        <v>8.9851971021826099E-2</v>
      </c>
      <c r="L779">
        <v>852.08815829004902</v>
      </c>
      <c r="M779">
        <v>17.103406307262201</v>
      </c>
      <c r="N779">
        <v>50.574902259443299</v>
      </c>
      <c r="O779">
        <v>49.153687068047397</v>
      </c>
      <c r="P779">
        <v>-7.7191958365733199E-2</v>
      </c>
      <c r="Q779">
        <v>0.112681917075461</v>
      </c>
      <c r="R779">
        <v>0.99576014761609699</v>
      </c>
      <c r="S779" t="s">
        <v>6362</v>
      </c>
      <c r="T779" t="s">
        <v>11164</v>
      </c>
      <c r="U779" t="s">
        <v>11164</v>
      </c>
      <c r="V779" t="s">
        <v>11164</v>
      </c>
      <c r="W779" t="s">
        <v>11384</v>
      </c>
      <c r="X779">
        <v>5</v>
      </c>
      <c r="Y779" t="s">
        <v>17466</v>
      </c>
      <c r="Z779" t="s">
        <v>22929</v>
      </c>
      <c r="AA779">
        <v>0.50708998589811871</v>
      </c>
      <c r="AB779" t="str">
        <f>HYPERLINK("Melting_Curves/meltCurve_G5E9A6_USP11.pdf", "Melting_Curves/meltCurve_G5E9A6_USP11.pdf")</f>
        <v>Melting_Curves/meltCurve_G5E9A6_USP11.pdf</v>
      </c>
    </row>
    <row r="780" spans="1:28" x14ac:dyDescent="0.25">
      <c r="A780" t="s">
        <v>784</v>
      </c>
      <c r="B780">
        <v>0.99796759195183404</v>
      </c>
      <c r="C780">
        <v>1.12779754575533</v>
      </c>
      <c r="D780">
        <v>1.01928578024238</v>
      </c>
      <c r="E780">
        <v>0.63051109223277002</v>
      </c>
      <c r="F780">
        <v>0.52842559655006505</v>
      </c>
      <c r="G780">
        <v>0.72784626258672303</v>
      </c>
      <c r="H780">
        <v>0.32199428075455699</v>
      </c>
      <c r="I780">
        <v>8.3668522483073104E-2</v>
      </c>
      <c r="J780">
        <v>9.3167077569104306E-2</v>
      </c>
      <c r="K780">
        <v>0</v>
      </c>
      <c r="L780">
        <v>591.01778657695695</v>
      </c>
      <c r="M780">
        <v>11.157289728271101</v>
      </c>
      <c r="N780">
        <v>52.971456393328999</v>
      </c>
      <c r="O780">
        <v>51.355227514866002</v>
      </c>
      <c r="P780">
        <v>-5.4331633460122798E-2</v>
      </c>
      <c r="Q780">
        <v>0</v>
      </c>
      <c r="R780">
        <v>0.88823960289076898</v>
      </c>
      <c r="S780" t="s">
        <v>6363</v>
      </c>
      <c r="T780" t="s">
        <v>11164</v>
      </c>
      <c r="U780" t="s">
        <v>11164</v>
      </c>
      <c r="V780" t="s">
        <v>11164</v>
      </c>
      <c r="W780" t="s">
        <v>11932</v>
      </c>
      <c r="X780">
        <v>1</v>
      </c>
      <c r="Y780" t="s">
        <v>17467</v>
      </c>
      <c r="Z780" t="s">
        <v>22930</v>
      </c>
      <c r="AA780">
        <v>0.55425777495441841</v>
      </c>
      <c r="AB780" t="str">
        <f>HYPERLINK("Melting_Curves/meltCurve_G5E9A7_DMWD.pdf", "Melting_Curves/meltCurve_G5E9A7_DMWD.pdf")</f>
        <v>Melting_Curves/meltCurve_G5E9A7_DMWD.pdf</v>
      </c>
    </row>
    <row r="781" spans="1:28" x14ac:dyDescent="0.25">
      <c r="A781" t="s">
        <v>785</v>
      </c>
      <c r="B781">
        <v>0.99796759195183404</v>
      </c>
      <c r="C781">
        <v>0.99933374111419404</v>
      </c>
      <c r="D781">
        <v>0.97231277428873797</v>
      </c>
      <c r="E781">
        <v>0.85097679502865597</v>
      </c>
      <c r="F781">
        <v>0.79922676795209202</v>
      </c>
      <c r="G781">
        <v>0.42715795783678601</v>
      </c>
      <c r="H781">
        <v>0.27705555356599898</v>
      </c>
      <c r="I781">
        <v>0.20308974983936301</v>
      </c>
      <c r="J781">
        <v>0.18899682206360199</v>
      </c>
      <c r="K781">
        <v>0.102393402878967</v>
      </c>
      <c r="L781">
        <v>917.17182140682996</v>
      </c>
      <c r="M781">
        <v>17.453868746170802</v>
      </c>
      <c r="N781">
        <v>53.360883547338403</v>
      </c>
      <c r="O781">
        <v>51.873089798925697</v>
      </c>
      <c r="P781">
        <v>-7.4306158578769196E-2</v>
      </c>
      <c r="Q781">
        <v>0.116694328379548</v>
      </c>
      <c r="R781">
        <v>0.989330492844677</v>
      </c>
      <c r="S781" t="s">
        <v>6364</v>
      </c>
      <c r="T781" t="s">
        <v>11164</v>
      </c>
      <c r="U781" t="s">
        <v>11164</v>
      </c>
      <c r="V781" t="s">
        <v>11164</v>
      </c>
      <c r="W781" t="s">
        <v>11933</v>
      </c>
      <c r="X781">
        <v>4</v>
      </c>
      <c r="Y781" t="s">
        <v>17468</v>
      </c>
      <c r="Z781" t="s">
        <v>22931</v>
      </c>
      <c r="AA781">
        <v>0.58813771280116922</v>
      </c>
      <c r="AB781" t="str">
        <f>HYPERLINK("Melting_Curves/meltCurve_G5E9C8_SOS1.pdf", "Melting_Curves/meltCurve_G5E9C8_SOS1.pdf")</f>
        <v>Melting_Curves/meltCurve_G5E9C8_SOS1.pdf</v>
      </c>
    </row>
    <row r="782" spans="1:28" x14ac:dyDescent="0.25">
      <c r="A782" t="s">
        <v>786</v>
      </c>
      <c r="B782">
        <v>0.99796759195183404</v>
      </c>
      <c r="C782">
        <v>1.01060475825658</v>
      </c>
      <c r="D782">
        <v>0.933440163329748</v>
      </c>
      <c r="E782">
        <v>0.90454311689646905</v>
      </c>
      <c r="F782">
        <v>0.85723449401032303</v>
      </c>
      <c r="G782">
        <v>0.46423292036715402</v>
      </c>
      <c r="H782">
        <v>0.39871124129767099</v>
      </c>
      <c r="I782">
        <v>0.28762044118566499</v>
      </c>
      <c r="J782">
        <v>0.240899336981277</v>
      </c>
      <c r="K782">
        <v>0.19161662421606701</v>
      </c>
      <c r="L782">
        <v>967.40581853914205</v>
      </c>
      <c r="M782">
        <v>18.286813664374101</v>
      </c>
      <c r="N782">
        <v>54.463116115810301</v>
      </c>
      <c r="O782">
        <v>52.281374620192501</v>
      </c>
      <c r="P782">
        <v>-6.9609377742323605E-2</v>
      </c>
      <c r="Q782">
        <v>0.20399358341971099</v>
      </c>
      <c r="R782">
        <v>0.98203586183637304</v>
      </c>
      <c r="S782" t="s">
        <v>6365</v>
      </c>
      <c r="T782" t="s">
        <v>11164</v>
      </c>
      <c r="U782" t="s">
        <v>11164</v>
      </c>
      <c r="V782" t="s">
        <v>11164</v>
      </c>
      <c r="W782" t="s">
        <v>11934</v>
      </c>
      <c r="X782">
        <v>7</v>
      </c>
      <c r="Y782" t="s">
        <v>17469</v>
      </c>
      <c r="Z782" t="s">
        <v>22932</v>
      </c>
      <c r="AA782">
        <v>0.6373153963371776</v>
      </c>
      <c r="AB782" t="str">
        <f>HYPERLINK("Melting_Curves/meltCurve_G5E9E7_TJP1.pdf", "Melting_Curves/meltCurve_G5E9E7_TJP1.pdf")</f>
        <v>Melting_Curves/meltCurve_G5E9E7_TJP1.pdf</v>
      </c>
    </row>
    <row r="783" spans="1:28" x14ac:dyDescent="0.25">
      <c r="A783" t="s">
        <v>787</v>
      </c>
      <c r="B783">
        <v>0.99796759195183404</v>
      </c>
      <c r="C783">
        <v>0.99969735649115898</v>
      </c>
      <c r="D783">
        <v>1.0450086648977699</v>
      </c>
      <c r="E783">
        <v>0.99063840741672304</v>
      </c>
      <c r="F783">
        <v>0.87514803680951403</v>
      </c>
      <c r="G783">
        <v>0.63622164509725798</v>
      </c>
      <c r="H783">
        <v>0.68941488630746905</v>
      </c>
      <c r="I783">
        <v>0.55563614277253603</v>
      </c>
      <c r="J783">
        <v>0.54109514489783905</v>
      </c>
      <c r="K783">
        <v>0.311375896802839</v>
      </c>
      <c r="L783">
        <v>510.50030660551403</v>
      </c>
      <c r="M783">
        <v>8.4526579298618891</v>
      </c>
      <c r="N783">
        <v>62.350930037497903</v>
      </c>
      <c r="O783">
        <v>57.299080722562799</v>
      </c>
      <c r="P783">
        <v>-3.2615107570691602E-2</v>
      </c>
      <c r="Q783">
        <v>0.11644493803741</v>
      </c>
      <c r="R783">
        <v>0.92834701430248101</v>
      </c>
      <c r="S783" t="s">
        <v>6366</v>
      </c>
      <c r="T783" t="s">
        <v>11164</v>
      </c>
      <c r="U783" t="s">
        <v>11164</v>
      </c>
      <c r="V783" t="s">
        <v>11164</v>
      </c>
      <c r="W783" t="s">
        <v>11935</v>
      </c>
      <c r="X783">
        <v>10</v>
      </c>
      <c r="Y783" t="s">
        <v>17163</v>
      </c>
      <c r="Z783" t="s">
        <v>22933</v>
      </c>
      <c r="AA783">
        <v>0.76690992120231138</v>
      </c>
      <c r="AB783" t="str">
        <f>HYPERLINK("Melting_Curves/meltCurve_G5E9T8_GOSR1.pdf", "Melting_Curves/meltCurve_G5E9T8_GOSR1.pdf")</f>
        <v>Melting_Curves/meltCurve_G5E9T8_GOSR1.pdf</v>
      </c>
    </row>
    <row r="784" spans="1:28" x14ac:dyDescent="0.25">
      <c r="A784" t="s">
        <v>788</v>
      </c>
      <c r="B784">
        <v>0.99796759195183404</v>
      </c>
      <c r="C784">
        <v>1.1256467664104299</v>
      </c>
      <c r="D784">
        <v>0.98159224055466798</v>
      </c>
      <c r="E784">
        <v>1.1665873224526699</v>
      </c>
      <c r="F784">
        <v>1.08703267309801</v>
      </c>
      <c r="G784">
        <v>0.87930795093516401</v>
      </c>
      <c r="H784">
        <v>0.51504960526506705</v>
      </c>
      <c r="I784">
        <v>0.56797018330923399</v>
      </c>
      <c r="J784">
        <v>0.41362704121369098</v>
      </c>
      <c r="K784">
        <v>0.30223765210456099</v>
      </c>
      <c r="L784">
        <v>2199.8389240369202</v>
      </c>
      <c r="M784">
        <v>39.547643478744497</v>
      </c>
      <c r="N784">
        <v>58.183028714001502</v>
      </c>
      <c r="O784">
        <v>55.4833752961258</v>
      </c>
      <c r="P784">
        <v>-0.104757164725297</v>
      </c>
      <c r="Q784">
        <v>0.41212494571827202</v>
      </c>
      <c r="R784">
        <v>0.90854866614760699</v>
      </c>
      <c r="S784" t="s">
        <v>6367</v>
      </c>
      <c r="T784" t="s">
        <v>11164</v>
      </c>
      <c r="U784" t="s">
        <v>11164</v>
      </c>
      <c r="V784" t="s">
        <v>11164</v>
      </c>
      <c r="W784" t="s">
        <v>11936</v>
      </c>
      <c r="X784">
        <v>1</v>
      </c>
      <c r="Y784" t="s">
        <v>17470</v>
      </c>
      <c r="Z784" t="s">
        <v>22934</v>
      </c>
      <c r="AA784">
        <v>0.77935974038752653</v>
      </c>
      <c r="AB784" t="str">
        <f>HYPERLINK("Melting_Curves/meltCurve_G5E9V4_HPS3.pdf", "Melting_Curves/meltCurve_G5E9V4_HPS3.pdf")</f>
        <v>Melting_Curves/meltCurve_G5E9V4_HPS3.pdf</v>
      </c>
    </row>
    <row r="785" spans="1:28" x14ac:dyDescent="0.25">
      <c r="A785" t="s">
        <v>789</v>
      </c>
      <c r="B785">
        <v>0.99796759195183404</v>
      </c>
      <c r="C785">
        <v>1.0311862941730601</v>
      </c>
      <c r="D785">
        <v>0.954438748482762</v>
      </c>
      <c r="E785">
        <v>0.96345233318486001</v>
      </c>
      <c r="F785">
        <v>0.92439622887945405</v>
      </c>
      <c r="G785">
        <v>0.52750041313658402</v>
      </c>
      <c r="H785">
        <v>0.425865929580447</v>
      </c>
      <c r="I785">
        <v>0.283345031330694</v>
      </c>
      <c r="J785">
        <v>0.34864989658665502</v>
      </c>
      <c r="K785">
        <v>6.0925000230282897E-2</v>
      </c>
      <c r="L785">
        <v>943.97755693925296</v>
      </c>
      <c r="M785">
        <v>17.352427912759801</v>
      </c>
      <c r="N785">
        <v>55.634812835628502</v>
      </c>
      <c r="O785">
        <v>53.693247315124601</v>
      </c>
      <c r="P785">
        <v>-6.7888242463683704E-2</v>
      </c>
      <c r="Q785">
        <v>0.159787336963258</v>
      </c>
      <c r="R785">
        <v>0.954510612659344</v>
      </c>
      <c r="S785" t="s">
        <v>6368</v>
      </c>
      <c r="T785" t="s">
        <v>11164</v>
      </c>
      <c r="U785" t="s">
        <v>11164</v>
      </c>
      <c r="V785" t="s">
        <v>11164</v>
      </c>
      <c r="W785" t="s">
        <v>11937</v>
      </c>
      <c r="X785">
        <v>2</v>
      </c>
      <c r="Y785" t="s">
        <v>17471</v>
      </c>
      <c r="Z785" t="s">
        <v>22935</v>
      </c>
      <c r="AA785">
        <v>0.65869752489019573</v>
      </c>
      <c r="AB785" t="str">
        <f>HYPERLINK("Melting_Curves/meltCurve_G5E9Z4_PI4K2B.pdf", "Melting_Curves/meltCurve_G5E9Z4_PI4K2B.pdf")</f>
        <v>Melting_Curves/meltCurve_G5E9Z4_PI4K2B.pdf</v>
      </c>
    </row>
    <row r="786" spans="1:28" x14ac:dyDescent="0.25">
      <c r="A786" t="s">
        <v>790</v>
      </c>
      <c r="B786">
        <v>0.99796759195183404</v>
      </c>
      <c r="C786">
        <v>0.86160583227138199</v>
      </c>
      <c r="D786">
        <v>0.91198323375747903</v>
      </c>
      <c r="E786">
        <v>0.86647788559269301</v>
      </c>
      <c r="F786">
        <v>0.52845863498236201</v>
      </c>
      <c r="G786">
        <v>0.28535034021595701</v>
      </c>
      <c r="H786">
        <v>0.22651883769625999</v>
      </c>
      <c r="I786">
        <v>0.15515876482126201</v>
      </c>
      <c r="J786">
        <v>0.103871113565506</v>
      </c>
      <c r="K786">
        <v>8.0170996683323004E-2</v>
      </c>
      <c r="L786">
        <v>815.89929731869802</v>
      </c>
      <c r="M786">
        <v>16.2237621504648</v>
      </c>
      <c r="N786">
        <v>50.864511824152203</v>
      </c>
      <c r="O786">
        <v>49.544935539290002</v>
      </c>
      <c r="P786">
        <v>-7.5020143151503099E-2</v>
      </c>
      <c r="Q786">
        <v>8.3666986148873301E-2</v>
      </c>
      <c r="R786">
        <v>0.98038772247850903</v>
      </c>
      <c r="S786" t="s">
        <v>6369</v>
      </c>
      <c r="T786" t="s">
        <v>11164</v>
      </c>
      <c r="U786" t="s">
        <v>11164</v>
      </c>
      <c r="V786" t="s">
        <v>11164</v>
      </c>
      <c r="W786" t="s">
        <v>11938</v>
      </c>
      <c r="X786">
        <v>8</v>
      </c>
      <c r="Y786" t="s">
        <v>17472</v>
      </c>
      <c r="Z786" t="s">
        <v>22936</v>
      </c>
      <c r="AA786">
        <v>0.50653372359801407</v>
      </c>
      <c r="AB786" t="str">
        <f>HYPERLINK("Melting_Curves/meltCurve_G5EA30_CELF1.pdf", "Melting_Curves/meltCurve_G5EA30_CELF1.pdf")</f>
        <v>Melting_Curves/meltCurve_G5EA30_CELF1.pdf</v>
      </c>
    </row>
    <row r="787" spans="1:28" x14ac:dyDescent="0.25">
      <c r="A787" t="s">
        <v>791</v>
      </c>
      <c r="B787">
        <v>0.99796759195183404</v>
      </c>
      <c r="C787">
        <v>0.77336127537870203</v>
      </c>
      <c r="D787">
        <v>0.85943663476310195</v>
      </c>
      <c r="E787">
        <v>0.73823430242010701</v>
      </c>
      <c r="F787">
        <v>0.67932677541225905</v>
      </c>
      <c r="G787">
        <v>0.19919491746932999</v>
      </c>
      <c r="H787">
        <v>0.18145847359311801</v>
      </c>
      <c r="I787">
        <v>0.11170706453219199</v>
      </c>
      <c r="J787">
        <v>3.7254739476517001E-2</v>
      </c>
      <c r="K787">
        <v>3.9339165538611699E-2</v>
      </c>
      <c r="L787">
        <v>625.51019037056301</v>
      </c>
      <c r="M787">
        <v>12.374955682748899</v>
      </c>
      <c r="N787">
        <v>50.5464615785543</v>
      </c>
      <c r="O787">
        <v>49.280927171100899</v>
      </c>
      <c r="P787">
        <v>-6.2791044161712495E-2</v>
      </c>
      <c r="Q787">
        <v>0</v>
      </c>
      <c r="R787">
        <v>0.93904903335614798</v>
      </c>
      <c r="S787" t="s">
        <v>6370</v>
      </c>
      <c r="T787" t="s">
        <v>11164</v>
      </c>
      <c r="U787" t="s">
        <v>11164</v>
      </c>
      <c r="V787" t="s">
        <v>11164</v>
      </c>
      <c r="W787" t="s">
        <v>11939</v>
      </c>
      <c r="X787">
        <v>2</v>
      </c>
      <c r="Y787" t="s">
        <v>17473</v>
      </c>
      <c r="Z787" t="s">
        <v>22937</v>
      </c>
      <c r="AA787">
        <v>0.4776101367360519</v>
      </c>
      <c r="AB787" t="str">
        <f>HYPERLINK("Melting_Curves/meltCurve_G5EA42_TMOD2.pdf", "Melting_Curves/meltCurve_G5EA42_TMOD2.pdf")</f>
        <v>Melting_Curves/meltCurve_G5EA42_TMOD2.pdf</v>
      </c>
    </row>
    <row r="788" spans="1:28" x14ac:dyDescent="0.25">
      <c r="A788" t="s">
        <v>792</v>
      </c>
      <c r="B788">
        <v>0.99796759195183404</v>
      </c>
      <c r="C788">
        <v>0.99966894153215702</v>
      </c>
      <c r="D788">
        <v>0.91984606303045802</v>
      </c>
      <c r="E788">
        <v>0.86910068590965694</v>
      </c>
      <c r="F788">
        <v>0.67896988748231202</v>
      </c>
      <c r="G788">
        <v>0.351303767041237</v>
      </c>
      <c r="H788">
        <v>0.226763303286285</v>
      </c>
      <c r="I788">
        <v>0.19683328819860299</v>
      </c>
      <c r="J788">
        <v>0.14232463441011201</v>
      </c>
      <c r="K788">
        <v>0.112954134015307</v>
      </c>
      <c r="L788">
        <v>912.72461798496499</v>
      </c>
      <c r="M788">
        <v>17.788427117937299</v>
      </c>
      <c r="N788">
        <v>52.079245441929103</v>
      </c>
      <c r="O788">
        <v>50.674750515040003</v>
      </c>
      <c r="P788">
        <v>-7.7623307924680293E-2</v>
      </c>
      <c r="Q788">
        <v>0.115528671881877</v>
      </c>
      <c r="R788">
        <v>0.99491247477853095</v>
      </c>
      <c r="S788" t="s">
        <v>6371</v>
      </c>
      <c r="T788" t="s">
        <v>11164</v>
      </c>
      <c r="U788" t="s">
        <v>11164</v>
      </c>
      <c r="V788" t="s">
        <v>11164</v>
      </c>
      <c r="W788" t="s">
        <v>11940</v>
      </c>
      <c r="X788">
        <v>46</v>
      </c>
      <c r="Y788" t="s">
        <v>17474</v>
      </c>
      <c r="Z788" t="s">
        <v>22938</v>
      </c>
      <c r="AA788">
        <v>0.55129290428528499</v>
      </c>
      <c r="AB788" t="str">
        <f>HYPERLINK("Melting_Curves/meltCurve_G5EA52_PDIA3.pdf", "Melting_Curves/meltCurve_G5EA52_PDIA3.pdf")</f>
        <v>Melting_Curves/meltCurve_G5EA52_PDIA3.pdf</v>
      </c>
    </row>
    <row r="789" spans="1:28" x14ac:dyDescent="0.25">
      <c r="A789" t="s">
        <v>793</v>
      </c>
      <c r="B789">
        <v>0.99796759195183404</v>
      </c>
      <c r="C789">
        <v>1.09695808689712</v>
      </c>
      <c r="D789">
        <v>1.0242130382885699</v>
      </c>
      <c r="E789">
        <v>0.94962884245592005</v>
      </c>
      <c r="F789">
        <v>0.78409983029705999</v>
      </c>
      <c r="G789">
        <v>0.48414442831813698</v>
      </c>
      <c r="H789">
        <v>0.375658492559308</v>
      </c>
      <c r="I789">
        <v>0.30806861444626099</v>
      </c>
      <c r="J789">
        <v>0.34356281197001798</v>
      </c>
      <c r="K789">
        <v>0.22275448534364101</v>
      </c>
      <c r="L789">
        <v>1209.5694539028</v>
      </c>
      <c r="M789">
        <v>23.300051303719499</v>
      </c>
      <c r="N789">
        <v>53.845057418836802</v>
      </c>
      <c r="O789">
        <v>51.534859891213401</v>
      </c>
      <c r="P789">
        <v>-8.1008764203740799E-2</v>
      </c>
      <c r="Q789">
        <v>0.28331442812736701</v>
      </c>
      <c r="R789">
        <v>0.98291768609071495</v>
      </c>
      <c r="S789" t="s">
        <v>6372</v>
      </c>
      <c r="T789" t="s">
        <v>11164</v>
      </c>
      <c r="U789" t="s">
        <v>11164</v>
      </c>
      <c r="V789" t="s">
        <v>11164</v>
      </c>
      <c r="W789" t="s">
        <v>11941</v>
      </c>
      <c r="X789">
        <v>4</v>
      </c>
      <c r="Y789" t="s">
        <v>17475</v>
      </c>
      <c r="Z789" t="s">
        <v>22939</v>
      </c>
      <c r="AA789">
        <v>0.64676518636409064</v>
      </c>
      <c r="AB789" t="str">
        <f>HYPERLINK("Melting_Curves/meltCurve_G8JL86_COBLL1.pdf", "Melting_Curves/meltCurve_G8JL86_COBLL1.pdf")</f>
        <v>Melting_Curves/meltCurve_G8JL86_COBLL1.pdf</v>
      </c>
    </row>
    <row r="790" spans="1:28" x14ac:dyDescent="0.25">
      <c r="A790" t="s">
        <v>794</v>
      </c>
      <c r="B790">
        <v>0.99796759195183404</v>
      </c>
      <c r="C790">
        <v>1.04064176237552</v>
      </c>
      <c r="D790">
        <v>0.847810642272253</v>
      </c>
      <c r="E790">
        <v>0.60829075033834901</v>
      </c>
      <c r="F790">
        <v>0.26314025967815502</v>
      </c>
      <c r="G790">
        <v>0.166430894460145</v>
      </c>
      <c r="H790">
        <v>0.128039080641109</v>
      </c>
      <c r="I790">
        <v>8.2225025626509005E-2</v>
      </c>
      <c r="J790">
        <v>0.11067180243269099</v>
      </c>
      <c r="K790">
        <v>8.6241572482722295E-2</v>
      </c>
      <c r="L790">
        <v>981.08641573611305</v>
      </c>
      <c r="M790">
        <v>20.8742963588507</v>
      </c>
      <c r="N790">
        <v>47.472827627219303</v>
      </c>
      <c r="O790">
        <v>46.574771555009399</v>
      </c>
      <c r="P790">
        <v>-0.10152820929152299</v>
      </c>
      <c r="Q790">
        <v>9.3905132650219894E-2</v>
      </c>
      <c r="R790">
        <v>0.99499056112941198</v>
      </c>
      <c r="S790" t="s">
        <v>6373</v>
      </c>
      <c r="T790" t="s">
        <v>11164</v>
      </c>
      <c r="U790" t="s">
        <v>11164</v>
      </c>
      <c r="V790" t="s">
        <v>11164</v>
      </c>
      <c r="W790" t="s">
        <v>11942</v>
      </c>
      <c r="X790">
        <v>1</v>
      </c>
      <c r="Y790" t="s">
        <v>17476</v>
      </c>
      <c r="Z790" t="s">
        <v>22940</v>
      </c>
      <c r="AA790">
        <v>0.40683427343057171</v>
      </c>
      <c r="AB790" t="str">
        <f>HYPERLINK("Melting_Curves/meltCurve_G8JL98_TDG.pdf", "Melting_Curves/meltCurve_G8JL98_TDG.pdf")</f>
        <v>Melting_Curves/meltCurve_G8JL98_TDG.pdf</v>
      </c>
    </row>
    <row r="791" spans="1:28" x14ac:dyDescent="0.25">
      <c r="A791" t="s">
        <v>795</v>
      </c>
      <c r="B791">
        <v>0.99796759195183404</v>
      </c>
      <c r="C791">
        <v>1.0026744721060099</v>
      </c>
      <c r="D791">
        <v>0.97230906336581302</v>
      </c>
      <c r="E791">
        <v>0.94592498761851995</v>
      </c>
      <c r="F791">
        <v>0.79257577328901996</v>
      </c>
      <c r="G791">
        <v>1.22628609953412</v>
      </c>
      <c r="H791">
        <v>1.0695453100875201</v>
      </c>
      <c r="I791">
        <v>0.91038741295381198</v>
      </c>
      <c r="J791">
        <v>1.1288718441133301</v>
      </c>
      <c r="K791">
        <v>1.1858424926237601</v>
      </c>
      <c r="L791">
        <v>15000</v>
      </c>
      <c r="M791">
        <v>234.82536492047001</v>
      </c>
      <c r="O791">
        <v>63.872623193194102</v>
      </c>
      <c r="P791">
        <v>0.17081668040613901</v>
      </c>
      <c r="Q791">
        <v>1.18584890857571</v>
      </c>
      <c r="R791">
        <v>0.29221467704401499</v>
      </c>
      <c r="S791" t="s">
        <v>6374</v>
      </c>
      <c r="T791" t="s">
        <v>11164</v>
      </c>
      <c r="U791" t="s">
        <v>11164</v>
      </c>
      <c r="V791" t="s">
        <v>11164</v>
      </c>
      <c r="W791" t="s">
        <v>11943</v>
      </c>
      <c r="X791">
        <v>11</v>
      </c>
      <c r="Y791" t="s">
        <v>17477</v>
      </c>
      <c r="Z791" t="s">
        <v>22941</v>
      </c>
      <c r="AA791">
        <v>1.019321702483531</v>
      </c>
      <c r="AB791" t="str">
        <f>HYPERLINK("Melting_Curves/meltCurve_G8JLA2_MYL6.pdf", "Melting_Curves/meltCurve_G8JLA2_MYL6.pdf")</f>
        <v>Melting_Curves/meltCurve_G8JLA2_MYL6.pdf</v>
      </c>
    </row>
    <row r="792" spans="1:28" x14ac:dyDescent="0.25">
      <c r="A792" t="s">
        <v>796</v>
      </c>
      <c r="B792">
        <v>0.99796759195183404</v>
      </c>
      <c r="C792">
        <v>0.98912042755436402</v>
      </c>
      <c r="D792">
        <v>0.94081448210938001</v>
      </c>
      <c r="E792">
        <v>0.86156478172599305</v>
      </c>
      <c r="F792">
        <v>0.406533024778018</v>
      </c>
      <c r="G792">
        <v>0.21026564830870101</v>
      </c>
      <c r="H792">
        <v>0.16160249210355301</v>
      </c>
      <c r="I792">
        <v>0.12843184232664701</v>
      </c>
      <c r="J792">
        <v>0.12288011694474001</v>
      </c>
      <c r="K792">
        <v>9.9989965219263205E-2</v>
      </c>
      <c r="L792">
        <v>1391.5788474191399</v>
      </c>
      <c r="M792">
        <v>28.3720516255555</v>
      </c>
      <c r="N792">
        <v>49.552521758217402</v>
      </c>
      <c r="O792">
        <v>48.805800746149302</v>
      </c>
      <c r="P792">
        <v>-0.12708629591060999</v>
      </c>
      <c r="Q792">
        <v>0.12554820738845601</v>
      </c>
      <c r="R792">
        <v>0.99701508721011101</v>
      </c>
      <c r="S792" t="s">
        <v>6375</v>
      </c>
      <c r="T792" t="s">
        <v>11164</v>
      </c>
      <c r="U792" t="s">
        <v>11164</v>
      </c>
      <c r="V792" t="s">
        <v>11164</v>
      </c>
      <c r="W792" t="s">
        <v>11944</v>
      </c>
      <c r="X792">
        <v>9</v>
      </c>
      <c r="Y792" t="s">
        <v>17478</v>
      </c>
      <c r="Z792" t="s">
        <v>22942</v>
      </c>
      <c r="AA792">
        <v>0.48261190137011911</v>
      </c>
      <c r="AB792" t="str">
        <f>HYPERLINK("Melting_Curves/meltCurve_G8JLB3_PUS1.pdf", "Melting_Curves/meltCurve_G8JLB3_PUS1.pdf")</f>
        <v>Melting_Curves/meltCurve_G8JLB3_PUS1.pdf</v>
      </c>
    </row>
    <row r="793" spans="1:28" x14ac:dyDescent="0.25">
      <c r="A793" t="s">
        <v>797</v>
      </c>
      <c r="B793">
        <v>0.99796759195183404</v>
      </c>
      <c r="C793">
        <v>0.98995213038785301</v>
      </c>
      <c r="D793">
        <v>0.96412568550879596</v>
      </c>
      <c r="E793">
        <v>0.90508215769599598</v>
      </c>
      <c r="F793">
        <v>0.82660125695658904</v>
      </c>
      <c r="G793">
        <v>0.55295342229462396</v>
      </c>
      <c r="H793">
        <v>0.37813549102399002</v>
      </c>
      <c r="I793">
        <v>0.26705962210842499</v>
      </c>
      <c r="J793">
        <v>0.199435011506024</v>
      </c>
      <c r="K793">
        <v>0.138282990638006</v>
      </c>
      <c r="L793">
        <v>783.83134595233105</v>
      </c>
      <c r="M793">
        <v>14.4374809840268</v>
      </c>
      <c r="N793">
        <v>55.136155574400298</v>
      </c>
      <c r="O793">
        <v>53.281703286231497</v>
      </c>
      <c r="P793">
        <v>-6.1027107682863999E-2</v>
      </c>
      <c r="Q793">
        <v>9.9220486323778598E-2</v>
      </c>
      <c r="R793">
        <v>0.99691764226733504</v>
      </c>
      <c r="S793" t="s">
        <v>6376</v>
      </c>
      <c r="T793" t="s">
        <v>11164</v>
      </c>
      <c r="U793" t="s">
        <v>11164</v>
      </c>
      <c r="V793" t="s">
        <v>11164</v>
      </c>
      <c r="W793" t="s">
        <v>11945</v>
      </c>
      <c r="X793">
        <v>35</v>
      </c>
      <c r="Y793" t="s">
        <v>17479</v>
      </c>
      <c r="Z793" t="s">
        <v>22943</v>
      </c>
      <c r="AA793">
        <v>0.63281721561929127</v>
      </c>
      <c r="AB793" t="str">
        <f>HYPERLINK("Melting_Curves/meltCurve_G8JLC6_MIA3.pdf", "Melting_Curves/meltCurve_G8JLC6_MIA3.pdf")</f>
        <v>Melting_Curves/meltCurve_G8JLC6_MIA3.pdf</v>
      </c>
    </row>
    <row r="794" spans="1:28" x14ac:dyDescent="0.25">
      <c r="A794" t="s">
        <v>798</v>
      </c>
      <c r="B794">
        <v>0.99796759195183404</v>
      </c>
      <c r="C794">
        <v>0.96979920094341698</v>
      </c>
      <c r="D794">
        <v>0.91875854770751397</v>
      </c>
      <c r="E794">
        <v>0.83475772311888496</v>
      </c>
      <c r="F794">
        <v>0.63432483377236704</v>
      </c>
      <c r="G794">
        <v>0.32593462600520501</v>
      </c>
      <c r="H794">
        <v>0.25847525189576898</v>
      </c>
      <c r="I794">
        <v>0.23599045828951401</v>
      </c>
      <c r="J794">
        <v>0.181348112306112</v>
      </c>
      <c r="K794">
        <v>0.15447995214413299</v>
      </c>
      <c r="L794">
        <v>853.90810993237699</v>
      </c>
      <c r="M794">
        <v>16.9288372395017</v>
      </c>
      <c r="N794">
        <v>51.604490937419698</v>
      </c>
      <c r="O794">
        <v>49.752960259202197</v>
      </c>
      <c r="P794">
        <v>-7.1574427901683904E-2</v>
      </c>
      <c r="Q794">
        <v>0.15863897847094499</v>
      </c>
      <c r="R794">
        <v>0.99349709127459795</v>
      </c>
      <c r="S794" t="s">
        <v>6377</v>
      </c>
      <c r="T794" t="s">
        <v>11164</v>
      </c>
      <c r="U794" t="s">
        <v>11164</v>
      </c>
      <c r="V794" t="s">
        <v>11164</v>
      </c>
      <c r="W794" t="s">
        <v>11946</v>
      </c>
      <c r="X794">
        <v>13</v>
      </c>
      <c r="Y794" t="s">
        <v>17480</v>
      </c>
      <c r="Z794" t="s">
        <v>22944</v>
      </c>
      <c r="AA794">
        <v>0.55010847261646967</v>
      </c>
      <c r="AB794" t="str">
        <f>HYPERLINK("Melting_Curves/meltCurve_G8JLD3_ERC1.pdf", "Melting_Curves/meltCurve_G8JLD3_ERC1.pdf")</f>
        <v>Melting_Curves/meltCurve_G8JLD3_ERC1.pdf</v>
      </c>
    </row>
    <row r="795" spans="1:28" x14ac:dyDescent="0.25">
      <c r="A795" t="s">
        <v>799</v>
      </c>
      <c r="B795">
        <v>0.99796759195183404</v>
      </c>
      <c r="C795">
        <v>0.98873069444524697</v>
      </c>
      <c r="D795">
        <v>1.0286051346193099</v>
      </c>
      <c r="E795">
        <v>0.89404150020064399</v>
      </c>
      <c r="F795">
        <v>0.77557907155452599</v>
      </c>
      <c r="G795">
        <v>0.72272271711380698</v>
      </c>
      <c r="H795">
        <v>0.426379281203282</v>
      </c>
      <c r="I795">
        <v>0.25998655521032299</v>
      </c>
      <c r="J795">
        <v>0.124259716307647</v>
      </c>
      <c r="K795">
        <v>8.2654790370910503E-2</v>
      </c>
      <c r="L795">
        <v>774.51647437515305</v>
      </c>
      <c r="M795">
        <v>13.7724255962538</v>
      </c>
      <c r="N795">
        <v>56.236751721469602</v>
      </c>
      <c r="O795">
        <v>55.0908847942937</v>
      </c>
      <c r="P795">
        <v>-6.2507475737103496E-2</v>
      </c>
      <c r="Q795">
        <v>0</v>
      </c>
      <c r="R795">
        <v>0.98800849775444799</v>
      </c>
      <c r="S795" t="s">
        <v>6378</v>
      </c>
      <c r="T795" t="s">
        <v>11164</v>
      </c>
      <c r="U795" t="s">
        <v>11164</v>
      </c>
      <c r="V795" t="s">
        <v>11164</v>
      </c>
      <c r="W795" t="s">
        <v>11947</v>
      </c>
      <c r="X795">
        <v>6</v>
      </c>
      <c r="Y795" t="s">
        <v>17481</v>
      </c>
      <c r="Z795" t="s">
        <v>22945</v>
      </c>
      <c r="AA795">
        <v>0.65151960679337229</v>
      </c>
      <c r="AB795" t="str">
        <f>HYPERLINK("Melting_Curves/meltCurve_G8JLI5_WDR45.pdf", "Melting_Curves/meltCurve_G8JLI5_WDR45.pdf")</f>
        <v>Melting_Curves/meltCurve_G8JLI5_WDR45.pdf</v>
      </c>
    </row>
    <row r="796" spans="1:28" x14ac:dyDescent="0.25">
      <c r="A796" t="s">
        <v>800</v>
      </c>
      <c r="B796">
        <v>0.99796759195183404</v>
      </c>
      <c r="C796">
        <v>1.2354816548984</v>
      </c>
      <c r="D796">
        <v>0.90289751508260296</v>
      </c>
      <c r="E796">
        <v>0.96456976587071097</v>
      </c>
      <c r="F796">
        <v>0.90415772391201099</v>
      </c>
      <c r="G796">
        <v>0.97479928143419003</v>
      </c>
      <c r="H796">
        <v>0.56978198831048299</v>
      </c>
      <c r="I796">
        <v>0.53806658218528003</v>
      </c>
      <c r="J796">
        <v>0.254797922620638</v>
      </c>
      <c r="K796">
        <v>0.35517692475403101</v>
      </c>
      <c r="L796">
        <v>1454.05061779887</v>
      </c>
      <c r="M796">
        <v>25.352128151513401</v>
      </c>
      <c r="N796">
        <v>59.576597972898902</v>
      </c>
      <c r="O796">
        <v>57.000901613295497</v>
      </c>
      <c r="P796">
        <v>-7.7190253695863603E-2</v>
      </c>
      <c r="Q796">
        <v>0.30580059196131998</v>
      </c>
      <c r="R796">
        <v>0.88292870191478501</v>
      </c>
      <c r="S796" t="s">
        <v>6379</v>
      </c>
      <c r="T796" t="s">
        <v>11164</v>
      </c>
      <c r="U796" t="s">
        <v>11164</v>
      </c>
      <c r="V796" t="s">
        <v>11164</v>
      </c>
      <c r="W796" t="s">
        <v>11948</v>
      </c>
      <c r="X796">
        <v>2</v>
      </c>
      <c r="Y796" t="s">
        <v>17482</v>
      </c>
      <c r="Z796" t="s">
        <v>22946</v>
      </c>
      <c r="AA796">
        <v>0.78171048121440412</v>
      </c>
      <c r="AB796" t="str">
        <f>HYPERLINK("Melting_Curves/meltCurve_G8JLI6_LEPREL2.pdf", "Melting_Curves/meltCurve_G8JLI6_LEPREL2.pdf")</f>
        <v>Melting_Curves/meltCurve_G8JLI6_LEPREL2.pdf</v>
      </c>
    </row>
    <row r="797" spans="1:28" x14ac:dyDescent="0.25">
      <c r="A797" t="s">
        <v>801</v>
      </c>
      <c r="B797">
        <v>0.99796759195183404</v>
      </c>
      <c r="C797">
        <v>0.98319252753611797</v>
      </c>
      <c r="D797">
        <v>0.97785530256369402</v>
      </c>
      <c r="E797">
        <v>0.94110325092053404</v>
      </c>
      <c r="F797">
        <v>0.83933063020216303</v>
      </c>
      <c r="G797">
        <v>0.61217246026431904</v>
      </c>
      <c r="H797">
        <v>0.53581133245277301</v>
      </c>
      <c r="I797">
        <v>0.36822811011579198</v>
      </c>
      <c r="J797">
        <v>0.29913116606368301</v>
      </c>
      <c r="K797">
        <v>0.20996684428859899</v>
      </c>
      <c r="L797">
        <v>631.26397774049804</v>
      </c>
      <c r="M797">
        <v>11.188818691691701</v>
      </c>
      <c r="N797">
        <v>57.5094084677986</v>
      </c>
      <c r="O797">
        <v>54.706970128516801</v>
      </c>
      <c r="P797">
        <v>-4.62591955368249E-2</v>
      </c>
      <c r="Q797">
        <v>9.5560953620474898E-2</v>
      </c>
      <c r="R797">
        <v>0.993612000004227</v>
      </c>
      <c r="S797" t="s">
        <v>6380</v>
      </c>
      <c r="T797" t="s">
        <v>11164</v>
      </c>
      <c r="U797" t="s">
        <v>11164</v>
      </c>
      <c r="V797" t="s">
        <v>11164</v>
      </c>
      <c r="W797" t="s">
        <v>11949</v>
      </c>
      <c r="X797">
        <v>12</v>
      </c>
      <c r="Y797" t="s">
        <v>17483</v>
      </c>
      <c r="Z797" t="s">
        <v>22947</v>
      </c>
      <c r="AA797">
        <v>0.68670730309130235</v>
      </c>
      <c r="AB797" t="str">
        <f>HYPERLINK("Melting_Curves/meltCurve_G8JLK4_TACC1.pdf", "Melting_Curves/meltCurve_G8JLK4_TACC1.pdf")</f>
        <v>Melting_Curves/meltCurve_G8JLK4_TACC1.pdf</v>
      </c>
    </row>
    <row r="798" spans="1:28" x14ac:dyDescent="0.25">
      <c r="A798" t="s">
        <v>802</v>
      </c>
      <c r="B798">
        <v>0.99796759195183404</v>
      </c>
      <c r="C798">
        <v>0.93071318505530698</v>
      </c>
      <c r="D798">
        <v>0.90185592885909804</v>
      </c>
      <c r="E798">
        <v>0.92380898840686598</v>
      </c>
      <c r="F798">
        <v>0.73925268152726398</v>
      </c>
      <c r="G798">
        <v>0.59720867800825705</v>
      </c>
      <c r="H798">
        <v>0.53774549402424499</v>
      </c>
      <c r="I798">
        <v>0.44700149310009801</v>
      </c>
      <c r="J798">
        <v>0.27501481488199703</v>
      </c>
      <c r="K798">
        <v>8.6095166296938294E-2</v>
      </c>
      <c r="L798">
        <v>513.454487088375</v>
      </c>
      <c r="M798">
        <v>8.9973892125193</v>
      </c>
      <c r="N798">
        <v>57.067044829909598</v>
      </c>
      <c r="O798">
        <v>54.4594967436582</v>
      </c>
      <c r="P798">
        <v>-4.13331515358649E-2</v>
      </c>
      <c r="Q798">
        <v>0</v>
      </c>
      <c r="R798">
        <v>0.96022797744314903</v>
      </c>
      <c r="S798" t="s">
        <v>6381</v>
      </c>
      <c r="T798" t="s">
        <v>11164</v>
      </c>
      <c r="U798" t="s">
        <v>11164</v>
      </c>
      <c r="V798" t="s">
        <v>11164</v>
      </c>
      <c r="W798" t="s">
        <v>11950</v>
      </c>
      <c r="X798">
        <v>1</v>
      </c>
      <c r="Y798" t="s">
        <v>17484</v>
      </c>
      <c r="Z798" t="s">
        <v>22948</v>
      </c>
      <c r="AA798">
        <v>0.66318211984287079</v>
      </c>
      <c r="AB798" t="str">
        <f>HYPERLINK("Melting_Curves/meltCurve_G8JLL2_PPT2.pdf", "Melting_Curves/meltCurve_G8JLL2_PPT2.pdf")</f>
        <v>Melting_Curves/meltCurve_G8JLL2_PPT2.pdf</v>
      </c>
    </row>
    <row r="799" spans="1:28" x14ac:dyDescent="0.25">
      <c r="A799" t="s">
        <v>803</v>
      </c>
      <c r="B799">
        <v>0.99796759195183404</v>
      </c>
      <c r="C799">
        <v>0.95496428713947401</v>
      </c>
      <c r="D799">
        <v>0.91624280732385199</v>
      </c>
      <c r="E799">
        <v>0.84301438927889805</v>
      </c>
      <c r="F799">
        <v>0.70941088541781805</v>
      </c>
      <c r="G799">
        <v>0.39104450302466298</v>
      </c>
      <c r="H799">
        <v>0.31176910660676299</v>
      </c>
      <c r="I799">
        <v>0.26198407239085603</v>
      </c>
      <c r="J799">
        <v>0.192827247350874</v>
      </c>
      <c r="K799">
        <v>0.10161715606702799</v>
      </c>
      <c r="L799">
        <v>655.82434662329194</v>
      </c>
      <c r="M799">
        <v>12.562831566417501</v>
      </c>
      <c r="N799">
        <v>53.032798991914497</v>
      </c>
      <c r="O799">
        <v>50.933771597146503</v>
      </c>
      <c r="P799">
        <v>-5.6175165780982597E-2</v>
      </c>
      <c r="Q799">
        <v>8.9174832974520404E-2</v>
      </c>
      <c r="R799">
        <v>0.98789194928286606</v>
      </c>
      <c r="S799" t="s">
        <v>6382</v>
      </c>
      <c r="T799" t="s">
        <v>11164</v>
      </c>
      <c r="U799" t="s">
        <v>11164</v>
      </c>
      <c r="V799" t="s">
        <v>11164</v>
      </c>
      <c r="W799" t="s">
        <v>11951</v>
      </c>
      <c r="X799">
        <v>2</v>
      </c>
      <c r="Y799" t="s">
        <v>17485</v>
      </c>
      <c r="Z799" t="s">
        <v>22949</v>
      </c>
      <c r="AA799">
        <v>0.57120063550749889</v>
      </c>
      <c r="AB799" t="str">
        <f>HYPERLINK("Melting_Curves/meltCurve_H0UI80_TH1L.pdf", "Melting_Curves/meltCurve_H0UI80_TH1L.pdf")</f>
        <v>Melting_Curves/meltCurve_H0UI80_TH1L.pdf</v>
      </c>
    </row>
    <row r="800" spans="1:28" x14ac:dyDescent="0.25">
      <c r="A800" t="s">
        <v>804</v>
      </c>
      <c r="B800">
        <v>0.99796759195183404</v>
      </c>
      <c r="C800">
        <v>1.0342999403587101</v>
      </c>
      <c r="D800">
        <v>1.1013697594727501</v>
      </c>
      <c r="E800">
        <v>0.89706846968315901</v>
      </c>
      <c r="F800">
        <v>0.69968348488407806</v>
      </c>
      <c r="G800">
        <v>0.53357790319706</v>
      </c>
      <c r="H800">
        <v>0.273086856220293</v>
      </c>
      <c r="I800">
        <v>0.117083475622802</v>
      </c>
      <c r="J800">
        <v>4.9950258949959803E-2</v>
      </c>
      <c r="K800">
        <v>2.4329579607124702E-2</v>
      </c>
      <c r="L800">
        <v>857.26688517511604</v>
      </c>
      <c r="M800">
        <v>15.965772360475601</v>
      </c>
      <c r="N800">
        <v>53.694044172715799</v>
      </c>
      <c r="O800">
        <v>52.872885637519403</v>
      </c>
      <c r="P800">
        <v>-7.5497302441753206E-2</v>
      </c>
      <c r="Q800">
        <v>0</v>
      </c>
      <c r="R800">
        <v>0.98698732716688198</v>
      </c>
      <c r="S800" t="s">
        <v>6383</v>
      </c>
      <c r="T800" t="s">
        <v>11164</v>
      </c>
      <c r="U800" t="s">
        <v>11164</v>
      </c>
      <c r="V800" t="s">
        <v>11164</v>
      </c>
      <c r="W800" t="s">
        <v>11952</v>
      </c>
      <c r="X800">
        <v>1</v>
      </c>
      <c r="Y800" t="s">
        <v>17486</v>
      </c>
      <c r="Z800" t="s">
        <v>22950</v>
      </c>
      <c r="AA800">
        <v>0.57233409700690274</v>
      </c>
      <c r="AB800" t="str">
        <f>HYPERLINK("Melting_Curves/meltCurve_H0Y2L5_ARFRP1.pdf", "Melting_Curves/meltCurve_H0Y2L5_ARFRP1.pdf")</f>
        <v>Melting_Curves/meltCurve_H0Y2L5_ARFRP1.pdf</v>
      </c>
    </row>
    <row r="801" spans="1:28" x14ac:dyDescent="0.25">
      <c r="A801" t="s">
        <v>805</v>
      </c>
      <c r="B801">
        <v>0.99796759195183404</v>
      </c>
      <c r="C801">
        <v>0.97867947257399401</v>
      </c>
      <c r="D801">
        <v>0.99795709564684998</v>
      </c>
      <c r="E801">
        <v>0.88035177873409098</v>
      </c>
      <c r="F801">
        <v>0.81228433226769903</v>
      </c>
      <c r="G801">
        <v>0.70208105904796803</v>
      </c>
      <c r="H801">
        <v>0.60724195961821004</v>
      </c>
      <c r="I801">
        <v>0.54113366538143803</v>
      </c>
      <c r="J801">
        <v>0.26599836430068802</v>
      </c>
      <c r="K801">
        <v>0.140184883355089</v>
      </c>
      <c r="L801">
        <v>588.78599074149599</v>
      </c>
      <c r="M801">
        <v>9.9774417079542506</v>
      </c>
      <c r="N801">
        <v>59.011719449100298</v>
      </c>
      <c r="O801">
        <v>56.788037798397099</v>
      </c>
      <c r="P801">
        <v>-4.3945595911287202E-2</v>
      </c>
      <c r="Q801">
        <v>0</v>
      </c>
      <c r="R801">
        <v>0.96090325208106897</v>
      </c>
      <c r="S801" t="s">
        <v>6384</v>
      </c>
      <c r="T801" t="s">
        <v>11164</v>
      </c>
      <c r="U801" t="s">
        <v>11164</v>
      </c>
      <c r="V801" t="s">
        <v>11164</v>
      </c>
      <c r="W801" t="s">
        <v>11953</v>
      </c>
      <c r="X801">
        <v>3</v>
      </c>
      <c r="Y801" t="s">
        <v>17487</v>
      </c>
      <c r="Z801" t="s">
        <v>22951</v>
      </c>
      <c r="AA801">
        <v>0.71624879649636797</v>
      </c>
      <c r="AB801" t="str">
        <f>HYPERLINK("Melting_Curves/meltCurve_H0Y2P9_PIGX.pdf", "Melting_Curves/meltCurve_H0Y2P9_PIGX.pdf")</f>
        <v>Melting_Curves/meltCurve_H0Y2P9_PIGX.pdf</v>
      </c>
    </row>
    <row r="802" spans="1:28" x14ac:dyDescent="0.25">
      <c r="A802" t="s">
        <v>806</v>
      </c>
      <c r="B802">
        <v>0.99796759195183404</v>
      </c>
      <c r="C802">
        <v>1.08774262814192</v>
      </c>
      <c r="D802">
        <v>0.96690780628681305</v>
      </c>
      <c r="E802">
        <v>0.92566557056222898</v>
      </c>
      <c r="F802">
        <v>0.88537180268482096</v>
      </c>
      <c r="G802">
        <v>0.58241564697227599</v>
      </c>
      <c r="H802">
        <v>0.44132485969058199</v>
      </c>
      <c r="I802">
        <v>0.24670741120991499</v>
      </c>
      <c r="J802">
        <v>0.19187736193510799</v>
      </c>
      <c r="K802">
        <v>0.115297855053779</v>
      </c>
      <c r="L802">
        <v>829.56478081017099</v>
      </c>
      <c r="M802">
        <v>14.981810335854901</v>
      </c>
      <c r="N802">
        <v>55.907389007930497</v>
      </c>
      <c r="O802">
        <v>54.413046381714302</v>
      </c>
      <c r="P802">
        <v>-6.4236030079089498E-2</v>
      </c>
      <c r="Q802">
        <v>6.6889155250866403E-2</v>
      </c>
      <c r="R802">
        <v>0.98747557714374101</v>
      </c>
      <c r="S802" t="s">
        <v>6385</v>
      </c>
      <c r="T802" t="s">
        <v>11164</v>
      </c>
      <c r="U802" t="s">
        <v>11164</v>
      </c>
      <c r="V802" t="s">
        <v>11164</v>
      </c>
      <c r="W802" t="s">
        <v>11954</v>
      </c>
      <c r="X802">
        <v>11</v>
      </c>
      <c r="Y802" t="s">
        <v>17488</v>
      </c>
      <c r="Z802" t="s">
        <v>22952</v>
      </c>
      <c r="AA802">
        <v>0.65062177536841781</v>
      </c>
      <c r="AB802" t="str">
        <f>HYPERLINK("Melting_Curves/meltCurve_H0Y2V6_CEP170.pdf", "Melting_Curves/meltCurve_H0Y2V6_CEP170.pdf")</f>
        <v>Melting_Curves/meltCurve_H0Y2V6_CEP170.pdf</v>
      </c>
    </row>
    <row r="803" spans="1:28" x14ac:dyDescent="0.25">
      <c r="A803" t="s">
        <v>807</v>
      </c>
      <c r="B803">
        <v>0.99796759195183404</v>
      </c>
      <c r="C803">
        <v>1.0412151425739</v>
      </c>
      <c r="D803">
        <v>0.95475713715479504</v>
      </c>
      <c r="E803">
        <v>0.97628216046965499</v>
      </c>
      <c r="F803">
        <v>0.91144725824150397</v>
      </c>
      <c r="G803">
        <v>1.84212248617231</v>
      </c>
      <c r="H803">
        <v>1.5765878755573499</v>
      </c>
      <c r="I803">
        <v>1.3643518227904601</v>
      </c>
      <c r="J803">
        <v>0.63423429593605196</v>
      </c>
      <c r="K803">
        <v>0.28399594250343602</v>
      </c>
      <c r="L803">
        <v>15000</v>
      </c>
      <c r="M803">
        <v>234.05259527174499</v>
      </c>
      <c r="N803">
        <v>64.318767211838704</v>
      </c>
      <c r="O803">
        <v>64.083464036304093</v>
      </c>
      <c r="P803">
        <v>-0.65379427970778403</v>
      </c>
      <c r="Q803">
        <v>0.28396585060929902</v>
      </c>
      <c r="R803">
        <v>0.34044522273160099</v>
      </c>
      <c r="S803" t="s">
        <v>6386</v>
      </c>
      <c r="T803" t="s">
        <v>11164</v>
      </c>
      <c r="U803" t="s">
        <v>11164</v>
      </c>
      <c r="V803" t="s">
        <v>11164</v>
      </c>
      <c r="W803" t="s">
        <v>11955</v>
      </c>
      <c r="X803">
        <v>20</v>
      </c>
      <c r="Y803" t="s">
        <v>17489</v>
      </c>
      <c r="Z803" t="s">
        <v>22953</v>
      </c>
      <c r="AA803">
        <v>0.93059236391899869</v>
      </c>
      <c r="AB803" t="str">
        <f>HYPERLINK("Melting_Curves/meltCurve_H0Y360_AMPD2.pdf", "Melting_Curves/meltCurve_H0Y360_AMPD2.pdf")</f>
        <v>Melting_Curves/meltCurve_H0Y360_AMPD2.pdf</v>
      </c>
    </row>
    <row r="804" spans="1:28" x14ac:dyDescent="0.25">
      <c r="A804" t="s">
        <v>808</v>
      </c>
      <c r="B804">
        <v>0.99796759195183404</v>
      </c>
      <c r="C804">
        <v>1.24461246205621</v>
      </c>
      <c r="D804">
        <v>1.0308185191366901</v>
      </c>
      <c r="E804">
        <v>1.02105429456959</v>
      </c>
      <c r="F804">
        <v>0.92495086843584695</v>
      </c>
      <c r="G804">
        <v>0.70792445973843898</v>
      </c>
      <c r="H804">
        <v>0.75255943474431097</v>
      </c>
      <c r="I804">
        <v>0.41150692754323998</v>
      </c>
      <c r="J804">
        <v>0.27281064557740597</v>
      </c>
      <c r="K804">
        <v>0.171437157491309</v>
      </c>
      <c r="L804">
        <v>824.73339812492804</v>
      </c>
      <c r="M804">
        <v>13.7901929703922</v>
      </c>
      <c r="N804">
        <v>59.8058148733951</v>
      </c>
      <c r="O804">
        <v>58.590231409759198</v>
      </c>
      <c r="P804">
        <v>-5.8849945822248097E-2</v>
      </c>
      <c r="Q804">
        <v>0</v>
      </c>
      <c r="R804">
        <v>0.92295641278432605</v>
      </c>
      <c r="S804" t="s">
        <v>6387</v>
      </c>
      <c r="T804" t="s">
        <v>11164</v>
      </c>
      <c r="U804" t="s">
        <v>11164</v>
      </c>
      <c r="V804" t="s">
        <v>11164</v>
      </c>
      <c r="W804" t="s">
        <v>11956</v>
      </c>
      <c r="X804">
        <v>1</v>
      </c>
      <c r="Y804" t="s">
        <v>17490</v>
      </c>
      <c r="Z804" t="s">
        <v>22954</v>
      </c>
      <c r="AA804">
        <v>0.7516806436888257</v>
      </c>
      <c r="AB804" t="str">
        <f>HYPERLINK("Melting_Curves/meltCurve_H0Y384_ODF2.pdf", "Melting_Curves/meltCurve_H0Y384_ODF2.pdf")</f>
        <v>Melting_Curves/meltCurve_H0Y384_ODF2.pdf</v>
      </c>
    </row>
    <row r="805" spans="1:28" x14ac:dyDescent="0.25">
      <c r="A805" t="s">
        <v>809</v>
      </c>
      <c r="B805">
        <v>0.99796759195183404</v>
      </c>
      <c r="C805">
        <v>0.98924461859078605</v>
      </c>
      <c r="D805">
        <v>1.0308919540600801</v>
      </c>
      <c r="E805">
        <v>0.96491611731711502</v>
      </c>
      <c r="F805">
        <v>0.93610383284716503</v>
      </c>
      <c r="G805">
        <v>0.76727964543265903</v>
      </c>
      <c r="H805">
        <v>0.409147586569442</v>
      </c>
      <c r="I805">
        <v>0.46854094339367502</v>
      </c>
      <c r="J805">
        <v>0.25942495154195699</v>
      </c>
      <c r="K805">
        <v>9.3563987796301804E-2</v>
      </c>
      <c r="L805">
        <v>764.55783591892202</v>
      </c>
      <c r="M805">
        <v>13.140125649652999</v>
      </c>
      <c r="N805">
        <v>58.184971556983797</v>
      </c>
      <c r="O805">
        <v>56.886873647954999</v>
      </c>
      <c r="P805">
        <v>-5.7756534208173102E-2</v>
      </c>
      <c r="Q805">
        <v>0</v>
      </c>
      <c r="R805">
        <v>0.96374409593920896</v>
      </c>
      <c r="S805" t="s">
        <v>6388</v>
      </c>
      <c r="T805" t="s">
        <v>11164</v>
      </c>
      <c r="U805" t="s">
        <v>11164</v>
      </c>
      <c r="V805" t="s">
        <v>11164</v>
      </c>
      <c r="W805" t="s">
        <v>11957</v>
      </c>
      <c r="X805">
        <v>2</v>
      </c>
      <c r="Y805" t="s">
        <v>17491</v>
      </c>
      <c r="Z805" t="s">
        <v>22955</v>
      </c>
      <c r="AA805">
        <v>0.7064252588002734</v>
      </c>
      <c r="AB805" t="str">
        <f>HYPERLINK("Melting_Curves/meltCurve_H0Y3A0_RPL35.pdf", "Melting_Curves/meltCurve_H0Y3A0_RPL35.pdf")</f>
        <v>Melting_Curves/meltCurve_H0Y3A0_RPL35.pdf</v>
      </c>
    </row>
    <row r="806" spans="1:28" x14ac:dyDescent="0.25">
      <c r="A806" t="s">
        <v>810</v>
      </c>
      <c r="B806">
        <v>0.99796759195183404</v>
      </c>
      <c r="C806">
        <v>0.99599882469045098</v>
      </c>
      <c r="D806">
        <v>0.99498014676767499</v>
      </c>
      <c r="E806">
        <v>0.90177168432600596</v>
      </c>
      <c r="F806">
        <v>0.79641258009801796</v>
      </c>
      <c r="G806">
        <v>0.60245549229172801</v>
      </c>
      <c r="H806">
        <v>0.52909414162857504</v>
      </c>
      <c r="I806">
        <v>0.45044008794238299</v>
      </c>
      <c r="J806">
        <v>0.46248649954896398</v>
      </c>
      <c r="K806">
        <v>0.280343965867142</v>
      </c>
      <c r="L806">
        <v>625.31253401459003</v>
      </c>
      <c r="M806">
        <v>11.6130496111097</v>
      </c>
      <c r="N806">
        <v>58.172236078662898</v>
      </c>
      <c r="O806">
        <v>52.323321646660297</v>
      </c>
      <c r="P806">
        <v>-3.94506450423747E-2</v>
      </c>
      <c r="Q806">
        <v>0.28920490894429302</v>
      </c>
      <c r="R806">
        <v>0.97687063807362595</v>
      </c>
      <c r="S806" t="s">
        <v>6389</v>
      </c>
      <c r="T806" t="s">
        <v>11164</v>
      </c>
      <c r="U806" t="s">
        <v>11164</v>
      </c>
      <c r="V806" t="s">
        <v>11164</v>
      </c>
      <c r="W806" t="s">
        <v>11958</v>
      </c>
      <c r="X806">
        <v>2</v>
      </c>
      <c r="Y806" t="s">
        <v>17492</v>
      </c>
      <c r="Z806" t="s">
        <v>22956</v>
      </c>
      <c r="AA806">
        <v>0.70151981478091163</v>
      </c>
      <c r="AB806" t="str">
        <f>HYPERLINK("Melting_Curves/meltCurve_H0Y3A3_DAB2IP.pdf", "Melting_Curves/meltCurve_H0Y3A3_DAB2IP.pdf")</f>
        <v>Melting_Curves/meltCurve_H0Y3A3_DAB2IP.pdf</v>
      </c>
    </row>
    <row r="807" spans="1:28" x14ac:dyDescent="0.25">
      <c r="A807" t="s">
        <v>811</v>
      </c>
      <c r="B807">
        <v>0.99796759195183404</v>
      </c>
      <c r="C807">
        <v>0.99306458088230298</v>
      </c>
      <c r="D807">
        <v>0.95910392523969101</v>
      </c>
      <c r="E807">
        <v>0.87366213482622102</v>
      </c>
      <c r="F807">
        <v>0.56433594740776605</v>
      </c>
      <c r="G807">
        <v>0.18700522739849301</v>
      </c>
      <c r="H807">
        <v>0.14043556594748599</v>
      </c>
      <c r="I807">
        <v>0.101273401024131</v>
      </c>
      <c r="J807">
        <v>7.7754710985850406E-2</v>
      </c>
      <c r="K807">
        <v>5.9304943748228298E-2</v>
      </c>
      <c r="L807">
        <v>1259.6553405878401</v>
      </c>
      <c r="M807">
        <v>25.070026485623099</v>
      </c>
      <c r="N807">
        <v>50.5733905939856</v>
      </c>
      <c r="O807">
        <v>49.929049329825901</v>
      </c>
      <c r="P807">
        <v>-0.116113322739094</v>
      </c>
      <c r="Q807">
        <v>7.5014865761780306E-2</v>
      </c>
      <c r="R807">
        <v>0.99752924562897505</v>
      </c>
      <c r="S807" t="s">
        <v>6390</v>
      </c>
      <c r="T807" t="s">
        <v>11164</v>
      </c>
      <c r="U807" t="s">
        <v>11164</v>
      </c>
      <c r="V807" t="s">
        <v>11164</v>
      </c>
      <c r="W807" t="s">
        <v>11959</v>
      </c>
      <c r="X807">
        <v>15</v>
      </c>
      <c r="Y807" t="s">
        <v>17493</v>
      </c>
      <c r="Z807" t="s">
        <v>22957</v>
      </c>
      <c r="AA807">
        <v>0.49147710617402729</v>
      </c>
      <c r="AB807" t="str">
        <f>HYPERLINK("Melting_Curves/meltCurve_H0Y3P2_EIF4G2.pdf", "Melting_Curves/meltCurve_H0Y3P2_EIF4G2.pdf")</f>
        <v>Melting_Curves/meltCurve_H0Y3P2_EIF4G2.pdf</v>
      </c>
    </row>
    <row r="808" spans="1:28" x14ac:dyDescent="0.25">
      <c r="A808" t="s">
        <v>812</v>
      </c>
      <c r="B808">
        <v>0.99796759195183404</v>
      </c>
      <c r="C808">
        <v>0.98629465228750901</v>
      </c>
      <c r="D808">
        <v>0.98426557306070805</v>
      </c>
      <c r="E808">
        <v>0.83117425143118895</v>
      </c>
      <c r="F808">
        <v>0.53782039329853004</v>
      </c>
      <c r="G808">
        <v>0.26309502985946498</v>
      </c>
      <c r="H808">
        <v>0.19136401057404401</v>
      </c>
      <c r="I808">
        <v>0.18258609846144899</v>
      </c>
      <c r="J808">
        <v>0.13723886344493599</v>
      </c>
      <c r="K808">
        <v>9.68992375237335E-2</v>
      </c>
      <c r="L808">
        <v>1051.1066772191</v>
      </c>
      <c r="M808">
        <v>21.0918206022337</v>
      </c>
      <c r="N808">
        <v>50.547948895201799</v>
      </c>
      <c r="O808">
        <v>49.393328096338998</v>
      </c>
      <c r="P808">
        <v>-9.3018939874462594E-2</v>
      </c>
      <c r="Q808">
        <v>0.12868737760711901</v>
      </c>
      <c r="R808">
        <v>0.99755031916052594</v>
      </c>
      <c r="S808" t="s">
        <v>6391</v>
      </c>
      <c r="T808" t="s">
        <v>11164</v>
      </c>
      <c r="U808" t="s">
        <v>11164</v>
      </c>
      <c r="V808" t="s">
        <v>11164</v>
      </c>
      <c r="W808" t="s">
        <v>11960</v>
      </c>
      <c r="X808">
        <v>8</v>
      </c>
      <c r="Y808" t="s">
        <v>17494</v>
      </c>
      <c r="Z808" t="s">
        <v>22958</v>
      </c>
      <c r="AA808">
        <v>0.51189807847200752</v>
      </c>
      <c r="AB808" t="str">
        <f>HYPERLINK("Melting_Curves/meltCurve_H0Y3X6_NELFA.pdf", "Melting_Curves/meltCurve_H0Y3X6_NELFA.pdf")</f>
        <v>Melting_Curves/meltCurve_H0Y3X6_NELFA.pdf</v>
      </c>
    </row>
    <row r="809" spans="1:28" x14ac:dyDescent="0.25">
      <c r="A809" t="s">
        <v>813</v>
      </c>
      <c r="B809">
        <v>0.99796759195183404</v>
      </c>
      <c r="C809">
        <v>1.09006359542799</v>
      </c>
      <c r="D809">
        <v>1.0316210693671499</v>
      </c>
      <c r="E809">
        <v>0.97425650758469995</v>
      </c>
      <c r="F809">
        <v>0.80182147908975998</v>
      </c>
      <c r="G809">
        <v>0.60160598133733001</v>
      </c>
      <c r="H809">
        <v>0.41910803600701002</v>
      </c>
      <c r="I809">
        <v>0.35120036870211901</v>
      </c>
      <c r="J809">
        <v>0.27885710789673601</v>
      </c>
      <c r="K809">
        <v>0.23728811067674499</v>
      </c>
      <c r="L809">
        <v>939.57898800842304</v>
      </c>
      <c r="M809">
        <v>17.535445623191698</v>
      </c>
      <c r="N809">
        <v>55.643419463776098</v>
      </c>
      <c r="O809">
        <v>52.899428073596503</v>
      </c>
      <c r="P809">
        <v>-6.3076504673902897E-2</v>
      </c>
      <c r="Q809">
        <v>0.23890647523879899</v>
      </c>
      <c r="R809">
        <v>0.98761492477539004</v>
      </c>
      <c r="S809" t="s">
        <v>6392</v>
      </c>
      <c r="T809" t="s">
        <v>11164</v>
      </c>
      <c r="U809" t="s">
        <v>11164</v>
      </c>
      <c r="V809" t="s">
        <v>11164</v>
      </c>
      <c r="W809" t="s">
        <v>11961</v>
      </c>
      <c r="X809">
        <v>1</v>
      </c>
      <c r="Y809" t="s">
        <v>17495</v>
      </c>
      <c r="Z809" t="s">
        <v>22959</v>
      </c>
      <c r="AA809">
        <v>0.67063656000723171</v>
      </c>
      <c r="AB809" t="str">
        <f>HYPERLINK("Melting_Curves/meltCurve_H0Y494_SIK3.pdf", "Melting_Curves/meltCurve_H0Y494_SIK3.pdf")</f>
        <v>Melting_Curves/meltCurve_H0Y494_SIK3.pdf</v>
      </c>
    </row>
    <row r="810" spans="1:28" x14ac:dyDescent="0.25">
      <c r="A810" t="s">
        <v>814</v>
      </c>
      <c r="B810">
        <v>0.99796759195183404</v>
      </c>
      <c r="C810">
        <v>1.0887172566889001</v>
      </c>
      <c r="D810">
        <v>0.99488749555605405</v>
      </c>
      <c r="E810">
        <v>1.0195785867004401</v>
      </c>
      <c r="F810">
        <v>0.95586814329190395</v>
      </c>
      <c r="G810">
        <v>0.72120054266062805</v>
      </c>
      <c r="H810">
        <v>0.63696877126927498</v>
      </c>
      <c r="I810">
        <v>0.68832889548234799</v>
      </c>
      <c r="J810">
        <v>0.67381767071447696</v>
      </c>
      <c r="K810">
        <v>0.407425838577118</v>
      </c>
      <c r="L810">
        <v>1379.4403913441499</v>
      </c>
      <c r="M810">
        <v>25.931191133855499</v>
      </c>
      <c r="O810">
        <v>52.882841996057898</v>
      </c>
      <c r="P810">
        <v>-5.1785428482703698E-2</v>
      </c>
      <c r="Q810">
        <v>0.57756992020016096</v>
      </c>
      <c r="R810">
        <v>0.86904392021736598</v>
      </c>
      <c r="S810" t="s">
        <v>6393</v>
      </c>
      <c r="T810" t="s">
        <v>11164</v>
      </c>
      <c r="U810" t="s">
        <v>11164</v>
      </c>
      <c r="V810" t="s">
        <v>11164</v>
      </c>
      <c r="W810" t="s">
        <v>11962</v>
      </c>
      <c r="X810">
        <v>1</v>
      </c>
      <c r="Y810" t="s">
        <v>17496</v>
      </c>
      <c r="Z810" t="s">
        <v>22960</v>
      </c>
      <c r="AA810">
        <v>0.80912863043214422</v>
      </c>
      <c r="AB810" t="str">
        <f>HYPERLINK("Melting_Curves/meltCurve_H0Y4M8_ZNF185.pdf", "Melting_Curves/meltCurve_H0Y4M8_ZNF185.pdf")</f>
        <v>Melting_Curves/meltCurve_H0Y4M8_ZNF185.pdf</v>
      </c>
    </row>
    <row r="811" spans="1:28" x14ac:dyDescent="0.25">
      <c r="A811" t="s">
        <v>815</v>
      </c>
      <c r="B811">
        <v>0.99796759195183404</v>
      </c>
      <c r="C811">
        <v>0.91255156506949597</v>
      </c>
      <c r="D811">
        <v>0.87551180850573995</v>
      </c>
      <c r="E811">
        <v>0.79525899312898596</v>
      </c>
      <c r="F811">
        <v>0.83187501310108403</v>
      </c>
      <c r="G811">
        <v>0.95919448301798804</v>
      </c>
      <c r="H811">
        <v>0.599696802827272</v>
      </c>
      <c r="I811">
        <v>0.525004081229688</v>
      </c>
      <c r="J811">
        <v>0.41112428864899098</v>
      </c>
      <c r="K811">
        <v>0.34894139678646502</v>
      </c>
      <c r="L811">
        <v>453.63129846148001</v>
      </c>
      <c r="M811">
        <v>7.3157033915039698</v>
      </c>
      <c r="N811">
        <v>62.007884798544097</v>
      </c>
      <c r="O811">
        <v>57.8788848890308</v>
      </c>
      <c r="P811">
        <v>-3.1648999304063202E-2</v>
      </c>
      <c r="Q811">
        <v>0</v>
      </c>
      <c r="R811">
        <v>0.85305636893757697</v>
      </c>
      <c r="S811" t="s">
        <v>6394</v>
      </c>
      <c r="T811" t="s">
        <v>11164</v>
      </c>
      <c r="U811" t="s">
        <v>11164</v>
      </c>
      <c r="V811" t="s">
        <v>11164</v>
      </c>
      <c r="W811" t="s">
        <v>11963</v>
      </c>
      <c r="X811">
        <v>7</v>
      </c>
      <c r="Y811" t="s">
        <v>17497</v>
      </c>
      <c r="Z811" t="s">
        <v>22961</v>
      </c>
      <c r="AA811">
        <v>0.75498845126643055</v>
      </c>
      <c r="AB811" t="str">
        <f>HYPERLINK("Melting_Curves/meltCurve_H0Y4R1_IMPDH2.pdf", "Melting_Curves/meltCurve_H0Y4R1_IMPDH2.pdf")</f>
        <v>Melting_Curves/meltCurve_H0Y4R1_IMPDH2.pdf</v>
      </c>
    </row>
    <row r="812" spans="1:28" x14ac:dyDescent="0.25">
      <c r="A812" t="s">
        <v>816</v>
      </c>
      <c r="B812">
        <v>0.99796759195183404</v>
      </c>
      <c r="C812">
        <v>0.96388970435773502</v>
      </c>
      <c r="D812">
        <v>0.69453038057484096</v>
      </c>
      <c r="E812">
        <v>0.84867342600723294</v>
      </c>
      <c r="F812">
        <v>0.80310682155561697</v>
      </c>
      <c r="G812">
        <v>0.404644658802289</v>
      </c>
      <c r="H812">
        <v>0.30461185081234099</v>
      </c>
      <c r="I812">
        <v>0.17177736152790801</v>
      </c>
      <c r="J812">
        <v>0.20202798405384501</v>
      </c>
      <c r="K812">
        <v>9.4569519068347499E-2</v>
      </c>
      <c r="L812">
        <v>531.26689052179995</v>
      </c>
      <c r="M812">
        <v>9.9817635881829592</v>
      </c>
      <c r="N812">
        <v>53.223768353224003</v>
      </c>
      <c r="O812">
        <v>51.219800257467199</v>
      </c>
      <c r="P812">
        <v>-4.8744101287354499E-2</v>
      </c>
      <c r="Q812">
        <v>0</v>
      </c>
      <c r="R812">
        <v>0.92252150794384402</v>
      </c>
      <c r="S812" t="s">
        <v>6395</v>
      </c>
      <c r="T812" t="s">
        <v>11164</v>
      </c>
      <c r="U812" t="s">
        <v>11164</v>
      </c>
      <c r="V812" t="s">
        <v>11164</v>
      </c>
      <c r="W812" t="s">
        <v>11964</v>
      </c>
      <c r="X812">
        <v>1</v>
      </c>
      <c r="Y812" t="s">
        <v>17498</v>
      </c>
      <c r="Z812" t="s">
        <v>22962</v>
      </c>
      <c r="AA812">
        <v>0.56216070317161371</v>
      </c>
      <c r="AB812" t="str">
        <f>HYPERLINK("Melting_Curves/meltCurve_H0Y4W2_TRRAP.pdf", "Melting_Curves/meltCurve_H0Y4W2_TRRAP.pdf")</f>
        <v>Melting_Curves/meltCurve_H0Y4W2_TRRAP.pdf</v>
      </c>
    </row>
    <row r="813" spans="1:28" x14ac:dyDescent="0.25">
      <c r="A813" t="s">
        <v>817</v>
      </c>
      <c r="B813">
        <v>0.99796759195183404</v>
      </c>
      <c r="C813">
        <v>0.98863151266327398</v>
      </c>
      <c r="D813">
        <v>0.98076352706378001</v>
      </c>
      <c r="E813">
        <v>1.0064993323923901</v>
      </c>
      <c r="F813">
        <v>0.85793223278472996</v>
      </c>
      <c r="G813">
        <v>0.60364238970228201</v>
      </c>
      <c r="H813">
        <v>0.57196915499864598</v>
      </c>
      <c r="I813">
        <v>0.49804343924095801</v>
      </c>
      <c r="J813">
        <v>0.38850731805963901</v>
      </c>
      <c r="K813">
        <v>0.324500820058374</v>
      </c>
      <c r="L813">
        <v>784.88110933053201</v>
      </c>
      <c r="M813">
        <v>14.4500047501009</v>
      </c>
      <c r="N813">
        <v>58.572195330109103</v>
      </c>
      <c r="O813">
        <v>53.308517776903102</v>
      </c>
      <c r="P813">
        <v>-4.57479397670746E-2</v>
      </c>
      <c r="Q813">
        <v>0.32499130265218901</v>
      </c>
      <c r="R813">
        <v>0.97407232758128104</v>
      </c>
      <c r="S813" t="s">
        <v>6396</v>
      </c>
      <c r="T813" t="s">
        <v>11164</v>
      </c>
      <c r="U813" t="s">
        <v>11164</v>
      </c>
      <c r="V813" t="s">
        <v>11164</v>
      </c>
      <c r="W813" t="s">
        <v>11965</v>
      </c>
      <c r="X813">
        <v>4</v>
      </c>
      <c r="Y813" t="s">
        <v>17499</v>
      </c>
      <c r="Z813" t="s">
        <v>22963</v>
      </c>
      <c r="AA813">
        <v>0.72537992657718919</v>
      </c>
      <c r="AB813" t="str">
        <f>HYPERLINK("Melting_Curves/meltCurve_H0Y5C0_LPHN2.pdf", "Melting_Curves/meltCurve_H0Y5C0_LPHN2.pdf")</f>
        <v>Melting_Curves/meltCurve_H0Y5C0_LPHN2.pdf</v>
      </c>
    </row>
    <row r="814" spans="1:28" x14ac:dyDescent="0.25">
      <c r="A814" t="s">
        <v>818</v>
      </c>
      <c r="B814">
        <v>0.99796759195183404</v>
      </c>
      <c r="C814">
        <v>1.1339423034954399</v>
      </c>
      <c r="D814">
        <v>1.28842969634635</v>
      </c>
      <c r="E814">
        <v>0.95414997255509504</v>
      </c>
      <c r="F814">
        <v>0.87539092344963099</v>
      </c>
      <c r="G814">
        <v>0.80637725685319706</v>
      </c>
      <c r="H814">
        <v>0.39355367019055598</v>
      </c>
      <c r="I814">
        <v>0.30450006911571698</v>
      </c>
      <c r="J814">
        <v>0.200297245732143</v>
      </c>
      <c r="K814">
        <v>0.31981798466962202</v>
      </c>
      <c r="L814">
        <v>1768.4400339204601</v>
      </c>
      <c r="M814">
        <v>32.075917337022901</v>
      </c>
      <c r="N814">
        <v>56.395665518237301</v>
      </c>
      <c r="O814">
        <v>54.919986450904197</v>
      </c>
      <c r="P814">
        <v>-0.108606872428214</v>
      </c>
      <c r="Q814">
        <v>0.25618237187125298</v>
      </c>
      <c r="R814">
        <v>0.91063157833374897</v>
      </c>
      <c r="S814" t="s">
        <v>6397</v>
      </c>
      <c r="T814" t="s">
        <v>11164</v>
      </c>
      <c r="U814" t="s">
        <v>11164</v>
      </c>
      <c r="V814" t="s">
        <v>11164</v>
      </c>
      <c r="W814" t="s">
        <v>11966</v>
      </c>
      <c r="X814">
        <v>1</v>
      </c>
      <c r="Y814" t="s">
        <v>17500</v>
      </c>
      <c r="Z814" t="s">
        <v>22964</v>
      </c>
      <c r="AA814">
        <v>0.70996828300345727</v>
      </c>
      <c r="AB814" t="str">
        <f>HYPERLINK("Melting_Curves/meltCurve_H0Y5M6_PRKD3.pdf", "Melting_Curves/meltCurve_H0Y5M6_PRKD3.pdf")</f>
        <v>Melting_Curves/meltCurve_H0Y5M6_PRKD3.pdf</v>
      </c>
    </row>
    <row r="815" spans="1:28" x14ac:dyDescent="0.25">
      <c r="A815" t="s">
        <v>819</v>
      </c>
      <c r="B815">
        <v>0.99796759195183404</v>
      </c>
      <c r="C815">
        <v>0.958962234886369</v>
      </c>
      <c r="D815">
        <v>1.02941687172783</v>
      </c>
      <c r="E815">
        <v>0.97853299223891699</v>
      </c>
      <c r="F815">
        <v>0.91150555995889904</v>
      </c>
      <c r="G815">
        <v>0.50950067570173896</v>
      </c>
      <c r="H815">
        <v>0.42109701858078002</v>
      </c>
      <c r="I815">
        <v>0.30773918237020897</v>
      </c>
      <c r="J815">
        <v>0.118890030687721</v>
      </c>
      <c r="K815">
        <v>0.287738598123773</v>
      </c>
      <c r="L815">
        <v>1293.9905749218599</v>
      </c>
      <c r="M815">
        <v>24.2522880833077</v>
      </c>
      <c r="N815">
        <v>54.755989303581501</v>
      </c>
      <c r="O815">
        <v>52.9965976910539</v>
      </c>
      <c r="P815">
        <v>-8.7965002804953896E-2</v>
      </c>
      <c r="Q815">
        <v>0.23111981323441999</v>
      </c>
      <c r="R815">
        <v>0.96940099964939097</v>
      </c>
      <c r="S815" t="s">
        <v>6398</v>
      </c>
      <c r="T815" t="s">
        <v>11164</v>
      </c>
      <c r="U815" t="s">
        <v>11164</v>
      </c>
      <c r="V815" t="s">
        <v>11164</v>
      </c>
      <c r="W815" t="s">
        <v>11967</v>
      </c>
      <c r="X815">
        <v>11</v>
      </c>
      <c r="Y815" t="s">
        <v>17501</v>
      </c>
      <c r="Z815" t="s">
        <v>22965</v>
      </c>
      <c r="AA815">
        <v>0.65742407401239167</v>
      </c>
      <c r="AB815" t="str">
        <f>HYPERLINK("Melting_Curves/meltCurve_H0Y612_TRIM33.pdf", "Melting_Curves/meltCurve_H0Y612_TRIM33.pdf")</f>
        <v>Melting_Curves/meltCurve_H0Y612_TRIM33.pdf</v>
      </c>
    </row>
    <row r="816" spans="1:28" x14ac:dyDescent="0.25">
      <c r="A816" t="s">
        <v>820</v>
      </c>
      <c r="B816">
        <v>0.99796759195183404</v>
      </c>
      <c r="C816">
        <v>0.97317702128586203</v>
      </c>
      <c r="D816">
        <v>1.02094678355652</v>
      </c>
      <c r="E816">
        <v>0.91900645070004705</v>
      </c>
      <c r="F816">
        <v>0.71558343815063896</v>
      </c>
      <c r="G816">
        <v>0.44150512972189998</v>
      </c>
      <c r="H816">
        <v>0.422918355086077</v>
      </c>
      <c r="I816">
        <v>0.33901891749559898</v>
      </c>
      <c r="J816">
        <v>0.27678010337056302</v>
      </c>
      <c r="K816">
        <v>0.170399985100818</v>
      </c>
      <c r="L816">
        <v>839.14698095548999</v>
      </c>
      <c r="M816">
        <v>16.1598122817025</v>
      </c>
      <c r="N816">
        <v>53.931636666611602</v>
      </c>
      <c r="O816">
        <v>51.152336177481999</v>
      </c>
      <c r="P816">
        <v>-6.1158703671822003E-2</v>
      </c>
      <c r="Q816">
        <v>0.22569036119484401</v>
      </c>
      <c r="R816">
        <v>0.98038617372711301</v>
      </c>
      <c r="S816" t="s">
        <v>6399</v>
      </c>
      <c r="T816" t="s">
        <v>11164</v>
      </c>
      <c r="U816" t="s">
        <v>11164</v>
      </c>
      <c r="V816" t="s">
        <v>11164</v>
      </c>
      <c r="W816" t="s">
        <v>11968</v>
      </c>
      <c r="X816">
        <v>3</v>
      </c>
      <c r="Y816" t="s">
        <v>17502</v>
      </c>
      <c r="Z816" t="s">
        <v>22966</v>
      </c>
      <c r="AA816">
        <v>0.62457240154596694</v>
      </c>
      <c r="AB816" t="str">
        <f>HYPERLINK("Melting_Curves/meltCurve_H0Y614_UFM1.pdf", "Melting_Curves/meltCurve_H0Y614_UFM1.pdf")</f>
        <v>Melting_Curves/meltCurve_H0Y614_UFM1.pdf</v>
      </c>
    </row>
    <row r="817" spans="1:28" x14ac:dyDescent="0.25">
      <c r="A817" t="s">
        <v>821</v>
      </c>
      <c r="B817">
        <v>0.99796759195183404</v>
      </c>
      <c r="C817">
        <v>1.10446170152081</v>
      </c>
      <c r="D817">
        <v>1.1203869630461101</v>
      </c>
      <c r="E817">
        <v>1.00915002928549</v>
      </c>
      <c r="F817">
        <v>0.72852756323296397</v>
      </c>
      <c r="G817">
        <v>0.50683336065908402</v>
      </c>
      <c r="H817">
        <v>0.28399348726453899</v>
      </c>
      <c r="I817">
        <v>0.14380204238616301</v>
      </c>
      <c r="J817">
        <v>0.13727297662365101</v>
      </c>
      <c r="K817">
        <v>0.112076148497306</v>
      </c>
      <c r="L817">
        <v>1078.3514003369301</v>
      </c>
      <c r="M817">
        <v>20.323648295400101</v>
      </c>
      <c r="N817">
        <v>53.678558896199903</v>
      </c>
      <c r="O817">
        <v>52.553265324438001</v>
      </c>
      <c r="P817">
        <v>-8.6575132427533799E-2</v>
      </c>
      <c r="Q817">
        <v>0.104557051200472</v>
      </c>
      <c r="R817">
        <v>0.97822703344029005</v>
      </c>
      <c r="S817" t="s">
        <v>6400</v>
      </c>
      <c r="T817" t="s">
        <v>11164</v>
      </c>
      <c r="U817" t="s">
        <v>11164</v>
      </c>
      <c r="V817" t="s">
        <v>11164</v>
      </c>
      <c r="W817" t="s">
        <v>11969</v>
      </c>
      <c r="X817">
        <v>12</v>
      </c>
      <c r="Y817" t="s">
        <v>17503</v>
      </c>
      <c r="Z817" t="s">
        <v>22967</v>
      </c>
      <c r="AA817">
        <v>0.59488580288126613</v>
      </c>
      <c r="AB817" t="str">
        <f>HYPERLINK("Melting_Curves/meltCurve_H0Y6A0_ARFGAP3.pdf", "Melting_Curves/meltCurve_H0Y6A0_ARFGAP3.pdf")</f>
        <v>Melting_Curves/meltCurve_H0Y6A0_ARFGAP3.pdf</v>
      </c>
    </row>
    <row r="818" spans="1:28" x14ac:dyDescent="0.25">
      <c r="A818" t="s">
        <v>822</v>
      </c>
      <c r="B818">
        <v>0.99796759195183404</v>
      </c>
      <c r="C818">
        <v>0.74146568425360904</v>
      </c>
      <c r="D818">
        <v>1.11133546279062</v>
      </c>
      <c r="E818">
        <v>0.93237582969934896</v>
      </c>
      <c r="F818">
        <v>0.77866281058607401</v>
      </c>
      <c r="G818">
        <v>0.70984290131762895</v>
      </c>
      <c r="H818">
        <v>0.49011446037325601</v>
      </c>
      <c r="I818">
        <v>0.41539075675418102</v>
      </c>
      <c r="J818">
        <v>0.16898629497972301</v>
      </c>
      <c r="K818">
        <v>0.125192851658187</v>
      </c>
      <c r="L818">
        <v>665.748628422357</v>
      </c>
      <c r="M818">
        <v>11.606950342017599</v>
      </c>
      <c r="N818">
        <v>57.357756322921901</v>
      </c>
      <c r="O818">
        <v>55.734495936442698</v>
      </c>
      <c r="P818">
        <v>-5.2077861210317301E-2</v>
      </c>
      <c r="Q818">
        <v>0</v>
      </c>
      <c r="R818">
        <v>0.90597106177433995</v>
      </c>
      <c r="S818" t="s">
        <v>6401</v>
      </c>
      <c r="T818" t="s">
        <v>11164</v>
      </c>
      <c r="U818" t="s">
        <v>11164</v>
      </c>
      <c r="V818" t="s">
        <v>11164</v>
      </c>
      <c r="W818" t="s">
        <v>11970</v>
      </c>
      <c r="X818">
        <v>9</v>
      </c>
      <c r="Y818" t="s">
        <v>17504</v>
      </c>
      <c r="Z818" t="s">
        <v>22968</v>
      </c>
      <c r="AA818">
        <v>0.6802696732646899</v>
      </c>
      <c r="AB818" t="str">
        <f>HYPERLINK("Melting_Curves/meltCurve_H0Y6C3_PYCRL.pdf", "Melting_Curves/meltCurve_H0Y6C3_PYCRL.pdf")</f>
        <v>Melting_Curves/meltCurve_H0Y6C3_PYCRL.pdf</v>
      </c>
    </row>
    <row r="819" spans="1:28" x14ac:dyDescent="0.25">
      <c r="A819" t="s">
        <v>823</v>
      </c>
      <c r="B819">
        <v>0.99796759195183404</v>
      </c>
      <c r="C819">
        <v>0.92317030714053805</v>
      </c>
      <c r="D819">
        <v>0.99124933384396996</v>
      </c>
      <c r="E819">
        <v>0.851064989203694</v>
      </c>
      <c r="F819">
        <v>0.43610590222775197</v>
      </c>
      <c r="G819">
        <v>0.291778005859201</v>
      </c>
      <c r="H819">
        <v>0.23005159810348699</v>
      </c>
      <c r="I819">
        <v>0.24697819513079899</v>
      </c>
      <c r="J819">
        <v>0.17383623823250799</v>
      </c>
      <c r="K819">
        <v>0.108189212362878</v>
      </c>
      <c r="L819">
        <v>1278.80085478658</v>
      </c>
      <c r="M819">
        <v>26.1154572710008</v>
      </c>
      <c r="N819">
        <v>49.862630927161597</v>
      </c>
      <c r="O819">
        <v>48.682788352888601</v>
      </c>
      <c r="P819">
        <v>-0.109009195724904</v>
      </c>
      <c r="Q819">
        <v>0.18717694400314</v>
      </c>
      <c r="R819">
        <v>0.98487861802765497</v>
      </c>
      <c r="S819" t="s">
        <v>6402</v>
      </c>
      <c r="T819" t="s">
        <v>11164</v>
      </c>
      <c r="U819" t="s">
        <v>11164</v>
      </c>
      <c r="V819" t="s">
        <v>11164</v>
      </c>
      <c r="W819" t="s">
        <v>11971</v>
      </c>
      <c r="X819">
        <v>8</v>
      </c>
      <c r="Y819" t="s">
        <v>17505</v>
      </c>
      <c r="Z819" t="s">
        <v>22969</v>
      </c>
      <c r="AA819">
        <v>0.51786448587981659</v>
      </c>
      <c r="AB819" t="str">
        <f>HYPERLINK("Melting_Curves/meltCurve_H0Y6I0_GOLGA4.pdf", "Melting_Curves/meltCurve_H0Y6I0_GOLGA4.pdf")</f>
        <v>Melting_Curves/meltCurve_H0Y6I0_GOLGA4.pdf</v>
      </c>
    </row>
    <row r="820" spans="1:28" x14ac:dyDescent="0.25">
      <c r="A820" t="s">
        <v>824</v>
      </c>
      <c r="B820">
        <v>0.99796759195183404</v>
      </c>
      <c r="C820">
        <v>0.94131351696210297</v>
      </c>
      <c r="D820">
        <v>1.1453431023063101</v>
      </c>
      <c r="E820">
        <v>0.97498495221947001</v>
      </c>
      <c r="F820">
        <v>0.94539938785473099</v>
      </c>
      <c r="G820">
        <v>0.75604262432992597</v>
      </c>
      <c r="H820">
        <v>0.51316590523967398</v>
      </c>
      <c r="I820">
        <v>0.54489070874189904</v>
      </c>
      <c r="J820">
        <v>0.39826524348678599</v>
      </c>
      <c r="K820">
        <v>0.313352470791534</v>
      </c>
      <c r="L820">
        <v>1013.71163931556</v>
      </c>
      <c r="M820">
        <v>18.259528553189899</v>
      </c>
      <c r="N820">
        <v>59.192106570126697</v>
      </c>
      <c r="O820">
        <v>54.8638225819006</v>
      </c>
      <c r="P820">
        <v>-5.4993164748975101E-2</v>
      </c>
      <c r="Q820">
        <v>0.33908593606810999</v>
      </c>
      <c r="R820">
        <v>0.94360422748674999</v>
      </c>
      <c r="S820" t="s">
        <v>6403</v>
      </c>
      <c r="T820" t="s">
        <v>11164</v>
      </c>
      <c r="U820" t="s">
        <v>11164</v>
      </c>
      <c r="V820" t="s">
        <v>11164</v>
      </c>
      <c r="W820" t="s">
        <v>11972</v>
      </c>
      <c r="X820">
        <v>2</v>
      </c>
      <c r="Y820" t="s">
        <v>17506</v>
      </c>
      <c r="Z820" t="s">
        <v>22970</v>
      </c>
      <c r="AA820">
        <v>0.75475786335755246</v>
      </c>
      <c r="AB820" t="str">
        <f>HYPERLINK("Melting_Curves/meltCurve_H0Y6J0_NME4.pdf", "Melting_Curves/meltCurve_H0Y6J0_NME4.pdf")</f>
        <v>Melting_Curves/meltCurve_H0Y6J0_NME4.pdf</v>
      </c>
    </row>
    <row r="821" spans="1:28" x14ac:dyDescent="0.25">
      <c r="A821" t="s">
        <v>825</v>
      </c>
      <c r="B821">
        <v>0.99796759195183404</v>
      </c>
      <c r="C821">
        <v>1.01311709159643</v>
      </c>
      <c r="D821">
        <v>0.86798040793603604</v>
      </c>
      <c r="E821">
        <v>0.83517087337461704</v>
      </c>
      <c r="F821">
        <v>0.53891839715076495</v>
      </c>
      <c r="G821">
        <v>0.31148705515957298</v>
      </c>
      <c r="H821">
        <v>0.25810535133682999</v>
      </c>
      <c r="I821">
        <v>0.21554515216973699</v>
      </c>
      <c r="J821">
        <v>0.17450804659126701</v>
      </c>
      <c r="K821">
        <v>0.13817094249008599</v>
      </c>
      <c r="L821">
        <v>813.26331614816797</v>
      </c>
      <c r="M821">
        <v>16.343065049782101</v>
      </c>
      <c r="N821">
        <v>50.876601699847598</v>
      </c>
      <c r="O821">
        <v>49.034833821640902</v>
      </c>
      <c r="P821">
        <v>-7.0790463603903703E-2</v>
      </c>
      <c r="Q821">
        <v>0.15047804211797899</v>
      </c>
      <c r="R821">
        <v>0.99073686134383299</v>
      </c>
      <c r="S821" t="s">
        <v>6404</v>
      </c>
      <c r="T821" t="s">
        <v>11164</v>
      </c>
      <c r="U821" t="s">
        <v>11164</v>
      </c>
      <c r="V821" t="s">
        <v>11164</v>
      </c>
      <c r="W821" t="s">
        <v>11973</v>
      </c>
      <c r="X821">
        <v>6</v>
      </c>
      <c r="Y821" t="s">
        <v>17507</v>
      </c>
      <c r="Z821" t="s">
        <v>22971</v>
      </c>
      <c r="AA821">
        <v>0.52756190955414439</v>
      </c>
      <c r="AB821" t="str">
        <f>HYPERLINK("Melting_Curves/meltCurve_H0Y6K2_BRD2.pdf", "Melting_Curves/meltCurve_H0Y6K2_BRD2.pdf")</f>
        <v>Melting_Curves/meltCurve_H0Y6K2_BRD2.pdf</v>
      </c>
    </row>
    <row r="822" spans="1:28" x14ac:dyDescent="0.25">
      <c r="A822" t="s">
        <v>826</v>
      </c>
      <c r="B822">
        <v>0.99796759195183404</v>
      </c>
      <c r="C822">
        <v>0.98570697781495897</v>
      </c>
      <c r="D822">
        <v>0.89363413299310102</v>
      </c>
      <c r="E822">
        <v>0.91823684043901799</v>
      </c>
      <c r="F822">
        <v>0.91052376705820603</v>
      </c>
      <c r="G822">
        <v>0.33617790567051897</v>
      </c>
      <c r="H822">
        <v>0.44657032046663597</v>
      </c>
      <c r="I822">
        <v>0.26283286252442001</v>
      </c>
      <c r="J822">
        <v>0.24435443788517799</v>
      </c>
      <c r="K822">
        <v>0.117331320679021</v>
      </c>
      <c r="L822">
        <v>2885.6684785807902</v>
      </c>
      <c r="M822">
        <v>55.616196039460299</v>
      </c>
      <c r="N822">
        <v>52.592435027351698</v>
      </c>
      <c r="O822">
        <v>51.8184274766637</v>
      </c>
      <c r="P822">
        <v>-0.197681289357516</v>
      </c>
      <c r="Q822">
        <v>0.263269898590964</v>
      </c>
      <c r="R822">
        <v>0.93743463918514802</v>
      </c>
      <c r="S822" t="s">
        <v>6405</v>
      </c>
      <c r="T822" t="s">
        <v>11164</v>
      </c>
      <c r="U822" t="s">
        <v>11164</v>
      </c>
      <c r="V822" t="s">
        <v>11164</v>
      </c>
      <c r="W822" t="s">
        <v>11974</v>
      </c>
      <c r="X822">
        <v>3</v>
      </c>
      <c r="Y822" t="s">
        <v>17508</v>
      </c>
      <c r="Z822" t="s">
        <v>22972</v>
      </c>
      <c r="AA822">
        <v>0.63018178498835153</v>
      </c>
      <c r="AB822" t="str">
        <f>HYPERLINK("Melting_Curves/meltCurve_H0Y6K5_SP3.pdf", "Melting_Curves/meltCurve_H0Y6K5_SP3.pdf")</f>
        <v>Melting_Curves/meltCurve_H0Y6K5_SP3.pdf</v>
      </c>
    </row>
    <row r="823" spans="1:28" x14ac:dyDescent="0.25">
      <c r="A823" t="s">
        <v>827</v>
      </c>
      <c r="B823">
        <v>0.99796759195183404</v>
      </c>
      <c r="C823">
        <v>0.98550859943783797</v>
      </c>
      <c r="D823">
        <v>1.0170412024145401</v>
      </c>
      <c r="E823">
        <v>0.75633234157425999</v>
      </c>
      <c r="F823">
        <v>0.59201854028962897</v>
      </c>
      <c r="G823">
        <v>0.34112961201995301</v>
      </c>
      <c r="H823">
        <v>0.17095777854281399</v>
      </c>
      <c r="I823">
        <v>8.7951682539641696E-2</v>
      </c>
      <c r="J823">
        <v>8.1564763766442006E-2</v>
      </c>
      <c r="K823">
        <v>5.9874255945126603E-2</v>
      </c>
      <c r="L823">
        <v>780.11411600104304</v>
      </c>
      <c r="M823">
        <v>15.303972276780399</v>
      </c>
      <c r="N823">
        <v>51.191603362030598</v>
      </c>
      <c r="O823">
        <v>50.128036974714298</v>
      </c>
      <c r="P823">
        <v>-7.3934385096224894E-2</v>
      </c>
      <c r="Q823">
        <v>3.14045285400271E-2</v>
      </c>
      <c r="R823">
        <v>0.99383612584410397</v>
      </c>
      <c r="S823" t="s">
        <v>6406</v>
      </c>
      <c r="T823" t="s">
        <v>11164</v>
      </c>
      <c r="U823" t="s">
        <v>11164</v>
      </c>
      <c r="V823" t="s">
        <v>11164</v>
      </c>
      <c r="W823" t="s">
        <v>11975</v>
      </c>
      <c r="X823">
        <v>2</v>
      </c>
      <c r="Y823" t="s">
        <v>17509</v>
      </c>
      <c r="Z823" t="s">
        <v>22973</v>
      </c>
      <c r="AA823">
        <v>0.50160428089770737</v>
      </c>
      <c r="AB823" t="str">
        <f>HYPERLINK("Melting_Curves/meltCurve_H0Y7L9_ABCD1.pdf", "Melting_Curves/meltCurve_H0Y7L9_ABCD1.pdf")</f>
        <v>Melting_Curves/meltCurve_H0Y7L9_ABCD1.pdf</v>
      </c>
    </row>
    <row r="824" spans="1:28" x14ac:dyDescent="0.25">
      <c r="A824" t="s">
        <v>828</v>
      </c>
      <c r="B824">
        <v>0.99796759195183404</v>
      </c>
      <c r="C824">
        <v>0.96806096482065096</v>
      </c>
      <c r="D824">
        <v>0.95092451810401302</v>
      </c>
      <c r="E824">
        <v>0.77489655142094804</v>
      </c>
      <c r="F824">
        <v>0.669662006480781</v>
      </c>
      <c r="G824">
        <v>0.17558550954809801</v>
      </c>
      <c r="H824">
        <v>0.14468895869920201</v>
      </c>
      <c r="I824">
        <v>0.11293917094693801</v>
      </c>
      <c r="J824">
        <v>0.15918902403308599</v>
      </c>
      <c r="K824">
        <v>0.102092299321313</v>
      </c>
      <c r="L824">
        <v>1097.63298369227</v>
      </c>
      <c r="M824">
        <v>21.822688561028698</v>
      </c>
      <c r="N824">
        <v>50.806212317443098</v>
      </c>
      <c r="O824">
        <v>49.8811460369906</v>
      </c>
      <c r="P824">
        <v>-9.8647358411124902E-2</v>
      </c>
      <c r="Q824">
        <v>9.8089216636109006E-2</v>
      </c>
      <c r="R824">
        <v>0.97591121321264096</v>
      </c>
      <c r="S824" t="s">
        <v>6407</v>
      </c>
      <c r="T824" t="s">
        <v>11164</v>
      </c>
      <c r="U824" t="s">
        <v>11164</v>
      </c>
      <c r="V824" t="s">
        <v>11164</v>
      </c>
      <c r="W824" t="s">
        <v>11976</v>
      </c>
      <c r="X824">
        <v>4</v>
      </c>
      <c r="Y824" t="s">
        <v>17510</v>
      </c>
      <c r="Z824" t="s">
        <v>22974</v>
      </c>
      <c r="AA824">
        <v>0.50804197415637642</v>
      </c>
      <c r="AB824" t="str">
        <f>HYPERLINK("Melting_Curves/meltCurve_H0Y860_STIM2.pdf", "Melting_Curves/meltCurve_H0Y860_STIM2.pdf")</f>
        <v>Melting_Curves/meltCurve_H0Y860_STIM2.pdf</v>
      </c>
    </row>
    <row r="825" spans="1:28" x14ac:dyDescent="0.25">
      <c r="A825" t="s">
        <v>829</v>
      </c>
      <c r="B825">
        <v>0.99796759195183404</v>
      </c>
      <c r="C825">
        <v>0.88027640686088904</v>
      </c>
      <c r="D825">
        <v>1.0280144903101101</v>
      </c>
      <c r="E825">
        <v>0.91436092021936599</v>
      </c>
      <c r="F825">
        <v>0.78826077557722896</v>
      </c>
      <c r="G825">
        <v>0.51590031567428696</v>
      </c>
      <c r="H825">
        <v>0.415451658658539</v>
      </c>
      <c r="I825">
        <v>0.28361845765138899</v>
      </c>
      <c r="J825">
        <v>0.15545533928615701</v>
      </c>
      <c r="K825">
        <v>0.119272821378915</v>
      </c>
      <c r="L825">
        <v>675.12677889075701</v>
      </c>
      <c r="M825">
        <v>12.303572247129001</v>
      </c>
      <c r="N825">
        <v>55.182059471383198</v>
      </c>
      <c r="O825">
        <v>53.483266525713503</v>
      </c>
      <c r="P825">
        <v>-5.56052796441701E-2</v>
      </c>
      <c r="Q825">
        <v>3.3353642525646897E-2</v>
      </c>
      <c r="R825">
        <v>0.98038036650724403</v>
      </c>
      <c r="S825" t="s">
        <v>6408</v>
      </c>
      <c r="T825" t="s">
        <v>11164</v>
      </c>
      <c r="U825" t="s">
        <v>11164</v>
      </c>
      <c r="V825" t="s">
        <v>11164</v>
      </c>
      <c r="W825" t="s">
        <v>11977</v>
      </c>
      <c r="X825">
        <v>5</v>
      </c>
      <c r="Y825" t="s">
        <v>17511</v>
      </c>
      <c r="Z825" t="s">
        <v>22975</v>
      </c>
      <c r="AA825">
        <v>0.62352356742028525</v>
      </c>
      <c r="AB825" t="str">
        <f>HYPERLINK("Melting_Curves/meltCurve_H0Y8C3_MTCH1.pdf", "Melting_Curves/meltCurve_H0Y8C3_MTCH1.pdf")</f>
        <v>Melting_Curves/meltCurve_H0Y8C3_MTCH1.pdf</v>
      </c>
    </row>
    <row r="826" spans="1:28" x14ac:dyDescent="0.25">
      <c r="A826" t="s">
        <v>830</v>
      </c>
      <c r="B826">
        <v>0.99796759195183404</v>
      </c>
      <c r="C826">
        <v>1.3571933309997499</v>
      </c>
      <c r="D826">
        <v>1.4739248428059599</v>
      </c>
      <c r="E826">
        <v>1.0699074181268899</v>
      </c>
      <c r="F826">
        <v>1.0066373391249599</v>
      </c>
      <c r="G826">
        <v>0.80665946658323995</v>
      </c>
      <c r="H826">
        <v>0.69895129649639998</v>
      </c>
      <c r="I826">
        <v>0.76932114476827995</v>
      </c>
      <c r="J826">
        <v>0.85657324897309395</v>
      </c>
      <c r="K826">
        <v>0.56558945346039002</v>
      </c>
      <c r="S826" t="s">
        <v>6409</v>
      </c>
      <c r="T826" t="s">
        <v>11164</v>
      </c>
      <c r="U826" t="s">
        <v>11165</v>
      </c>
      <c r="V826" t="s">
        <v>11164</v>
      </c>
      <c r="W826" t="s">
        <v>11978</v>
      </c>
      <c r="X826">
        <v>10</v>
      </c>
      <c r="Y826" t="s">
        <v>17512</v>
      </c>
      <c r="Z826" t="s">
        <v>22976</v>
      </c>
      <c r="AB826" t="str">
        <f>HYPERLINK("Melting_Curves/meltCurve_H0Y8X4_DNPH1.pdf", "Melting_Curves/meltCurve_H0Y8X4_DNPH1.pdf")</f>
        <v>Melting_Curves/meltCurve_H0Y8X4_DNPH1.pdf</v>
      </c>
    </row>
    <row r="827" spans="1:28" x14ac:dyDescent="0.25">
      <c r="A827" t="s">
        <v>831</v>
      </c>
      <c r="B827">
        <v>0.99796759195183404</v>
      </c>
      <c r="C827">
        <v>1.13972298255687</v>
      </c>
      <c r="D827">
        <v>0.94653457786286599</v>
      </c>
      <c r="E827">
        <v>1.0690649592828401</v>
      </c>
      <c r="F827">
        <v>0.83483662182927298</v>
      </c>
      <c r="G827">
        <v>0.32127010360850999</v>
      </c>
      <c r="H827">
        <v>0.32628646673962403</v>
      </c>
      <c r="I827">
        <v>0.241770506781431</v>
      </c>
      <c r="J827">
        <v>0.15440646525040699</v>
      </c>
      <c r="K827">
        <v>6.9158619946278199E-2</v>
      </c>
      <c r="L827">
        <v>2054.8797501702102</v>
      </c>
      <c r="M827">
        <v>39.596914820361299</v>
      </c>
      <c r="N827">
        <v>52.516964979946003</v>
      </c>
      <c r="O827">
        <v>51.763115232340901</v>
      </c>
      <c r="P827">
        <v>-0.15544398410440399</v>
      </c>
      <c r="Q827">
        <v>0.18718442272604799</v>
      </c>
      <c r="R827">
        <v>0.96158016890291198</v>
      </c>
      <c r="S827" t="s">
        <v>6410</v>
      </c>
      <c r="T827" t="s">
        <v>11164</v>
      </c>
      <c r="U827" t="s">
        <v>11164</v>
      </c>
      <c r="V827" t="s">
        <v>11164</v>
      </c>
      <c r="W827" t="s">
        <v>11979</v>
      </c>
      <c r="X827">
        <v>7</v>
      </c>
      <c r="Y827" t="s">
        <v>17513</v>
      </c>
      <c r="Z827" t="s">
        <v>22977</v>
      </c>
      <c r="AA827">
        <v>0.5937142024315073</v>
      </c>
      <c r="AB827" t="str">
        <f>HYPERLINK("Melting_Curves/meltCurve_H0Y9Q7_CANX.pdf", "Melting_Curves/meltCurve_H0Y9Q7_CANX.pdf")</f>
        <v>Melting_Curves/meltCurve_H0Y9Q7_CANX.pdf</v>
      </c>
    </row>
    <row r="828" spans="1:28" x14ac:dyDescent="0.25">
      <c r="A828" t="s">
        <v>832</v>
      </c>
      <c r="B828">
        <v>0.99796759195183404</v>
      </c>
      <c r="C828">
        <v>1.1260784907786401</v>
      </c>
      <c r="D828">
        <v>1.0425096508806799</v>
      </c>
      <c r="E828">
        <v>0.85343679723431698</v>
      </c>
      <c r="F828">
        <v>0.51849216292913503</v>
      </c>
      <c r="G828">
        <v>0.16560671281550299</v>
      </c>
      <c r="H828">
        <v>0.102247898125196</v>
      </c>
      <c r="I828">
        <v>9.4557815271468407E-2</v>
      </c>
      <c r="J828">
        <v>9.6283370924819006E-2</v>
      </c>
      <c r="K828">
        <v>0.105157541845808</v>
      </c>
      <c r="L828">
        <v>1417.29011326104</v>
      </c>
      <c r="M828">
        <v>28.4468674247072</v>
      </c>
      <c r="N828">
        <v>50.170810416706701</v>
      </c>
      <c r="O828">
        <v>49.578074832003502</v>
      </c>
      <c r="P828">
        <v>-0.130587295031316</v>
      </c>
      <c r="Q828">
        <v>8.9640676069442496E-2</v>
      </c>
      <c r="R828">
        <v>0.98819245176145998</v>
      </c>
      <c r="S828" t="s">
        <v>6411</v>
      </c>
      <c r="T828" t="s">
        <v>11164</v>
      </c>
      <c r="U828" t="s">
        <v>11164</v>
      </c>
      <c r="V828" t="s">
        <v>11164</v>
      </c>
      <c r="W828" t="s">
        <v>11980</v>
      </c>
      <c r="X828">
        <v>2</v>
      </c>
      <c r="Y828" t="s">
        <v>17514</v>
      </c>
      <c r="Z828" t="s">
        <v>22978</v>
      </c>
      <c r="AA828">
        <v>0.48492384699306268</v>
      </c>
      <c r="AB828" t="str">
        <f>HYPERLINK("Melting_Curves/meltCurve_H0Y9T8_PRR5_ARHGAP8.pdf", "Melting_Curves/meltCurve_H0Y9T8_PRR5_ARHGAP8.pdf")</f>
        <v>Melting_Curves/meltCurve_H0Y9T8_PRR5_ARHGAP8.pdf</v>
      </c>
    </row>
    <row r="829" spans="1:28" x14ac:dyDescent="0.25">
      <c r="A829" t="s">
        <v>833</v>
      </c>
      <c r="B829">
        <v>0.99796759195183404</v>
      </c>
      <c r="C829">
        <v>1.1393774385678499</v>
      </c>
      <c r="D829">
        <v>1.21257173347049</v>
      </c>
      <c r="E829">
        <v>1.1372335461727201</v>
      </c>
      <c r="F829">
        <v>0.99973943654847197</v>
      </c>
      <c r="G829">
        <v>0.53266481690907197</v>
      </c>
      <c r="H829">
        <v>0.36268787354612803</v>
      </c>
      <c r="I829">
        <v>0.31004672030323099</v>
      </c>
      <c r="J829">
        <v>0.316519673933567</v>
      </c>
      <c r="K829">
        <v>0.27001705863866399</v>
      </c>
      <c r="L829">
        <v>3417.1049474047099</v>
      </c>
      <c r="M829">
        <v>64.247103601990801</v>
      </c>
      <c r="N829">
        <v>54.012326612873203</v>
      </c>
      <c r="O829">
        <v>53.135452890800003</v>
      </c>
      <c r="P829">
        <v>-0.207761234084443</v>
      </c>
      <c r="Q829">
        <v>0.31268598812637699</v>
      </c>
      <c r="R829">
        <v>0.93941428594050402</v>
      </c>
      <c r="S829" t="s">
        <v>6412</v>
      </c>
      <c r="T829" t="s">
        <v>11164</v>
      </c>
      <c r="U829" t="s">
        <v>11164</v>
      </c>
      <c r="V829" t="s">
        <v>11164</v>
      </c>
      <c r="W829" t="s">
        <v>11981</v>
      </c>
      <c r="X829">
        <v>2</v>
      </c>
      <c r="Y829" t="s">
        <v>17515</v>
      </c>
      <c r="Z829" t="s">
        <v>22979</v>
      </c>
      <c r="AA829">
        <v>0.68451009111977112</v>
      </c>
      <c r="AB829" t="str">
        <f>HYPERLINK("Melting_Curves/meltCurve_H0Y9V2_UBE2B.pdf", "Melting_Curves/meltCurve_H0Y9V2_UBE2B.pdf")</f>
        <v>Melting_Curves/meltCurve_H0Y9V2_UBE2B.pdf</v>
      </c>
    </row>
    <row r="830" spans="1:28" x14ac:dyDescent="0.25">
      <c r="A830" t="s">
        <v>834</v>
      </c>
      <c r="B830">
        <v>0.99796759195183404</v>
      </c>
      <c r="C830">
        <v>1.01798603891359</v>
      </c>
      <c r="D830">
        <v>1.05921872591652</v>
      </c>
      <c r="E830">
        <v>1.07623423312514</v>
      </c>
      <c r="F830">
        <v>0.91447668334407095</v>
      </c>
      <c r="G830">
        <v>0.51695190369280897</v>
      </c>
      <c r="H830">
        <v>0.30560484097170298</v>
      </c>
      <c r="I830">
        <v>0.190919384675831</v>
      </c>
      <c r="J830">
        <v>0.12411156258212599</v>
      </c>
      <c r="K830">
        <v>9.23194791432604E-2</v>
      </c>
      <c r="L830">
        <v>1445.9754365224601</v>
      </c>
      <c r="M830">
        <v>26.884027028241501</v>
      </c>
      <c r="N830">
        <v>54.3691763104394</v>
      </c>
      <c r="O830">
        <v>53.490716419663599</v>
      </c>
      <c r="P830">
        <v>-0.10990381607152</v>
      </c>
      <c r="Q830">
        <v>0.125313394768304</v>
      </c>
      <c r="R830">
        <v>0.98808432414720004</v>
      </c>
      <c r="S830" t="s">
        <v>6413</v>
      </c>
      <c r="T830" t="s">
        <v>11164</v>
      </c>
      <c r="U830" t="s">
        <v>11164</v>
      </c>
      <c r="V830" t="s">
        <v>11164</v>
      </c>
      <c r="W830" t="s">
        <v>11982</v>
      </c>
      <c r="X830">
        <v>6</v>
      </c>
      <c r="Y830" t="s">
        <v>17516</v>
      </c>
      <c r="Z830" t="s">
        <v>22980</v>
      </c>
      <c r="AA830">
        <v>0.62150271692540215</v>
      </c>
      <c r="AB830" t="str">
        <f>HYPERLINK("Melting_Curves/meltCurve_H0Y9X1_TMA16.pdf", "Melting_Curves/meltCurve_H0Y9X1_TMA16.pdf")</f>
        <v>Melting_Curves/meltCurve_H0Y9X1_TMA16.pdf</v>
      </c>
    </row>
    <row r="831" spans="1:28" x14ac:dyDescent="0.25">
      <c r="A831" t="s">
        <v>835</v>
      </c>
      <c r="B831">
        <v>0.99796759195183404</v>
      </c>
      <c r="C831">
        <v>0.82439630659730401</v>
      </c>
      <c r="D831">
        <v>0.78841918183026505</v>
      </c>
      <c r="E831">
        <v>0.68917430214074105</v>
      </c>
      <c r="F831">
        <v>0.76353107996110003</v>
      </c>
      <c r="G831">
        <v>0.30082375898877201</v>
      </c>
      <c r="H831">
        <v>0.1889713777607</v>
      </c>
      <c r="I831">
        <v>0.21115926780097699</v>
      </c>
      <c r="J831">
        <v>0</v>
      </c>
      <c r="K831">
        <v>0.13915468180023199</v>
      </c>
      <c r="L831">
        <v>500.80028144613698</v>
      </c>
      <c r="M831">
        <v>9.8020186086725491</v>
      </c>
      <c r="N831">
        <v>51.091545363066999</v>
      </c>
      <c r="O831">
        <v>49.101212560078601</v>
      </c>
      <c r="P831">
        <v>-4.9933413312189701E-2</v>
      </c>
      <c r="Q831">
        <v>0</v>
      </c>
      <c r="R831">
        <v>0.91412014241828099</v>
      </c>
      <c r="S831" t="s">
        <v>6414</v>
      </c>
      <c r="T831" t="s">
        <v>11164</v>
      </c>
      <c r="U831" t="s">
        <v>11164</v>
      </c>
      <c r="V831" t="s">
        <v>11164</v>
      </c>
      <c r="W831" t="s">
        <v>11983</v>
      </c>
      <c r="X831">
        <v>1</v>
      </c>
      <c r="Y831" t="s">
        <v>17517</v>
      </c>
      <c r="Z831" t="s">
        <v>22981</v>
      </c>
      <c r="AA831">
        <v>0.50029202577930265</v>
      </c>
      <c r="AB831" t="str">
        <f>HYPERLINK("Melting_Curves/meltCurve_H0YA20_DGKQ.pdf", "Melting_Curves/meltCurve_H0YA20_DGKQ.pdf")</f>
        <v>Melting_Curves/meltCurve_H0YA20_DGKQ.pdf</v>
      </c>
    </row>
    <row r="832" spans="1:28" x14ac:dyDescent="0.25">
      <c r="A832" t="s">
        <v>836</v>
      </c>
      <c r="B832">
        <v>0.99796759195183404</v>
      </c>
      <c r="C832">
        <v>1.04248330229973</v>
      </c>
      <c r="D832">
        <v>1.0125449221356499</v>
      </c>
      <c r="E832">
        <v>0.97816767348001399</v>
      </c>
      <c r="F832">
        <v>0.85918005002935305</v>
      </c>
      <c r="G832">
        <v>0.60792325457705798</v>
      </c>
      <c r="H832">
        <v>0.77350210968112598</v>
      </c>
      <c r="I832">
        <v>0.82434170987543298</v>
      </c>
      <c r="J832">
        <v>0.91570500300759805</v>
      </c>
      <c r="K832">
        <v>0.81909818635572296</v>
      </c>
      <c r="L832">
        <v>12515.6695425079</v>
      </c>
      <c r="M832">
        <v>250</v>
      </c>
      <c r="O832">
        <v>50.0594745621733</v>
      </c>
      <c r="P832">
        <v>-0.26454276006316402</v>
      </c>
      <c r="Q832">
        <v>0.78811405546310698</v>
      </c>
      <c r="R832">
        <v>0.66724115595968003</v>
      </c>
      <c r="S832" t="s">
        <v>6415</v>
      </c>
      <c r="T832" t="s">
        <v>11164</v>
      </c>
      <c r="U832" t="s">
        <v>11164</v>
      </c>
      <c r="V832" t="s">
        <v>11164</v>
      </c>
      <c r="W832" t="s">
        <v>11984</v>
      </c>
      <c r="X832">
        <v>1</v>
      </c>
      <c r="Y832" t="s">
        <v>17518</v>
      </c>
      <c r="Z832" t="s">
        <v>22982</v>
      </c>
      <c r="AA832">
        <v>0.88039260167176336</v>
      </c>
      <c r="AB832" t="str">
        <f>HYPERLINK("Melting_Curves/meltCurve_H0YAA8_MED28.pdf", "Melting_Curves/meltCurve_H0YAA8_MED28.pdf")</f>
        <v>Melting_Curves/meltCurve_H0YAA8_MED28.pdf</v>
      </c>
    </row>
    <row r="833" spans="1:28" x14ac:dyDescent="0.25">
      <c r="A833" t="s">
        <v>837</v>
      </c>
      <c r="B833">
        <v>0.99796759195183404</v>
      </c>
      <c r="C833">
        <v>0.92063551126828602</v>
      </c>
      <c r="D833">
        <v>0.85575289853527303</v>
      </c>
      <c r="E833">
        <v>0.81579619782377799</v>
      </c>
      <c r="F833">
        <v>0.72642812818487401</v>
      </c>
      <c r="G833">
        <v>0.398144937719562</v>
      </c>
      <c r="H833">
        <v>0.30258069313033897</v>
      </c>
      <c r="I833">
        <v>0.18029593190381199</v>
      </c>
      <c r="J833">
        <v>0.17191555602921499</v>
      </c>
      <c r="K833">
        <v>5.9439812853894602E-2</v>
      </c>
      <c r="L833">
        <v>567.73415962440299</v>
      </c>
      <c r="M833">
        <v>10.732044810463</v>
      </c>
      <c r="N833">
        <v>52.9008615045013</v>
      </c>
      <c r="O833">
        <v>51.163329291750202</v>
      </c>
      <c r="P833">
        <v>-5.2459550165084502E-2</v>
      </c>
      <c r="Q833">
        <v>0</v>
      </c>
      <c r="R833">
        <v>0.98190118426292705</v>
      </c>
      <c r="S833" t="s">
        <v>6416</v>
      </c>
      <c r="T833" t="s">
        <v>11164</v>
      </c>
      <c r="U833" t="s">
        <v>11164</v>
      </c>
      <c r="V833" t="s">
        <v>11164</v>
      </c>
      <c r="W833" t="s">
        <v>11985</v>
      </c>
      <c r="X833">
        <v>2</v>
      </c>
      <c r="Y833" t="s">
        <v>17519</v>
      </c>
      <c r="Z833" t="s">
        <v>22983</v>
      </c>
      <c r="AA833">
        <v>0.5524649753649824</v>
      </c>
      <c r="AB833" t="str">
        <f>HYPERLINK("Melting_Curves/meltCurve_H0YAJ5_APBB2.pdf", "Melting_Curves/meltCurve_H0YAJ5_APBB2.pdf")</f>
        <v>Melting_Curves/meltCurve_H0YAJ5_APBB2.pdf</v>
      </c>
    </row>
    <row r="834" spans="1:28" x14ac:dyDescent="0.25">
      <c r="A834" t="s">
        <v>838</v>
      </c>
      <c r="B834">
        <v>0.99796759195183404</v>
      </c>
      <c r="C834">
        <v>0.99440674797862205</v>
      </c>
      <c r="D834">
        <v>0.65416585054696297</v>
      </c>
      <c r="E834">
        <v>0.74393765713294602</v>
      </c>
      <c r="F834">
        <v>0.92346386823079996</v>
      </c>
      <c r="G834">
        <v>0.83468550131111896</v>
      </c>
      <c r="H834">
        <v>0.45643342508353202</v>
      </c>
      <c r="I834">
        <v>0.34673909286346399</v>
      </c>
      <c r="J834">
        <v>0.34721737653189799</v>
      </c>
      <c r="K834">
        <v>5.3036096614821601E-2</v>
      </c>
      <c r="L834">
        <v>607.41810435723005</v>
      </c>
      <c r="M834">
        <v>10.510040131802199</v>
      </c>
      <c r="N834">
        <v>57.794080425985001</v>
      </c>
      <c r="O834">
        <v>55.8193806154637</v>
      </c>
      <c r="P834">
        <v>-4.7090566752507799E-2</v>
      </c>
      <c r="Q834">
        <v>0</v>
      </c>
      <c r="R834">
        <v>0.78938536218014399</v>
      </c>
      <c r="S834" t="s">
        <v>6417</v>
      </c>
      <c r="T834" t="s">
        <v>11164</v>
      </c>
      <c r="U834" t="s">
        <v>11164</v>
      </c>
      <c r="V834" t="s">
        <v>11164</v>
      </c>
      <c r="W834" t="s">
        <v>11986</v>
      </c>
      <c r="X834">
        <v>1</v>
      </c>
      <c r="Y834" t="s">
        <v>17520</v>
      </c>
      <c r="Z834" t="s">
        <v>22984</v>
      </c>
      <c r="AA834">
        <v>0.68835618066280102</v>
      </c>
      <c r="AB834" t="str">
        <f>HYPERLINK("Melting_Curves/meltCurve_H0YAN2_ENTPD4.pdf", "Melting_Curves/meltCurve_H0YAN2_ENTPD4.pdf")</f>
        <v>Melting_Curves/meltCurve_H0YAN2_ENTPD4.pdf</v>
      </c>
    </row>
    <row r="835" spans="1:28" x14ac:dyDescent="0.25">
      <c r="A835" t="s">
        <v>839</v>
      </c>
      <c r="B835">
        <v>0.99796759195183404</v>
      </c>
      <c r="C835">
        <v>0.83372303904679002</v>
      </c>
      <c r="D835">
        <v>0.64937006184605195</v>
      </c>
      <c r="E835">
        <v>0.96320501305065798</v>
      </c>
      <c r="F835">
        <v>0.683259105784772</v>
      </c>
      <c r="G835">
        <v>0.42632023795959201</v>
      </c>
      <c r="H835">
        <v>0.183335039338932</v>
      </c>
      <c r="I835">
        <v>0.33222445738456802</v>
      </c>
      <c r="J835">
        <v>0</v>
      </c>
      <c r="K835">
        <v>0.12662626750050299</v>
      </c>
      <c r="L835">
        <v>528.19152618458304</v>
      </c>
      <c r="M835">
        <v>10.0589439099928</v>
      </c>
      <c r="N835">
        <v>52.509640264054902</v>
      </c>
      <c r="O835">
        <v>50.560968669680499</v>
      </c>
      <c r="P835">
        <v>-4.9760360605487199E-2</v>
      </c>
      <c r="Q835">
        <v>0</v>
      </c>
      <c r="R835">
        <v>0.85257765372171401</v>
      </c>
      <c r="S835" t="s">
        <v>6418</v>
      </c>
      <c r="T835" t="s">
        <v>11164</v>
      </c>
      <c r="U835" t="s">
        <v>11164</v>
      </c>
      <c r="V835" t="s">
        <v>11164</v>
      </c>
      <c r="W835" t="s">
        <v>11987</v>
      </c>
      <c r="X835">
        <v>1</v>
      </c>
      <c r="Y835" t="s">
        <v>17521</v>
      </c>
      <c r="Z835" t="s">
        <v>22985</v>
      </c>
      <c r="AA835">
        <v>0.54148830188386254</v>
      </c>
      <c r="AB835" t="str">
        <f>HYPERLINK("Melting_Curves/meltCurve_H0YAT1_SH2D4A.pdf", "Melting_Curves/meltCurve_H0YAT1_SH2D4A.pdf")</f>
        <v>Melting_Curves/meltCurve_H0YAT1_SH2D4A.pdf</v>
      </c>
    </row>
    <row r="836" spans="1:28" x14ac:dyDescent="0.25">
      <c r="A836" t="s">
        <v>840</v>
      </c>
      <c r="B836">
        <v>0.99796759195183404</v>
      </c>
      <c r="C836">
        <v>1.18645538408956</v>
      </c>
      <c r="D836">
        <v>1.0634550740603199</v>
      </c>
      <c r="E836">
        <v>1.1245069058758399</v>
      </c>
      <c r="F836">
        <v>1.2896861299959199</v>
      </c>
      <c r="G836">
        <v>0.78238039272424698</v>
      </c>
      <c r="H836">
        <v>0.86890880375428203</v>
      </c>
      <c r="I836">
        <v>0.51667304817315596</v>
      </c>
      <c r="J836">
        <v>0.53969163515656504</v>
      </c>
      <c r="K836">
        <v>0.50385799579354595</v>
      </c>
      <c r="L836">
        <v>1678.6289350698501</v>
      </c>
      <c r="M836">
        <v>28.9063565641986</v>
      </c>
      <c r="N836">
        <v>65.767122625198695</v>
      </c>
      <c r="O836">
        <v>57.7954815105888</v>
      </c>
      <c r="P836">
        <v>-6.46423713859718E-2</v>
      </c>
      <c r="Q836">
        <v>0.48301910535248399</v>
      </c>
      <c r="R836">
        <v>0.76134427078799205</v>
      </c>
      <c r="S836" t="s">
        <v>6419</v>
      </c>
      <c r="T836" t="s">
        <v>11164</v>
      </c>
      <c r="U836" t="s">
        <v>11164</v>
      </c>
      <c r="V836" t="s">
        <v>11164</v>
      </c>
      <c r="W836" t="s">
        <v>11988</v>
      </c>
      <c r="X836">
        <v>3</v>
      </c>
      <c r="Y836" t="s">
        <v>17522</v>
      </c>
      <c r="Z836" t="s">
        <v>22986</v>
      </c>
      <c r="AA836">
        <v>0.84908465533979105</v>
      </c>
      <c r="AB836" t="str">
        <f>HYPERLINK("Melting_Curves/meltCurve_H0YAT2_MRPS28.pdf", "Melting_Curves/meltCurve_H0YAT2_MRPS28.pdf")</f>
        <v>Melting_Curves/meltCurve_H0YAT2_MRPS28.pdf</v>
      </c>
    </row>
    <row r="837" spans="1:28" x14ac:dyDescent="0.25">
      <c r="A837" t="s">
        <v>841</v>
      </c>
      <c r="B837">
        <v>0.99796759195183404</v>
      </c>
      <c r="C837">
        <v>1.01887404809143</v>
      </c>
      <c r="D837">
        <v>0.93827874978543901</v>
      </c>
      <c r="E837">
        <v>0.940321960869134</v>
      </c>
      <c r="F837">
        <v>0.82416614307093505</v>
      </c>
      <c r="G837">
        <v>0.63827644265657502</v>
      </c>
      <c r="H837">
        <v>0.30210881785841698</v>
      </c>
      <c r="I837">
        <v>0.179476748351377</v>
      </c>
      <c r="J837">
        <v>0.128129547745338</v>
      </c>
      <c r="K837">
        <v>0.11707775002151</v>
      </c>
      <c r="L837">
        <v>1012.62264412515</v>
      </c>
      <c r="M837">
        <v>18.574992839916501</v>
      </c>
      <c r="N837">
        <v>54.987183823691304</v>
      </c>
      <c r="O837">
        <v>53.895312966109699</v>
      </c>
      <c r="P837">
        <v>-7.9818760602627395E-2</v>
      </c>
      <c r="Q837">
        <v>7.3664360629363407E-2</v>
      </c>
      <c r="R837">
        <v>0.99424967202569103</v>
      </c>
      <c r="S837" t="s">
        <v>6420</v>
      </c>
      <c r="T837" t="s">
        <v>11164</v>
      </c>
      <c r="U837" t="s">
        <v>11164</v>
      </c>
      <c r="V837" t="s">
        <v>11164</v>
      </c>
      <c r="W837" t="s">
        <v>11989</v>
      </c>
      <c r="X837">
        <v>5</v>
      </c>
      <c r="Y837" t="s">
        <v>17523</v>
      </c>
      <c r="Z837" t="s">
        <v>22987</v>
      </c>
      <c r="AA837">
        <v>0.62631706586313995</v>
      </c>
      <c r="AB837" t="str">
        <f>HYPERLINK("Melting_Curves/meltCurve_H0YB09_C14orf159.pdf", "Melting_Curves/meltCurve_H0YB09_C14orf159.pdf")</f>
        <v>Melting_Curves/meltCurve_H0YB09_C14orf159.pdf</v>
      </c>
    </row>
    <row r="838" spans="1:28" x14ac:dyDescent="0.25">
      <c r="A838" t="s">
        <v>842</v>
      </c>
      <c r="B838">
        <v>0.99796759195183404</v>
      </c>
      <c r="C838">
        <v>0.89768979926117698</v>
      </c>
      <c r="D838">
        <v>0.90068526920044001</v>
      </c>
      <c r="E838">
        <v>0.57004259409547997</v>
      </c>
      <c r="F838">
        <v>0.24551918083923299</v>
      </c>
      <c r="G838">
        <v>0</v>
      </c>
      <c r="H838">
        <v>0.1112027296455</v>
      </c>
      <c r="I838">
        <v>0.20068464293476901</v>
      </c>
      <c r="J838">
        <v>0</v>
      </c>
      <c r="K838">
        <v>0</v>
      </c>
      <c r="L838">
        <v>1072.1782939014599</v>
      </c>
      <c r="M838">
        <v>22.852436534627898</v>
      </c>
      <c r="N838">
        <v>47.147030057515103</v>
      </c>
      <c r="O838">
        <v>46.562645239566898</v>
      </c>
      <c r="P838">
        <v>-0.116239179584866</v>
      </c>
      <c r="Q838">
        <v>5.2652955229417403E-2</v>
      </c>
      <c r="R838">
        <v>0.96935939520513004</v>
      </c>
      <c r="S838" t="s">
        <v>6421</v>
      </c>
      <c r="T838" t="s">
        <v>11164</v>
      </c>
      <c r="U838" t="s">
        <v>11164</v>
      </c>
      <c r="V838" t="s">
        <v>11164</v>
      </c>
      <c r="W838" t="s">
        <v>11990</v>
      </c>
      <c r="X838">
        <v>2</v>
      </c>
      <c r="Y838" t="s">
        <v>17524</v>
      </c>
      <c r="Z838" t="s">
        <v>22988</v>
      </c>
      <c r="AA838">
        <v>0.37534633178256099</v>
      </c>
      <c r="AB838" t="str">
        <f>HYPERLINK("Melting_Curves/meltCurve_H0YBS1_INTS8.pdf", "Melting_Curves/meltCurve_H0YBS1_INTS8.pdf")</f>
        <v>Melting_Curves/meltCurve_H0YBS1_INTS8.pdf</v>
      </c>
    </row>
    <row r="839" spans="1:28" x14ac:dyDescent="0.25">
      <c r="A839" t="s">
        <v>843</v>
      </c>
      <c r="B839">
        <v>0.99796759195183404</v>
      </c>
      <c r="C839">
        <v>0.98856223936729704</v>
      </c>
      <c r="D839">
        <v>1.0198086345911499</v>
      </c>
      <c r="E839">
        <v>0.98870719096192405</v>
      </c>
      <c r="F839">
        <v>0.98738896587657699</v>
      </c>
      <c r="G839">
        <v>1.14167568145503</v>
      </c>
      <c r="H839">
        <v>0.184125968859048</v>
      </c>
      <c r="I839">
        <v>0.19714625843022199</v>
      </c>
      <c r="J839">
        <v>0.106447367569401</v>
      </c>
      <c r="K839">
        <v>7.7031066073380103E-2</v>
      </c>
      <c r="L839">
        <v>14197.5020715296</v>
      </c>
      <c r="M839">
        <v>250</v>
      </c>
      <c r="N839">
        <v>56.856576494267401</v>
      </c>
      <c r="O839">
        <v>56.786375176348798</v>
      </c>
      <c r="P839">
        <v>-0.96097633957545203</v>
      </c>
      <c r="Q839">
        <v>0.126874210257689</v>
      </c>
      <c r="R839">
        <v>0.98476124499751705</v>
      </c>
      <c r="S839" t="s">
        <v>6422</v>
      </c>
      <c r="T839" t="s">
        <v>11164</v>
      </c>
      <c r="U839" t="s">
        <v>11164</v>
      </c>
      <c r="V839" t="s">
        <v>11164</v>
      </c>
      <c r="W839" t="s">
        <v>11991</v>
      </c>
      <c r="X839">
        <v>2</v>
      </c>
      <c r="Y839" t="s">
        <v>17525</v>
      </c>
      <c r="Z839" t="s">
        <v>22989</v>
      </c>
      <c r="AA839">
        <v>0.70293345130734297</v>
      </c>
      <c r="AB839" t="str">
        <f>HYPERLINK("Melting_Curves/meltCurve_H0YCB3_ASCC1.pdf", "Melting_Curves/meltCurve_H0YCB3_ASCC1.pdf")</f>
        <v>Melting_Curves/meltCurve_H0YCB3_ASCC1.pdf</v>
      </c>
    </row>
    <row r="840" spans="1:28" x14ac:dyDescent="0.25">
      <c r="A840" t="s">
        <v>844</v>
      </c>
      <c r="B840">
        <v>0.99796759195183404</v>
      </c>
      <c r="C840">
        <v>0.96098028426163096</v>
      </c>
      <c r="D840">
        <v>0.99664502830869395</v>
      </c>
      <c r="E840">
        <v>0.83253240368821502</v>
      </c>
      <c r="F840">
        <v>0.70132317325279503</v>
      </c>
      <c r="G840">
        <v>0.54452958709377797</v>
      </c>
      <c r="H840">
        <v>0.38230179430281203</v>
      </c>
      <c r="I840">
        <v>0.305107694044152</v>
      </c>
      <c r="J840">
        <v>0.22290661356878899</v>
      </c>
      <c r="K840">
        <v>0.15621700454088</v>
      </c>
      <c r="L840">
        <v>571.538962508993</v>
      </c>
      <c r="M840">
        <v>10.591736616424001</v>
      </c>
      <c r="N840">
        <v>54.733458769900203</v>
      </c>
      <c r="O840">
        <v>52.143880568183597</v>
      </c>
      <c r="P840">
        <v>-4.7273691138430302E-2</v>
      </c>
      <c r="Q840">
        <v>6.9436023045485698E-2</v>
      </c>
      <c r="R840">
        <v>0.99500655745976996</v>
      </c>
      <c r="S840" t="s">
        <v>6423</v>
      </c>
      <c r="T840" t="s">
        <v>11164</v>
      </c>
      <c r="U840" t="s">
        <v>11164</v>
      </c>
      <c r="V840" t="s">
        <v>11164</v>
      </c>
      <c r="W840" t="s">
        <v>11992</v>
      </c>
      <c r="X840">
        <v>7</v>
      </c>
      <c r="Y840" t="s">
        <v>17526</v>
      </c>
      <c r="Z840" t="s">
        <v>22990</v>
      </c>
      <c r="AA840">
        <v>0.61235279046805724</v>
      </c>
      <c r="AB840" t="str">
        <f>HYPERLINK("Melting_Curves/meltCurve_H0YCK3_ADAR.pdf", "Melting_Curves/meltCurve_H0YCK3_ADAR.pdf")</f>
        <v>Melting_Curves/meltCurve_H0YCK3_ADAR.pdf</v>
      </c>
    </row>
    <row r="841" spans="1:28" x14ac:dyDescent="0.25">
      <c r="A841" t="s">
        <v>845</v>
      </c>
      <c r="B841">
        <v>0.99796759195183404</v>
      </c>
      <c r="C841">
        <v>0.95939701581799897</v>
      </c>
      <c r="D841">
        <v>1.09774810788077</v>
      </c>
      <c r="E841">
        <v>1.0487741357242999</v>
      </c>
      <c r="F841">
        <v>0.87711202322153103</v>
      </c>
      <c r="G841">
        <v>0.552095874675263</v>
      </c>
      <c r="H841">
        <v>0.53902430599362505</v>
      </c>
      <c r="I841">
        <v>0.47144340616781499</v>
      </c>
      <c r="J841">
        <v>0.45263935010106399</v>
      </c>
      <c r="K841">
        <v>0.35972124829879798</v>
      </c>
      <c r="L841">
        <v>1862.1330888730299</v>
      </c>
      <c r="M841">
        <v>35.840894478950197</v>
      </c>
      <c r="N841">
        <v>55.401867524996</v>
      </c>
      <c r="O841">
        <v>51.79459298159</v>
      </c>
      <c r="P841">
        <v>-9.5803435157794103E-2</v>
      </c>
      <c r="Q841">
        <v>0.44620980316661302</v>
      </c>
      <c r="R841">
        <v>0.96086031529272597</v>
      </c>
      <c r="S841" t="s">
        <v>6424</v>
      </c>
      <c r="T841" t="s">
        <v>11164</v>
      </c>
      <c r="U841" t="s">
        <v>11164</v>
      </c>
      <c r="V841" t="s">
        <v>11164</v>
      </c>
      <c r="W841" t="s">
        <v>11993</v>
      </c>
      <c r="X841">
        <v>2</v>
      </c>
      <c r="Y841" t="s">
        <v>17527</v>
      </c>
      <c r="Z841" t="s">
        <v>22991</v>
      </c>
      <c r="AA841">
        <v>0.72475220773068405</v>
      </c>
      <c r="AB841" t="str">
        <f>HYPERLINK("Melting_Curves/meltCurve_H0YDI1_CD58.pdf", "Melting_Curves/meltCurve_H0YDI1_CD58.pdf")</f>
        <v>Melting_Curves/meltCurve_H0YDI1_CD58.pdf</v>
      </c>
    </row>
    <row r="842" spans="1:28" x14ac:dyDescent="0.25">
      <c r="A842" t="s">
        <v>846</v>
      </c>
      <c r="B842">
        <v>0.99796759195183404</v>
      </c>
      <c r="C842">
        <v>1.18053200553073</v>
      </c>
      <c r="D842">
        <v>1.0663997724341301</v>
      </c>
      <c r="E842">
        <v>1.11804444907205</v>
      </c>
      <c r="F842">
        <v>0.93306964372590695</v>
      </c>
      <c r="G842">
        <v>0.82398680504911503</v>
      </c>
      <c r="H842">
        <v>0.52054676334169503</v>
      </c>
      <c r="I842">
        <v>0.29949462018605699</v>
      </c>
      <c r="J842">
        <v>0.237599377417816</v>
      </c>
      <c r="K842">
        <v>0.17683818316960701</v>
      </c>
      <c r="L842">
        <v>1353.1255974732201</v>
      </c>
      <c r="M842">
        <v>23.873964449177599</v>
      </c>
      <c r="N842">
        <v>57.690288229253603</v>
      </c>
      <c r="O842">
        <v>56.284680873924898</v>
      </c>
      <c r="P842">
        <v>-8.7894972328790205E-2</v>
      </c>
      <c r="Q842">
        <v>0.17113680757597199</v>
      </c>
      <c r="R842">
        <v>0.96074046187613205</v>
      </c>
      <c r="S842" t="s">
        <v>6425</v>
      </c>
      <c r="T842" t="s">
        <v>11164</v>
      </c>
      <c r="U842" t="s">
        <v>11164</v>
      </c>
      <c r="V842" t="s">
        <v>11164</v>
      </c>
      <c r="W842" t="s">
        <v>11994</v>
      </c>
      <c r="X842">
        <v>1</v>
      </c>
      <c r="Y842" t="s">
        <v>17528</v>
      </c>
      <c r="Z842" t="s">
        <v>22992</v>
      </c>
      <c r="AA842">
        <v>0.72152495948575068</v>
      </c>
      <c r="AB842" t="str">
        <f>HYPERLINK("Melting_Curves/meltCurve_H0YDQ1_ALG8.pdf", "Melting_Curves/meltCurve_H0YDQ1_ALG8.pdf")</f>
        <v>Melting_Curves/meltCurve_H0YDQ1_ALG8.pdf</v>
      </c>
    </row>
    <row r="843" spans="1:28" x14ac:dyDescent="0.25">
      <c r="A843" t="s">
        <v>847</v>
      </c>
      <c r="B843">
        <v>0.99796759195183404</v>
      </c>
      <c r="C843">
        <v>1.0814518992325499</v>
      </c>
      <c r="D843">
        <v>1.0289565612060401</v>
      </c>
      <c r="E843">
        <v>1.0022210867191299</v>
      </c>
      <c r="F843">
        <v>0.86929429999513497</v>
      </c>
      <c r="G843">
        <v>0.69569183297330295</v>
      </c>
      <c r="H843">
        <v>0.39898949044821902</v>
      </c>
      <c r="I843">
        <v>0.20188003700915</v>
      </c>
      <c r="J843">
        <v>0.14583745524386801</v>
      </c>
      <c r="K843">
        <v>0.110380152374151</v>
      </c>
      <c r="L843">
        <v>1090.59605167732</v>
      </c>
      <c r="M843">
        <v>19.628627267098398</v>
      </c>
      <c r="N843">
        <v>56.039650588182603</v>
      </c>
      <c r="O843">
        <v>54.994432628994097</v>
      </c>
      <c r="P843">
        <v>-8.2353390350719799E-2</v>
      </c>
      <c r="Q843">
        <v>7.7098819185692793E-2</v>
      </c>
      <c r="R843">
        <v>0.99337487200029695</v>
      </c>
      <c r="S843" t="s">
        <v>6426</v>
      </c>
      <c r="T843" t="s">
        <v>11164</v>
      </c>
      <c r="U843" t="s">
        <v>11164</v>
      </c>
      <c r="V843" t="s">
        <v>11164</v>
      </c>
      <c r="W843" t="s">
        <v>11995</v>
      </c>
      <c r="X843">
        <v>28</v>
      </c>
      <c r="Y843" t="s">
        <v>17529</v>
      </c>
      <c r="Z843" t="s">
        <v>22993</v>
      </c>
      <c r="AA843">
        <v>0.65824461349803409</v>
      </c>
      <c r="AB843" t="str">
        <f>HYPERLINK("Melting_Curves/meltCurve_H0YDU8_PPP5C.pdf", "Melting_Curves/meltCurve_H0YDU8_PPP5C.pdf")</f>
        <v>Melting_Curves/meltCurve_H0YDU8_PPP5C.pdf</v>
      </c>
    </row>
    <row r="844" spans="1:28" x14ac:dyDescent="0.25">
      <c r="A844" t="s">
        <v>848</v>
      </c>
      <c r="B844">
        <v>0.99796759195183404</v>
      </c>
      <c r="C844">
        <v>1.04024200870713</v>
      </c>
      <c r="D844">
        <v>0.93680878240097798</v>
      </c>
      <c r="E844">
        <v>0.93207105320471595</v>
      </c>
      <c r="F844">
        <v>0.95739425467634398</v>
      </c>
      <c r="G844">
        <v>1.17982440336946</v>
      </c>
      <c r="H844">
        <v>1.12710380530299</v>
      </c>
      <c r="I844">
        <v>1.3031093220808401</v>
      </c>
      <c r="J844">
        <v>1.1513696637769399</v>
      </c>
      <c r="K844">
        <v>0.95195258607795497</v>
      </c>
      <c r="L844">
        <v>4770.9342538743804</v>
      </c>
      <c r="M844">
        <v>91.7904577979767</v>
      </c>
      <c r="O844">
        <v>51.951684786806801</v>
      </c>
      <c r="P844">
        <v>6.3240663473319594E-2</v>
      </c>
      <c r="Q844">
        <v>1.14317219041621</v>
      </c>
      <c r="R844">
        <v>0.46736838037356898</v>
      </c>
      <c r="S844" t="s">
        <v>6427</v>
      </c>
      <c r="T844" t="s">
        <v>11164</v>
      </c>
      <c r="U844" t="s">
        <v>11164</v>
      </c>
      <c r="V844" t="s">
        <v>11164</v>
      </c>
      <c r="W844" t="s">
        <v>11996</v>
      </c>
      <c r="X844">
        <v>9</v>
      </c>
      <c r="Y844" t="s">
        <v>17530</v>
      </c>
      <c r="Z844" t="s">
        <v>22994</v>
      </c>
      <c r="AA844">
        <v>1.0716018799356031</v>
      </c>
      <c r="AB844" t="str">
        <f>HYPERLINK("Melting_Curves/meltCurve_H0YEB6_SSSCA1.pdf", "Melting_Curves/meltCurve_H0YEB6_SSSCA1.pdf")</f>
        <v>Melting_Curves/meltCurve_H0YEB6_SSSCA1.pdf</v>
      </c>
    </row>
    <row r="845" spans="1:28" x14ac:dyDescent="0.25">
      <c r="A845" t="s">
        <v>849</v>
      </c>
      <c r="B845">
        <v>0.99796759195183404</v>
      </c>
      <c r="C845">
        <v>0.94632888438304097</v>
      </c>
      <c r="D845">
        <v>0.92168912038968198</v>
      </c>
      <c r="E845">
        <v>0.71690035532372198</v>
      </c>
      <c r="F845">
        <v>0.64785569049951297</v>
      </c>
      <c r="G845">
        <v>0.24931321894824399</v>
      </c>
      <c r="H845">
        <v>0.14260882328397201</v>
      </c>
      <c r="I845">
        <v>0.114293658035344</v>
      </c>
      <c r="J845">
        <v>0.10329223811835</v>
      </c>
      <c r="K845">
        <v>8.43533461278409E-2</v>
      </c>
      <c r="L845">
        <v>744.36735424424603</v>
      </c>
      <c r="M845">
        <v>14.7733499618717</v>
      </c>
      <c r="N845">
        <v>50.702010717963901</v>
      </c>
      <c r="O845">
        <v>49.489651916777603</v>
      </c>
      <c r="P845">
        <v>-7.1351782024442797E-2</v>
      </c>
      <c r="Q845">
        <v>4.4009794685406799E-2</v>
      </c>
      <c r="R845">
        <v>0.982479338984106</v>
      </c>
      <c r="S845" t="s">
        <v>6428</v>
      </c>
      <c r="T845" t="s">
        <v>11164</v>
      </c>
      <c r="U845" t="s">
        <v>11164</v>
      </c>
      <c r="V845" t="s">
        <v>11164</v>
      </c>
      <c r="W845" t="s">
        <v>11997</v>
      </c>
      <c r="X845">
        <v>3</v>
      </c>
      <c r="Y845" t="s">
        <v>17531</v>
      </c>
      <c r="Z845" t="s">
        <v>22995</v>
      </c>
      <c r="AA845">
        <v>0.49070754842453901</v>
      </c>
      <c r="AB845" t="str">
        <f>HYPERLINK("Melting_Curves/meltCurve_H0YEF3_RNASEH2C.pdf", "Melting_Curves/meltCurve_H0YEF3_RNASEH2C.pdf")</f>
        <v>Melting_Curves/meltCurve_H0YEF3_RNASEH2C.pdf</v>
      </c>
    </row>
    <row r="846" spans="1:28" x14ac:dyDescent="0.25">
      <c r="A846" t="s">
        <v>850</v>
      </c>
      <c r="B846">
        <v>0.99796759195183404</v>
      </c>
      <c r="C846">
        <v>1.03381384763896</v>
      </c>
      <c r="D846">
        <v>1.0150609867801099</v>
      </c>
      <c r="E846">
        <v>0.99487214778106603</v>
      </c>
      <c r="F846">
        <v>0.778195618932081</v>
      </c>
      <c r="G846">
        <v>0.61712239274792002</v>
      </c>
      <c r="H846">
        <v>0.31358722830327301</v>
      </c>
      <c r="I846">
        <v>0.273659213306291</v>
      </c>
      <c r="J846">
        <v>0.15756738118409</v>
      </c>
      <c r="K846">
        <v>0.168487286405268</v>
      </c>
      <c r="L846">
        <v>992.64825905744397</v>
      </c>
      <c r="M846">
        <v>18.412153212112401</v>
      </c>
      <c r="N846">
        <v>54.897421739134302</v>
      </c>
      <c r="O846">
        <v>53.288769323359197</v>
      </c>
      <c r="P846">
        <v>-7.4234252651850005E-2</v>
      </c>
      <c r="Q846">
        <v>0.14063851011397699</v>
      </c>
      <c r="R846">
        <v>0.99124683788791501</v>
      </c>
      <c r="S846" t="s">
        <v>6429</v>
      </c>
      <c r="T846" t="s">
        <v>11164</v>
      </c>
      <c r="U846" t="s">
        <v>11164</v>
      </c>
      <c r="V846" t="s">
        <v>11164</v>
      </c>
      <c r="W846" t="s">
        <v>11998</v>
      </c>
      <c r="X846">
        <v>11</v>
      </c>
      <c r="Y846" t="s">
        <v>17532</v>
      </c>
      <c r="Z846" t="s">
        <v>22996</v>
      </c>
      <c r="AA846">
        <v>0.63666438100963374</v>
      </c>
      <c r="AB846" t="str">
        <f>HYPERLINK("Melting_Curves/meltCurve_H0YEN5_RPS2.pdf", "Melting_Curves/meltCurve_H0YEN5_RPS2.pdf")</f>
        <v>Melting_Curves/meltCurve_H0YEN5_RPS2.pdf</v>
      </c>
    </row>
    <row r="847" spans="1:28" x14ac:dyDescent="0.25">
      <c r="A847" t="s">
        <v>851</v>
      </c>
      <c r="B847">
        <v>0.99796759195183404</v>
      </c>
      <c r="C847">
        <v>0.82733715060194402</v>
      </c>
      <c r="D847">
        <v>0.70332706236374698</v>
      </c>
      <c r="E847">
        <v>0.73943437531042899</v>
      </c>
      <c r="F847">
        <v>0.85986247106142699</v>
      </c>
      <c r="G847">
        <v>0.47150410619761801</v>
      </c>
      <c r="H847">
        <v>0.50735093108326201</v>
      </c>
      <c r="I847">
        <v>0.29625917854426898</v>
      </c>
      <c r="J847">
        <v>0.15916446306069401</v>
      </c>
      <c r="K847">
        <v>0.171221455646276</v>
      </c>
      <c r="L847">
        <v>379.36503450164901</v>
      </c>
      <c r="M847">
        <v>6.9673954882294398</v>
      </c>
      <c r="N847">
        <v>54.4486122206742</v>
      </c>
      <c r="O847">
        <v>50.494819085508297</v>
      </c>
      <c r="P847">
        <v>-3.4560652666950097E-2</v>
      </c>
      <c r="Q847">
        <v>0</v>
      </c>
      <c r="R847">
        <v>0.86344406859079204</v>
      </c>
      <c r="S847" t="s">
        <v>6430</v>
      </c>
      <c r="T847" t="s">
        <v>11164</v>
      </c>
      <c r="U847" t="s">
        <v>11164</v>
      </c>
      <c r="V847" t="s">
        <v>11164</v>
      </c>
      <c r="W847" t="s">
        <v>11999</v>
      </c>
      <c r="X847">
        <v>5</v>
      </c>
      <c r="Y847" t="s">
        <v>17533</v>
      </c>
      <c r="Z847" t="s">
        <v>22997</v>
      </c>
      <c r="AA847">
        <v>0.58878690237461329</v>
      </c>
      <c r="AB847" t="str">
        <f>HYPERLINK("Melting_Curves/meltCurve_H0YF29_C8orf82.pdf", "Melting_Curves/meltCurve_H0YF29_C8orf82.pdf")</f>
        <v>Melting_Curves/meltCurve_H0YF29_C8orf82.pdf</v>
      </c>
    </row>
    <row r="848" spans="1:28" x14ac:dyDescent="0.25">
      <c r="A848" t="s">
        <v>852</v>
      </c>
      <c r="B848">
        <v>0.99796759195183404</v>
      </c>
      <c r="C848">
        <v>0.942630960669402</v>
      </c>
      <c r="D848">
        <v>0.99445628261555497</v>
      </c>
      <c r="E848">
        <v>1.0318772155228999</v>
      </c>
      <c r="F848">
        <v>0.86149587993151799</v>
      </c>
      <c r="G848">
        <v>0.57696625801020995</v>
      </c>
      <c r="H848">
        <v>0.76114567029781399</v>
      </c>
      <c r="I848">
        <v>0.669655756304535</v>
      </c>
      <c r="J848">
        <v>0.91343725862738101</v>
      </c>
      <c r="K848">
        <v>1.04287321444318</v>
      </c>
      <c r="L848">
        <v>12514.787762206</v>
      </c>
      <c r="M848">
        <v>250</v>
      </c>
      <c r="O848">
        <v>50.055947218704503</v>
      </c>
      <c r="P848">
        <v>-0.25869099389627298</v>
      </c>
      <c r="Q848">
        <v>0.79281563490153595</v>
      </c>
      <c r="R848">
        <v>0.37902772686609298</v>
      </c>
      <c r="S848" t="s">
        <v>6431</v>
      </c>
      <c r="T848" t="s">
        <v>11164</v>
      </c>
      <c r="U848" t="s">
        <v>11164</v>
      </c>
      <c r="V848" t="s">
        <v>11164</v>
      </c>
      <c r="W848" t="s">
        <v>12000</v>
      </c>
      <c r="X848">
        <v>5</v>
      </c>
      <c r="Y848" t="s">
        <v>17534</v>
      </c>
      <c r="Z848" t="s">
        <v>22998</v>
      </c>
      <c r="AA848">
        <v>0.88302223396850321</v>
      </c>
      <c r="AB848" t="str">
        <f>HYPERLINK("Melting_Curves/meltCurve_H0YGA7_CADM1.pdf", "Melting_Curves/meltCurve_H0YGA7_CADM1.pdf")</f>
        <v>Melting_Curves/meltCurve_H0YGA7_CADM1.pdf</v>
      </c>
    </row>
    <row r="849" spans="1:28" x14ac:dyDescent="0.25">
      <c r="A849" t="s">
        <v>853</v>
      </c>
      <c r="B849">
        <v>0.99796759195183404</v>
      </c>
      <c r="C849">
        <v>0.96134587282976502</v>
      </c>
      <c r="D849">
        <v>0.97899914195126103</v>
      </c>
      <c r="E849">
        <v>0.95825493101871095</v>
      </c>
      <c r="F849">
        <v>0.83314481708212296</v>
      </c>
      <c r="G849">
        <v>0.621230533098308</v>
      </c>
      <c r="H849">
        <v>0.69788252083768298</v>
      </c>
      <c r="I849">
        <v>0.64985491272367002</v>
      </c>
      <c r="J849">
        <v>0.85469592347564105</v>
      </c>
      <c r="K849">
        <v>0.818294226532016</v>
      </c>
      <c r="L849">
        <v>12526.630922270901</v>
      </c>
      <c r="M849">
        <v>250</v>
      </c>
      <c r="O849">
        <v>50.103318362542701</v>
      </c>
      <c r="P849">
        <v>-0.33881037162433397</v>
      </c>
      <c r="Q849">
        <v>0.72839162397259605</v>
      </c>
      <c r="R849">
        <v>0.73967092104930898</v>
      </c>
      <c r="S849" t="s">
        <v>6432</v>
      </c>
      <c r="T849" t="s">
        <v>11164</v>
      </c>
      <c r="U849" t="s">
        <v>11164</v>
      </c>
      <c r="V849" t="s">
        <v>11164</v>
      </c>
      <c r="W849" t="s">
        <v>12001</v>
      </c>
      <c r="X849">
        <v>11</v>
      </c>
      <c r="Y849" t="s">
        <v>17535</v>
      </c>
      <c r="Z849" t="s">
        <v>22999</v>
      </c>
      <c r="AA849">
        <v>0.84707689532460839</v>
      </c>
      <c r="AB849" t="str">
        <f>HYPERLINK("Melting_Curves/meltCurve_H0YGR4_REXO2.pdf", "Melting_Curves/meltCurve_H0YGR4_REXO2.pdf")</f>
        <v>Melting_Curves/meltCurve_H0YGR4_REXO2.pdf</v>
      </c>
    </row>
    <row r="850" spans="1:28" x14ac:dyDescent="0.25">
      <c r="A850" t="s">
        <v>854</v>
      </c>
      <c r="B850">
        <v>0.99796759195183404</v>
      </c>
      <c r="C850">
        <v>1.1076476761637</v>
      </c>
      <c r="D850">
        <v>1.0886991473437</v>
      </c>
      <c r="E850">
        <v>0.93795564835890599</v>
      </c>
      <c r="F850">
        <v>0.78774039440219201</v>
      </c>
      <c r="G850">
        <v>0.55296145756405601</v>
      </c>
      <c r="H850">
        <v>0.35145925660253502</v>
      </c>
      <c r="I850">
        <v>0.22434161609598099</v>
      </c>
      <c r="J850">
        <v>0.14163759144855601</v>
      </c>
      <c r="K850">
        <v>0.12862768023000001</v>
      </c>
      <c r="L850">
        <v>919.09654375063599</v>
      </c>
      <c r="M850">
        <v>17.036831205251602</v>
      </c>
      <c r="N850">
        <v>54.663400260381998</v>
      </c>
      <c r="O850">
        <v>53.220820959182198</v>
      </c>
      <c r="P850">
        <v>-7.2032391587846703E-2</v>
      </c>
      <c r="Q850">
        <v>9.9976542067322496E-2</v>
      </c>
      <c r="R850">
        <v>0.98388202841431205</v>
      </c>
      <c r="S850" t="s">
        <v>6433</v>
      </c>
      <c r="T850" t="s">
        <v>11164</v>
      </c>
      <c r="U850" t="s">
        <v>11164</v>
      </c>
      <c r="V850" t="s">
        <v>11164</v>
      </c>
      <c r="W850" t="s">
        <v>12002</v>
      </c>
      <c r="X850">
        <v>3</v>
      </c>
      <c r="Y850" t="s">
        <v>17536</v>
      </c>
      <c r="Z850" t="s">
        <v>23000</v>
      </c>
      <c r="AA850">
        <v>0.6215464757187974</v>
      </c>
      <c r="AB850" t="str">
        <f>HYPERLINK("Melting_Curves/meltCurve_H0YGT9_JOSD1.pdf", "Melting_Curves/meltCurve_H0YGT9_JOSD1.pdf")</f>
        <v>Melting_Curves/meltCurve_H0YGT9_JOSD1.pdf</v>
      </c>
    </row>
    <row r="851" spans="1:28" x14ac:dyDescent="0.25">
      <c r="A851" t="s">
        <v>855</v>
      </c>
      <c r="B851">
        <v>0.99796759195183404</v>
      </c>
      <c r="C851">
        <v>0.99633919273511595</v>
      </c>
      <c r="D851">
        <v>0.97064104733883505</v>
      </c>
      <c r="E851">
        <v>0.94996297372173599</v>
      </c>
      <c r="F851">
        <v>0.88869362366564897</v>
      </c>
      <c r="G851">
        <v>0.52746773879515896</v>
      </c>
      <c r="H851">
        <v>0.26026762617833099</v>
      </c>
      <c r="I851">
        <v>0.336767463971612</v>
      </c>
      <c r="J851">
        <v>0.20247621357163501</v>
      </c>
      <c r="K851">
        <v>0.236439647889199</v>
      </c>
      <c r="L851">
        <v>1713.4182386479999</v>
      </c>
      <c r="M851">
        <v>32.401963260859297</v>
      </c>
      <c r="N851">
        <v>53.993125167869501</v>
      </c>
      <c r="O851">
        <v>52.679875601042497</v>
      </c>
      <c r="P851">
        <v>-0.116307601187463</v>
      </c>
      <c r="Q851">
        <v>0.243621074412394</v>
      </c>
      <c r="R851">
        <v>0.98853137965459603</v>
      </c>
      <c r="S851" t="s">
        <v>6434</v>
      </c>
      <c r="T851" t="s">
        <v>11164</v>
      </c>
      <c r="U851" t="s">
        <v>11164</v>
      </c>
      <c r="V851" t="s">
        <v>11164</v>
      </c>
      <c r="W851" t="s">
        <v>12003</v>
      </c>
      <c r="X851">
        <v>3</v>
      </c>
      <c r="Y851" t="s">
        <v>17537</v>
      </c>
      <c r="Z851" t="s">
        <v>23001</v>
      </c>
      <c r="AA851">
        <v>0.64815621860030737</v>
      </c>
      <c r="AB851" t="str">
        <f>HYPERLINK("Melting_Curves/meltCurve_H0YH69_ETNK1.pdf", "Melting_Curves/meltCurve_H0YH69_ETNK1.pdf")</f>
        <v>Melting_Curves/meltCurve_H0YH69_ETNK1.pdf</v>
      </c>
    </row>
    <row r="852" spans="1:28" x14ac:dyDescent="0.25">
      <c r="A852" t="s">
        <v>856</v>
      </c>
      <c r="B852">
        <v>0.99796759195183404</v>
      </c>
      <c r="C852">
        <v>0.95338199410834501</v>
      </c>
      <c r="D852">
        <v>0.94095177498679194</v>
      </c>
      <c r="E852">
        <v>0.90813520101751299</v>
      </c>
      <c r="F852">
        <v>0.75854973261072101</v>
      </c>
      <c r="G852">
        <v>0.57793159183951204</v>
      </c>
      <c r="H852">
        <v>0.28754301616599098</v>
      </c>
      <c r="I852">
        <v>0.14727794502246999</v>
      </c>
      <c r="J852">
        <v>0.109505163417808</v>
      </c>
      <c r="K852">
        <v>8.4613637042656203E-2</v>
      </c>
      <c r="L852">
        <v>793.96233901670303</v>
      </c>
      <c r="M852">
        <v>14.6379880621366</v>
      </c>
      <c r="N852">
        <v>54.306227293973599</v>
      </c>
      <c r="O852">
        <v>53.257721795352303</v>
      </c>
      <c r="P852">
        <v>-6.8111365442051597E-2</v>
      </c>
      <c r="Q852">
        <v>8.8657161981567194E-3</v>
      </c>
      <c r="R852">
        <v>0.99471936408241202</v>
      </c>
      <c r="S852" t="s">
        <v>6435</v>
      </c>
      <c r="T852" t="s">
        <v>11164</v>
      </c>
      <c r="U852" t="s">
        <v>11164</v>
      </c>
      <c r="V852" t="s">
        <v>11164</v>
      </c>
      <c r="W852" t="s">
        <v>12004</v>
      </c>
      <c r="X852">
        <v>9</v>
      </c>
      <c r="Y852" t="s">
        <v>17538</v>
      </c>
      <c r="Z852" t="s">
        <v>23002</v>
      </c>
      <c r="AA852">
        <v>0.59426985771840934</v>
      </c>
      <c r="AB852" t="str">
        <f>HYPERLINK("Melting_Curves/meltCurve_H0YH87_ATXN2.pdf", "Melting_Curves/meltCurve_H0YH87_ATXN2.pdf")</f>
        <v>Melting_Curves/meltCurve_H0YH87_ATXN2.pdf</v>
      </c>
    </row>
    <row r="853" spans="1:28" x14ac:dyDescent="0.25">
      <c r="A853" t="s">
        <v>857</v>
      </c>
      <c r="B853">
        <v>0.99796759195183404</v>
      </c>
      <c r="C853">
        <v>1.0596533605094201</v>
      </c>
      <c r="D853">
        <v>0.82243348925901405</v>
      </c>
      <c r="E853">
        <v>0.59070537222608299</v>
      </c>
      <c r="F853">
        <v>0.86640982950044498</v>
      </c>
      <c r="G853">
        <v>0.497493347064769</v>
      </c>
      <c r="H853">
        <v>0.56036000281375498</v>
      </c>
      <c r="I853">
        <v>0.17981680569893599</v>
      </c>
      <c r="J853">
        <v>0.25032146608386402</v>
      </c>
      <c r="K853">
        <v>0.15617309083706801</v>
      </c>
      <c r="L853">
        <v>433.49183789744802</v>
      </c>
      <c r="M853">
        <v>7.9024515567784102</v>
      </c>
      <c r="N853">
        <v>54.855365191920498</v>
      </c>
      <c r="O853">
        <v>51.676044884563197</v>
      </c>
      <c r="P853">
        <v>-3.82759970493863E-2</v>
      </c>
      <c r="Q853">
        <v>0</v>
      </c>
      <c r="R853">
        <v>0.85864876736635198</v>
      </c>
      <c r="S853" t="s">
        <v>6436</v>
      </c>
      <c r="T853" t="s">
        <v>11164</v>
      </c>
      <c r="U853" t="s">
        <v>11164</v>
      </c>
      <c r="V853" t="s">
        <v>11164</v>
      </c>
      <c r="W853" t="s">
        <v>12005</v>
      </c>
      <c r="X853">
        <v>1</v>
      </c>
      <c r="Y853" t="s">
        <v>17539</v>
      </c>
      <c r="Z853" t="s">
        <v>23003</v>
      </c>
      <c r="AA853">
        <v>0.60275282160180954</v>
      </c>
      <c r="AB853" t="str">
        <f>HYPERLINK("Melting_Curves/meltCurve_H0YIE8_WDR83.pdf", "Melting_Curves/meltCurve_H0YIE8_WDR83.pdf")</f>
        <v>Melting_Curves/meltCurve_H0YIE8_WDR83.pdf</v>
      </c>
    </row>
    <row r="854" spans="1:28" x14ac:dyDescent="0.25">
      <c r="A854" t="s">
        <v>858</v>
      </c>
      <c r="B854">
        <v>0.99796759195183404</v>
      </c>
      <c r="C854">
        <v>1.12299176713866</v>
      </c>
      <c r="D854">
        <v>1.2266086211909899</v>
      </c>
      <c r="E854">
        <v>0.96925452394995704</v>
      </c>
      <c r="F854">
        <v>0.81184256725522597</v>
      </c>
      <c r="G854">
        <v>0.50186211690035898</v>
      </c>
      <c r="H854">
        <v>0.48937977037630898</v>
      </c>
      <c r="I854">
        <v>0.37994314285817399</v>
      </c>
      <c r="J854">
        <v>0.48111256490896098</v>
      </c>
      <c r="K854">
        <v>0.279709942431144</v>
      </c>
      <c r="L854">
        <v>1546.4096873859</v>
      </c>
      <c r="M854">
        <v>30.032798983175901</v>
      </c>
      <c r="N854">
        <v>54.296846448261803</v>
      </c>
      <c r="O854">
        <v>51.264021149388</v>
      </c>
      <c r="P854">
        <v>-8.8741095125193695E-2</v>
      </c>
      <c r="Q854">
        <v>0.39410298645825398</v>
      </c>
      <c r="R854">
        <v>0.90959291484833404</v>
      </c>
      <c r="S854" t="s">
        <v>6437</v>
      </c>
      <c r="T854" t="s">
        <v>11164</v>
      </c>
      <c r="U854" t="s">
        <v>11164</v>
      </c>
      <c r="V854" t="s">
        <v>11164</v>
      </c>
      <c r="W854" t="s">
        <v>12006</v>
      </c>
      <c r="X854">
        <v>1</v>
      </c>
      <c r="Y854" t="s">
        <v>17540</v>
      </c>
      <c r="Z854" t="s">
        <v>23004</v>
      </c>
      <c r="AA854">
        <v>0.69055706718036081</v>
      </c>
      <c r="AB854" t="str">
        <f>HYPERLINK("Melting_Curves/meltCurve_H0YIE9_FBXO21.pdf", "Melting_Curves/meltCurve_H0YIE9_FBXO21.pdf")</f>
        <v>Melting_Curves/meltCurve_H0YIE9_FBXO21.pdf</v>
      </c>
    </row>
    <row r="855" spans="1:28" x14ac:dyDescent="0.25">
      <c r="A855" t="s">
        <v>859</v>
      </c>
      <c r="B855">
        <v>0.99796759195183404</v>
      </c>
      <c r="C855">
        <v>0.88501247795731697</v>
      </c>
      <c r="D855">
        <v>0.92039941771852296</v>
      </c>
      <c r="E855">
        <v>0.82211922222628098</v>
      </c>
      <c r="F855">
        <v>0.78438545024626805</v>
      </c>
      <c r="G855">
        <v>0.50616862386716799</v>
      </c>
      <c r="H855">
        <v>0.37177666309927598</v>
      </c>
      <c r="I855">
        <v>0.32841277084444598</v>
      </c>
      <c r="J855">
        <v>0.29015468862461002</v>
      </c>
      <c r="K855">
        <v>0.20172855494497599</v>
      </c>
      <c r="L855">
        <v>520.91506876364099</v>
      </c>
      <c r="M855">
        <v>9.6990866031282206</v>
      </c>
      <c r="N855">
        <v>54.997404830226799</v>
      </c>
      <c r="O855">
        <v>51.573649637292398</v>
      </c>
      <c r="P855">
        <v>-4.2256282089806398E-2</v>
      </c>
      <c r="Q855">
        <v>0.10172151137410999</v>
      </c>
      <c r="R855">
        <v>0.97536258029091705</v>
      </c>
      <c r="S855" t="s">
        <v>6438</v>
      </c>
      <c r="T855" t="s">
        <v>11164</v>
      </c>
      <c r="U855" t="s">
        <v>11164</v>
      </c>
      <c r="V855" t="s">
        <v>11164</v>
      </c>
      <c r="W855" t="s">
        <v>12007</v>
      </c>
      <c r="X855">
        <v>1</v>
      </c>
      <c r="Y855" t="s">
        <v>17541</v>
      </c>
      <c r="Z855" t="s">
        <v>23005</v>
      </c>
      <c r="AA855">
        <v>0.6189764601146468</v>
      </c>
      <c r="AB855" t="str">
        <f>HYPERLINK("Melting_Curves/meltCurve_H0YIV5_LETMD1.pdf", "Melting_Curves/meltCurve_H0YIV5_LETMD1.pdf")</f>
        <v>Melting_Curves/meltCurve_H0YIV5_LETMD1.pdf</v>
      </c>
    </row>
    <row r="856" spans="1:28" x14ac:dyDescent="0.25">
      <c r="A856" t="s">
        <v>860</v>
      </c>
      <c r="B856">
        <v>0.99796759195183404</v>
      </c>
      <c r="C856">
        <v>0.96992987482578097</v>
      </c>
      <c r="D856">
        <v>0.92719361742067397</v>
      </c>
      <c r="E856">
        <v>0.90009527996253103</v>
      </c>
      <c r="F856">
        <v>0.92334088090308597</v>
      </c>
      <c r="G856">
        <v>0.48859449348259298</v>
      </c>
      <c r="H856">
        <v>0.39341373436476301</v>
      </c>
      <c r="I856">
        <v>0.36526051698911599</v>
      </c>
      <c r="J856">
        <v>0.44872727627500603</v>
      </c>
      <c r="K856">
        <v>0.43743342139931601</v>
      </c>
      <c r="L856">
        <v>2805.9857707310998</v>
      </c>
      <c r="M856">
        <v>54.035873954815699</v>
      </c>
      <c r="N856">
        <v>53.634794235987201</v>
      </c>
      <c r="O856">
        <v>51.857218492216703</v>
      </c>
      <c r="P856">
        <v>-0.153590559882504</v>
      </c>
      <c r="Q856">
        <v>0.41040831774179398</v>
      </c>
      <c r="R856">
        <v>0.96984177283759199</v>
      </c>
      <c r="S856" t="s">
        <v>6439</v>
      </c>
      <c r="T856" t="s">
        <v>11164</v>
      </c>
      <c r="U856" t="s">
        <v>11164</v>
      </c>
      <c r="V856" t="s">
        <v>11164</v>
      </c>
      <c r="W856" t="s">
        <v>12008</v>
      </c>
      <c r="X856">
        <v>11</v>
      </c>
      <c r="Z856" t="s">
        <v>23006</v>
      </c>
      <c r="AA856">
        <v>0.70494829971530781</v>
      </c>
      <c r="AB856" t="str">
        <f>HYPERLINK("Melting_Curves/meltCurve_H0YIV9_.pdf", "Melting_Curves/meltCurve_H0YIV9_.pdf")</f>
        <v>Melting_Curves/meltCurve_H0YIV9_.pdf</v>
      </c>
    </row>
    <row r="857" spans="1:28" x14ac:dyDescent="0.25">
      <c r="A857" t="s">
        <v>861</v>
      </c>
      <c r="B857">
        <v>0.99796759195183404</v>
      </c>
      <c r="C857">
        <v>0.91773707765918899</v>
      </c>
      <c r="D857">
        <v>0.97163259011722802</v>
      </c>
      <c r="E857">
        <v>0.93032202904754302</v>
      </c>
      <c r="F857">
        <v>0.94559457734117103</v>
      </c>
      <c r="G857">
        <v>0.63397091287652796</v>
      </c>
      <c r="H857">
        <v>0.51972384485444101</v>
      </c>
      <c r="I857">
        <v>0.50576860489792097</v>
      </c>
      <c r="J857">
        <v>0.60419337511163196</v>
      </c>
      <c r="K857">
        <v>0.43856456410713501</v>
      </c>
      <c r="L857">
        <v>2313.9369812504601</v>
      </c>
      <c r="M857">
        <v>44.117901825779803</v>
      </c>
      <c r="O857">
        <v>52.341518941516902</v>
      </c>
      <c r="P857">
        <v>-0.102393342084885</v>
      </c>
      <c r="Q857">
        <v>0.51408249089643598</v>
      </c>
      <c r="R857">
        <v>0.94248300534225604</v>
      </c>
      <c r="S857" t="s">
        <v>6440</v>
      </c>
      <c r="T857" t="s">
        <v>11164</v>
      </c>
      <c r="U857" t="s">
        <v>11164</v>
      </c>
      <c r="V857" t="s">
        <v>11164</v>
      </c>
      <c r="W857" t="s">
        <v>12009</v>
      </c>
      <c r="X857">
        <v>28</v>
      </c>
      <c r="Y857" t="s">
        <v>17542</v>
      </c>
      <c r="Z857" t="s">
        <v>23007</v>
      </c>
      <c r="AA857">
        <v>0.76575672878579604</v>
      </c>
      <c r="AB857" t="str">
        <f>HYPERLINK("Melting_Curves/meltCurve_H0YK48_TPM1.pdf", "Melting_Curves/meltCurve_H0YK48_TPM1.pdf")</f>
        <v>Melting_Curves/meltCurve_H0YK48_TPM1.pdf</v>
      </c>
    </row>
    <row r="858" spans="1:28" x14ac:dyDescent="0.25">
      <c r="A858" t="s">
        <v>862</v>
      </c>
      <c r="B858">
        <v>0.99796759195183404</v>
      </c>
      <c r="C858">
        <v>1.29935340139482</v>
      </c>
      <c r="D858">
        <v>1.0051519697994999</v>
      </c>
      <c r="E858">
        <v>0.98787418033433305</v>
      </c>
      <c r="F858">
        <v>1.2302665367929999</v>
      </c>
      <c r="G858">
        <v>0.93176402388048496</v>
      </c>
      <c r="H858">
        <v>1.19260660434876</v>
      </c>
      <c r="I858">
        <v>1.06091169179042</v>
      </c>
      <c r="J858">
        <v>0.47567266802276797</v>
      </c>
      <c r="K858">
        <v>0.133417431052931</v>
      </c>
      <c r="L858">
        <v>15000</v>
      </c>
      <c r="M858">
        <v>234.43583801397699</v>
      </c>
      <c r="N858">
        <v>64.068198888367903</v>
      </c>
      <c r="O858">
        <v>63.978735456038997</v>
      </c>
      <c r="P858">
        <v>-0.793871335861984</v>
      </c>
      <c r="Q858">
        <v>0.13339386289782099</v>
      </c>
      <c r="R858">
        <v>0.83869796853768597</v>
      </c>
      <c r="S858" t="s">
        <v>6441</v>
      </c>
      <c r="T858" t="s">
        <v>11164</v>
      </c>
      <c r="U858" t="s">
        <v>11164</v>
      </c>
      <c r="V858" t="s">
        <v>11164</v>
      </c>
      <c r="W858" t="s">
        <v>12010</v>
      </c>
      <c r="X858">
        <v>1</v>
      </c>
      <c r="Y858" t="s">
        <v>17543</v>
      </c>
      <c r="Z858" t="s">
        <v>23008</v>
      </c>
      <c r="AA858">
        <v>0.91297005503044937</v>
      </c>
      <c r="AB858" t="str">
        <f>HYPERLINK("Melting_Curves/meltCurve_H0YK61_EMC4.pdf", "Melting_Curves/meltCurve_H0YK61_EMC4.pdf")</f>
        <v>Melting_Curves/meltCurve_H0YK61_EMC4.pdf</v>
      </c>
    </row>
    <row r="859" spans="1:28" x14ac:dyDescent="0.25">
      <c r="A859" t="s">
        <v>863</v>
      </c>
      <c r="B859">
        <v>0.99796759195183404</v>
      </c>
      <c r="C859">
        <v>0.93503639844980502</v>
      </c>
      <c r="D859">
        <v>0.94686440070637601</v>
      </c>
      <c r="E859">
        <v>0.91639472713321901</v>
      </c>
      <c r="F859">
        <v>0.80641967924133695</v>
      </c>
      <c r="G859">
        <v>0.77639127296950305</v>
      </c>
      <c r="H859">
        <v>0.69749163104810097</v>
      </c>
      <c r="I859">
        <v>0.49358892700652301</v>
      </c>
      <c r="J859">
        <v>0.27623359595980301</v>
      </c>
      <c r="K859">
        <v>0.12653395611367699</v>
      </c>
      <c r="L859">
        <v>711.50956294198897</v>
      </c>
      <c r="M859">
        <v>11.921088841622201</v>
      </c>
      <c r="N859">
        <v>59.6849476385866</v>
      </c>
      <c r="O859">
        <v>58.0797715326458</v>
      </c>
      <c r="P859">
        <v>-5.1326100874353499E-2</v>
      </c>
      <c r="Q859">
        <v>0</v>
      </c>
      <c r="R859">
        <v>0.95562719713317401</v>
      </c>
      <c r="S859" t="s">
        <v>6442</v>
      </c>
      <c r="T859" t="s">
        <v>11164</v>
      </c>
      <c r="U859" t="s">
        <v>11164</v>
      </c>
      <c r="V859" t="s">
        <v>11164</v>
      </c>
      <c r="W859" t="s">
        <v>12011</v>
      </c>
      <c r="X859">
        <v>18</v>
      </c>
      <c r="Y859" t="s">
        <v>17544</v>
      </c>
      <c r="Z859" t="s">
        <v>23009</v>
      </c>
      <c r="AA859">
        <v>0.74220416457205773</v>
      </c>
      <c r="AB859" t="str">
        <f>HYPERLINK("Melting_Curves/meltCurve_H0YKT5_TLE3.pdf", "Melting_Curves/meltCurve_H0YKT5_TLE3.pdf")</f>
        <v>Melting_Curves/meltCurve_H0YKT5_TLE3.pdf</v>
      </c>
    </row>
    <row r="860" spans="1:28" x14ac:dyDescent="0.25">
      <c r="A860" t="s">
        <v>864</v>
      </c>
      <c r="B860">
        <v>0.99796759195183404</v>
      </c>
      <c r="C860">
        <v>0.97297916787194605</v>
      </c>
      <c r="D860">
        <v>0.94026283767993002</v>
      </c>
      <c r="E860">
        <v>0.91493160496603398</v>
      </c>
      <c r="F860">
        <v>0.79568678080685196</v>
      </c>
      <c r="G860">
        <v>0.97126385463187004</v>
      </c>
      <c r="H860">
        <v>0.71133449743326305</v>
      </c>
      <c r="I860">
        <v>0.33039944279844702</v>
      </c>
      <c r="J860">
        <v>0.15480287758580399</v>
      </c>
      <c r="K860">
        <v>9.0618851813190293E-2</v>
      </c>
      <c r="L860">
        <v>1543.42127777577</v>
      </c>
      <c r="M860">
        <v>26.088605018431</v>
      </c>
      <c r="N860">
        <v>59.361005570100502</v>
      </c>
      <c r="O860">
        <v>58.816406919579201</v>
      </c>
      <c r="P860">
        <v>-0.106219868568959</v>
      </c>
      <c r="Q860">
        <v>4.2125609430576597E-2</v>
      </c>
      <c r="R860">
        <v>0.95565486304481195</v>
      </c>
      <c r="S860" t="s">
        <v>6443</v>
      </c>
      <c r="T860" t="s">
        <v>11164</v>
      </c>
      <c r="U860" t="s">
        <v>11164</v>
      </c>
      <c r="V860" t="s">
        <v>11164</v>
      </c>
      <c r="W860" t="s">
        <v>12012</v>
      </c>
      <c r="X860">
        <v>19</v>
      </c>
      <c r="Y860" t="s">
        <v>17545</v>
      </c>
      <c r="Z860" t="s">
        <v>23010</v>
      </c>
      <c r="AA860">
        <v>0.75430084611994408</v>
      </c>
      <c r="AB860" t="str">
        <f>HYPERLINK("Melting_Curves/meltCurve_H0YL72_IDH3A.pdf", "Melting_Curves/meltCurve_H0YL72_IDH3A.pdf")</f>
        <v>Melting_Curves/meltCurve_H0YL72_IDH3A.pdf</v>
      </c>
    </row>
    <row r="861" spans="1:28" x14ac:dyDescent="0.25">
      <c r="A861" t="s">
        <v>865</v>
      </c>
      <c r="B861">
        <v>0.99796759195183404</v>
      </c>
      <c r="C861">
        <v>0.91322425778021199</v>
      </c>
      <c r="D861">
        <v>0.86787734405613903</v>
      </c>
      <c r="E861">
        <v>0.83951733367291703</v>
      </c>
      <c r="F861">
        <v>0.65796500857250395</v>
      </c>
      <c r="G861">
        <v>0.28365813313246901</v>
      </c>
      <c r="H861">
        <v>0.19415326943932701</v>
      </c>
      <c r="I861">
        <v>0.167175693488192</v>
      </c>
      <c r="J861">
        <v>0.124675280216631</v>
      </c>
      <c r="K861">
        <v>6.8461498910829005E-2</v>
      </c>
      <c r="L861">
        <v>785.25747152185102</v>
      </c>
      <c r="M861">
        <v>15.396181976766499</v>
      </c>
      <c r="N861">
        <v>51.466309250911998</v>
      </c>
      <c r="O861">
        <v>50.1661732273678</v>
      </c>
      <c r="P861">
        <v>-7.1771470411580204E-2</v>
      </c>
      <c r="Q861">
        <v>6.4658564511952205E-2</v>
      </c>
      <c r="R861">
        <v>0.98093965927490601</v>
      </c>
      <c r="S861" t="s">
        <v>6444</v>
      </c>
      <c r="T861" t="s">
        <v>11164</v>
      </c>
      <c r="U861" t="s">
        <v>11164</v>
      </c>
      <c r="V861" t="s">
        <v>11164</v>
      </c>
      <c r="W861" t="s">
        <v>12013</v>
      </c>
      <c r="X861">
        <v>4</v>
      </c>
      <c r="Y861" t="s">
        <v>17546</v>
      </c>
      <c r="Z861" t="s">
        <v>23011</v>
      </c>
      <c r="AA861">
        <v>0.5194440607449492</v>
      </c>
      <c r="AB861" t="str">
        <f>HYPERLINK("Melting_Curves/meltCurve_H0YLB5_POU2F1.pdf", "Melting_Curves/meltCurve_H0YLB5_POU2F1.pdf")</f>
        <v>Melting_Curves/meltCurve_H0YLB5_POU2F1.pdf</v>
      </c>
    </row>
    <row r="862" spans="1:28" x14ac:dyDescent="0.25">
      <c r="A862" t="s">
        <v>866</v>
      </c>
      <c r="B862">
        <v>0.99796759195183404</v>
      </c>
      <c r="C862">
        <v>1.0905707480578599</v>
      </c>
      <c r="D862">
        <v>0.92160125630383805</v>
      </c>
      <c r="E862">
        <v>0.95135688346958802</v>
      </c>
      <c r="F862">
        <v>0.91767956081584201</v>
      </c>
      <c r="G862">
        <v>1.3191811075169599</v>
      </c>
      <c r="H862">
        <v>1.3765079703287699</v>
      </c>
      <c r="I862">
        <v>1.43380906161841</v>
      </c>
      <c r="J862">
        <v>1.3627264247008299</v>
      </c>
      <c r="K862">
        <v>1.0602856947441599</v>
      </c>
      <c r="L862">
        <v>13044.168904394101</v>
      </c>
      <c r="M862">
        <v>250</v>
      </c>
      <c r="O862">
        <v>52.173336649145497</v>
      </c>
      <c r="P862">
        <v>0.37199691136781798</v>
      </c>
      <c r="Q862">
        <v>1.3105331211070601</v>
      </c>
      <c r="R862">
        <v>0.71865327379310395</v>
      </c>
      <c r="S862" t="s">
        <v>6445</v>
      </c>
      <c r="T862" t="s">
        <v>11164</v>
      </c>
      <c r="U862" t="s">
        <v>11164</v>
      </c>
      <c r="V862" t="s">
        <v>11164</v>
      </c>
      <c r="W862" t="s">
        <v>12014</v>
      </c>
      <c r="X862">
        <v>9</v>
      </c>
      <c r="Y862" t="s">
        <v>17547</v>
      </c>
      <c r="Z862" t="s">
        <v>23012</v>
      </c>
      <c r="AA862">
        <v>1.153409337569077</v>
      </c>
      <c r="AB862" t="str">
        <f>HYPERLINK("Melting_Curves/meltCurve_H0YMB3_GMPR2.pdf", "Melting_Curves/meltCurve_H0YMB3_GMPR2.pdf")</f>
        <v>Melting_Curves/meltCurve_H0YMB3_GMPR2.pdf</v>
      </c>
    </row>
    <row r="863" spans="1:28" x14ac:dyDescent="0.25">
      <c r="A863" t="s">
        <v>867</v>
      </c>
      <c r="B863">
        <v>0.99796759195183404</v>
      </c>
      <c r="C863">
        <v>1.0059404008744299</v>
      </c>
      <c r="D863">
        <v>0.98340476749410899</v>
      </c>
      <c r="E863">
        <v>0.880911937542736</v>
      </c>
      <c r="F863">
        <v>0.77995139859164198</v>
      </c>
      <c r="G863">
        <v>0.830381805580514</v>
      </c>
      <c r="H863">
        <v>0.58128324599882097</v>
      </c>
      <c r="I863">
        <v>0.34141337432800301</v>
      </c>
      <c r="J863">
        <v>0.12873208064796099</v>
      </c>
      <c r="K863">
        <v>3.8741787346960599E-2</v>
      </c>
      <c r="L863">
        <v>925.72850864378699</v>
      </c>
      <c r="M863">
        <v>15.9643531905256</v>
      </c>
      <c r="N863">
        <v>57.987223114206799</v>
      </c>
      <c r="O863">
        <v>57.100229207614902</v>
      </c>
      <c r="P863">
        <v>-6.9901712256696794E-2</v>
      </c>
      <c r="Q863">
        <v>0</v>
      </c>
      <c r="R863">
        <v>0.96462021049338098</v>
      </c>
      <c r="S863" t="s">
        <v>6446</v>
      </c>
      <c r="T863" t="s">
        <v>11164</v>
      </c>
      <c r="U863" t="s">
        <v>11164</v>
      </c>
      <c r="V863" t="s">
        <v>11164</v>
      </c>
      <c r="W863" t="s">
        <v>12015</v>
      </c>
      <c r="X863">
        <v>6</v>
      </c>
      <c r="Y863" t="s">
        <v>17548</v>
      </c>
      <c r="Z863" t="s">
        <v>23013</v>
      </c>
      <c r="AA863">
        <v>0.70472064715690053</v>
      </c>
      <c r="AB863" t="str">
        <f>HYPERLINK("Melting_Curves/meltCurve_H0YMF4_RPL28.pdf", "Melting_Curves/meltCurve_H0YMF4_RPL28.pdf")</f>
        <v>Melting_Curves/meltCurve_H0YMF4_RPL28.pdf</v>
      </c>
    </row>
    <row r="864" spans="1:28" x14ac:dyDescent="0.25">
      <c r="A864" t="s">
        <v>868</v>
      </c>
      <c r="B864">
        <v>0.99796759195183404</v>
      </c>
      <c r="C864">
        <v>0.97259615948457201</v>
      </c>
      <c r="D864">
        <v>1.03609067714168</v>
      </c>
      <c r="E864">
        <v>0.87212237342531995</v>
      </c>
      <c r="F864">
        <v>0.68456649133907999</v>
      </c>
      <c r="G864">
        <v>0.48209414121558902</v>
      </c>
      <c r="H864">
        <v>0.37471517070620902</v>
      </c>
      <c r="I864">
        <v>0.18693598122719199</v>
      </c>
      <c r="J864">
        <v>0.19595178006025901</v>
      </c>
      <c r="K864">
        <v>0.19737412165652601</v>
      </c>
      <c r="L864">
        <v>791.377009289375</v>
      </c>
      <c r="M864">
        <v>15.1453665999138</v>
      </c>
      <c r="N864">
        <v>53.522923524324099</v>
      </c>
      <c r="O864">
        <v>51.366545697448998</v>
      </c>
      <c r="P864">
        <v>-6.2585774605792399E-2</v>
      </c>
      <c r="Q864">
        <v>0.15102707373897301</v>
      </c>
      <c r="R864">
        <v>0.99041855813532098</v>
      </c>
      <c r="S864" t="s">
        <v>6447</v>
      </c>
      <c r="T864" t="s">
        <v>11164</v>
      </c>
      <c r="U864" t="s">
        <v>11164</v>
      </c>
      <c r="V864" t="s">
        <v>11164</v>
      </c>
      <c r="W864" t="s">
        <v>12016</v>
      </c>
      <c r="X864">
        <v>4</v>
      </c>
      <c r="Y864" t="s">
        <v>17549</v>
      </c>
      <c r="Z864" t="s">
        <v>23014</v>
      </c>
      <c r="AA864">
        <v>0.59847187933930246</v>
      </c>
      <c r="AB864" t="str">
        <f>HYPERLINK("Melting_Curves/meltCurve_H0YMW2_AKAP13.pdf", "Melting_Curves/meltCurve_H0YMW2_AKAP13.pdf")</f>
        <v>Melting_Curves/meltCurve_H0YMW2_AKAP13.pdf</v>
      </c>
    </row>
    <row r="865" spans="1:28" x14ac:dyDescent="0.25">
      <c r="A865" t="s">
        <v>869</v>
      </c>
      <c r="B865">
        <v>0.99796759195183404</v>
      </c>
      <c r="C865">
        <v>1.04548984573685</v>
      </c>
      <c r="D865">
        <v>0.88345851140987397</v>
      </c>
      <c r="E865">
        <v>0.75386330226109999</v>
      </c>
      <c r="F865">
        <v>0.72134843612217403</v>
      </c>
      <c r="G865">
        <v>0.78880766639938904</v>
      </c>
      <c r="H865">
        <v>0.53850767322999604</v>
      </c>
      <c r="I865">
        <v>0.40917157003850502</v>
      </c>
      <c r="J865">
        <v>0.39650680540707101</v>
      </c>
      <c r="K865">
        <v>0.294204370608947</v>
      </c>
      <c r="L865">
        <v>381.746178219211</v>
      </c>
      <c r="M865">
        <v>6.4595373282811996</v>
      </c>
      <c r="N865">
        <v>59.098068290486196</v>
      </c>
      <c r="O865">
        <v>54.1984686031536</v>
      </c>
      <c r="P865">
        <v>-2.9869766026495801E-2</v>
      </c>
      <c r="Q865">
        <v>0</v>
      </c>
      <c r="R865">
        <v>0.93387084404131004</v>
      </c>
      <c r="S865" t="s">
        <v>6448</v>
      </c>
      <c r="T865" t="s">
        <v>11164</v>
      </c>
      <c r="U865" t="s">
        <v>11164</v>
      </c>
      <c r="V865" t="s">
        <v>11164</v>
      </c>
      <c r="W865" t="s">
        <v>12017</v>
      </c>
      <c r="X865">
        <v>1</v>
      </c>
      <c r="Y865" t="s">
        <v>17550</v>
      </c>
      <c r="Z865" t="s">
        <v>23015</v>
      </c>
      <c r="AA865">
        <v>0.68647059609646044</v>
      </c>
      <c r="AB865" t="str">
        <f>HYPERLINK("Melting_Curves/meltCurve_H0YNA7_SPPL2A.pdf", "Melting_Curves/meltCurve_H0YNA7_SPPL2A.pdf")</f>
        <v>Melting_Curves/meltCurve_H0YNA7_SPPL2A.pdf</v>
      </c>
    </row>
    <row r="866" spans="1:28" x14ac:dyDescent="0.25">
      <c r="A866" t="s">
        <v>870</v>
      </c>
      <c r="B866">
        <v>0.99796759195183404</v>
      </c>
      <c r="C866">
        <v>0.97913047591101798</v>
      </c>
      <c r="D866">
        <v>1.0201625562505601</v>
      </c>
      <c r="E866">
        <v>0.973414879563549</v>
      </c>
      <c r="F866">
        <v>0.86822587454940303</v>
      </c>
      <c r="G866">
        <v>0.57921612138614298</v>
      </c>
      <c r="H866">
        <v>0.31545149075956003</v>
      </c>
      <c r="I866">
        <v>0.24088259370849099</v>
      </c>
      <c r="J866">
        <v>0.18016877363147701</v>
      </c>
      <c r="K866">
        <v>0.192462832103903</v>
      </c>
      <c r="L866">
        <v>1285.89405502925</v>
      </c>
      <c r="M866">
        <v>23.965012414357901</v>
      </c>
      <c r="N866">
        <v>54.679224624899597</v>
      </c>
      <c r="O866">
        <v>53.287696747630001</v>
      </c>
      <c r="P866">
        <v>-9.2135728089403998E-2</v>
      </c>
      <c r="Q866">
        <v>0.18053465994495299</v>
      </c>
      <c r="R866">
        <v>0.99869979724160596</v>
      </c>
      <c r="S866" t="s">
        <v>6449</v>
      </c>
      <c r="T866" t="s">
        <v>11164</v>
      </c>
      <c r="U866" t="s">
        <v>11164</v>
      </c>
      <c r="V866" t="s">
        <v>11164</v>
      </c>
      <c r="W866" t="s">
        <v>12018</v>
      </c>
      <c r="X866">
        <v>8</v>
      </c>
      <c r="Y866" t="s">
        <v>17551</v>
      </c>
      <c r="Z866" t="s">
        <v>23016</v>
      </c>
      <c r="AA866">
        <v>0.64323957326987569</v>
      </c>
      <c r="AB866" t="str">
        <f>HYPERLINK("Melting_Curves/meltCurve_H0YNG3_SEC11A.pdf", "Melting_Curves/meltCurve_H0YNG3_SEC11A.pdf")</f>
        <v>Melting_Curves/meltCurve_H0YNG3_SEC11A.pdf</v>
      </c>
    </row>
    <row r="867" spans="1:28" x14ac:dyDescent="0.25">
      <c r="A867" t="s">
        <v>871</v>
      </c>
      <c r="B867">
        <v>0.99796759195183404</v>
      </c>
      <c r="C867">
        <v>1.0034114246602299</v>
      </c>
      <c r="D867">
        <v>0.98215747804715603</v>
      </c>
      <c r="E867">
        <v>0.95338585444698098</v>
      </c>
      <c r="F867">
        <v>0.79033125519371195</v>
      </c>
      <c r="G867">
        <v>0.63362019698354699</v>
      </c>
      <c r="H867">
        <v>0.28295806983879002</v>
      </c>
      <c r="I867">
        <v>0.142466682359353</v>
      </c>
      <c r="J867">
        <v>0.107200660914216</v>
      </c>
      <c r="K867">
        <v>9.2145908511126196E-2</v>
      </c>
      <c r="L867">
        <v>995.75839584811297</v>
      </c>
      <c r="M867">
        <v>18.279831569824299</v>
      </c>
      <c r="N867">
        <v>54.749189798554497</v>
      </c>
      <c r="O867">
        <v>53.833705531649997</v>
      </c>
      <c r="P867">
        <v>-8.1155835074578894E-2</v>
      </c>
      <c r="Q867">
        <v>4.4035736352254398E-2</v>
      </c>
      <c r="R867">
        <v>0.995134209774998</v>
      </c>
      <c r="S867" t="s">
        <v>6450</v>
      </c>
      <c r="T867" t="s">
        <v>11164</v>
      </c>
      <c r="U867" t="s">
        <v>11164</v>
      </c>
      <c r="V867" t="s">
        <v>11164</v>
      </c>
      <c r="W867" t="s">
        <v>12019</v>
      </c>
      <c r="X867">
        <v>11</v>
      </c>
      <c r="Y867" t="s">
        <v>17552</v>
      </c>
      <c r="Z867" t="s">
        <v>23017</v>
      </c>
      <c r="AA867">
        <v>0.61326300900682429</v>
      </c>
      <c r="AB867" t="str">
        <f>HYPERLINK("Melting_Curves/meltCurve_H3BLU7_AKR7A2.pdf", "Melting_Curves/meltCurve_H3BLU7_AKR7A2.pdf")</f>
        <v>Melting_Curves/meltCurve_H3BLU7_AKR7A2.pdf</v>
      </c>
    </row>
    <row r="868" spans="1:28" x14ac:dyDescent="0.25">
      <c r="A868" t="s">
        <v>872</v>
      </c>
      <c r="B868">
        <v>0.99796759195183404</v>
      </c>
      <c r="C868">
        <v>1.01610620297266</v>
      </c>
      <c r="D868">
        <v>1.10047054298712</v>
      </c>
      <c r="E868">
        <v>1.1447791557612499</v>
      </c>
      <c r="F868">
        <v>0.85950685781377301</v>
      </c>
      <c r="G868">
        <v>0.79500203003016101</v>
      </c>
      <c r="H868">
        <v>0.84355985462170802</v>
      </c>
      <c r="I868">
        <v>0.68937019833917501</v>
      </c>
      <c r="J868">
        <v>0.57488434630580199</v>
      </c>
      <c r="K868">
        <v>0.35212643545924999</v>
      </c>
      <c r="L868">
        <v>695.20184481414606</v>
      </c>
      <c r="M868">
        <v>10.7311189046968</v>
      </c>
      <c r="N868">
        <v>64.783725068868094</v>
      </c>
      <c r="O868">
        <v>62.655609185654797</v>
      </c>
      <c r="P868">
        <v>-4.2833759417438798E-2</v>
      </c>
      <c r="Q868">
        <v>0</v>
      </c>
      <c r="R868">
        <v>0.88020108206601499</v>
      </c>
      <c r="S868" t="s">
        <v>6451</v>
      </c>
      <c r="T868" t="s">
        <v>11164</v>
      </c>
      <c r="U868" t="s">
        <v>11164</v>
      </c>
      <c r="V868" t="s">
        <v>11164</v>
      </c>
      <c r="W868" t="s">
        <v>12020</v>
      </c>
      <c r="X868">
        <v>3</v>
      </c>
      <c r="Y868" t="s">
        <v>17553</v>
      </c>
      <c r="Z868" t="s">
        <v>23018</v>
      </c>
      <c r="AA868">
        <v>0.84424234165079415</v>
      </c>
      <c r="AB868" t="str">
        <f>HYPERLINK("Melting_Curves/meltCurve_H3BLW6_TMEM63B.pdf", "Melting_Curves/meltCurve_H3BLW6_TMEM63B.pdf")</f>
        <v>Melting_Curves/meltCurve_H3BLW6_TMEM63B.pdf</v>
      </c>
    </row>
    <row r="869" spans="1:28" x14ac:dyDescent="0.25">
      <c r="A869" t="s">
        <v>873</v>
      </c>
      <c r="B869">
        <v>0.99796759195183404</v>
      </c>
      <c r="C869">
        <v>1.22639666806147</v>
      </c>
      <c r="D869">
        <v>1.0603121573398999</v>
      </c>
      <c r="E869">
        <v>1.1049773227800099</v>
      </c>
      <c r="F869">
        <v>1.1989729755515599</v>
      </c>
      <c r="G869">
        <v>0.768113763103485</v>
      </c>
      <c r="H869">
        <v>0.47583210117288399</v>
      </c>
      <c r="I869">
        <v>0.46913666403779603</v>
      </c>
      <c r="J869">
        <v>0.49045905501812098</v>
      </c>
      <c r="K869">
        <v>0.470471512928677</v>
      </c>
      <c r="L869">
        <v>13462.334713693799</v>
      </c>
      <c r="M869">
        <v>250</v>
      </c>
      <c r="N869">
        <v>54.515868364322301</v>
      </c>
      <c r="O869">
        <v>53.845906381814999</v>
      </c>
      <c r="P869">
        <v>-0.607666115018765</v>
      </c>
      <c r="Q869">
        <v>0.47647480777061402</v>
      </c>
      <c r="R869">
        <v>0.88910967067302205</v>
      </c>
      <c r="S869" t="s">
        <v>6452</v>
      </c>
      <c r="T869" t="s">
        <v>11164</v>
      </c>
      <c r="U869" t="s">
        <v>11164</v>
      </c>
      <c r="V869" t="s">
        <v>11164</v>
      </c>
      <c r="W869" t="s">
        <v>12021</v>
      </c>
      <c r="X869">
        <v>1</v>
      </c>
      <c r="Y869" t="s">
        <v>17554</v>
      </c>
      <c r="Z869" t="s">
        <v>23019</v>
      </c>
      <c r="AA869">
        <v>0.7705593954850084</v>
      </c>
      <c r="AB869" t="str">
        <f>HYPERLINK("Melting_Curves/meltCurve_H3BLW9_SWI5.pdf", "Melting_Curves/meltCurve_H3BLW9_SWI5.pdf")</f>
        <v>Melting_Curves/meltCurve_H3BLW9_SWI5.pdf</v>
      </c>
    </row>
    <row r="870" spans="1:28" x14ac:dyDescent="0.25">
      <c r="A870" t="s">
        <v>874</v>
      </c>
      <c r="B870">
        <v>0.99796759195183404</v>
      </c>
      <c r="C870">
        <v>0.98498304474045995</v>
      </c>
      <c r="D870">
        <v>0.850973861241339</v>
      </c>
      <c r="E870">
        <v>0.98779106056237398</v>
      </c>
      <c r="F870">
        <v>0.97051299681945302</v>
      </c>
      <c r="G870">
        <v>0.52179080908275099</v>
      </c>
      <c r="H870">
        <v>0.51478616873426697</v>
      </c>
      <c r="I870">
        <v>0.53897999534935503</v>
      </c>
      <c r="J870">
        <v>0.78875688107794195</v>
      </c>
      <c r="K870">
        <v>0.78479855533506404</v>
      </c>
      <c r="L870">
        <v>12672.8392969286</v>
      </c>
      <c r="M870">
        <v>250</v>
      </c>
      <c r="O870">
        <v>50.688116058765601</v>
      </c>
      <c r="P870">
        <v>-0.45644026630902701</v>
      </c>
      <c r="Q870">
        <v>0.62982246565029798</v>
      </c>
      <c r="R870">
        <v>0.71402445128286696</v>
      </c>
      <c r="S870" t="s">
        <v>6453</v>
      </c>
      <c r="T870" t="s">
        <v>11164</v>
      </c>
      <c r="U870" t="s">
        <v>11164</v>
      </c>
      <c r="V870" t="s">
        <v>11164</v>
      </c>
      <c r="W870" t="s">
        <v>12022</v>
      </c>
      <c r="X870">
        <v>3</v>
      </c>
      <c r="Y870" t="s">
        <v>17555</v>
      </c>
      <c r="Z870" t="s">
        <v>23020</v>
      </c>
      <c r="AA870">
        <v>0.79879649244006312</v>
      </c>
      <c r="AB870" t="str">
        <f>HYPERLINK("Melting_Curves/meltCurve_H3BLZ2_DBNDD1.pdf", "Melting_Curves/meltCurve_H3BLZ2_DBNDD1.pdf")</f>
        <v>Melting_Curves/meltCurve_H3BLZ2_DBNDD1.pdf</v>
      </c>
    </row>
    <row r="871" spans="1:28" x14ac:dyDescent="0.25">
      <c r="A871" t="s">
        <v>875</v>
      </c>
      <c r="B871">
        <v>0.99796759195183404</v>
      </c>
      <c r="C871">
        <v>0.95984711183350402</v>
      </c>
      <c r="D871">
        <v>0.97429074909059099</v>
      </c>
      <c r="E871">
        <v>0.98690841377929195</v>
      </c>
      <c r="F871">
        <v>0.83494953689571805</v>
      </c>
      <c r="G871">
        <v>0.47150063330686898</v>
      </c>
      <c r="H871">
        <v>0.20328490320875101</v>
      </c>
      <c r="I871">
        <v>0.22638493625588699</v>
      </c>
      <c r="J871">
        <v>0.15578240155699899</v>
      </c>
      <c r="K871">
        <v>0.10879455014049701</v>
      </c>
      <c r="L871">
        <v>1466.38940071359</v>
      </c>
      <c r="M871">
        <v>27.769204752933302</v>
      </c>
      <c r="N871">
        <v>53.474674988083301</v>
      </c>
      <c r="O871">
        <v>52.534743363033002</v>
      </c>
      <c r="P871">
        <v>-0.11277209217816</v>
      </c>
      <c r="Q871">
        <v>0.14662295362417499</v>
      </c>
      <c r="R871">
        <v>0.99408118334723605</v>
      </c>
      <c r="S871" t="s">
        <v>6454</v>
      </c>
      <c r="T871" t="s">
        <v>11164</v>
      </c>
      <c r="U871" t="s">
        <v>11164</v>
      </c>
      <c r="V871" t="s">
        <v>11164</v>
      </c>
      <c r="W871" t="s">
        <v>12023</v>
      </c>
      <c r="X871">
        <v>32</v>
      </c>
      <c r="Y871" t="s">
        <v>17556</v>
      </c>
      <c r="Z871" t="s">
        <v>23021</v>
      </c>
      <c r="AA871">
        <v>0.60250813188645092</v>
      </c>
      <c r="AB871" t="str">
        <f>HYPERLINK("Melting_Curves/meltCurve_H3BLZ8_DDX17.pdf", "Melting_Curves/meltCurve_H3BLZ8_DDX17.pdf")</f>
        <v>Melting_Curves/meltCurve_H3BLZ8_DDX17.pdf</v>
      </c>
    </row>
    <row r="872" spans="1:28" x14ac:dyDescent="0.25">
      <c r="A872" t="s">
        <v>876</v>
      </c>
      <c r="B872">
        <v>0.99796759195183404</v>
      </c>
      <c r="C872">
        <v>1.02584805342487</v>
      </c>
      <c r="D872">
        <v>0.98208545168066697</v>
      </c>
      <c r="E872">
        <v>0.94381891849993105</v>
      </c>
      <c r="F872">
        <v>0.64500710283150398</v>
      </c>
      <c r="G872">
        <v>0.32716123034856598</v>
      </c>
      <c r="H872">
        <v>0.20542910191594399</v>
      </c>
      <c r="I872">
        <v>0.15018172200621899</v>
      </c>
      <c r="J872">
        <v>0.124599050775707</v>
      </c>
      <c r="K872">
        <v>0.101834153791073</v>
      </c>
      <c r="L872">
        <v>1202.50695224325</v>
      </c>
      <c r="M872">
        <v>23.5072495003527</v>
      </c>
      <c r="N872">
        <v>51.761074825480797</v>
      </c>
      <c r="O872">
        <v>50.788831648618803</v>
      </c>
      <c r="P872">
        <v>-0.101786060160069</v>
      </c>
      <c r="Q872">
        <v>0.120355177815529</v>
      </c>
      <c r="R872">
        <v>0.99824648161340002</v>
      </c>
      <c r="S872" t="s">
        <v>6455</v>
      </c>
      <c r="T872" t="s">
        <v>11164</v>
      </c>
      <c r="U872" t="s">
        <v>11164</v>
      </c>
      <c r="V872" t="s">
        <v>11164</v>
      </c>
      <c r="W872" t="s">
        <v>12024</v>
      </c>
      <c r="X872">
        <v>16</v>
      </c>
      <c r="Y872" t="s">
        <v>17557</v>
      </c>
      <c r="Z872" t="s">
        <v>23022</v>
      </c>
      <c r="AA872">
        <v>0.54408622213414071</v>
      </c>
      <c r="AB872" t="str">
        <f>HYPERLINK("Melting_Curves/meltCurve_H3BM14_NUB1.pdf", "Melting_Curves/meltCurve_H3BM14_NUB1.pdf")</f>
        <v>Melting_Curves/meltCurve_H3BM14_NUB1.pdf</v>
      </c>
    </row>
    <row r="873" spans="1:28" x14ac:dyDescent="0.25">
      <c r="A873" t="s">
        <v>877</v>
      </c>
      <c r="B873">
        <v>0.99796759195183404</v>
      </c>
      <c r="C873">
        <v>1.04303644507197</v>
      </c>
      <c r="D873">
        <v>1.03575982845896</v>
      </c>
      <c r="E873">
        <v>0.91218949569343999</v>
      </c>
      <c r="F873">
        <v>0.91769678255425802</v>
      </c>
      <c r="G873">
        <v>0.65824029734021405</v>
      </c>
      <c r="H873">
        <v>0.83734549332863295</v>
      </c>
      <c r="I873">
        <v>0.702521697382823</v>
      </c>
      <c r="J873">
        <v>0.91037656549206603</v>
      </c>
      <c r="K873">
        <v>0.95429626056986505</v>
      </c>
      <c r="L873">
        <v>1533.38605708921</v>
      </c>
      <c r="M873">
        <v>32.203008240043403</v>
      </c>
      <c r="O873">
        <v>47.433739761603903</v>
      </c>
      <c r="P873">
        <v>-3.0216349759093899E-2</v>
      </c>
      <c r="Q873">
        <v>0.82197096792757696</v>
      </c>
      <c r="R873">
        <v>0.49768156172029598</v>
      </c>
      <c r="S873" t="s">
        <v>6456</v>
      </c>
      <c r="T873" t="s">
        <v>11164</v>
      </c>
      <c r="U873" t="s">
        <v>11164</v>
      </c>
      <c r="V873" t="s">
        <v>11164</v>
      </c>
      <c r="W873" t="s">
        <v>12025</v>
      </c>
      <c r="X873">
        <v>7</v>
      </c>
      <c r="Y873" t="s">
        <v>17558</v>
      </c>
      <c r="Z873" t="s">
        <v>23023</v>
      </c>
      <c r="AA873">
        <v>0.88587842478618739</v>
      </c>
      <c r="AB873" t="str">
        <f>HYPERLINK("Melting_Curves/meltCurve_H3BMD8_ARPP19.pdf", "Melting_Curves/meltCurve_H3BMD8_ARPP19.pdf")</f>
        <v>Melting_Curves/meltCurve_H3BMD8_ARPP19.pdf</v>
      </c>
    </row>
    <row r="874" spans="1:28" x14ac:dyDescent="0.25">
      <c r="A874" t="s">
        <v>878</v>
      </c>
      <c r="B874">
        <v>0.99796759195183404</v>
      </c>
      <c r="C874">
        <v>1.0920841537347601</v>
      </c>
      <c r="D874">
        <v>1.0849276635469201</v>
      </c>
      <c r="E874">
        <v>1.0041551057385101</v>
      </c>
      <c r="F874">
        <v>1.1437856330065099</v>
      </c>
      <c r="G874">
        <v>0.72662039123297095</v>
      </c>
      <c r="H874">
        <v>0.75220906652028197</v>
      </c>
      <c r="I874">
        <v>0.89593157997669104</v>
      </c>
      <c r="J874">
        <v>0.97618924743236002</v>
      </c>
      <c r="K874">
        <v>1.4594624376258201</v>
      </c>
      <c r="L874">
        <v>15000</v>
      </c>
      <c r="M874">
        <v>226.30454449039399</v>
      </c>
      <c r="O874">
        <v>66.277186904303406</v>
      </c>
      <c r="P874">
        <v>0.42681455627396597</v>
      </c>
      <c r="Q874">
        <v>1.5</v>
      </c>
      <c r="R874">
        <v>0.53227531418707497</v>
      </c>
      <c r="S874" t="s">
        <v>6457</v>
      </c>
      <c r="T874" t="s">
        <v>11164</v>
      </c>
      <c r="U874" t="s">
        <v>11164</v>
      </c>
      <c r="V874" t="s">
        <v>11164</v>
      </c>
      <c r="W874" t="s">
        <v>12026</v>
      </c>
      <c r="X874">
        <v>2</v>
      </c>
      <c r="Y874" t="s">
        <v>17559</v>
      </c>
      <c r="Z874" t="s">
        <v>23024</v>
      </c>
      <c r="AA874">
        <v>1.012316839851942</v>
      </c>
      <c r="AB874" t="str">
        <f>HYPERLINK("Melting_Curves/meltCurve_H3BMF4_SPNS1.pdf", "Melting_Curves/meltCurve_H3BMF4_SPNS1.pdf")</f>
        <v>Melting_Curves/meltCurve_H3BMF4_SPNS1.pdf</v>
      </c>
    </row>
    <row r="875" spans="1:28" x14ac:dyDescent="0.25">
      <c r="A875" t="s">
        <v>879</v>
      </c>
      <c r="B875">
        <v>0.99796759195183404</v>
      </c>
      <c r="C875">
        <v>1.08858723388058</v>
      </c>
      <c r="D875">
        <v>1.0349515954622499</v>
      </c>
      <c r="E875">
        <v>0.68204240497075797</v>
      </c>
      <c r="F875">
        <v>0.44178615324812998</v>
      </c>
      <c r="G875">
        <v>0.38228139588842502</v>
      </c>
      <c r="H875">
        <v>0.19279790762597601</v>
      </c>
      <c r="I875">
        <v>0.19320765470792001</v>
      </c>
      <c r="J875">
        <v>0.232674910127627</v>
      </c>
      <c r="K875">
        <v>0.16946707060517199</v>
      </c>
      <c r="L875">
        <v>993.55534788983596</v>
      </c>
      <c r="M875">
        <v>20.581184344454599</v>
      </c>
      <c r="N875">
        <v>49.521446769686101</v>
      </c>
      <c r="O875">
        <v>47.826114222912501</v>
      </c>
      <c r="P875">
        <v>-8.5836759516622604E-2</v>
      </c>
      <c r="Q875">
        <v>0.20216073935590601</v>
      </c>
      <c r="R875">
        <v>0.97270781138218698</v>
      </c>
      <c r="S875" t="s">
        <v>6458</v>
      </c>
      <c r="T875" t="s">
        <v>11164</v>
      </c>
      <c r="U875" t="s">
        <v>11164</v>
      </c>
      <c r="V875" t="s">
        <v>11164</v>
      </c>
      <c r="W875" t="s">
        <v>12027</v>
      </c>
      <c r="X875">
        <v>2</v>
      </c>
      <c r="Y875" t="s">
        <v>17560</v>
      </c>
      <c r="Z875" t="s">
        <v>23025</v>
      </c>
      <c r="AA875">
        <v>0.51195548687173753</v>
      </c>
      <c r="AB875" t="str">
        <f>HYPERLINK("Melting_Curves/meltCurve_H3BMJ2_C15orf39.pdf", "Melting_Curves/meltCurve_H3BMJ2_C15orf39.pdf")</f>
        <v>Melting_Curves/meltCurve_H3BMJ2_C15orf39.pdf</v>
      </c>
    </row>
    <row r="876" spans="1:28" x14ac:dyDescent="0.25">
      <c r="A876" t="s">
        <v>880</v>
      </c>
      <c r="B876">
        <v>0.99796759195183404</v>
      </c>
      <c r="C876">
        <v>1.01349479120421</v>
      </c>
      <c r="D876">
        <v>0.94268817427242002</v>
      </c>
      <c r="E876">
        <v>0.87367494260148604</v>
      </c>
      <c r="F876">
        <v>0.57018931951518603</v>
      </c>
      <c r="G876">
        <v>0.36239845071862797</v>
      </c>
      <c r="H876">
        <v>0.194922345112822</v>
      </c>
      <c r="I876">
        <v>0.231076755666179</v>
      </c>
      <c r="J876">
        <v>0.10435857350732899</v>
      </c>
      <c r="K876">
        <v>4.1978652005991997E-2</v>
      </c>
      <c r="L876">
        <v>815.38364894210304</v>
      </c>
      <c r="M876">
        <v>15.970232417229299</v>
      </c>
      <c r="N876">
        <v>51.6031843183166</v>
      </c>
      <c r="O876">
        <v>50.276052255721098</v>
      </c>
      <c r="P876">
        <v>-7.3237651781104904E-2</v>
      </c>
      <c r="Q876">
        <v>7.7832040097906896E-2</v>
      </c>
      <c r="R876">
        <v>0.98940958343437702</v>
      </c>
      <c r="S876" t="s">
        <v>6459</v>
      </c>
      <c r="T876" t="s">
        <v>11164</v>
      </c>
      <c r="U876" t="s">
        <v>11164</v>
      </c>
      <c r="V876" t="s">
        <v>11164</v>
      </c>
      <c r="W876" t="s">
        <v>11533</v>
      </c>
      <c r="X876">
        <v>3</v>
      </c>
      <c r="Z876" t="s">
        <v>23026</v>
      </c>
      <c r="AA876">
        <v>0.52693542067377541</v>
      </c>
      <c r="AB876" t="str">
        <f>HYPERLINK("Melting_Curves/meltCurve_H3BMM5_.pdf", "Melting_Curves/meltCurve_H3BMM5_.pdf")</f>
        <v>Melting_Curves/meltCurve_H3BMM5_.pdf</v>
      </c>
    </row>
    <row r="877" spans="1:28" x14ac:dyDescent="0.25">
      <c r="A877" t="s">
        <v>881</v>
      </c>
      <c r="B877">
        <v>0.99796759195183404</v>
      </c>
      <c r="C877">
        <v>1.03271884968967</v>
      </c>
      <c r="D877">
        <v>0.91372678950731401</v>
      </c>
      <c r="E877">
        <v>0.79049517732883401</v>
      </c>
      <c r="F877">
        <v>0.64939455818641101</v>
      </c>
      <c r="G877">
        <v>0.448114911521588</v>
      </c>
      <c r="H877">
        <v>0.26997634249036201</v>
      </c>
      <c r="I877">
        <v>0.164993107355034</v>
      </c>
      <c r="J877">
        <v>0.178908909777234</v>
      </c>
      <c r="K877">
        <v>0.170083716307493</v>
      </c>
      <c r="L877">
        <v>679.882360717712</v>
      </c>
      <c r="M877">
        <v>13.212401890890501</v>
      </c>
      <c r="N877">
        <v>52.400621490270801</v>
      </c>
      <c r="O877">
        <v>50.321935835828</v>
      </c>
      <c r="P877">
        <v>-5.8705847836181803E-2</v>
      </c>
      <c r="Q877">
        <v>0.105778943991196</v>
      </c>
      <c r="R877">
        <v>0.99319602372017901</v>
      </c>
      <c r="S877" t="s">
        <v>6460</v>
      </c>
      <c r="T877" t="s">
        <v>11164</v>
      </c>
      <c r="U877" t="s">
        <v>11164</v>
      </c>
      <c r="V877" t="s">
        <v>11164</v>
      </c>
      <c r="W877" t="s">
        <v>12028</v>
      </c>
      <c r="X877">
        <v>4</v>
      </c>
      <c r="Y877" t="s">
        <v>17561</v>
      </c>
      <c r="Z877" t="s">
        <v>23027</v>
      </c>
      <c r="AA877">
        <v>0.55711039348592994</v>
      </c>
      <c r="AB877" t="str">
        <f>HYPERLINK("Melting_Curves/meltCurve_H3BMS0_RNPS1.pdf", "Melting_Curves/meltCurve_H3BMS0_RNPS1.pdf")</f>
        <v>Melting_Curves/meltCurve_H3BMS0_RNPS1.pdf</v>
      </c>
    </row>
    <row r="878" spans="1:28" x14ac:dyDescent="0.25">
      <c r="A878" t="s">
        <v>882</v>
      </c>
      <c r="B878">
        <v>0.99796759195183404</v>
      </c>
      <c r="C878">
        <v>0.92885812486236596</v>
      </c>
      <c r="D878">
        <v>0.93337779234916496</v>
      </c>
      <c r="E878">
        <v>0.85213250145606001</v>
      </c>
      <c r="F878">
        <v>0.60742834683776503</v>
      </c>
      <c r="G878">
        <v>0.30098690298520397</v>
      </c>
      <c r="H878">
        <v>0.21738712598323101</v>
      </c>
      <c r="I878">
        <v>0.15454782301092801</v>
      </c>
      <c r="J878">
        <v>0.11566700747182999</v>
      </c>
      <c r="K878">
        <v>8.8518633175674794E-2</v>
      </c>
      <c r="L878">
        <v>869.82493918981697</v>
      </c>
      <c r="M878">
        <v>17.1357535321307</v>
      </c>
      <c r="N878">
        <v>51.349251611628503</v>
      </c>
      <c r="O878">
        <v>50.084635119244197</v>
      </c>
      <c r="P878">
        <v>-7.7913826223635393E-2</v>
      </c>
      <c r="Q878">
        <v>8.9143743855610899E-2</v>
      </c>
      <c r="R878">
        <v>0.99420681877234895</v>
      </c>
      <c r="S878" t="s">
        <v>6461</v>
      </c>
      <c r="T878" t="s">
        <v>11164</v>
      </c>
      <c r="U878" t="s">
        <v>11164</v>
      </c>
      <c r="V878" t="s">
        <v>11164</v>
      </c>
      <c r="W878" t="s">
        <v>12029</v>
      </c>
      <c r="X878">
        <v>3</v>
      </c>
      <c r="Y878" t="s">
        <v>17562</v>
      </c>
      <c r="Z878" t="s">
        <v>23028</v>
      </c>
      <c r="AA878">
        <v>0.5222584836241575</v>
      </c>
      <c r="AB878" t="str">
        <f>HYPERLINK("Melting_Curves/meltCurve_H3BMV2_C17orf103.pdf", "Melting_Curves/meltCurve_H3BMV2_C17orf103.pdf")</f>
        <v>Melting_Curves/meltCurve_H3BMV2_C17orf103.pdf</v>
      </c>
    </row>
    <row r="879" spans="1:28" x14ac:dyDescent="0.25">
      <c r="A879" t="s">
        <v>883</v>
      </c>
      <c r="B879">
        <v>0.99796759195183404</v>
      </c>
      <c r="C879">
        <v>0.98157180084117601</v>
      </c>
      <c r="D879">
        <v>0.97580001893153601</v>
      </c>
      <c r="E879">
        <v>0.94694832718931299</v>
      </c>
      <c r="F879">
        <v>0.91788869148126595</v>
      </c>
      <c r="G879">
        <v>0.54109619203991499</v>
      </c>
      <c r="H879">
        <v>0.68301909119135495</v>
      </c>
      <c r="I879">
        <v>0.726212421363434</v>
      </c>
      <c r="J879">
        <v>0.87987569214743799</v>
      </c>
      <c r="K879">
        <v>0.59156624447594497</v>
      </c>
      <c r="L879">
        <v>12602.4717279</v>
      </c>
      <c r="M879">
        <v>250</v>
      </c>
      <c r="O879">
        <v>50.406661210690999</v>
      </c>
      <c r="P879">
        <v>-0.39137445527417097</v>
      </c>
      <c r="Q879">
        <v>0.68435392843022302</v>
      </c>
      <c r="R879">
        <v>0.728834646323266</v>
      </c>
      <c r="S879" t="s">
        <v>6462</v>
      </c>
      <c r="T879" t="s">
        <v>11164</v>
      </c>
      <c r="U879" t="s">
        <v>11164</v>
      </c>
      <c r="V879" t="s">
        <v>11164</v>
      </c>
      <c r="W879" t="s">
        <v>12030</v>
      </c>
      <c r="X879">
        <v>1</v>
      </c>
      <c r="Y879" t="s">
        <v>17563</v>
      </c>
      <c r="Z879" t="s">
        <v>23029</v>
      </c>
      <c r="AA879">
        <v>0.82547445731389935</v>
      </c>
      <c r="AB879" t="str">
        <f>HYPERLINK("Melting_Curves/meltCurve_H3BN87_SLC38A7.pdf", "Melting_Curves/meltCurve_H3BN87_SLC38A7.pdf")</f>
        <v>Melting_Curves/meltCurve_H3BN87_SLC38A7.pdf</v>
      </c>
    </row>
    <row r="880" spans="1:28" x14ac:dyDescent="0.25">
      <c r="A880" t="s">
        <v>884</v>
      </c>
      <c r="B880">
        <v>0.99796759195183404</v>
      </c>
      <c r="C880">
        <v>0.85739533056193795</v>
      </c>
      <c r="D880">
        <v>0.87610146979180703</v>
      </c>
      <c r="E880">
        <v>0.84219666364601797</v>
      </c>
      <c r="F880">
        <v>0.78574697243869795</v>
      </c>
      <c r="G880">
        <v>0.57452667196405705</v>
      </c>
      <c r="H880">
        <v>0.53065897898143299</v>
      </c>
      <c r="I880">
        <v>0.457368558426198</v>
      </c>
      <c r="J880">
        <v>0.53703031662561795</v>
      </c>
      <c r="K880">
        <v>0.51569004460797396</v>
      </c>
      <c r="L880">
        <v>444.78010819895002</v>
      </c>
      <c r="M880">
        <v>8.8846675235870105</v>
      </c>
      <c r="N880">
        <v>63.5070193460719</v>
      </c>
      <c r="O880">
        <v>47.720119154675203</v>
      </c>
      <c r="P880">
        <v>-2.68408568815687E-2</v>
      </c>
      <c r="Q880">
        <v>0.42378353265401902</v>
      </c>
      <c r="R880">
        <v>0.92016424064674396</v>
      </c>
      <c r="S880" t="s">
        <v>6463</v>
      </c>
      <c r="T880" t="s">
        <v>11164</v>
      </c>
      <c r="U880" t="s">
        <v>11164</v>
      </c>
      <c r="V880" t="s">
        <v>11164</v>
      </c>
      <c r="W880" t="s">
        <v>12008</v>
      </c>
      <c r="X880">
        <v>2</v>
      </c>
      <c r="Z880" t="s">
        <v>23030</v>
      </c>
      <c r="AA880">
        <v>0.69618990337990883</v>
      </c>
      <c r="AB880" t="str">
        <f>HYPERLINK("Melting_Curves/meltCurve_H3BN98_.pdf", "Melting_Curves/meltCurve_H3BN98_.pdf")</f>
        <v>Melting_Curves/meltCurve_H3BN98_.pdf</v>
      </c>
    </row>
    <row r="881" spans="1:28" x14ac:dyDescent="0.25">
      <c r="A881" t="s">
        <v>885</v>
      </c>
      <c r="B881">
        <v>0.99796759195183404</v>
      </c>
      <c r="C881">
        <v>1.02521050943541</v>
      </c>
      <c r="D881">
        <v>0.89300352399537597</v>
      </c>
      <c r="E881">
        <v>0.96137718225480495</v>
      </c>
      <c r="F881">
        <v>0.69854385840050404</v>
      </c>
      <c r="G881">
        <v>0.22270581604602799</v>
      </c>
      <c r="H881">
        <v>0.205506684374372</v>
      </c>
      <c r="I881">
        <v>0.120063355355881</v>
      </c>
      <c r="J881">
        <v>3.5830311621906599E-2</v>
      </c>
      <c r="K881">
        <v>3.7215647411725103E-2</v>
      </c>
      <c r="L881">
        <v>1484.41208570771</v>
      </c>
      <c r="M881">
        <v>28.928454212283</v>
      </c>
      <c r="N881">
        <v>51.613052288554897</v>
      </c>
      <c r="O881">
        <v>51.069888770911497</v>
      </c>
      <c r="P881">
        <v>-0.13065996956138501</v>
      </c>
      <c r="Q881">
        <v>7.7345831211928104E-2</v>
      </c>
      <c r="R881">
        <v>0.98421240953120703</v>
      </c>
      <c r="S881" t="s">
        <v>6464</v>
      </c>
      <c r="T881" t="s">
        <v>11164</v>
      </c>
      <c r="U881" t="s">
        <v>11164</v>
      </c>
      <c r="V881" t="s">
        <v>11164</v>
      </c>
      <c r="W881" t="s">
        <v>12031</v>
      </c>
      <c r="X881">
        <v>1</v>
      </c>
      <c r="Y881" t="s">
        <v>17564</v>
      </c>
      <c r="Z881" t="s">
        <v>23031</v>
      </c>
      <c r="AA881">
        <v>0.52374424604570669</v>
      </c>
      <c r="AB881" t="str">
        <f>HYPERLINK("Melting_Curves/meltCurve_H3BNA7_KIAA0513.pdf", "Melting_Curves/meltCurve_H3BNA7_KIAA0513.pdf")</f>
        <v>Melting_Curves/meltCurve_H3BNA7_KIAA0513.pdf</v>
      </c>
    </row>
    <row r="882" spans="1:28" x14ac:dyDescent="0.25">
      <c r="A882" t="s">
        <v>886</v>
      </c>
      <c r="B882">
        <v>0.99796759195183404</v>
      </c>
      <c r="C882">
        <v>0.79992586190242698</v>
      </c>
      <c r="D882">
        <v>0.90319572879721599</v>
      </c>
      <c r="E882">
        <v>1.0649981358601801</v>
      </c>
      <c r="F882">
        <v>0.58833917660428203</v>
      </c>
      <c r="G882">
        <v>0.51378634865156803</v>
      </c>
      <c r="H882">
        <v>0.68548090096351999</v>
      </c>
      <c r="I882">
        <v>0.57732696159105901</v>
      </c>
      <c r="J882">
        <v>0.29473636130386799</v>
      </c>
      <c r="K882">
        <v>0.22314336187961301</v>
      </c>
      <c r="L882">
        <v>378.55261896915101</v>
      </c>
      <c r="M882">
        <v>6.4542585489315201</v>
      </c>
      <c r="N882">
        <v>58.651604376616604</v>
      </c>
      <c r="O882">
        <v>53.782130948960699</v>
      </c>
      <c r="P882">
        <v>-3.00766228684324E-2</v>
      </c>
      <c r="Q882">
        <v>0</v>
      </c>
      <c r="R882">
        <v>0.76164425013484305</v>
      </c>
      <c r="S882" t="s">
        <v>6465</v>
      </c>
      <c r="T882" t="s">
        <v>11164</v>
      </c>
      <c r="U882" t="s">
        <v>11164</v>
      </c>
      <c r="V882" t="s">
        <v>11164</v>
      </c>
      <c r="W882" t="s">
        <v>12032</v>
      </c>
      <c r="X882">
        <v>2</v>
      </c>
      <c r="Y882" t="s">
        <v>17565</v>
      </c>
      <c r="Z882" t="s">
        <v>23032</v>
      </c>
      <c r="AA882">
        <v>0.67739045049344182</v>
      </c>
      <c r="AB882" t="str">
        <f>HYPERLINK("Melting_Curves/meltCurve_H3BNM4_INO80E.pdf", "Melting_Curves/meltCurve_H3BNM4_INO80E.pdf")</f>
        <v>Melting_Curves/meltCurve_H3BNM4_INO80E.pdf</v>
      </c>
    </row>
    <row r="883" spans="1:28" x14ac:dyDescent="0.25">
      <c r="A883" t="s">
        <v>887</v>
      </c>
      <c r="B883">
        <v>0.99796759195183404</v>
      </c>
      <c r="C883">
        <v>0.94668156667481196</v>
      </c>
      <c r="D883">
        <v>0.91738579222696903</v>
      </c>
      <c r="E883">
        <v>0.87497648148006402</v>
      </c>
      <c r="F883">
        <v>0.81691990487008004</v>
      </c>
      <c r="G883">
        <v>0.76117046608165095</v>
      </c>
      <c r="H883">
        <v>0.73824497296924896</v>
      </c>
      <c r="I883">
        <v>0.64169059768412295</v>
      </c>
      <c r="J883">
        <v>0.42218274624962498</v>
      </c>
      <c r="K883">
        <v>0.18905017679129699</v>
      </c>
      <c r="L883">
        <v>547.03529757013496</v>
      </c>
      <c r="M883">
        <v>8.8671820936230894</v>
      </c>
      <c r="N883">
        <v>61.692116176064602</v>
      </c>
      <c r="O883">
        <v>58.796210976186103</v>
      </c>
      <c r="P883">
        <v>-3.7731996500715202E-2</v>
      </c>
      <c r="Q883">
        <v>0</v>
      </c>
      <c r="R883">
        <v>0.90310376644553003</v>
      </c>
      <c r="S883" t="s">
        <v>6466</v>
      </c>
      <c r="T883" t="s">
        <v>11164</v>
      </c>
      <c r="U883" t="s">
        <v>11164</v>
      </c>
      <c r="V883" t="s">
        <v>11164</v>
      </c>
      <c r="W883" t="s">
        <v>12033</v>
      </c>
      <c r="X883">
        <v>10</v>
      </c>
      <c r="Y883" t="s">
        <v>17566</v>
      </c>
      <c r="Z883" t="s">
        <v>23033</v>
      </c>
      <c r="AA883">
        <v>0.76731351860642394</v>
      </c>
      <c r="AB883" t="str">
        <f>HYPERLINK("Melting_Curves/meltCurve_H3BP20_HEXA.pdf", "Melting_Curves/meltCurve_H3BP20_HEXA.pdf")</f>
        <v>Melting_Curves/meltCurve_H3BP20_HEXA.pdf</v>
      </c>
    </row>
    <row r="884" spans="1:28" x14ac:dyDescent="0.25">
      <c r="A884" t="s">
        <v>888</v>
      </c>
      <c r="B884">
        <v>0.99796759195183404</v>
      </c>
      <c r="C884">
        <v>0.96069938712083303</v>
      </c>
      <c r="D884">
        <v>0.99893689641345096</v>
      </c>
      <c r="E884">
        <v>0.93062522209390197</v>
      </c>
      <c r="F884">
        <v>0.68926280977566101</v>
      </c>
      <c r="G884">
        <v>0.53129259959055897</v>
      </c>
      <c r="H884">
        <v>0.29849945082734203</v>
      </c>
      <c r="I884">
        <v>0.15139678180258001</v>
      </c>
      <c r="J884">
        <v>0.116276134486567</v>
      </c>
      <c r="K884">
        <v>9.0176786814080007E-2</v>
      </c>
      <c r="L884">
        <v>785.00898071889003</v>
      </c>
      <c r="M884">
        <v>14.6625834168997</v>
      </c>
      <c r="N884">
        <v>53.8000621299933</v>
      </c>
      <c r="O884">
        <v>52.571960858354799</v>
      </c>
      <c r="P884">
        <v>-6.7332621454108399E-2</v>
      </c>
      <c r="Q884">
        <v>3.4435467484849901E-2</v>
      </c>
      <c r="R884">
        <v>0.99546306386684003</v>
      </c>
      <c r="S884" t="s">
        <v>6467</v>
      </c>
      <c r="T884" t="s">
        <v>11164</v>
      </c>
      <c r="U884" t="s">
        <v>11164</v>
      </c>
      <c r="V884" t="s">
        <v>11164</v>
      </c>
      <c r="W884" t="s">
        <v>12034</v>
      </c>
      <c r="X884">
        <v>6</v>
      </c>
      <c r="Y884" t="s">
        <v>17567</v>
      </c>
      <c r="Z884" t="s">
        <v>23034</v>
      </c>
      <c r="AA884">
        <v>0.58345837158252145</v>
      </c>
      <c r="AB884" t="str">
        <f>HYPERLINK("Melting_Curves/meltCurve_H3BPC4_UBE2I.pdf", "Melting_Curves/meltCurve_H3BPC4_UBE2I.pdf")</f>
        <v>Melting_Curves/meltCurve_H3BPC4_UBE2I.pdf</v>
      </c>
    </row>
    <row r="885" spans="1:28" x14ac:dyDescent="0.25">
      <c r="A885" t="s">
        <v>889</v>
      </c>
      <c r="B885">
        <v>0.99796759195183404</v>
      </c>
      <c r="C885">
        <v>1.0194213989618599</v>
      </c>
      <c r="D885">
        <v>1.0124943027382001</v>
      </c>
      <c r="E885">
        <v>0.88933379352683395</v>
      </c>
      <c r="F885">
        <v>0.70552896382115804</v>
      </c>
      <c r="G885">
        <v>0.41549500508443599</v>
      </c>
      <c r="H885">
        <v>0.19894199472002699</v>
      </c>
      <c r="I885">
        <v>0.150161675735976</v>
      </c>
      <c r="J885">
        <v>0.132928027572986</v>
      </c>
      <c r="K885">
        <v>0.108905572678764</v>
      </c>
      <c r="L885">
        <v>1021.19936911406</v>
      </c>
      <c r="M885">
        <v>19.6544460577169</v>
      </c>
      <c r="N885">
        <v>52.5577389690743</v>
      </c>
      <c r="O885">
        <v>51.4287743636771</v>
      </c>
      <c r="P885">
        <v>-8.5943079134239306E-2</v>
      </c>
      <c r="Q885">
        <v>0.100500093887899</v>
      </c>
      <c r="R885">
        <v>0.99813912698781404</v>
      </c>
      <c r="S885" t="s">
        <v>6468</v>
      </c>
      <c r="T885" t="s">
        <v>11164</v>
      </c>
      <c r="U885" t="s">
        <v>11164</v>
      </c>
      <c r="V885" t="s">
        <v>11164</v>
      </c>
      <c r="W885" t="s">
        <v>12035</v>
      </c>
      <c r="X885">
        <v>18</v>
      </c>
      <c r="Y885" t="s">
        <v>17236</v>
      </c>
      <c r="Z885" t="s">
        <v>23035</v>
      </c>
      <c r="AA885">
        <v>0.5609267410484885</v>
      </c>
      <c r="AB885" t="str">
        <f>HYPERLINK("Melting_Curves/meltCurve_H3BPE1_MACF1.pdf", "Melting_Curves/meltCurve_H3BPE1_MACF1.pdf")</f>
        <v>Melting_Curves/meltCurve_H3BPE1_MACF1.pdf</v>
      </c>
    </row>
    <row r="886" spans="1:28" x14ac:dyDescent="0.25">
      <c r="A886" t="s">
        <v>890</v>
      </c>
      <c r="B886">
        <v>0.99796759195183404</v>
      </c>
      <c r="C886">
        <v>0.98416944223284397</v>
      </c>
      <c r="D886">
        <v>0.86954020750643701</v>
      </c>
      <c r="E886">
        <v>0.83973020033787804</v>
      </c>
      <c r="F886">
        <v>0.74359130067942503</v>
      </c>
      <c r="G886">
        <v>0.49197532979000402</v>
      </c>
      <c r="H886">
        <v>0.39668465588663898</v>
      </c>
      <c r="I886">
        <v>0.37792127620405203</v>
      </c>
      <c r="J886">
        <v>0.40271588526660201</v>
      </c>
      <c r="K886">
        <v>0.34367395258899303</v>
      </c>
      <c r="L886">
        <v>678.47377588154404</v>
      </c>
      <c r="M886">
        <v>13.4251615099577</v>
      </c>
      <c r="N886">
        <v>54.760288182044498</v>
      </c>
      <c r="O886">
        <v>49.455658891588001</v>
      </c>
      <c r="P886">
        <v>-4.5989810988268202E-2</v>
      </c>
      <c r="Q886">
        <v>0.32243557432512299</v>
      </c>
      <c r="R886">
        <v>0.97736752667397397</v>
      </c>
      <c r="S886" t="s">
        <v>6469</v>
      </c>
      <c r="T886" t="s">
        <v>11164</v>
      </c>
      <c r="U886" t="s">
        <v>11164</v>
      </c>
      <c r="V886" t="s">
        <v>11164</v>
      </c>
      <c r="W886" t="s">
        <v>12036</v>
      </c>
      <c r="X886">
        <v>1</v>
      </c>
      <c r="Y886" t="s">
        <v>17568</v>
      </c>
      <c r="Z886" t="s">
        <v>23036</v>
      </c>
      <c r="AA886">
        <v>0.64424402833766536</v>
      </c>
      <c r="AB886" t="str">
        <f>HYPERLINK("Melting_Curves/meltCurve_H3BPF5_RPGRIP1L.pdf", "Melting_Curves/meltCurve_H3BPF5_RPGRIP1L.pdf")</f>
        <v>Melting_Curves/meltCurve_H3BPF5_RPGRIP1L.pdf</v>
      </c>
    </row>
    <row r="887" spans="1:28" x14ac:dyDescent="0.25">
      <c r="A887" t="s">
        <v>891</v>
      </c>
      <c r="B887">
        <v>0.99796759195183404</v>
      </c>
      <c r="C887">
        <v>0.99163161606832895</v>
      </c>
      <c r="D887">
        <v>0.96947464159494201</v>
      </c>
      <c r="E887">
        <v>0.94849010509121701</v>
      </c>
      <c r="F887">
        <v>0.84206648759472202</v>
      </c>
      <c r="G887">
        <v>0.63005783739162402</v>
      </c>
      <c r="H887">
        <v>0.56182518411077598</v>
      </c>
      <c r="I887">
        <v>0.43265538459197</v>
      </c>
      <c r="J887">
        <v>0.44297228535725902</v>
      </c>
      <c r="K887">
        <v>0.32050816589866299</v>
      </c>
      <c r="L887">
        <v>715.08480904453495</v>
      </c>
      <c r="M887">
        <v>13.1758794787804</v>
      </c>
      <c r="N887">
        <v>58.602067733008603</v>
      </c>
      <c r="O887">
        <v>53.0677803284307</v>
      </c>
      <c r="P887">
        <v>-4.2766645133573901E-2</v>
      </c>
      <c r="Q887">
        <v>0.31111997178302397</v>
      </c>
      <c r="R887">
        <v>0.98734885160434305</v>
      </c>
      <c r="S887" t="s">
        <v>6470</v>
      </c>
      <c r="T887" t="s">
        <v>11164</v>
      </c>
      <c r="U887" t="s">
        <v>11164</v>
      </c>
      <c r="V887" t="s">
        <v>11164</v>
      </c>
      <c r="W887" t="s">
        <v>12037</v>
      </c>
      <c r="X887">
        <v>13</v>
      </c>
      <c r="Y887" t="s">
        <v>17569</v>
      </c>
      <c r="Z887" t="s">
        <v>23037</v>
      </c>
      <c r="AA887">
        <v>0.71922653657162228</v>
      </c>
      <c r="AB887" t="str">
        <f>HYPERLINK("Melting_Curves/meltCurve_H3BPK3_HAGH.pdf", "Melting_Curves/meltCurve_H3BPK3_HAGH.pdf")</f>
        <v>Melting_Curves/meltCurve_H3BPK3_HAGH.pdf</v>
      </c>
    </row>
    <row r="888" spans="1:28" x14ac:dyDescent="0.25">
      <c r="A888" t="s">
        <v>892</v>
      </c>
      <c r="B888">
        <v>0.99796759195183404</v>
      </c>
      <c r="C888">
        <v>0.98356461359524505</v>
      </c>
      <c r="D888">
        <v>0.99030750120807798</v>
      </c>
      <c r="E888">
        <v>0.87714767135487703</v>
      </c>
      <c r="F888">
        <v>0.99484052170371695</v>
      </c>
      <c r="G888">
        <v>0.49164986545648498</v>
      </c>
      <c r="H888">
        <v>0.56423864062219398</v>
      </c>
      <c r="I888">
        <v>0.53819457001580595</v>
      </c>
      <c r="J888">
        <v>0.64264056716542495</v>
      </c>
      <c r="K888">
        <v>0.37306333762485</v>
      </c>
      <c r="L888">
        <v>12776.7088605382</v>
      </c>
      <c r="M888">
        <v>250</v>
      </c>
      <c r="O888">
        <v>51.1035654762645</v>
      </c>
      <c r="P888">
        <v>-0.58464966285915299</v>
      </c>
      <c r="Q888">
        <v>0.52195708831608201</v>
      </c>
      <c r="R888">
        <v>0.89959221287950297</v>
      </c>
      <c r="S888" t="s">
        <v>6471</v>
      </c>
      <c r="T888" t="s">
        <v>11164</v>
      </c>
      <c r="U888" t="s">
        <v>11164</v>
      </c>
      <c r="V888" t="s">
        <v>11164</v>
      </c>
      <c r="W888" t="s">
        <v>12038</v>
      </c>
      <c r="X888">
        <v>1</v>
      </c>
      <c r="Y888" t="s">
        <v>17570</v>
      </c>
      <c r="Z888" t="s">
        <v>23038</v>
      </c>
      <c r="AA888">
        <v>0.74678905444497312</v>
      </c>
      <c r="AB888" t="str">
        <f>HYPERLINK("Melting_Curves/meltCurve_H3BPL0_CLN3.pdf", "Melting_Curves/meltCurve_H3BPL0_CLN3.pdf")</f>
        <v>Melting_Curves/meltCurve_H3BPL0_CLN3.pdf</v>
      </c>
    </row>
    <row r="889" spans="1:28" x14ac:dyDescent="0.25">
      <c r="A889" t="s">
        <v>893</v>
      </c>
      <c r="B889">
        <v>0.99796759195183404</v>
      </c>
      <c r="C889">
        <v>0.99747639384840803</v>
      </c>
      <c r="D889">
        <v>1.0088517329427</v>
      </c>
      <c r="E889">
        <v>0.93040149038882602</v>
      </c>
      <c r="F889">
        <v>0.82699743365213696</v>
      </c>
      <c r="G889">
        <v>0.74735100605382299</v>
      </c>
      <c r="H889">
        <v>0.339966479769855</v>
      </c>
      <c r="I889">
        <v>0.19432946471599499</v>
      </c>
      <c r="J889">
        <v>0.210368082526978</v>
      </c>
      <c r="K889">
        <v>0.11827634672920299</v>
      </c>
      <c r="L889">
        <v>1094.7208915199301</v>
      </c>
      <c r="M889">
        <v>19.8352228917466</v>
      </c>
      <c r="N889">
        <v>55.8541844735349</v>
      </c>
      <c r="O889">
        <v>54.638963945528197</v>
      </c>
      <c r="P889">
        <v>-8.1233725586885394E-2</v>
      </c>
      <c r="Q889">
        <v>0.10495034881146301</v>
      </c>
      <c r="R889">
        <v>0.98473288261611303</v>
      </c>
      <c r="S889" t="s">
        <v>6472</v>
      </c>
      <c r="T889" t="s">
        <v>11164</v>
      </c>
      <c r="U889" t="s">
        <v>11164</v>
      </c>
      <c r="V889" t="s">
        <v>11164</v>
      </c>
      <c r="W889" t="s">
        <v>12039</v>
      </c>
      <c r="X889">
        <v>1</v>
      </c>
      <c r="Y889" t="s">
        <v>17571</v>
      </c>
      <c r="Z889" t="s">
        <v>23039</v>
      </c>
      <c r="AA889">
        <v>0.65775320387074965</v>
      </c>
      <c r="AB889" t="str">
        <f>HYPERLINK("Melting_Curves/meltCurve_H3BPQ3_NDRG4.pdf", "Melting_Curves/meltCurve_H3BPQ3_NDRG4.pdf")</f>
        <v>Melting_Curves/meltCurve_H3BPQ3_NDRG4.pdf</v>
      </c>
    </row>
    <row r="890" spans="1:28" x14ac:dyDescent="0.25">
      <c r="A890" t="s">
        <v>894</v>
      </c>
      <c r="B890">
        <v>0.99796759195183404</v>
      </c>
      <c r="C890">
        <v>1.2758515561849499</v>
      </c>
      <c r="D890">
        <v>1.1175655797017401</v>
      </c>
      <c r="E890">
        <v>1.0865832839777401</v>
      </c>
      <c r="F890">
        <v>0.87200155860533601</v>
      </c>
      <c r="G890">
        <v>0.90781163080831095</v>
      </c>
      <c r="H890">
        <v>0.46644423425364301</v>
      </c>
      <c r="I890">
        <v>0.12617675478343501</v>
      </c>
      <c r="J890">
        <v>3.74881451459875E-2</v>
      </c>
      <c r="K890">
        <v>2.9653833536174401E-2</v>
      </c>
      <c r="L890">
        <v>1861.67590262675</v>
      </c>
      <c r="M890">
        <v>32.583454788034899</v>
      </c>
      <c r="N890">
        <v>57.190115327812499</v>
      </c>
      <c r="O890">
        <v>56.921694204820703</v>
      </c>
      <c r="P890">
        <v>-0.140919685476495</v>
      </c>
      <c r="Q890">
        <v>1.52854961303118E-2</v>
      </c>
      <c r="R890">
        <v>0.94642320729313301</v>
      </c>
      <c r="S890" t="s">
        <v>6473</v>
      </c>
      <c r="T890" t="s">
        <v>11164</v>
      </c>
      <c r="U890" t="s">
        <v>11164</v>
      </c>
      <c r="V890" t="s">
        <v>11164</v>
      </c>
      <c r="W890" t="s">
        <v>12040</v>
      </c>
      <c r="X890">
        <v>2</v>
      </c>
      <c r="Y890" t="s">
        <v>17572</v>
      </c>
      <c r="Z890" t="s">
        <v>23040</v>
      </c>
      <c r="AA890">
        <v>0.68139942853199531</v>
      </c>
      <c r="AB890" t="str">
        <f>HYPERLINK("Melting_Curves/meltCurve_H3BPR3_SNX33.pdf", "Melting_Curves/meltCurve_H3BPR3_SNX33.pdf")</f>
        <v>Melting_Curves/meltCurve_H3BPR3_SNX33.pdf</v>
      </c>
    </row>
    <row r="891" spans="1:28" x14ac:dyDescent="0.25">
      <c r="A891" t="s">
        <v>895</v>
      </c>
      <c r="B891">
        <v>0.99796759195183404</v>
      </c>
      <c r="C891">
        <v>1.03802094284254</v>
      </c>
      <c r="D891">
        <v>0.87753191494988003</v>
      </c>
      <c r="E891">
        <v>1.0089411463871301</v>
      </c>
      <c r="F891">
        <v>0.69734490640531699</v>
      </c>
      <c r="G891">
        <v>0.59721259257774295</v>
      </c>
      <c r="H891">
        <v>0.64185014556129005</v>
      </c>
      <c r="I891">
        <v>0.67464472906907302</v>
      </c>
      <c r="J891">
        <v>0.85224645007020505</v>
      </c>
      <c r="K891">
        <v>1.48563675454749</v>
      </c>
      <c r="L891">
        <v>15000</v>
      </c>
      <c r="M891">
        <v>227.13281957701301</v>
      </c>
      <c r="O891">
        <v>66.035526393130098</v>
      </c>
      <c r="P891">
        <v>0.429944313465562</v>
      </c>
      <c r="Q891">
        <v>1.5</v>
      </c>
      <c r="R891">
        <v>0.17060352478393401</v>
      </c>
      <c r="S891" t="s">
        <v>6474</v>
      </c>
      <c r="T891" t="s">
        <v>11164</v>
      </c>
      <c r="U891" t="s">
        <v>11164</v>
      </c>
      <c r="V891" t="s">
        <v>11164</v>
      </c>
      <c r="W891" t="s">
        <v>12041</v>
      </c>
      <c r="X891">
        <v>1</v>
      </c>
      <c r="Y891" t="s">
        <v>17573</v>
      </c>
      <c r="Z891" t="s">
        <v>23041</v>
      </c>
      <c r="AA891">
        <v>1.016109946342953</v>
      </c>
      <c r="AB891" t="str">
        <f>HYPERLINK("Melting_Curves/meltCurve_H3BPX2_OBSCN.pdf", "Melting_Curves/meltCurve_H3BPX2_OBSCN.pdf")</f>
        <v>Melting_Curves/meltCurve_H3BPX2_OBSCN.pdf</v>
      </c>
    </row>
    <row r="892" spans="1:28" x14ac:dyDescent="0.25">
      <c r="A892" t="s">
        <v>896</v>
      </c>
      <c r="B892">
        <v>0.99796759195183404</v>
      </c>
      <c r="C892">
        <v>0.94126783155336502</v>
      </c>
      <c r="D892">
        <v>0.89768817071678297</v>
      </c>
      <c r="E892">
        <v>0.82306978811114295</v>
      </c>
      <c r="F892">
        <v>0.73334850729914103</v>
      </c>
      <c r="G892">
        <v>0.513275043972092</v>
      </c>
      <c r="H892">
        <v>0.24805471399877199</v>
      </c>
      <c r="I892">
        <v>0.206356697580695</v>
      </c>
      <c r="J892">
        <v>8.9948726610538002E-2</v>
      </c>
      <c r="K892">
        <v>3.9553114601541102E-2</v>
      </c>
      <c r="L892">
        <v>667.46866183600696</v>
      </c>
      <c r="M892">
        <v>12.492200241675</v>
      </c>
      <c r="N892">
        <v>53.4308322796971</v>
      </c>
      <c r="O892">
        <v>52.117089377359903</v>
      </c>
      <c r="P892">
        <v>-5.9936110977752803E-2</v>
      </c>
      <c r="Q892">
        <v>0</v>
      </c>
      <c r="R892">
        <v>0.98845367360926795</v>
      </c>
      <c r="S892" t="s">
        <v>6475</v>
      </c>
      <c r="T892" t="s">
        <v>11164</v>
      </c>
      <c r="U892" t="s">
        <v>11164</v>
      </c>
      <c r="V892" t="s">
        <v>11164</v>
      </c>
      <c r="W892" t="s">
        <v>12042</v>
      </c>
      <c r="X892">
        <v>5</v>
      </c>
      <c r="Y892" t="s">
        <v>17574</v>
      </c>
      <c r="Z892" t="s">
        <v>23042</v>
      </c>
      <c r="AA892">
        <v>0.56713524570630047</v>
      </c>
      <c r="AB892" t="str">
        <f>HYPERLINK("Melting_Curves/meltCurve_H3BQZ7_hCG_2044799.pdf", "Melting_Curves/meltCurve_H3BQZ7_hCG_2044799.pdf")</f>
        <v>Melting_Curves/meltCurve_H3BQZ7_hCG_2044799.pdf</v>
      </c>
    </row>
    <row r="893" spans="1:28" x14ac:dyDescent="0.25">
      <c r="A893" t="s">
        <v>897</v>
      </c>
      <c r="B893">
        <v>0.99796759195183404</v>
      </c>
      <c r="C893">
        <v>0.81476625581604101</v>
      </c>
      <c r="D893">
        <v>0.81403213199672098</v>
      </c>
      <c r="E893">
        <v>0.63204440760591296</v>
      </c>
      <c r="F893">
        <v>0.748807929640388</v>
      </c>
      <c r="G893">
        <v>0.30914798082536599</v>
      </c>
      <c r="H893">
        <v>0.20491175806863801</v>
      </c>
      <c r="I893">
        <v>0.14422948282936901</v>
      </c>
      <c r="J893">
        <v>9.9464928196625099E-2</v>
      </c>
      <c r="K893">
        <v>0.125051569164082</v>
      </c>
      <c r="L893">
        <v>466.271295536884</v>
      </c>
      <c r="M893">
        <v>9.17881656575981</v>
      </c>
      <c r="N893">
        <v>50.798628269337399</v>
      </c>
      <c r="O893">
        <v>48.561828369648097</v>
      </c>
      <c r="P893">
        <v>-4.7285099213548301E-2</v>
      </c>
      <c r="Q893">
        <v>0</v>
      </c>
      <c r="R893">
        <v>0.92870747615293003</v>
      </c>
      <c r="S893" t="s">
        <v>6476</v>
      </c>
      <c r="T893" t="s">
        <v>11164</v>
      </c>
      <c r="U893" t="s">
        <v>11164</v>
      </c>
      <c r="V893" t="s">
        <v>11164</v>
      </c>
      <c r="W893" t="s">
        <v>12043</v>
      </c>
      <c r="X893">
        <v>1</v>
      </c>
      <c r="Y893" t="s">
        <v>17575</v>
      </c>
      <c r="Z893" t="s">
        <v>23043</v>
      </c>
      <c r="AA893">
        <v>0.49316847952855319</v>
      </c>
      <c r="AB893" t="str">
        <f>HYPERLINK("Melting_Curves/meltCurve_H3BR06_TERF2.pdf", "Melting_Curves/meltCurve_H3BR06_TERF2.pdf")</f>
        <v>Melting_Curves/meltCurve_H3BR06_TERF2.pdf</v>
      </c>
    </row>
    <row r="894" spans="1:28" x14ac:dyDescent="0.25">
      <c r="A894" t="s">
        <v>898</v>
      </c>
      <c r="B894">
        <v>0.99796759195183404</v>
      </c>
      <c r="C894">
        <v>0.99543648296791298</v>
      </c>
      <c r="D894">
        <v>0.92774018152007298</v>
      </c>
      <c r="E894">
        <v>0.80108352919228598</v>
      </c>
      <c r="F894">
        <v>0.76689076015445201</v>
      </c>
      <c r="G894">
        <v>0.75889169032340098</v>
      </c>
      <c r="H894">
        <v>0.59220862311463096</v>
      </c>
      <c r="I894">
        <v>0.41545930436561801</v>
      </c>
      <c r="J894">
        <v>0.43580247497923202</v>
      </c>
      <c r="K894">
        <v>0.320252493774691</v>
      </c>
      <c r="L894">
        <v>392.40853943715098</v>
      </c>
      <c r="M894">
        <v>6.5271527200748096</v>
      </c>
      <c r="N894">
        <v>60.119405164156298</v>
      </c>
      <c r="O894">
        <v>55.224506429384803</v>
      </c>
      <c r="P894">
        <v>-2.9618950776927298E-2</v>
      </c>
      <c r="Q894">
        <v>0</v>
      </c>
      <c r="R894">
        <v>0.96840561774232403</v>
      </c>
      <c r="S894" t="s">
        <v>6477</v>
      </c>
      <c r="T894" t="s">
        <v>11164</v>
      </c>
      <c r="U894" t="s">
        <v>11164</v>
      </c>
      <c r="V894" t="s">
        <v>11164</v>
      </c>
      <c r="W894" t="s">
        <v>12044</v>
      </c>
      <c r="X894">
        <v>3</v>
      </c>
      <c r="Y894" t="s">
        <v>17576</v>
      </c>
      <c r="Z894" t="s">
        <v>23044</v>
      </c>
      <c r="AA894">
        <v>0.70754696237715675</v>
      </c>
      <c r="AB894" t="str">
        <f>HYPERLINK("Melting_Curves/meltCurve_H3BR94_DCTN5.pdf", "Melting_Curves/meltCurve_H3BR94_DCTN5.pdf")</f>
        <v>Melting_Curves/meltCurve_H3BR94_DCTN5.pdf</v>
      </c>
    </row>
    <row r="895" spans="1:28" x14ac:dyDescent="0.25">
      <c r="A895" t="s">
        <v>899</v>
      </c>
      <c r="B895">
        <v>0.99796759195183404</v>
      </c>
      <c r="C895">
        <v>0.89312689921199095</v>
      </c>
      <c r="D895">
        <v>0.93461225326088804</v>
      </c>
      <c r="E895">
        <v>0.57900563583374098</v>
      </c>
      <c r="F895">
        <v>0.316068302337152</v>
      </c>
      <c r="G895">
        <v>5.6298815215587002E-2</v>
      </c>
      <c r="H895">
        <v>2.1067775259880898E-2</v>
      </c>
      <c r="I895">
        <v>3.4846282982210097E-2</v>
      </c>
      <c r="J895">
        <v>0</v>
      </c>
      <c r="K895">
        <v>0</v>
      </c>
      <c r="L895">
        <v>920.92313672224998</v>
      </c>
      <c r="M895">
        <v>19.324073247129601</v>
      </c>
      <c r="N895">
        <v>47.656771598229902</v>
      </c>
      <c r="O895">
        <v>47.155221738085103</v>
      </c>
      <c r="P895">
        <v>-0.102453095725594</v>
      </c>
      <c r="Q895">
        <v>0</v>
      </c>
      <c r="R895">
        <v>0.99128910009609295</v>
      </c>
      <c r="S895" t="s">
        <v>6478</v>
      </c>
      <c r="T895" t="s">
        <v>11164</v>
      </c>
      <c r="U895" t="s">
        <v>11164</v>
      </c>
      <c r="V895" t="s">
        <v>11164</v>
      </c>
      <c r="W895" t="s">
        <v>12045</v>
      </c>
      <c r="X895">
        <v>1</v>
      </c>
      <c r="Y895" t="s">
        <v>17577</v>
      </c>
      <c r="Z895" t="s">
        <v>23045</v>
      </c>
      <c r="AA895">
        <v>0.36923645627496582</v>
      </c>
      <c r="AB895" t="str">
        <f>HYPERLINK("Melting_Curves/meltCurve_H3BRB3_KIF22.pdf", "Melting_Curves/meltCurve_H3BRB3_KIF22.pdf")</f>
        <v>Melting_Curves/meltCurve_H3BRB3_KIF22.pdf</v>
      </c>
    </row>
    <row r="896" spans="1:28" x14ac:dyDescent="0.25">
      <c r="A896" t="s">
        <v>900</v>
      </c>
      <c r="B896">
        <v>0.99796759195183404</v>
      </c>
      <c r="C896">
        <v>1.05924651314108</v>
      </c>
      <c r="D896">
        <v>1.01689596736558</v>
      </c>
      <c r="E896">
        <v>0.78161826703637605</v>
      </c>
      <c r="F896">
        <v>0.76072146757230896</v>
      </c>
      <c r="G896">
        <v>0.98505818602622996</v>
      </c>
      <c r="H896">
        <v>0.41997214244191899</v>
      </c>
      <c r="I896">
        <v>0.19779591529868101</v>
      </c>
      <c r="J896">
        <v>0.170670762109701</v>
      </c>
      <c r="K896">
        <v>6.0386523675312297E-2</v>
      </c>
      <c r="L896">
        <v>3102.40805328131</v>
      </c>
      <c r="M896">
        <v>54.709375211999003</v>
      </c>
      <c r="N896">
        <v>57.033373993079898</v>
      </c>
      <c r="O896">
        <v>56.6314675207867</v>
      </c>
      <c r="P896">
        <v>-0.209061098137243</v>
      </c>
      <c r="Q896">
        <v>0.134376812054217</v>
      </c>
      <c r="R896">
        <v>0.91566827152637398</v>
      </c>
      <c r="S896" t="s">
        <v>6479</v>
      </c>
      <c r="T896" t="s">
        <v>11164</v>
      </c>
      <c r="U896" t="s">
        <v>11164</v>
      </c>
      <c r="V896" t="s">
        <v>11164</v>
      </c>
      <c r="W896" t="s">
        <v>12046</v>
      </c>
      <c r="X896">
        <v>1</v>
      </c>
      <c r="Y896" t="s">
        <v>17578</v>
      </c>
      <c r="Z896" t="s">
        <v>23046</v>
      </c>
      <c r="AA896">
        <v>0.70480360888376425</v>
      </c>
      <c r="AB896" t="str">
        <f>HYPERLINK("Melting_Curves/meltCurve_H3BRB6_ZNRF1.pdf", "Melting_Curves/meltCurve_H3BRB6_ZNRF1.pdf")</f>
        <v>Melting_Curves/meltCurve_H3BRB6_ZNRF1.pdf</v>
      </c>
    </row>
    <row r="897" spans="1:28" x14ac:dyDescent="0.25">
      <c r="A897" t="s">
        <v>901</v>
      </c>
      <c r="B897">
        <v>0.99796759195183404</v>
      </c>
      <c r="C897">
        <v>0.91598596072664795</v>
      </c>
      <c r="D897">
        <v>0.78894659116680399</v>
      </c>
      <c r="E897">
        <v>0.71109618476860503</v>
      </c>
      <c r="F897">
        <v>0.63200345759829901</v>
      </c>
      <c r="G897">
        <v>0.59185620943487505</v>
      </c>
      <c r="H897">
        <v>0.41689173157124298</v>
      </c>
      <c r="I897">
        <v>0.32333318165587699</v>
      </c>
      <c r="J897">
        <v>0.21302598944239301</v>
      </c>
      <c r="K897">
        <v>0.228499296571125</v>
      </c>
      <c r="L897">
        <v>351.75741660229801</v>
      </c>
      <c r="M897">
        <v>6.4872036412296499</v>
      </c>
      <c r="N897">
        <v>54.2232733934867</v>
      </c>
      <c r="O897">
        <v>49.761083357479201</v>
      </c>
      <c r="P897">
        <v>-3.2671484285923903E-2</v>
      </c>
      <c r="Q897">
        <v>0</v>
      </c>
      <c r="R897">
        <v>0.97778151700598204</v>
      </c>
      <c r="S897" t="s">
        <v>6480</v>
      </c>
      <c r="T897" t="s">
        <v>11164</v>
      </c>
      <c r="U897" t="s">
        <v>11164</v>
      </c>
      <c r="V897" t="s">
        <v>11164</v>
      </c>
      <c r="W897" t="s">
        <v>12034</v>
      </c>
      <c r="X897">
        <v>2</v>
      </c>
      <c r="Y897" t="s">
        <v>17567</v>
      </c>
      <c r="Z897" t="s">
        <v>23047</v>
      </c>
      <c r="AA897">
        <v>0.58113361519966911</v>
      </c>
      <c r="AB897" t="str">
        <f>HYPERLINK("Melting_Curves/meltCurve_H3BRD1_UBE2I.pdf", "Melting_Curves/meltCurve_H3BRD1_UBE2I.pdf")</f>
        <v>Melting_Curves/meltCurve_H3BRD1_UBE2I.pdf</v>
      </c>
    </row>
    <row r="898" spans="1:28" x14ac:dyDescent="0.25">
      <c r="A898" t="s">
        <v>902</v>
      </c>
      <c r="B898">
        <v>0.99796759195183404</v>
      </c>
      <c r="C898">
        <v>1.0029064591760899</v>
      </c>
      <c r="D898">
        <v>0.94816013536930099</v>
      </c>
      <c r="E898">
        <v>0.91236036507623797</v>
      </c>
      <c r="F898">
        <v>0.84734759839951401</v>
      </c>
      <c r="G898">
        <v>0.44126009679199202</v>
      </c>
      <c r="H898">
        <v>0.48622087540750097</v>
      </c>
      <c r="I898">
        <v>0.37834930513746001</v>
      </c>
      <c r="J898">
        <v>0.41552630000891599</v>
      </c>
      <c r="K898">
        <v>0.35778106989684899</v>
      </c>
      <c r="L898">
        <v>2417.01375743473</v>
      </c>
      <c r="M898">
        <v>47.169549060639199</v>
      </c>
      <c r="N898">
        <v>53.101977580622801</v>
      </c>
      <c r="O898">
        <v>51.149116573558501</v>
      </c>
      <c r="P898">
        <v>-0.13734470218091299</v>
      </c>
      <c r="Q898">
        <v>0.404272048077364</v>
      </c>
      <c r="R898">
        <v>0.97347733754129195</v>
      </c>
      <c r="S898" t="s">
        <v>6481</v>
      </c>
      <c r="T898" t="s">
        <v>11164</v>
      </c>
      <c r="U898" t="s">
        <v>11164</v>
      </c>
      <c r="V898" t="s">
        <v>11164</v>
      </c>
      <c r="W898" t="s">
        <v>12047</v>
      </c>
      <c r="X898">
        <v>8</v>
      </c>
      <c r="Y898" t="s">
        <v>17579</v>
      </c>
      <c r="Z898" t="s">
        <v>23048</v>
      </c>
      <c r="AA898">
        <v>0.68857704921941765</v>
      </c>
      <c r="AB898" t="str">
        <f>HYPERLINK("Melting_Curves/meltCurve_H3BRD2_GFER.pdf", "Melting_Curves/meltCurve_H3BRD2_GFER.pdf")</f>
        <v>Melting_Curves/meltCurve_H3BRD2_GFER.pdf</v>
      </c>
    </row>
    <row r="899" spans="1:28" x14ac:dyDescent="0.25">
      <c r="A899" t="s">
        <v>903</v>
      </c>
      <c r="B899">
        <v>0.99796759195183404</v>
      </c>
      <c r="C899">
        <v>0.98581426457708798</v>
      </c>
      <c r="D899">
        <v>0.99771564939070301</v>
      </c>
      <c r="E899">
        <v>0.94924966312028702</v>
      </c>
      <c r="F899">
        <v>0.86716011367913204</v>
      </c>
      <c r="G899">
        <v>0.64991383732030195</v>
      </c>
      <c r="H899">
        <v>0.56469010392937002</v>
      </c>
      <c r="I899">
        <v>0.50381115102914997</v>
      </c>
      <c r="J899">
        <v>0.58119899481729298</v>
      </c>
      <c r="K899">
        <v>0.533728721797876</v>
      </c>
      <c r="L899">
        <v>1413.2933268669699</v>
      </c>
      <c r="M899">
        <v>27.353175618440801</v>
      </c>
      <c r="O899">
        <v>51.394553236500002</v>
      </c>
      <c r="P899">
        <v>-6.1714760974061499E-2</v>
      </c>
      <c r="Q899">
        <v>0.53617484769969503</v>
      </c>
      <c r="R899">
        <v>0.98900198284650598</v>
      </c>
      <c r="S899" t="s">
        <v>6482</v>
      </c>
      <c r="T899" t="s">
        <v>11164</v>
      </c>
      <c r="U899" t="s">
        <v>11164</v>
      </c>
      <c r="V899" t="s">
        <v>11164</v>
      </c>
      <c r="W899" t="s">
        <v>12048</v>
      </c>
      <c r="X899">
        <v>7</v>
      </c>
      <c r="Y899" t="s">
        <v>17580</v>
      </c>
      <c r="Z899" t="s">
        <v>23049</v>
      </c>
      <c r="AA899">
        <v>0.76643606110657936</v>
      </c>
      <c r="AB899" t="str">
        <f>HYPERLINK("Melting_Curves/meltCurve_H3BRF9_ZFYVE19.pdf", "Melting_Curves/meltCurve_H3BRF9_ZFYVE19.pdf")</f>
        <v>Melting_Curves/meltCurve_H3BRF9_ZFYVE19.pdf</v>
      </c>
    </row>
    <row r="900" spans="1:28" x14ac:dyDescent="0.25">
      <c r="A900" t="s">
        <v>904</v>
      </c>
      <c r="B900">
        <v>0.99796759195183404</v>
      </c>
      <c r="C900">
        <v>0.939812987237992</v>
      </c>
      <c r="D900">
        <v>0.92467584689347104</v>
      </c>
      <c r="E900">
        <v>0.96843588867865205</v>
      </c>
      <c r="F900">
        <v>0.73226855977152605</v>
      </c>
      <c r="G900">
        <v>0.46496957069323502</v>
      </c>
      <c r="H900">
        <v>0.30175938687623699</v>
      </c>
      <c r="I900">
        <v>0.20664502484877401</v>
      </c>
      <c r="J900">
        <v>0.151785954215608</v>
      </c>
      <c r="K900">
        <v>0.14232146650661301</v>
      </c>
      <c r="L900">
        <v>941.94376117150796</v>
      </c>
      <c r="M900">
        <v>17.9043252005157</v>
      </c>
      <c r="N900">
        <v>53.492314717979902</v>
      </c>
      <c r="O900">
        <v>51.966713443470297</v>
      </c>
      <c r="P900">
        <v>-7.5123365310999696E-2</v>
      </c>
      <c r="Q900">
        <v>0.127871584991985</v>
      </c>
      <c r="R900">
        <v>0.99188794179765705</v>
      </c>
      <c r="S900" t="s">
        <v>6483</v>
      </c>
      <c r="T900" t="s">
        <v>11164</v>
      </c>
      <c r="U900" t="s">
        <v>11164</v>
      </c>
      <c r="V900" t="s">
        <v>11164</v>
      </c>
      <c r="W900" t="s">
        <v>12049</v>
      </c>
      <c r="X900">
        <v>8</v>
      </c>
      <c r="Y900" t="s">
        <v>17581</v>
      </c>
      <c r="Z900" t="s">
        <v>23050</v>
      </c>
      <c r="AA900">
        <v>0.59465838083118527</v>
      </c>
      <c r="AB900" t="str">
        <f>HYPERLINK("Melting_Curves/meltCurve_H3BRL3_UBFD1.pdf", "Melting_Curves/meltCurve_H3BRL3_UBFD1.pdf")</f>
        <v>Melting_Curves/meltCurve_H3BRL3_UBFD1.pdf</v>
      </c>
    </row>
    <row r="901" spans="1:28" x14ac:dyDescent="0.25">
      <c r="A901" t="s">
        <v>905</v>
      </c>
      <c r="B901">
        <v>0.99796759195183404</v>
      </c>
      <c r="C901">
        <v>1.53070578545127</v>
      </c>
      <c r="D901">
        <v>1.0228021542996899</v>
      </c>
      <c r="E901">
        <v>0.82230381039681599</v>
      </c>
      <c r="F901">
        <v>0.89744344298315004</v>
      </c>
      <c r="G901">
        <v>0.30515640258024301</v>
      </c>
      <c r="H901">
        <v>0.26182031019223501</v>
      </c>
      <c r="I901">
        <v>0.34941384585004498</v>
      </c>
      <c r="J901">
        <v>0.51621824587440301</v>
      </c>
      <c r="K901">
        <v>1.6598116038391799</v>
      </c>
      <c r="L901">
        <v>12600.232574744399</v>
      </c>
      <c r="M901">
        <v>250</v>
      </c>
      <c r="O901">
        <v>50.397705089636503</v>
      </c>
      <c r="P901">
        <v>-0.47313155193692202</v>
      </c>
      <c r="Q901">
        <v>0.61848409055460196</v>
      </c>
      <c r="R901">
        <v>0.216146232418823</v>
      </c>
      <c r="S901" t="s">
        <v>6484</v>
      </c>
      <c r="T901" t="s">
        <v>11164</v>
      </c>
      <c r="U901" t="s">
        <v>11164</v>
      </c>
      <c r="V901" t="s">
        <v>11164</v>
      </c>
      <c r="W901" t="s">
        <v>12050</v>
      </c>
      <c r="X901">
        <v>2</v>
      </c>
      <c r="Y901" t="s">
        <v>17582</v>
      </c>
      <c r="Z901" t="s">
        <v>23051</v>
      </c>
      <c r="AA901">
        <v>0.78894010707107876</v>
      </c>
      <c r="AB901" t="str">
        <f>HYPERLINK("Melting_Curves/meltCurve_H3BRS1_NFATC3.pdf", "Melting_Curves/meltCurve_H3BRS1_NFATC3.pdf")</f>
        <v>Melting_Curves/meltCurve_H3BRS1_NFATC3.pdf</v>
      </c>
    </row>
    <row r="902" spans="1:28" x14ac:dyDescent="0.25">
      <c r="A902" t="s">
        <v>906</v>
      </c>
      <c r="B902">
        <v>0.99796759195183404</v>
      </c>
      <c r="C902">
        <v>0.99464465106798705</v>
      </c>
      <c r="D902">
        <v>1.0977026777849499</v>
      </c>
      <c r="E902">
        <v>1.0832205604590099</v>
      </c>
      <c r="F902">
        <v>0.90836336769839998</v>
      </c>
      <c r="G902">
        <v>0.74727920992939401</v>
      </c>
      <c r="H902">
        <v>0.86811157036892095</v>
      </c>
      <c r="I902">
        <v>0.812506236629845</v>
      </c>
      <c r="J902">
        <v>0.66474506126925903</v>
      </c>
      <c r="K902">
        <v>0.70407561091333204</v>
      </c>
      <c r="L902">
        <v>12574.4096618805</v>
      </c>
      <c r="M902">
        <v>250</v>
      </c>
      <c r="O902">
        <v>50.294419905182302</v>
      </c>
      <c r="P902">
        <v>-0.299059600504196</v>
      </c>
      <c r="Q902">
        <v>0.75934353416154299</v>
      </c>
      <c r="R902">
        <v>0.79905799098927</v>
      </c>
      <c r="S902" t="s">
        <v>6485</v>
      </c>
      <c r="T902" t="s">
        <v>11164</v>
      </c>
      <c r="U902" t="s">
        <v>11164</v>
      </c>
      <c r="V902" t="s">
        <v>11164</v>
      </c>
      <c r="W902" t="s">
        <v>12051</v>
      </c>
      <c r="X902">
        <v>2</v>
      </c>
      <c r="Y902" t="s">
        <v>17583</v>
      </c>
      <c r="Z902" t="s">
        <v>23052</v>
      </c>
      <c r="AA902">
        <v>0.86603686798332424</v>
      </c>
      <c r="AB902" t="str">
        <f>HYPERLINK("Melting_Curves/meltCurve_H3BRU1_FAM219B.pdf", "Melting_Curves/meltCurve_H3BRU1_FAM219B.pdf")</f>
        <v>Melting_Curves/meltCurve_H3BRU1_FAM219B.pdf</v>
      </c>
    </row>
    <row r="903" spans="1:28" x14ac:dyDescent="0.25">
      <c r="A903" t="s">
        <v>907</v>
      </c>
      <c r="B903">
        <v>0.99796759195183404</v>
      </c>
      <c r="C903">
        <v>0.96748167571466703</v>
      </c>
      <c r="D903">
        <v>0.81704161300775602</v>
      </c>
      <c r="E903">
        <v>0.79623622398957905</v>
      </c>
      <c r="F903">
        <v>0.77545154653842496</v>
      </c>
      <c r="G903">
        <v>0.74594109541170595</v>
      </c>
      <c r="H903">
        <v>0.77341488232532996</v>
      </c>
      <c r="I903">
        <v>1.1344888082142299</v>
      </c>
      <c r="J903">
        <v>0.35067451536049499</v>
      </c>
      <c r="K903">
        <v>0.19480290481436999</v>
      </c>
      <c r="L903">
        <v>15000</v>
      </c>
      <c r="M903">
        <v>235.435914660001</v>
      </c>
      <c r="N903">
        <v>63.845458237902498</v>
      </c>
      <c r="O903">
        <v>63.707009475383401</v>
      </c>
      <c r="P903">
        <v>-0.74394441060501104</v>
      </c>
      <c r="Q903">
        <v>0.19477922539053</v>
      </c>
      <c r="R903">
        <v>0.644126395971091</v>
      </c>
      <c r="S903" t="s">
        <v>6486</v>
      </c>
      <c r="T903" t="s">
        <v>11164</v>
      </c>
      <c r="U903" t="s">
        <v>11164</v>
      </c>
      <c r="V903" t="s">
        <v>11164</v>
      </c>
      <c r="W903" t="s">
        <v>12052</v>
      </c>
      <c r="X903">
        <v>3</v>
      </c>
      <c r="Y903" t="s">
        <v>17584</v>
      </c>
      <c r="Z903" t="s">
        <v>23053</v>
      </c>
      <c r="AA903">
        <v>0.91183864408450443</v>
      </c>
      <c r="AB903" t="str">
        <f>HYPERLINK("Melting_Curves/meltCurve_H3BRV0_EIF3C.pdf", "Melting_Curves/meltCurve_H3BRV0_EIF3C.pdf")</f>
        <v>Melting_Curves/meltCurve_H3BRV0_EIF3C.pdf</v>
      </c>
    </row>
    <row r="904" spans="1:28" x14ac:dyDescent="0.25">
      <c r="A904" t="s">
        <v>908</v>
      </c>
      <c r="B904">
        <v>0.99796759195183404</v>
      </c>
      <c r="C904">
        <v>0.97596636671812598</v>
      </c>
      <c r="D904">
        <v>1.0161645686621701</v>
      </c>
      <c r="E904">
        <v>1.0329931182168499</v>
      </c>
      <c r="F904">
        <v>0.92749411999707299</v>
      </c>
      <c r="G904">
        <v>0.80024612326633904</v>
      </c>
      <c r="H904">
        <v>0.69828746733046698</v>
      </c>
      <c r="I904">
        <v>0.48600179788410203</v>
      </c>
      <c r="J904">
        <v>0.39313218623058399</v>
      </c>
      <c r="K904">
        <v>0.28379631946367201</v>
      </c>
      <c r="L904">
        <v>782.98502387248698</v>
      </c>
      <c r="M904">
        <v>13.1116169038648</v>
      </c>
      <c r="N904">
        <v>61.021858489229501</v>
      </c>
      <c r="O904">
        <v>58.379042688670602</v>
      </c>
      <c r="P904">
        <v>-4.9292508197292001E-2</v>
      </c>
      <c r="Q904">
        <v>0.1222572302436</v>
      </c>
      <c r="R904">
        <v>0.99143087489049397</v>
      </c>
      <c r="S904" t="s">
        <v>6487</v>
      </c>
      <c r="T904" t="s">
        <v>11164</v>
      </c>
      <c r="U904" t="s">
        <v>11164</v>
      </c>
      <c r="V904" t="s">
        <v>11164</v>
      </c>
      <c r="W904" t="s">
        <v>12053</v>
      </c>
      <c r="X904">
        <v>5</v>
      </c>
      <c r="Y904" t="s">
        <v>17585</v>
      </c>
      <c r="Z904" t="s">
        <v>23054</v>
      </c>
      <c r="AA904">
        <v>0.77821872255961155</v>
      </c>
      <c r="AB904" t="str">
        <f>HYPERLINK("Melting_Curves/meltCurve_H3BS42_ZNF768.pdf", "Melting_Curves/meltCurve_H3BS42_ZNF768.pdf")</f>
        <v>Melting_Curves/meltCurve_H3BS42_ZNF768.pdf</v>
      </c>
    </row>
    <row r="905" spans="1:28" x14ac:dyDescent="0.25">
      <c r="A905" t="s">
        <v>909</v>
      </c>
      <c r="B905">
        <v>0.99796759195183404</v>
      </c>
      <c r="C905">
        <v>0.90474022661490905</v>
      </c>
      <c r="D905">
        <v>0.96533191279422703</v>
      </c>
      <c r="E905">
        <v>0.80361298080086896</v>
      </c>
      <c r="F905">
        <v>0.79208452733284895</v>
      </c>
      <c r="G905">
        <v>0.63112830414638299</v>
      </c>
      <c r="H905">
        <v>0.60605061243783098</v>
      </c>
      <c r="I905">
        <v>0.54630285482694496</v>
      </c>
      <c r="J905">
        <v>0.66155515212152904</v>
      </c>
      <c r="K905">
        <v>0.407111477947874</v>
      </c>
      <c r="L905">
        <v>400.44303396190099</v>
      </c>
      <c r="M905">
        <v>7.6112120369932299</v>
      </c>
      <c r="O905">
        <v>49.348985632273902</v>
      </c>
      <c r="P905">
        <v>-2.2957828153774201E-2</v>
      </c>
      <c r="Q905">
        <v>0.405401067299827</v>
      </c>
      <c r="R905">
        <v>0.88625287539453901</v>
      </c>
      <c r="S905" t="s">
        <v>6488</v>
      </c>
      <c r="T905" t="s">
        <v>11164</v>
      </c>
      <c r="U905" t="s">
        <v>11164</v>
      </c>
      <c r="V905" t="s">
        <v>11164</v>
      </c>
      <c r="W905" t="s">
        <v>12054</v>
      </c>
      <c r="X905">
        <v>1</v>
      </c>
      <c r="Y905" t="s">
        <v>17586</v>
      </c>
      <c r="Z905" t="s">
        <v>23055</v>
      </c>
      <c r="AA905">
        <v>0.72926729540712287</v>
      </c>
      <c r="AB905" t="str">
        <f>HYPERLINK("Melting_Curves/meltCurve_H3BS89_TMEM178B.pdf", "Melting_Curves/meltCurve_H3BS89_TMEM178B.pdf")</f>
        <v>Melting_Curves/meltCurve_H3BS89_TMEM178B.pdf</v>
      </c>
    </row>
    <row r="906" spans="1:28" x14ac:dyDescent="0.25">
      <c r="A906" t="s">
        <v>910</v>
      </c>
      <c r="B906">
        <v>0.99796759195183404</v>
      </c>
      <c r="C906">
        <v>0.98840403515285202</v>
      </c>
      <c r="D906">
        <v>1.0227011242876001</v>
      </c>
      <c r="E906">
        <v>1.1492464672907301</v>
      </c>
      <c r="F906">
        <v>0.70422080576587498</v>
      </c>
      <c r="G906">
        <v>4.6126464764684201</v>
      </c>
      <c r="H906">
        <v>5.3682086982760504</v>
      </c>
      <c r="I906">
        <v>0.78432881232347895</v>
      </c>
      <c r="J906">
        <v>0.30733751770953099</v>
      </c>
      <c r="K906">
        <v>0.34347894548411501</v>
      </c>
      <c r="L906">
        <v>15000</v>
      </c>
      <c r="M906">
        <v>245.14650249114399</v>
      </c>
      <c r="N906">
        <v>61.451649002504901</v>
      </c>
      <c r="O906">
        <v>61.183825395067899</v>
      </c>
      <c r="P906">
        <v>-0.67572977328538097</v>
      </c>
      <c r="Q906">
        <v>0.32540363396316602</v>
      </c>
      <c r="R906">
        <v>-0.102034555917537</v>
      </c>
      <c r="S906" t="s">
        <v>6489</v>
      </c>
      <c r="T906" t="s">
        <v>11164</v>
      </c>
      <c r="U906" t="s">
        <v>11164</v>
      </c>
      <c r="V906" t="s">
        <v>11164</v>
      </c>
      <c r="W906" t="s">
        <v>12055</v>
      </c>
      <c r="X906">
        <v>2</v>
      </c>
      <c r="Y906" t="s">
        <v>17587</v>
      </c>
      <c r="Z906" t="s">
        <v>23056</v>
      </c>
      <c r="AA906">
        <v>0.86938131627481341</v>
      </c>
      <c r="AB906" t="str">
        <f>HYPERLINK("Melting_Curves/meltCurve_H3BSH7_CIRH1A.pdf", "Melting_Curves/meltCurve_H3BSH7_CIRH1A.pdf")</f>
        <v>Melting_Curves/meltCurve_H3BSH7_CIRH1A.pdf</v>
      </c>
    </row>
    <row r="907" spans="1:28" x14ac:dyDescent="0.25">
      <c r="A907" t="s">
        <v>911</v>
      </c>
      <c r="B907">
        <v>0.99796759195183404</v>
      </c>
      <c r="C907">
        <v>1.0169325371003901</v>
      </c>
      <c r="D907">
        <v>0.98685147369222603</v>
      </c>
      <c r="E907">
        <v>1.1010335994734199</v>
      </c>
      <c r="F907">
        <v>0.84726919194637595</v>
      </c>
      <c r="G907">
        <v>0.472587427575484</v>
      </c>
      <c r="H907">
        <v>0.43138272115169002</v>
      </c>
      <c r="I907">
        <v>0.281030375286421</v>
      </c>
      <c r="J907">
        <v>0.177451514706644</v>
      </c>
      <c r="K907">
        <v>0.10879061764851999</v>
      </c>
      <c r="L907">
        <v>1046.15556127271</v>
      </c>
      <c r="M907">
        <v>19.436885639939799</v>
      </c>
      <c r="N907">
        <v>54.842119742778401</v>
      </c>
      <c r="O907">
        <v>53.263186778365899</v>
      </c>
      <c r="P907">
        <v>-7.7407062978856106E-2</v>
      </c>
      <c r="Q907">
        <v>0.15155188836241401</v>
      </c>
      <c r="R907">
        <v>0.96640029236692504</v>
      </c>
      <c r="S907" t="s">
        <v>6490</v>
      </c>
      <c r="T907" t="s">
        <v>11164</v>
      </c>
      <c r="U907" t="s">
        <v>11164</v>
      </c>
      <c r="V907" t="s">
        <v>11164</v>
      </c>
      <c r="W907" t="s">
        <v>12056</v>
      </c>
      <c r="X907">
        <v>2</v>
      </c>
      <c r="Y907" t="s">
        <v>17588</v>
      </c>
      <c r="Z907" t="s">
        <v>23057</v>
      </c>
      <c r="AA907">
        <v>0.63807806945243284</v>
      </c>
      <c r="AB907" t="str">
        <f>HYPERLINK("Melting_Curves/meltCurve_H3BSM5_GABARAPL2.pdf", "Melting_Curves/meltCurve_H3BSM5_GABARAPL2.pdf")</f>
        <v>Melting_Curves/meltCurve_H3BSM5_GABARAPL2.pdf</v>
      </c>
    </row>
    <row r="908" spans="1:28" x14ac:dyDescent="0.25">
      <c r="A908" t="s">
        <v>912</v>
      </c>
      <c r="B908">
        <v>0.99796759195183404</v>
      </c>
      <c r="C908">
        <v>0.99673196971610301</v>
      </c>
      <c r="D908">
        <v>0.88231231789318798</v>
      </c>
      <c r="E908">
        <v>0.82481297039111601</v>
      </c>
      <c r="F908">
        <v>0.78417506685283001</v>
      </c>
      <c r="G908">
        <v>0.73328686309214897</v>
      </c>
      <c r="H908">
        <v>0.32607732704099301</v>
      </c>
      <c r="I908">
        <v>0.19177930081251801</v>
      </c>
      <c r="J908">
        <v>0.168624953474978</v>
      </c>
      <c r="K908">
        <v>4.2250772209030202E-2</v>
      </c>
      <c r="L908">
        <v>747.13483039431901</v>
      </c>
      <c r="M908">
        <v>13.481275157549099</v>
      </c>
      <c r="N908">
        <v>55.420190168918303</v>
      </c>
      <c r="O908">
        <v>54.243386043381101</v>
      </c>
      <c r="P908">
        <v>-6.2142794501308697E-2</v>
      </c>
      <c r="Q908">
        <v>0</v>
      </c>
      <c r="R908">
        <v>0.96282074759275604</v>
      </c>
      <c r="S908" t="s">
        <v>6491</v>
      </c>
      <c r="T908" t="s">
        <v>11164</v>
      </c>
      <c r="U908" t="s">
        <v>11164</v>
      </c>
      <c r="V908" t="s">
        <v>11164</v>
      </c>
      <c r="W908" t="s">
        <v>12057</v>
      </c>
      <c r="X908">
        <v>5</v>
      </c>
      <c r="Y908" t="s">
        <v>17589</v>
      </c>
      <c r="Z908" t="s">
        <v>23058</v>
      </c>
      <c r="AA908">
        <v>0.62709344597418182</v>
      </c>
      <c r="AB908" t="str">
        <f>HYPERLINK("Melting_Curves/meltCurve_H3BSW6_CTU2.pdf", "Melting_Curves/meltCurve_H3BSW6_CTU2.pdf")</f>
        <v>Melting_Curves/meltCurve_H3BSW6_CTU2.pdf</v>
      </c>
    </row>
    <row r="909" spans="1:28" x14ac:dyDescent="0.25">
      <c r="A909" t="s">
        <v>913</v>
      </c>
      <c r="B909">
        <v>0.99796759195183404</v>
      </c>
      <c r="C909">
        <v>0.85720995618677498</v>
      </c>
      <c r="D909">
        <v>0.83037022336016897</v>
      </c>
      <c r="E909">
        <v>0.87833678613986399</v>
      </c>
      <c r="F909">
        <v>0.84981259128880005</v>
      </c>
      <c r="G909">
        <v>0.83276464057543798</v>
      </c>
      <c r="H909">
        <v>0.53278392389412099</v>
      </c>
      <c r="I909">
        <v>0.26055590997142403</v>
      </c>
      <c r="J909">
        <v>0.18493362353412199</v>
      </c>
      <c r="K909">
        <v>0.140392579057282</v>
      </c>
      <c r="L909">
        <v>830.21820625329701</v>
      </c>
      <c r="M909">
        <v>14.375935507416999</v>
      </c>
      <c r="N909">
        <v>57.750551748805798</v>
      </c>
      <c r="O909">
        <v>56.667571098592603</v>
      </c>
      <c r="P909">
        <v>-6.3429799603855697E-2</v>
      </c>
      <c r="Q909">
        <v>0</v>
      </c>
      <c r="R909">
        <v>0.928426802856684</v>
      </c>
      <c r="S909" t="s">
        <v>6492</v>
      </c>
      <c r="T909" t="s">
        <v>11164</v>
      </c>
      <c r="U909" t="s">
        <v>11164</v>
      </c>
      <c r="V909" t="s">
        <v>11164</v>
      </c>
      <c r="W909" t="s">
        <v>12058</v>
      </c>
      <c r="X909">
        <v>2</v>
      </c>
      <c r="Y909" t="s">
        <v>17590</v>
      </c>
      <c r="Z909" t="s">
        <v>23059</v>
      </c>
      <c r="AA909">
        <v>0.69622987070048059</v>
      </c>
      <c r="AB909" t="str">
        <f>HYPERLINK("Melting_Curves/meltCurve_H3BT12_FEM1B.pdf", "Melting_Curves/meltCurve_H3BT12_FEM1B.pdf")</f>
        <v>Melting_Curves/meltCurve_H3BT12_FEM1B.pdf</v>
      </c>
    </row>
    <row r="910" spans="1:28" x14ac:dyDescent="0.25">
      <c r="A910" t="s">
        <v>914</v>
      </c>
      <c r="B910">
        <v>0.99796759195183404</v>
      </c>
      <c r="C910">
        <v>1.1280960753476399</v>
      </c>
      <c r="D910">
        <v>1.09087116467171</v>
      </c>
      <c r="E910">
        <v>1.0416012387178499</v>
      </c>
      <c r="F910">
        <v>0.87771679523229695</v>
      </c>
      <c r="G910">
        <v>0.63100624218674195</v>
      </c>
      <c r="H910">
        <v>0.52386571596293896</v>
      </c>
      <c r="I910">
        <v>0.32068046662870597</v>
      </c>
      <c r="J910">
        <v>0.37099805210134001</v>
      </c>
      <c r="K910">
        <v>0.35355958332778498</v>
      </c>
      <c r="L910">
        <v>1239.36941642087</v>
      </c>
      <c r="M910">
        <v>23.106843269331499</v>
      </c>
      <c r="N910">
        <v>56.453172467953102</v>
      </c>
      <c r="O910">
        <v>53.239588152178797</v>
      </c>
      <c r="P910">
        <v>-7.1381739443747899E-2</v>
      </c>
      <c r="Q910">
        <v>0.34214044967520302</v>
      </c>
      <c r="R910">
        <v>0.96129362274531405</v>
      </c>
      <c r="S910" t="s">
        <v>6493</v>
      </c>
      <c r="T910" t="s">
        <v>11164</v>
      </c>
      <c r="U910" t="s">
        <v>11164</v>
      </c>
      <c r="V910" t="s">
        <v>11164</v>
      </c>
      <c r="W910" t="s">
        <v>12059</v>
      </c>
      <c r="X910">
        <v>3</v>
      </c>
      <c r="Y910" t="s">
        <v>17591</v>
      </c>
      <c r="Z910" t="s">
        <v>23060</v>
      </c>
      <c r="AA910">
        <v>0.71351261736504268</v>
      </c>
      <c r="AB910" t="str">
        <f>HYPERLINK("Melting_Curves/meltCurve_H3BTL1_MAP1LC3B.pdf", "Melting_Curves/meltCurve_H3BTL1_MAP1LC3B.pdf")</f>
        <v>Melting_Curves/meltCurve_H3BTL1_MAP1LC3B.pdf</v>
      </c>
    </row>
    <row r="911" spans="1:28" x14ac:dyDescent="0.25">
      <c r="A911" t="s">
        <v>915</v>
      </c>
      <c r="B911">
        <v>0.99796759195183404</v>
      </c>
      <c r="C911">
        <v>0.978870247208808</v>
      </c>
      <c r="D911">
        <v>0.92859165953118405</v>
      </c>
      <c r="E911">
        <v>0.92869855889742903</v>
      </c>
      <c r="F911">
        <v>0.82988530586286302</v>
      </c>
      <c r="G911">
        <v>0.59285824752044203</v>
      </c>
      <c r="H911">
        <v>0.67727182451767198</v>
      </c>
      <c r="I911">
        <v>0.69573348877539598</v>
      </c>
      <c r="J911">
        <v>1.03337731741504</v>
      </c>
      <c r="K911">
        <v>1.0920412841481499</v>
      </c>
      <c r="L911">
        <v>1193.72891419653</v>
      </c>
      <c r="M911">
        <v>26.384297214721101</v>
      </c>
      <c r="O911">
        <v>44.986404158812199</v>
      </c>
      <c r="P911">
        <v>-2.6009503425721298E-2</v>
      </c>
      <c r="Q911">
        <v>0.82261246805323396</v>
      </c>
      <c r="R911">
        <v>0.172365493653545</v>
      </c>
      <c r="S911" t="s">
        <v>6494</v>
      </c>
      <c r="T911" t="s">
        <v>11164</v>
      </c>
      <c r="U911" t="s">
        <v>11164</v>
      </c>
      <c r="V911" t="s">
        <v>11164</v>
      </c>
      <c r="W911" t="s">
        <v>12008</v>
      </c>
      <c r="X911">
        <v>5</v>
      </c>
      <c r="Z911" t="s">
        <v>23061</v>
      </c>
      <c r="AA911">
        <v>0.87266175073872754</v>
      </c>
      <c r="AB911" t="str">
        <f>HYPERLINK("Melting_Curves/meltCurve_H3BTX0_.pdf", "Melting_Curves/meltCurve_H3BTX0_.pdf")</f>
        <v>Melting_Curves/meltCurve_H3BTX0_.pdf</v>
      </c>
    </row>
    <row r="912" spans="1:28" x14ac:dyDescent="0.25">
      <c r="A912" t="s">
        <v>916</v>
      </c>
      <c r="B912">
        <v>0.99796759195183404</v>
      </c>
      <c r="C912">
        <v>1.1154355309157999</v>
      </c>
      <c r="D912">
        <v>0.96882075935391299</v>
      </c>
      <c r="E912">
        <v>0.86400892556433695</v>
      </c>
      <c r="F912">
        <v>1.0427354596216201</v>
      </c>
      <c r="G912">
        <v>0.77933145205242205</v>
      </c>
      <c r="H912">
        <v>0.729212403648555</v>
      </c>
      <c r="I912">
        <v>0.27312494474385102</v>
      </c>
      <c r="J912">
        <v>0.355271934587858</v>
      </c>
      <c r="K912">
        <v>0.19425335250630099</v>
      </c>
      <c r="L912">
        <v>1201.1727726787501</v>
      </c>
      <c r="M912">
        <v>20.7037207295058</v>
      </c>
      <c r="N912">
        <v>59.188117908992503</v>
      </c>
      <c r="O912">
        <v>57.484111096326998</v>
      </c>
      <c r="P912">
        <v>-7.4913485426225307E-2</v>
      </c>
      <c r="Q912">
        <v>0.16803110634764101</v>
      </c>
      <c r="R912">
        <v>0.92722839627290199</v>
      </c>
      <c r="S912" t="s">
        <v>6495</v>
      </c>
      <c r="T912" t="s">
        <v>11164</v>
      </c>
      <c r="U912" t="s">
        <v>11164</v>
      </c>
      <c r="V912" t="s">
        <v>11164</v>
      </c>
      <c r="W912" t="s">
        <v>12060</v>
      </c>
      <c r="X912">
        <v>1</v>
      </c>
      <c r="Y912" t="s">
        <v>17592</v>
      </c>
      <c r="Z912" t="s">
        <v>23062</v>
      </c>
      <c r="AA912">
        <v>0.75653705831757034</v>
      </c>
      <c r="AB912" t="str">
        <f>HYPERLINK("Melting_Curves/meltCurve_H3BTX7_RNF166.pdf", "Melting_Curves/meltCurve_H3BTX7_RNF166.pdf")</f>
        <v>Melting_Curves/meltCurve_H3BTX7_RNF166.pdf</v>
      </c>
    </row>
    <row r="913" spans="1:28" x14ac:dyDescent="0.25">
      <c r="A913" t="s">
        <v>917</v>
      </c>
      <c r="B913">
        <v>0.99796759195183404</v>
      </c>
      <c r="C913">
        <v>0.98453499455368798</v>
      </c>
      <c r="D913">
        <v>0.95467625748422702</v>
      </c>
      <c r="E913">
        <v>0.85456116667919801</v>
      </c>
      <c r="F913">
        <v>0.75129336764204702</v>
      </c>
      <c r="G913">
        <v>0.417955458090011</v>
      </c>
      <c r="H913">
        <v>0.31761929003303202</v>
      </c>
      <c r="I913">
        <v>0.24737737406017499</v>
      </c>
      <c r="J913">
        <v>0.16486377655074999</v>
      </c>
      <c r="K913">
        <v>0.16213780757250101</v>
      </c>
      <c r="L913">
        <v>807.24543261698398</v>
      </c>
      <c r="M913">
        <v>15.471910313774099</v>
      </c>
      <c r="N913">
        <v>53.271828453763703</v>
      </c>
      <c r="O913">
        <v>51.326609139994297</v>
      </c>
      <c r="P913">
        <v>-6.5086148820242301E-2</v>
      </c>
      <c r="Q913">
        <v>0.13640873468946599</v>
      </c>
      <c r="R913">
        <v>0.99296181160174002</v>
      </c>
      <c r="S913" t="s">
        <v>6496</v>
      </c>
      <c r="T913" t="s">
        <v>11164</v>
      </c>
      <c r="U913" t="s">
        <v>11164</v>
      </c>
      <c r="V913" t="s">
        <v>11164</v>
      </c>
      <c r="W913" t="s">
        <v>12061</v>
      </c>
      <c r="X913">
        <v>2</v>
      </c>
      <c r="Y913" t="s">
        <v>17593</v>
      </c>
      <c r="Z913" t="s">
        <v>23063</v>
      </c>
      <c r="AA913">
        <v>0.58901956494002339</v>
      </c>
      <c r="AB913" t="str">
        <f>HYPERLINK("Melting_Curves/meltCurve_H3BU23_CDR2.pdf", "Melting_Curves/meltCurve_H3BU23_CDR2.pdf")</f>
        <v>Melting_Curves/meltCurve_H3BU23_CDR2.pdf</v>
      </c>
    </row>
    <row r="914" spans="1:28" x14ac:dyDescent="0.25">
      <c r="A914" t="s">
        <v>918</v>
      </c>
      <c r="B914">
        <v>0.99796759195183404</v>
      </c>
      <c r="C914">
        <v>0.78730639449217199</v>
      </c>
      <c r="D914">
        <v>0.86373312234042698</v>
      </c>
      <c r="E914">
        <v>0.69600755954022697</v>
      </c>
      <c r="F914">
        <v>0.66928003169858896</v>
      </c>
      <c r="G914">
        <v>0.39214442867941701</v>
      </c>
      <c r="H914">
        <v>8.0448374184049404E-2</v>
      </c>
      <c r="I914">
        <v>0.29547195306427998</v>
      </c>
      <c r="J914">
        <v>0.185539576634842</v>
      </c>
      <c r="K914">
        <v>3.8921100414775298E-2</v>
      </c>
      <c r="L914">
        <v>467.0025258988</v>
      </c>
      <c r="M914">
        <v>9.1245706891318505</v>
      </c>
      <c r="N914">
        <v>51.180766702889002</v>
      </c>
      <c r="O914">
        <v>48.902215011437399</v>
      </c>
      <c r="P914">
        <v>-4.6679178877572801E-2</v>
      </c>
      <c r="Q914">
        <v>0</v>
      </c>
      <c r="R914">
        <v>0.91442587448567902</v>
      </c>
      <c r="S914" t="s">
        <v>6497</v>
      </c>
      <c r="T914" t="s">
        <v>11164</v>
      </c>
      <c r="U914" t="s">
        <v>11164</v>
      </c>
      <c r="V914" t="s">
        <v>11164</v>
      </c>
      <c r="W914" t="s">
        <v>12062</v>
      </c>
      <c r="X914">
        <v>2</v>
      </c>
      <c r="Y914" t="s">
        <v>17594</v>
      </c>
      <c r="Z914" t="s">
        <v>23064</v>
      </c>
      <c r="AA914">
        <v>0.50429863612621417</v>
      </c>
      <c r="AB914" t="str">
        <f>HYPERLINK("Melting_Curves/meltCurve_H3BU49_ARL2BP.pdf", "Melting_Curves/meltCurve_H3BU49_ARL2BP.pdf")</f>
        <v>Melting_Curves/meltCurve_H3BU49_ARL2BP.pdf</v>
      </c>
    </row>
    <row r="915" spans="1:28" x14ac:dyDescent="0.25">
      <c r="A915" t="s">
        <v>919</v>
      </c>
      <c r="B915">
        <v>0.99796759195183404</v>
      </c>
      <c r="C915">
        <v>0.88072446439743202</v>
      </c>
      <c r="D915">
        <v>0.76596793028503896</v>
      </c>
      <c r="E915">
        <v>0.71918082882529899</v>
      </c>
      <c r="F915">
        <v>0.87335130753100298</v>
      </c>
      <c r="G915">
        <v>0.54227643647495205</v>
      </c>
      <c r="H915">
        <v>0.48272219835510999</v>
      </c>
      <c r="I915">
        <v>0.42611479753349302</v>
      </c>
      <c r="J915">
        <v>0.42682764517163302</v>
      </c>
      <c r="K915">
        <v>0.353775927054023</v>
      </c>
      <c r="L915">
        <v>276.64545072264599</v>
      </c>
      <c r="M915">
        <v>4.7325316311244601</v>
      </c>
      <c r="N915">
        <v>58.456128911293199</v>
      </c>
      <c r="O915">
        <v>50.341499453846303</v>
      </c>
      <c r="P915">
        <v>-2.36757613575839E-2</v>
      </c>
      <c r="Q915">
        <v>0</v>
      </c>
      <c r="R915">
        <v>0.88403097263985198</v>
      </c>
      <c r="S915" t="s">
        <v>6498</v>
      </c>
      <c r="T915" t="s">
        <v>11164</v>
      </c>
      <c r="U915" t="s">
        <v>11164</v>
      </c>
      <c r="V915" t="s">
        <v>11164</v>
      </c>
      <c r="W915" t="s">
        <v>12063</v>
      </c>
      <c r="X915">
        <v>1</v>
      </c>
      <c r="Y915" t="s">
        <v>17595</v>
      </c>
      <c r="Z915" t="s">
        <v>23065</v>
      </c>
      <c r="AA915">
        <v>0.64637053753648133</v>
      </c>
      <c r="AB915" t="str">
        <f>HYPERLINK("Melting_Curves/meltCurve_H3BU63_PPCDC.pdf", "Melting_Curves/meltCurve_H3BU63_PPCDC.pdf")</f>
        <v>Melting_Curves/meltCurve_H3BU63_PPCDC.pdf</v>
      </c>
    </row>
    <row r="916" spans="1:28" x14ac:dyDescent="0.25">
      <c r="A916" t="s">
        <v>920</v>
      </c>
      <c r="B916">
        <v>0.99796759195183404</v>
      </c>
      <c r="C916">
        <v>1.12479228771004</v>
      </c>
      <c r="D916">
        <v>0.93384616385409402</v>
      </c>
      <c r="E916">
        <v>0.89294580389235401</v>
      </c>
      <c r="F916">
        <v>0.77271519553742896</v>
      </c>
      <c r="G916">
        <v>0.643576979853135</v>
      </c>
      <c r="H916">
        <v>0.32962627662739802</v>
      </c>
      <c r="I916">
        <v>9.0523551717743997E-2</v>
      </c>
      <c r="J916">
        <v>7.1334392826585602E-2</v>
      </c>
      <c r="K916">
        <v>0</v>
      </c>
      <c r="L916">
        <v>938.12996001229999</v>
      </c>
      <c r="M916">
        <v>17.129379390062301</v>
      </c>
      <c r="N916">
        <v>54.767307232369099</v>
      </c>
      <c r="O916">
        <v>54.0372204460405</v>
      </c>
      <c r="P916">
        <v>-7.9252812943316306E-2</v>
      </c>
      <c r="Q916">
        <v>0</v>
      </c>
      <c r="R916">
        <v>0.97822664450325503</v>
      </c>
      <c r="S916" t="s">
        <v>6499</v>
      </c>
      <c r="T916" t="s">
        <v>11164</v>
      </c>
      <c r="U916" t="s">
        <v>11164</v>
      </c>
      <c r="V916" t="s">
        <v>11164</v>
      </c>
      <c r="W916" t="s">
        <v>12064</v>
      </c>
      <c r="X916">
        <v>31</v>
      </c>
      <c r="Y916" t="s">
        <v>17596</v>
      </c>
      <c r="Z916" t="s">
        <v>23066</v>
      </c>
      <c r="AA916">
        <v>0.60567489062852775</v>
      </c>
      <c r="AB916" t="str">
        <f>HYPERLINK("Melting_Curves/meltCurve_H3BUF6_ATXN2L.pdf", "Melting_Curves/meltCurve_H3BUF6_ATXN2L.pdf")</f>
        <v>Melting_Curves/meltCurve_H3BUF6_ATXN2L.pdf</v>
      </c>
    </row>
    <row r="917" spans="1:28" x14ac:dyDescent="0.25">
      <c r="A917" t="s">
        <v>921</v>
      </c>
      <c r="B917">
        <v>0.99796759195183404</v>
      </c>
      <c r="C917">
        <v>0.97658596505415296</v>
      </c>
      <c r="D917">
        <v>0.90700831285946104</v>
      </c>
      <c r="E917">
        <v>0.81827426449018903</v>
      </c>
      <c r="F917">
        <v>0.74557872245163503</v>
      </c>
      <c r="G917">
        <v>0.54969483906859895</v>
      </c>
      <c r="H917">
        <v>0.392676647421485</v>
      </c>
      <c r="I917">
        <v>0.28878855582602497</v>
      </c>
      <c r="J917">
        <v>0.225179213435967</v>
      </c>
      <c r="K917">
        <v>0.10865429344538099</v>
      </c>
      <c r="L917">
        <v>524.26098059716696</v>
      </c>
      <c r="M917">
        <v>9.5425950012284595</v>
      </c>
      <c r="N917">
        <v>54.939036799180002</v>
      </c>
      <c r="O917">
        <v>52.6887637918447</v>
      </c>
      <c r="P917">
        <v>-4.5304462387228503E-2</v>
      </c>
      <c r="Q917">
        <v>0</v>
      </c>
      <c r="R917">
        <v>0.99466147683784201</v>
      </c>
      <c r="S917" t="s">
        <v>6500</v>
      </c>
      <c r="T917" t="s">
        <v>11164</v>
      </c>
      <c r="U917" t="s">
        <v>11164</v>
      </c>
      <c r="V917" t="s">
        <v>11164</v>
      </c>
      <c r="W917" t="s">
        <v>12065</v>
      </c>
      <c r="X917">
        <v>10</v>
      </c>
      <c r="Y917" t="s">
        <v>17597</v>
      </c>
      <c r="Z917" t="s">
        <v>23067</v>
      </c>
      <c r="AA917">
        <v>0.60965430269070542</v>
      </c>
      <c r="AB917" t="str">
        <f>HYPERLINK("Melting_Curves/meltCurve_H3BUQ2_OGFOD1.pdf", "Melting_Curves/meltCurve_H3BUQ2_OGFOD1.pdf")</f>
        <v>Melting_Curves/meltCurve_H3BUQ2_OGFOD1.pdf</v>
      </c>
    </row>
    <row r="918" spans="1:28" x14ac:dyDescent="0.25">
      <c r="A918" t="s">
        <v>922</v>
      </c>
      <c r="B918">
        <v>0.99796759195183404</v>
      </c>
      <c r="C918">
        <v>0.99792948247101398</v>
      </c>
      <c r="D918">
        <v>1.0225829595274201</v>
      </c>
      <c r="E918">
        <v>0.99132855596346803</v>
      </c>
      <c r="F918">
        <v>0.85583410543690697</v>
      </c>
      <c r="G918">
        <v>0.60058280510772</v>
      </c>
      <c r="H918">
        <v>0.447372993751737</v>
      </c>
      <c r="I918">
        <v>0.28480135747296598</v>
      </c>
      <c r="J918">
        <v>0.278608917651402</v>
      </c>
      <c r="K918">
        <v>0.227981200409896</v>
      </c>
      <c r="L918">
        <v>1035.3257348818299</v>
      </c>
      <c r="M918">
        <v>19.1672018008822</v>
      </c>
      <c r="N918">
        <v>55.7527482160882</v>
      </c>
      <c r="O918">
        <v>53.437827528425203</v>
      </c>
      <c r="P918">
        <v>-6.9511930861869201E-2</v>
      </c>
      <c r="Q918">
        <v>0.22483759879901699</v>
      </c>
      <c r="R918">
        <v>0.99593350118632895</v>
      </c>
      <c r="S918" t="s">
        <v>6501</v>
      </c>
      <c r="T918" t="s">
        <v>11164</v>
      </c>
      <c r="U918" t="s">
        <v>11164</v>
      </c>
      <c r="V918" t="s">
        <v>11164</v>
      </c>
      <c r="W918" t="s">
        <v>12066</v>
      </c>
      <c r="X918">
        <v>3</v>
      </c>
      <c r="Y918" t="s">
        <v>17598</v>
      </c>
      <c r="Z918" t="s">
        <v>23068</v>
      </c>
      <c r="AA918">
        <v>0.67437350975409727</v>
      </c>
      <c r="AB918" t="str">
        <f>HYPERLINK("Melting_Curves/meltCurve_H3BV23_UBL7.pdf", "Melting_Curves/meltCurve_H3BV23_UBL7.pdf")</f>
        <v>Melting_Curves/meltCurve_H3BV23_UBL7.pdf</v>
      </c>
    </row>
    <row r="919" spans="1:28" x14ac:dyDescent="0.25">
      <c r="A919" t="s">
        <v>923</v>
      </c>
      <c r="B919">
        <v>0.99796759195183404</v>
      </c>
      <c r="C919">
        <v>0.97116238376283004</v>
      </c>
      <c r="D919">
        <v>0.95510058446604695</v>
      </c>
      <c r="E919">
        <v>0.87917435601522298</v>
      </c>
      <c r="F919">
        <v>0.780138164545639</v>
      </c>
      <c r="G919">
        <v>0.40918270377599397</v>
      </c>
      <c r="H919">
        <v>0.20940609704153901</v>
      </c>
      <c r="I919">
        <v>0.122305404714601</v>
      </c>
      <c r="J919">
        <v>8.1020453418531105E-2</v>
      </c>
      <c r="K919">
        <v>6.4834931554682507E-2</v>
      </c>
      <c r="L919">
        <v>1002.61236040057</v>
      </c>
      <c r="M919">
        <v>19.029400184095</v>
      </c>
      <c r="N919">
        <v>52.972942005607798</v>
      </c>
      <c r="O919">
        <v>52.1160433508119</v>
      </c>
      <c r="P919">
        <v>-8.6839760919399503E-2</v>
      </c>
      <c r="Q919">
        <v>4.8721366594082001E-2</v>
      </c>
      <c r="R919">
        <v>0.99539816470903397</v>
      </c>
      <c r="S919" t="s">
        <v>6502</v>
      </c>
      <c r="T919" t="s">
        <v>11164</v>
      </c>
      <c r="U919" t="s">
        <v>11164</v>
      </c>
      <c r="V919" t="s">
        <v>11164</v>
      </c>
      <c r="W919" t="s">
        <v>12067</v>
      </c>
      <c r="X919">
        <v>2</v>
      </c>
      <c r="Y919" t="s">
        <v>17599</v>
      </c>
      <c r="Z919" t="s">
        <v>23069</v>
      </c>
      <c r="AA919">
        <v>0.55915975246081262</v>
      </c>
      <c r="AB919" t="str">
        <f>HYPERLINK("Melting_Curves/meltCurve_H7BXD5_GCA.pdf", "Melting_Curves/meltCurve_H7BXD5_GCA.pdf")</f>
        <v>Melting_Curves/meltCurve_H7BXD5_GCA.pdf</v>
      </c>
    </row>
    <row r="920" spans="1:28" x14ac:dyDescent="0.25">
      <c r="A920" t="s">
        <v>924</v>
      </c>
      <c r="B920">
        <v>0.99796759195183404</v>
      </c>
      <c r="C920">
        <v>0.95785386733686095</v>
      </c>
      <c r="D920">
        <v>0.97410122318276904</v>
      </c>
      <c r="E920">
        <v>0.82638117052990301</v>
      </c>
      <c r="F920">
        <v>0.47620767471765801</v>
      </c>
      <c r="G920">
        <v>0.332150010833205</v>
      </c>
      <c r="H920">
        <v>9.0138585840361093E-2</v>
      </c>
      <c r="I920">
        <v>2.95862881473485E-2</v>
      </c>
      <c r="J920">
        <v>0</v>
      </c>
      <c r="K920">
        <v>3.2777747685829597E-2</v>
      </c>
      <c r="L920">
        <v>859.91446241037897</v>
      </c>
      <c r="M920">
        <v>17.016536239717801</v>
      </c>
      <c r="N920">
        <v>50.534049507405001</v>
      </c>
      <c r="O920">
        <v>49.851631010481299</v>
      </c>
      <c r="P920">
        <v>-8.5341158610475504E-2</v>
      </c>
      <c r="Q920">
        <v>0</v>
      </c>
      <c r="R920">
        <v>0.99308451711007295</v>
      </c>
      <c r="S920" t="s">
        <v>6503</v>
      </c>
      <c r="T920" t="s">
        <v>11164</v>
      </c>
      <c r="U920" t="s">
        <v>11164</v>
      </c>
      <c r="V920" t="s">
        <v>11164</v>
      </c>
      <c r="W920" t="s">
        <v>12068</v>
      </c>
      <c r="X920">
        <v>5</v>
      </c>
      <c r="Y920" t="s">
        <v>17600</v>
      </c>
      <c r="Z920" t="s">
        <v>23070</v>
      </c>
      <c r="AA920">
        <v>0.46821068614203393</v>
      </c>
      <c r="AB920" t="str">
        <f>HYPERLINK("Melting_Curves/meltCurve_H7BXF4_SMPD4.pdf", "Melting_Curves/meltCurve_H7BXF4_SMPD4.pdf")</f>
        <v>Melting_Curves/meltCurve_H7BXF4_SMPD4.pdf</v>
      </c>
    </row>
    <row r="921" spans="1:28" x14ac:dyDescent="0.25">
      <c r="A921" t="s">
        <v>925</v>
      </c>
      <c r="B921">
        <v>0.99796759195183404</v>
      </c>
      <c r="C921">
        <v>0.97732460589466796</v>
      </c>
      <c r="D921">
        <v>0.91885444341727696</v>
      </c>
      <c r="E921">
        <v>0.74404554449492999</v>
      </c>
      <c r="F921">
        <v>0.58512064972594202</v>
      </c>
      <c r="G921">
        <v>0.78382412104895904</v>
      </c>
      <c r="H921">
        <v>0.36109305369126199</v>
      </c>
      <c r="I921">
        <v>0.144458072750448</v>
      </c>
      <c r="J921">
        <v>7.4820474319840694E-2</v>
      </c>
      <c r="K921">
        <v>7.7514306163029095E-2</v>
      </c>
      <c r="L921">
        <v>582.47082430630905</v>
      </c>
      <c r="M921">
        <v>10.757694682240199</v>
      </c>
      <c r="N921">
        <v>54.144576296582699</v>
      </c>
      <c r="O921">
        <v>52.374257066315899</v>
      </c>
      <c r="P921">
        <v>-5.136897940804E-2</v>
      </c>
      <c r="Q921">
        <v>0</v>
      </c>
      <c r="R921">
        <v>0.91126843271794999</v>
      </c>
      <c r="S921" t="s">
        <v>6504</v>
      </c>
      <c r="T921" t="s">
        <v>11164</v>
      </c>
      <c r="U921" t="s">
        <v>11164</v>
      </c>
      <c r="V921" t="s">
        <v>11164</v>
      </c>
      <c r="W921" t="s">
        <v>12069</v>
      </c>
      <c r="X921">
        <v>1</v>
      </c>
      <c r="Y921" t="s">
        <v>17601</v>
      </c>
      <c r="Z921" t="s">
        <v>23071</v>
      </c>
      <c r="AA921">
        <v>0.58878245533004481</v>
      </c>
      <c r="AB921" t="str">
        <f>HYPERLINK("Melting_Curves/meltCurve_H7BXG9_EFR3B.pdf", "Melting_Curves/meltCurve_H7BXG9_EFR3B.pdf")</f>
        <v>Melting_Curves/meltCurve_H7BXG9_EFR3B.pdf</v>
      </c>
    </row>
    <row r="922" spans="1:28" x14ac:dyDescent="0.25">
      <c r="A922" t="s">
        <v>926</v>
      </c>
      <c r="B922">
        <v>0.99796759195183404</v>
      </c>
      <c r="C922">
        <v>0.93836464785793805</v>
      </c>
      <c r="D922">
        <v>0.92799429586330395</v>
      </c>
      <c r="E922">
        <v>0.89045084003674002</v>
      </c>
      <c r="F922">
        <v>0.88805983851839898</v>
      </c>
      <c r="G922">
        <v>1.12466667822316</v>
      </c>
      <c r="H922">
        <v>1.2639278133610701</v>
      </c>
      <c r="I922">
        <v>0.83368763527018597</v>
      </c>
      <c r="J922">
        <v>0.30746954676897598</v>
      </c>
      <c r="K922">
        <v>0.208733481785803</v>
      </c>
      <c r="L922">
        <v>4422.6730925347701</v>
      </c>
      <c r="M922">
        <v>71.103449058916496</v>
      </c>
      <c r="N922">
        <v>62.686170476660202</v>
      </c>
      <c r="O922">
        <v>62.151400810539798</v>
      </c>
      <c r="P922">
        <v>-0.22544283935888801</v>
      </c>
      <c r="Q922">
        <v>0.21176346819473099</v>
      </c>
      <c r="R922">
        <v>0.87871128039789104</v>
      </c>
      <c r="S922" t="s">
        <v>6505</v>
      </c>
      <c r="T922" t="s">
        <v>11164</v>
      </c>
      <c r="U922" t="s">
        <v>11164</v>
      </c>
      <c r="V922" t="s">
        <v>11164</v>
      </c>
      <c r="W922" t="s">
        <v>12070</v>
      </c>
      <c r="X922">
        <v>11</v>
      </c>
      <c r="Y922" t="s">
        <v>17602</v>
      </c>
      <c r="Z922" t="s">
        <v>23072</v>
      </c>
      <c r="AA922">
        <v>0.87479444336796841</v>
      </c>
      <c r="AB922" t="str">
        <f>HYPERLINK("Melting_Curves/meltCurve_H7BXH2_PPP6R3.pdf", "Melting_Curves/meltCurve_H7BXH2_PPP6R3.pdf")</f>
        <v>Melting_Curves/meltCurve_H7BXH2_PPP6R3.pdf</v>
      </c>
    </row>
    <row r="923" spans="1:28" x14ac:dyDescent="0.25">
      <c r="A923" t="s">
        <v>927</v>
      </c>
      <c r="B923">
        <v>0.99796759195183404</v>
      </c>
      <c r="C923">
        <v>0.92597515244087603</v>
      </c>
      <c r="D923">
        <v>1.0236670139856501</v>
      </c>
      <c r="E923">
        <v>0.79682742298316001</v>
      </c>
      <c r="F923">
        <v>0.804361753903021</v>
      </c>
      <c r="G923">
        <v>0.56690437549511596</v>
      </c>
      <c r="H923">
        <v>0.50571276936873499</v>
      </c>
      <c r="I923">
        <v>0.373388174243314</v>
      </c>
      <c r="J923">
        <v>0</v>
      </c>
      <c r="K923">
        <v>0</v>
      </c>
      <c r="L923">
        <v>697.80531778889599</v>
      </c>
      <c r="M923">
        <v>12.543833985843399</v>
      </c>
      <c r="N923">
        <v>55.629349028376801</v>
      </c>
      <c r="O923">
        <v>54.272309625389099</v>
      </c>
      <c r="P923">
        <v>-5.7793652379980298E-2</v>
      </c>
      <c r="Q923">
        <v>0</v>
      </c>
      <c r="R923">
        <v>0.93416680364203197</v>
      </c>
      <c r="S923" t="s">
        <v>6506</v>
      </c>
      <c r="T923" t="s">
        <v>11164</v>
      </c>
      <c r="U923" t="s">
        <v>11164</v>
      </c>
      <c r="V923" t="s">
        <v>11164</v>
      </c>
      <c r="W923" t="s">
        <v>12071</v>
      </c>
      <c r="X923">
        <v>1</v>
      </c>
      <c r="Y923" t="s">
        <v>17603</v>
      </c>
      <c r="Z923" t="s">
        <v>23073</v>
      </c>
      <c r="AA923">
        <v>0.63290604922892524</v>
      </c>
      <c r="AB923" t="str">
        <f>HYPERLINK("Melting_Curves/meltCurve_H7BXH9_METTL21A.pdf", "Melting_Curves/meltCurve_H7BXH9_METTL21A.pdf")</f>
        <v>Melting_Curves/meltCurve_H7BXH9_METTL21A.pdf</v>
      </c>
    </row>
    <row r="924" spans="1:28" x14ac:dyDescent="0.25">
      <c r="A924" t="s">
        <v>928</v>
      </c>
      <c r="B924">
        <v>0.99796759195183404</v>
      </c>
      <c r="C924">
        <v>0.93504020719335201</v>
      </c>
      <c r="D924">
        <v>1.0259521626299399</v>
      </c>
      <c r="E924">
        <v>0.95597887290297501</v>
      </c>
      <c r="F924">
        <v>0.88601988488371397</v>
      </c>
      <c r="G924">
        <v>0.65955002223916503</v>
      </c>
      <c r="H924">
        <v>0.61333382808113102</v>
      </c>
      <c r="I924">
        <v>0.44498158289913198</v>
      </c>
      <c r="J924">
        <v>0.280316770112984</v>
      </c>
      <c r="K924">
        <v>0.19311740160850899</v>
      </c>
      <c r="L924">
        <v>632.05341171129396</v>
      </c>
      <c r="M924">
        <v>10.724184591095201</v>
      </c>
      <c r="N924">
        <v>58.937199996589598</v>
      </c>
      <c r="O924">
        <v>56.998771381576297</v>
      </c>
      <c r="P924">
        <v>-4.7054409873857998E-2</v>
      </c>
      <c r="Q924">
        <v>0</v>
      </c>
      <c r="R924">
        <v>0.98189545387749899</v>
      </c>
      <c r="S924" t="s">
        <v>6507</v>
      </c>
      <c r="T924" t="s">
        <v>11164</v>
      </c>
      <c r="U924" t="s">
        <v>11164</v>
      </c>
      <c r="V924" t="s">
        <v>11164</v>
      </c>
      <c r="W924" t="s">
        <v>12072</v>
      </c>
      <c r="X924">
        <v>4</v>
      </c>
      <c r="Y924" t="s">
        <v>17604</v>
      </c>
      <c r="Z924" t="s">
        <v>23074</v>
      </c>
      <c r="AA924">
        <v>0.71827389873870218</v>
      </c>
      <c r="AB924" t="str">
        <f>HYPERLINK("Melting_Curves/meltCurve_H7BXI5_ERGIC3.pdf", "Melting_Curves/meltCurve_H7BXI5_ERGIC3.pdf")</f>
        <v>Melting_Curves/meltCurve_H7BXI5_ERGIC3.pdf</v>
      </c>
    </row>
    <row r="925" spans="1:28" x14ac:dyDescent="0.25">
      <c r="A925" t="s">
        <v>929</v>
      </c>
      <c r="B925">
        <v>0.99796759195183404</v>
      </c>
      <c r="C925">
        <v>1.1703234866207299</v>
      </c>
      <c r="D925">
        <v>1.23320311168632</v>
      </c>
      <c r="E925">
        <v>1.11999475773922</v>
      </c>
      <c r="F925">
        <v>1.0552955716485499</v>
      </c>
      <c r="G925">
        <v>0.63921743954612598</v>
      </c>
      <c r="H925">
        <v>0.82945553311409204</v>
      </c>
      <c r="I925">
        <v>0.69801590312275297</v>
      </c>
      <c r="J925">
        <v>0.76229780327316199</v>
      </c>
      <c r="K925">
        <v>0.72658419844036803</v>
      </c>
      <c r="L925">
        <v>5144.47466859222</v>
      </c>
      <c r="M925">
        <v>99.214176005792595</v>
      </c>
      <c r="O925">
        <v>51.831140902780703</v>
      </c>
      <c r="P925">
        <v>-0.12896743030852101</v>
      </c>
      <c r="Q925">
        <v>0.73050097978531703</v>
      </c>
      <c r="R925">
        <v>0.70818018078307299</v>
      </c>
      <c r="S925" t="s">
        <v>6508</v>
      </c>
      <c r="T925" t="s">
        <v>11164</v>
      </c>
      <c r="U925" t="s">
        <v>11164</v>
      </c>
      <c r="V925" t="s">
        <v>11164</v>
      </c>
      <c r="W925" t="s">
        <v>12073</v>
      </c>
      <c r="X925">
        <v>2</v>
      </c>
      <c r="Y925" t="s">
        <v>17605</v>
      </c>
      <c r="Z925" t="s">
        <v>23075</v>
      </c>
      <c r="AA925">
        <v>0.86407878198154853</v>
      </c>
      <c r="AB925" t="str">
        <f>HYPERLINK("Melting_Curves/meltCurve_H7BXT7_BET1L.pdf", "Melting_Curves/meltCurve_H7BXT7_BET1L.pdf")</f>
        <v>Melting_Curves/meltCurve_H7BXT7_BET1L.pdf</v>
      </c>
    </row>
    <row r="926" spans="1:28" x14ac:dyDescent="0.25">
      <c r="A926" t="s">
        <v>930</v>
      </c>
      <c r="B926">
        <v>0.99796759195183404</v>
      </c>
      <c r="C926">
        <v>1.1335559317859301</v>
      </c>
      <c r="D926">
        <v>0.91028915484884598</v>
      </c>
      <c r="E926">
        <v>0.83181756755001601</v>
      </c>
      <c r="F926">
        <v>1.00369365806471</v>
      </c>
      <c r="G926">
        <v>0.55453421533206004</v>
      </c>
      <c r="H926">
        <v>0.72187439911564399</v>
      </c>
      <c r="I926">
        <v>0.76046871354473</v>
      </c>
      <c r="J926">
        <v>1.0258165889370601</v>
      </c>
      <c r="K926">
        <v>1.30888513154374</v>
      </c>
      <c r="L926">
        <v>15000</v>
      </c>
      <c r="M926">
        <v>231.61412831968599</v>
      </c>
      <c r="O926">
        <v>64.758060589167897</v>
      </c>
      <c r="P926">
        <v>0.27631113151112702</v>
      </c>
      <c r="Q926">
        <v>1.30902040388713</v>
      </c>
      <c r="R926">
        <v>9.28805248718199E-2</v>
      </c>
      <c r="S926" t="s">
        <v>6509</v>
      </c>
      <c r="T926" t="s">
        <v>11164</v>
      </c>
      <c r="U926" t="s">
        <v>11164</v>
      </c>
      <c r="V926" t="s">
        <v>11164</v>
      </c>
      <c r="W926" t="s">
        <v>12074</v>
      </c>
      <c r="X926">
        <v>2</v>
      </c>
      <c r="Y926" t="s">
        <v>17606</v>
      </c>
      <c r="Z926" t="s">
        <v>23076</v>
      </c>
      <c r="AA926">
        <v>1.023004208746862</v>
      </c>
      <c r="AB926" t="str">
        <f>HYPERLINK("Melting_Curves/meltCurve_H7BXW7_MPC1.pdf", "Melting_Curves/meltCurve_H7BXW7_MPC1.pdf")</f>
        <v>Melting_Curves/meltCurve_H7BXW7_MPC1.pdf</v>
      </c>
    </row>
    <row r="927" spans="1:28" x14ac:dyDescent="0.25">
      <c r="A927" t="s">
        <v>931</v>
      </c>
      <c r="B927">
        <v>0.99796759195183404</v>
      </c>
      <c r="C927">
        <v>0.905231152844445</v>
      </c>
      <c r="D927">
        <v>1.10482836224234</v>
      </c>
      <c r="E927">
        <v>0.94413038940960003</v>
      </c>
      <c r="F927">
        <v>0.79633056478584396</v>
      </c>
      <c r="G927">
        <v>0.55909177945923005</v>
      </c>
      <c r="H927">
        <v>0.58521402804418698</v>
      </c>
      <c r="I927">
        <v>0.57685685771164597</v>
      </c>
      <c r="J927">
        <v>0.56353377616825095</v>
      </c>
      <c r="K927">
        <v>0.58352733725435701</v>
      </c>
      <c r="L927">
        <v>2284.5488324929702</v>
      </c>
      <c r="M927">
        <v>45.497398125545899</v>
      </c>
      <c r="O927">
        <v>50.116018347473002</v>
      </c>
      <c r="P927">
        <v>-9.7502627167911401E-2</v>
      </c>
      <c r="Q927">
        <v>0.570398519645822</v>
      </c>
      <c r="R927">
        <v>0.94232172462076202</v>
      </c>
      <c r="S927" t="s">
        <v>6510</v>
      </c>
      <c r="T927" t="s">
        <v>11164</v>
      </c>
      <c r="U927" t="s">
        <v>11164</v>
      </c>
      <c r="V927" t="s">
        <v>11164</v>
      </c>
      <c r="W927" t="s">
        <v>12075</v>
      </c>
      <c r="X927">
        <v>2</v>
      </c>
      <c r="Y927" t="s">
        <v>17607</v>
      </c>
      <c r="Z927" t="s">
        <v>23077</v>
      </c>
      <c r="AA927">
        <v>0.76075574328289197</v>
      </c>
      <c r="AB927" t="str">
        <f>HYPERLINK("Melting_Curves/meltCurve_H7BXY6_TSPAN14.pdf", "Melting_Curves/meltCurve_H7BXY6_TSPAN14.pdf")</f>
        <v>Melting_Curves/meltCurve_H7BXY6_TSPAN14.pdf</v>
      </c>
    </row>
    <row r="928" spans="1:28" x14ac:dyDescent="0.25">
      <c r="A928" t="s">
        <v>932</v>
      </c>
      <c r="B928">
        <v>0.99796759195183404</v>
      </c>
      <c r="C928">
        <v>0.90447120882870402</v>
      </c>
      <c r="D928">
        <v>0.92566255254001595</v>
      </c>
      <c r="E928">
        <v>0.90406517293695499</v>
      </c>
      <c r="F928">
        <v>0.74268396526751901</v>
      </c>
      <c r="G928">
        <v>0.58111071965738603</v>
      </c>
      <c r="H928">
        <v>0.473156261633768</v>
      </c>
      <c r="I928">
        <v>0.17734419296582099</v>
      </c>
      <c r="J928">
        <v>0.109091147154704</v>
      </c>
      <c r="K928">
        <v>8.0819735627120096E-2</v>
      </c>
      <c r="L928">
        <v>681.32068609162297</v>
      </c>
      <c r="M928">
        <v>12.363726749472701</v>
      </c>
      <c r="N928">
        <v>55.106417373850903</v>
      </c>
      <c r="O928">
        <v>53.724313519817201</v>
      </c>
      <c r="P928">
        <v>-5.7545553289415602E-2</v>
      </c>
      <c r="Q928">
        <v>0</v>
      </c>
      <c r="R928">
        <v>0.97936562212656497</v>
      </c>
      <c r="S928" t="s">
        <v>6511</v>
      </c>
      <c r="T928" t="s">
        <v>11164</v>
      </c>
      <c r="U928" t="s">
        <v>11164</v>
      </c>
      <c r="V928" t="s">
        <v>11164</v>
      </c>
      <c r="W928" t="s">
        <v>12076</v>
      </c>
      <c r="X928">
        <v>13</v>
      </c>
      <c r="Y928" t="s">
        <v>17608</v>
      </c>
      <c r="Z928" t="s">
        <v>23078</v>
      </c>
      <c r="AA928">
        <v>0.61746122592800234</v>
      </c>
      <c r="AB928" t="str">
        <f>HYPERLINK("Melting_Curves/meltCurve_H7BY58_PCMT1.pdf", "Melting_Curves/meltCurve_H7BY58_PCMT1.pdf")</f>
        <v>Melting_Curves/meltCurve_H7BY58_PCMT1.pdf</v>
      </c>
    </row>
    <row r="929" spans="1:28" x14ac:dyDescent="0.25">
      <c r="A929" t="s">
        <v>933</v>
      </c>
      <c r="B929">
        <v>0.99796759195183404</v>
      </c>
      <c r="C929">
        <v>0.86680985951065304</v>
      </c>
      <c r="D929">
        <v>0.84627967468124499</v>
      </c>
      <c r="E929">
        <v>0.888827865084591</v>
      </c>
      <c r="F929">
        <v>0.67893670302595399</v>
      </c>
      <c r="G929">
        <v>0.58278386352213096</v>
      </c>
      <c r="H929">
        <v>0.46728391672092401</v>
      </c>
      <c r="I929">
        <v>0.17910318256237401</v>
      </c>
      <c r="J929">
        <v>0.105325457447538</v>
      </c>
      <c r="K929">
        <v>4.9135416468571003E-2</v>
      </c>
      <c r="L929">
        <v>601.88800038317197</v>
      </c>
      <c r="M929">
        <v>11.048469573353501</v>
      </c>
      <c r="N929">
        <v>54.477042994964897</v>
      </c>
      <c r="O929">
        <v>52.783684463550202</v>
      </c>
      <c r="P929">
        <v>-5.2346377636471098E-2</v>
      </c>
      <c r="Q929">
        <v>0</v>
      </c>
      <c r="R929">
        <v>0.95530948616429401</v>
      </c>
      <c r="S929" t="s">
        <v>6512</v>
      </c>
      <c r="T929" t="s">
        <v>11164</v>
      </c>
      <c r="U929" t="s">
        <v>11164</v>
      </c>
      <c r="V929" t="s">
        <v>11164</v>
      </c>
      <c r="W929" t="s">
        <v>12077</v>
      </c>
      <c r="X929">
        <v>4</v>
      </c>
      <c r="Y929" t="s">
        <v>17609</v>
      </c>
      <c r="Z929" t="s">
        <v>23079</v>
      </c>
      <c r="AA929">
        <v>0.59851081516580995</v>
      </c>
      <c r="AB929" t="str">
        <f>HYPERLINK("Melting_Curves/meltCurve_H7BYQ6_INTS9.pdf", "Melting_Curves/meltCurve_H7BYQ6_INTS9.pdf")</f>
        <v>Melting_Curves/meltCurve_H7BYQ6_INTS9.pdf</v>
      </c>
    </row>
    <row r="930" spans="1:28" x14ac:dyDescent="0.25">
      <c r="A930" t="s">
        <v>934</v>
      </c>
      <c r="B930">
        <v>0.99796759195183404</v>
      </c>
      <c r="C930">
        <v>0.92021676942280695</v>
      </c>
      <c r="D930">
        <v>1.19674968809744</v>
      </c>
      <c r="E930">
        <v>0.93616190664709997</v>
      </c>
      <c r="F930">
        <v>0.714157574044885</v>
      </c>
      <c r="G930">
        <v>0.50763886781558099</v>
      </c>
      <c r="H930">
        <v>0.393594574602878</v>
      </c>
      <c r="I930">
        <v>0.40635506160676699</v>
      </c>
      <c r="J930">
        <v>0.247954969910163</v>
      </c>
      <c r="K930">
        <v>0.11351277524808499</v>
      </c>
      <c r="L930">
        <v>802.00340550876194</v>
      </c>
      <c r="M930">
        <v>15.100844611858699</v>
      </c>
      <c r="N930">
        <v>54.740822744539201</v>
      </c>
      <c r="O930">
        <v>52.204583609544002</v>
      </c>
      <c r="P930">
        <v>-5.9220727311344402E-2</v>
      </c>
      <c r="Q930">
        <v>0.18116128026091699</v>
      </c>
      <c r="R930">
        <v>0.92828715757978797</v>
      </c>
      <c r="S930" t="s">
        <v>6513</v>
      </c>
      <c r="T930" t="s">
        <v>11164</v>
      </c>
      <c r="U930" t="s">
        <v>11164</v>
      </c>
      <c r="V930" t="s">
        <v>11164</v>
      </c>
      <c r="W930" t="s">
        <v>12078</v>
      </c>
      <c r="X930">
        <v>2</v>
      </c>
      <c r="Y930" t="s">
        <v>17610</v>
      </c>
      <c r="Z930" t="s">
        <v>23080</v>
      </c>
      <c r="AA930">
        <v>0.63526391198504195</v>
      </c>
      <c r="AB930" t="str">
        <f>HYPERLINK("Melting_Curves/meltCurve_H7BYT1_CSNK1D.pdf", "Melting_Curves/meltCurve_H7BYT1_CSNK1D.pdf")</f>
        <v>Melting_Curves/meltCurve_H7BYT1_CSNK1D.pdf</v>
      </c>
    </row>
    <row r="931" spans="1:28" x14ac:dyDescent="0.25">
      <c r="A931" t="s">
        <v>935</v>
      </c>
      <c r="B931">
        <v>0.99796759195183404</v>
      </c>
      <c r="C931">
        <v>0.95603537246408998</v>
      </c>
      <c r="D931">
        <v>0.935338319585578</v>
      </c>
      <c r="E931">
        <v>0.98059875562211396</v>
      </c>
      <c r="F931">
        <v>0.849286054516595</v>
      </c>
      <c r="G931">
        <v>0.578257422357632</v>
      </c>
      <c r="H931">
        <v>0.65233862180653501</v>
      </c>
      <c r="I931">
        <v>0.61562841315098904</v>
      </c>
      <c r="J931">
        <v>0.69963248316417703</v>
      </c>
      <c r="K931">
        <v>0.74820246592359596</v>
      </c>
      <c r="L931">
        <v>12561.753463204101</v>
      </c>
      <c r="M931">
        <v>250</v>
      </c>
      <c r="O931">
        <v>50.243798394345497</v>
      </c>
      <c r="P931">
        <v>-0.42441571374555398</v>
      </c>
      <c r="Q931">
        <v>0.65881187960709298</v>
      </c>
      <c r="R931">
        <v>0.89536762986186602</v>
      </c>
      <c r="S931" t="s">
        <v>6514</v>
      </c>
      <c r="T931" t="s">
        <v>11164</v>
      </c>
      <c r="U931" t="s">
        <v>11164</v>
      </c>
      <c r="V931" t="s">
        <v>11164</v>
      </c>
      <c r="W931" t="s">
        <v>12079</v>
      </c>
      <c r="X931">
        <v>32</v>
      </c>
      <c r="Y931" t="s">
        <v>17542</v>
      </c>
      <c r="Z931" t="s">
        <v>23081</v>
      </c>
      <c r="AA931">
        <v>0.80949942508144468</v>
      </c>
      <c r="AB931" t="str">
        <f>HYPERLINK("Melting_Curves/meltCurve_H7BYY1_TPM1.pdf", "Melting_Curves/meltCurve_H7BYY1_TPM1.pdf")</f>
        <v>Melting_Curves/meltCurve_H7BYY1_TPM1.pdf</v>
      </c>
    </row>
    <row r="932" spans="1:28" x14ac:dyDescent="0.25">
      <c r="A932" t="s">
        <v>936</v>
      </c>
      <c r="B932">
        <v>0.99796759195183404</v>
      </c>
      <c r="C932">
        <v>1.03848336538401</v>
      </c>
      <c r="D932">
        <v>0.98491868228349599</v>
      </c>
      <c r="E932">
        <v>0.86428818036058097</v>
      </c>
      <c r="F932">
        <v>0.58549386460675701</v>
      </c>
      <c r="G932">
        <v>0.45829831893857498</v>
      </c>
      <c r="H932">
        <v>0.297877212899468</v>
      </c>
      <c r="I932">
        <v>0.27492511245755302</v>
      </c>
      <c r="J932">
        <v>0.19616290288409899</v>
      </c>
      <c r="K932">
        <v>0.218720697414132</v>
      </c>
      <c r="L932">
        <v>851.88004209455505</v>
      </c>
      <c r="M932">
        <v>16.8292336284416</v>
      </c>
      <c r="N932">
        <v>52.271100418434699</v>
      </c>
      <c r="O932">
        <v>49.920544239422298</v>
      </c>
      <c r="P932">
        <v>-6.6901334075477104E-2</v>
      </c>
      <c r="Q932">
        <v>0.20625346483787399</v>
      </c>
      <c r="R932">
        <v>0.99249528775029205</v>
      </c>
      <c r="S932" t="s">
        <v>6515</v>
      </c>
      <c r="T932" t="s">
        <v>11164</v>
      </c>
      <c r="U932" t="s">
        <v>11164</v>
      </c>
      <c r="V932" t="s">
        <v>11164</v>
      </c>
      <c r="W932" t="s">
        <v>12080</v>
      </c>
      <c r="X932">
        <v>1</v>
      </c>
      <c r="Y932" t="s">
        <v>17611</v>
      </c>
      <c r="Z932" t="s">
        <v>23082</v>
      </c>
      <c r="AA932">
        <v>0.58034655809121605</v>
      </c>
      <c r="AB932" t="str">
        <f>HYPERLINK("Melting_Curves/meltCurve_H7BYY4_PSTK.pdf", "Melting_Curves/meltCurve_H7BYY4_PSTK.pdf")</f>
        <v>Melting_Curves/meltCurve_H7BYY4_PSTK.pdf</v>
      </c>
    </row>
    <row r="933" spans="1:28" x14ac:dyDescent="0.25">
      <c r="A933" t="s">
        <v>937</v>
      </c>
      <c r="B933">
        <v>0.99796759195183404</v>
      </c>
      <c r="C933">
        <v>1.0184553913689001</v>
      </c>
      <c r="D933">
        <v>0.99774205684068196</v>
      </c>
      <c r="E933">
        <v>0.89410749386376698</v>
      </c>
      <c r="F933">
        <v>0.85064485786794697</v>
      </c>
      <c r="G933">
        <v>0.41605326780304402</v>
      </c>
      <c r="H933">
        <v>0.240919982605445</v>
      </c>
      <c r="I933">
        <v>0.21637727159644901</v>
      </c>
      <c r="J933">
        <v>0.17823857910228499</v>
      </c>
      <c r="K933">
        <v>0.124271019636643</v>
      </c>
      <c r="L933">
        <v>1460.70432574046</v>
      </c>
      <c r="M933">
        <v>27.853166280512799</v>
      </c>
      <c r="N933">
        <v>53.200957221518202</v>
      </c>
      <c r="O933">
        <v>52.174931954479099</v>
      </c>
      <c r="P933">
        <v>-0.11160463213265299</v>
      </c>
      <c r="Q933">
        <v>0.16377002745727801</v>
      </c>
      <c r="R933">
        <v>0.99103444429298504</v>
      </c>
      <c r="S933" t="s">
        <v>6516</v>
      </c>
      <c r="T933" t="s">
        <v>11164</v>
      </c>
      <c r="U933" t="s">
        <v>11164</v>
      </c>
      <c r="V933" t="s">
        <v>11164</v>
      </c>
      <c r="W933" t="s">
        <v>12081</v>
      </c>
      <c r="X933">
        <v>13</v>
      </c>
      <c r="Y933" t="s">
        <v>17474</v>
      </c>
      <c r="Z933" t="s">
        <v>23083</v>
      </c>
      <c r="AA933">
        <v>0.60032544146026778</v>
      </c>
      <c r="AB933" t="str">
        <f>HYPERLINK("Melting_Curves/meltCurve_H7BZJ3_PDIA3.pdf", "Melting_Curves/meltCurve_H7BZJ3_PDIA3.pdf")</f>
        <v>Melting_Curves/meltCurve_H7BZJ3_PDIA3.pdf</v>
      </c>
    </row>
    <row r="934" spans="1:28" x14ac:dyDescent="0.25">
      <c r="A934" t="s">
        <v>938</v>
      </c>
      <c r="B934">
        <v>0.99796759195183404</v>
      </c>
      <c r="C934">
        <v>0.98333593134242103</v>
      </c>
      <c r="D934">
        <v>0.88103696158712996</v>
      </c>
      <c r="E934">
        <v>0.84833219519323899</v>
      </c>
      <c r="F934">
        <v>0.58576791291647201</v>
      </c>
      <c r="G934">
        <v>0.30564040152763999</v>
      </c>
      <c r="H934">
        <v>0.32452311505884701</v>
      </c>
      <c r="I934">
        <v>0.28717025071076202</v>
      </c>
      <c r="J934">
        <v>0.25124080113179398</v>
      </c>
      <c r="K934">
        <v>0.17400111399132601</v>
      </c>
      <c r="L934">
        <v>880.38509738639198</v>
      </c>
      <c r="M934">
        <v>17.750109127197799</v>
      </c>
      <c r="N934">
        <v>51.267311693728601</v>
      </c>
      <c r="O934">
        <v>48.982184959098802</v>
      </c>
      <c r="P934">
        <v>-7.0722299821280907E-2</v>
      </c>
      <c r="Q934">
        <v>0.21939611381699201</v>
      </c>
      <c r="R934">
        <v>0.98184525159091596</v>
      </c>
      <c r="S934" t="s">
        <v>6517</v>
      </c>
      <c r="T934" t="s">
        <v>11164</v>
      </c>
      <c r="U934" t="s">
        <v>11164</v>
      </c>
      <c r="V934" t="s">
        <v>11164</v>
      </c>
      <c r="W934" t="s">
        <v>12082</v>
      </c>
      <c r="X934">
        <v>1</v>
      </c>
      <c r="Y934" t="s">
        <v>17612</v>
      </c>
      <c r="Z934" t="s">
        <v>23084</v>
      </c>
      <c r="AA934">
        <v>0.55986475787707779</v>
      </c>
      <c r="AB934" t="str">
        <f>HYPERLINK("Melting_Curves/meltCurve_H7C0E9_R3HDM2.pdf", "Melting_Curves/meltCurve_H7C0E9_R3HDM2.pdf")</f>
        <v>Melting_Curves/meltCurve_H7C0E9_R3HDM2.pdf</v>
      </c>
    </row>
    <row r="935" spans="1:28" x14ac:dyDescent="0.25">
      <c r="A935" t="s">
        <v>939</v>
      </c>
      <c r="B935">
        <v>0.99796759195183404</v>
      </c>
      <c r="C935">
        <v>0.85253446300356905</v>
      </c>
      <c r="D935">
        <v>0.92630283259801605</v>
      </c>
      <c r="E935">
        <v>0.815004412565</v>
      </c>
      <c r="F935">
        <v>0.78369648120818403</v>
      </c>
      <c r="G935">
        <v>0.66231808622071597</v>
      </c>
      <c r="H935">
        <v>0.46669403988547298</v>
      </c>
      <c r="I935">
        <v>0.29000081671211198</v>
      </c>
      <c r="J935">
        <v>0.24649020377271799</v>
      </c>
      <c r="K935">
        <v>0.138392086778553</v>
      </c>
      <c r="L935">
        <v>525.97136251952202</v>
      </c>
      <c r="M935">
        <v>9.3551421706881808</v>
      </c>
      <c r="N935">
        <v>56.222694970405001</v>
      </c>
      <c r="O935">
        <v>53.8331007732017</v>
      </c>
      <c r="P935">
        <v>-4.3472363972573598E-2</v>
      </c>
      <c r="Q935">
        <v>0</v>
      </c>
      <c r="R935">
        <v>0.96820537943099305</v>
      </c>
      <c r="S935" t="s">
        <v>6518</v>
      </c>
      <c r="T935" t="s">
        <v>11164</v>
      </c>
      <c r="U935" t="s">
        <v>11164</v>
      </c>
      <c r="V935" t="s">
        <v>11164</v>
      </c>
      <c r="W935" t="s">
        <v>12083</v>
      </c>
      <c r="X935">
        <v>2</v>
      </c>
      <c r="Y935" t="s">
        <v>17613</v>
      </c>
      <c r="Z935" t="s">
        <v>23085</v>
      </c>
      <c r="AA935">
        <v>0.64324100965294895</v>
      </c>
      <c r="AB935" t="str">
        <f>HYPERLINK("Melting_Curves/meltCurve_H7C0G7_NHEJ1.pdf", "Melting_Curves/meltCurve_H7C0G7_NHEJ1.pdf")</f>
        <v>Melting_Curves/meltCurve_H7C0G7_NHEJ1.pdf</v>
      </c>
    </row>
    <row r="936" spans="1:28" x14ac:dyDescent="0.25">
      <c r="A936" t="s">
        <v>940</v>
      </c>
      <c r="B936">
        <v>0.99796759195183404</v>
      </c>
      <c r="C936">
        <v>0.88269195051375104</v>
      </c>
      <c r="D936">
        <v>0.91250730591288398</v>
      </c>
      <c r="E936">
        <v>0.85200107881625498</v>
      </c>
      <c r="F936">
        <v>0.77963844412519301</v>
      </c>
      <c r="G936">
        <v>0.79583683447786402</v>
      </c>
      <c r="H936">
        <v>0.68047813431850201</v>
      </c>
      <c r="I936">
        <v>0.602211098062987</v>
      </c>
      <c r="J936">
        <v>0.466719789388574</v>
      </c>
      <c r="K936">
        <v>0.28477660468786198</v>
      </c>
      <c r="L936">
        <v>394.51086553917298</v>
      </c>
      <c r="M936">
        <v>6.31799108110277</v>
      </c>
      <c r="N936">
        <v>62.442453646371</v>
      </c>
      <c r="O936">
        <v>57.063298880907801</v>
      </c>
      <c r="P936">
        <v>-2.7754234755121301E-2</v>
      </c>
      <c r="Q936">
        <v>0</v>
      </c>
      <c r="R936">
        <v>0.91924436424196598</v>
      </c>
      <c r="S936" t="s">
        <v>6519</v>
      </c>
      <c r="T936" t="s">
        <v>11164</v>
      </c>
      <c r="U936" t="s">
        <v>11164</v>
      </c>
      <c r="V936" t="s">
        <v>11164</v>
      </c>
      <c r="W936" t="s">
        <v>12084</v>
      </c>
      <c r="X936">
        <v>1</v>
      </c>
      <c r="Y936" t="s">
        <v>17614</v>
      </c>
      <c r="Z936" t="s">
        <v>23086</v>
      </c>
      <c r="AA936">
        <v>0.74675389055079422</v>
      </c>
      <c r="AB936" t="str">
        <f>HYPERLINK("Melting_Curves/meltCurve_H7C0V4_RTN4R.pdf", "Melting_Curves/meltCurve_H7C0V4_RTN4R.pdf")</f>
        <v>Melting_Curves/meltCurve_H7C0V4_RTN4R.pdf</v>
      </c>
    </row>
    <row r="937" spans="1:28" x14ac:dyDescent="0.25">
      <c r="A937" t="s">
        <v>941</v>
      </c>
      <c r="B937">
        <v>0.99796759195183404</v>
      </c>
      <c r="C937">
        <v>1.40214613198215</v>
      </c>
      <c r="D937">
        <v>1.1479133565894499</v>
      </c>
      <c r="E937">
        <v>1.07304641003461</v>
      </c>
      <c r="F937">
        <v>0.96815891580078495</v>
      </c>
      <c r="G937">
        <v>0.77504384595195797</v>
      </c>
      <c r="H937">
        <v>0.30785206736918003</v>
      </c>
      <c r="I937">
        <v>0.20595759281273901</v>
      </c>
      <c r="J937">
        <v>0.157366174610552</v>
      </c>
      <c r="K937">
        <v>0.24197039583343</v>
      </c>
      <c r="L937">
        <v>2370.8845205412299</v>
      </c>
      <c r="M937">
        <v>43.137748128226903</v>
      </c>
      <c r="N937">
        <v>55.608387365793398</v>
      </c>
      <c r="O937">
        <v>54.843068041133598</v>
      </c>
      <c r="P937">
        <v>-0.157814133957379</v>
      </c>
      <c r="Q937">
        <v>0.19745483353898899</v>
      </c>
      <c r="R937">
        <v>0.89804832564741499</v>
      </c>
      <c r="S937" t="s">
        <v>6520</v>
      </c>
      <c r="T937" t="s">
        <v>11164</v>
      </c>
      <c r="U937" t="s">
        <v>11164</v>
      </c>
      <c r="V937" t="s">
        <v>11164</v>
      </c>
      <c r="W937" t="s">
        <v>12085</v>
      </c>
      <c r="X937">
        <v>2</v>
      </c>
      <c r="Y937" t="s">
        <v>17615</v>
      </c>
      <c r="Z937" t="s">
        <v>23087</v>
      </c>
      <c r="AA937">
        <v>0.68052873900493205</v>
      </c>
      <c r="AB937" t="str">
        <f>HYPERLINK("Melting_Curves/meltCurve_H7C107_IQSEC1.pdf", "Melting_Curves/meltCurve_H7C107_IQSEC1.pdf")</f>
        <v>Melting_Curves/meltCurve_H7C107_IQSEC1.pdf</v>
      </c>
    </row>
    <row r="938" spans="1:28" x14ac:dyDescent="0.25">
      <c r="A938" t="s">
        <v>942</v>
      </c>
      <c r="B938">
        <v>0.99796759195183404</v>
      </c>
      <c r="C938">
        <v>1.0054017127486401</v>
      </c>
      <c r="D938">
        <v>0.940849804664323</v>
      </c>
      <c r="E938">
        <v>0.85195031266386001</v>
      </c>
      <c r="F938">
        <v>0.56240622866510404</v>
      </c>
      <c r="G938">
        <v>0.34329861683502699</v>
      </c>
      <c r="H938">
        <v>0.31881404189151902</v>
      </c>
      <c r="I938">
        <v>0.17756795830394501</v>
      </c>
      <c r="J938">
        <v>0.17881967330599499</v>
      </c>
      <c r="K938">
        <v>6.5714844367614003E-2</v>
      </c>
      <c r="L938">
        <v>744.75133510209002</v>
      </c>
      <c r="M938">
        <v>14.644587239939201</v>
      </c>
      <c r="N938">
        <v>51.677406066163499</v>
      </c>
      <c r="O938">
        <v>49.9350201252456</v>
      </c>
      <c r="P938">
        <v>-6.5704860501612602E-2</v>
      </c>
      <c r="Q938">
        <v>0.10393938374519</v>
      </c>
      <c r="R938">
        <v>0.988154531077858</v>
      </c>
      <c r="S938" t="s">
        <v>6521</v>
      </c>
      <c r="T938" t="s">
        <v>11164</v>
      </c>
      <c r="U938" t="s">
        <v>11164</v>
      </c>
      <c r="V938" t="s">
        <v>11164</v>
      </c>
      <c r="W938" t="s">
        <v>12086</v>
      </c>
      <c r="X938">
        <v>7</v>
      </c>
      <c r="Y938" t="s">
        <v>17616</v>
      </c>
      <c r="Z938" t="s">
        <v>23088</v>
      </c>
      <c r="AA938">
        <v>0.53650339515054823</v>
      </c>
      <c r="AB938" t="str">
        <f>HYPERLINK("Melting_Curves/meltCurve_H7C112_FBXL19.pdf", "Melting_Curves/meltCurve_H7C112_FBXL19.pdf")</f>
        <v>Melting_Curves/meltCurve_H7C112_FBXL19.pdf</v>
      </c>
    </row>
    <row r="939" spans="1:28" x14ac:dyDescent="0.25">
      <c r="A939" t="s">
        <v>943</v>
      </c>
      <c r="B939">
        <v>0.99796759195183404</v>
      </c>
      <c r="C939">
        <v>1.0068229288116499</v>
      </c>
      <c r="D939">
        <v>0.99724781923016603</v>
      </c>
      <c r="E939">
        <v>0.88913089866934603</v>
      </c>
      <c r="F939">
        <v>0.91865634644424299</v>
      </c>
      <c r="G939">
        <v>0.96873396667249601</v>
      </c>
      <c r="H939">
        <v>0.84584144704567699</v>
      </c>
      <c r="I939">
        <v>0.73431956755364503</v>
      </c>
      <c r="J939">
        <v>1.0845681389717501</v>
      </c>
      <c r="K939">
        <v>0.95681697579415803</v>
      </c>
      <c r="L939">
        <v>10896.599310092701</v>
      </c>
      <c r="M939">
        <v>250</v>
      </c>
      <c r="O939">
        <v>43.583623803824601</v>
      </c>
      <c r="P939">
        <v>-0.123312387679636</v>
      </c>
      <c r="Q939">
        <v>0.91400961966542504</v>
      </c>
      <c r="R939">
        <v>0.18071249462015199</v>
      </c>
      <c r="S939" t="s">
        <v>6522</v>
      </c>
      <c r="T939" t="s">
        <v>11164</v>
      </c>
      <c r="U939" t="s">
        <v>11164</v>
      </c>
      <c r="V939" t="s">
        <v>11164</v>
      </c>
      <c r="W939" t="s">
        <v>12087</v>
      </c>
      <c r="X939">
        <v>6</v>
      </c>
      <c r="Y939" t="s">
        <v>17617</v>
      </c>
      <c r="Z939" t="s">
        <v>23089</v>
      </c>
      <c r="AA939">
        <v>0.93289509082398325</v>
      </c>
      <c r="AB939" t="str">
        <f>HYPERLINK("Melting_Curves/meltCurve_H7C173_MZT2B.pdf", "Melting_Curves/meltCurve_H7C173_MZT2B.pdf")</f>
        <v>Melting_Curves/meltCurve_H7C173_MZT2B.pdf</v>
      </c>
    </row>
    <row r="940" spans="1:28" x14ac:dyDescent="0.25">
      <c r="A940" t="s">
        <v>944</v>
      </c>
      <c r="B940">
        <v>0.99796759195183404</v>
      </c>
      <c r="C940">
        <v>1.2056699194559899</v>
      </c>
      <c r="D940">
        <v>1.0930228790724099</v>
      </c>
      <c r="E940">
        <v>0.982856678977992</v>
      </c>
      <c r="F940">
        <v>0.36877011565964901</v>
      </c>
      <c r="G940">
        <v>0.123511613237035</v>
      </c>
      <c r="H940">
        <v>0.11882624212944901</v>
      </c>
      <c r="I940">
        <v>9.0384690112599905E-2</v>
      </c>
      <c r="J940">
        <v>8.2805029992902804E-2</v>
      </c>
      <c r="K940">
        <v>7.8047703397525994E-2</v>
      </c>
      <c r="L940">
        <v>2933.0659264810902</v>
      </c>
      <c r="M940">
        <v>59.2624321482391</v>
      </c>
      <c r="N940">
        <v>49.673399007307502</v>
      </c>
      <c r="O940">
        <v>49.436575099749703</v>
      </c>
      <c r="P940">
        <v>-0.27065018415664699</v>
      </c>
      <c r="Q940">
        <v>9.68975218510153E-2</v>
      </c>
      <c r="R940">
        <v>0.97564756601227498</v>
      </c>
      <c r="S940" t="s">
        <v>6523</v>
      </c>
      <c r="T940" t="s">
        <v>11164</v>
      </c>
      <c r="U940" t="s">
        <v>11164</v>
      </c>
      <c r="V940" t="s">
        <v>11164</v>
      </c>
      <c r="W940" t="s">
        <v>12088</v>
      </c>
      <c r="X940">
        <v>1</v>
      </c>
      <c r="Y940" t="s">
        <v>17618</v>
      </c>
      <c r="Z940" t="s">
        <v>23090</v>
      </c>
      <c r="AA940">
        <v>0.47437579175506228</v>
      </c>
      <c r="AB940" t="str">
        <f>HYPERLINK("Melting_Curves/meltCurve_H7C189_USP4.pdf", "Melting_Curves/meltCurve_H7C189_USP4.pdf")</f>
        <v>Melting_Curves/meltCurve_H7C189_USP4.pdf</v>
      </c>
    </row>
    <row r="941" spans="1:28" x14ac:dyDescent="0.25">
      <c r="A941" t="s">
        <v>945</v>
      </c>
      <c r="B941">
        <v>0.99796759195183404</v>
      </c>
      <c r="C941">
        <v>0.97578583253876106</v>
      </c>
      <c r="D941">
        <v>1.03439928187043</v>
      </c>
      <c r="E941">
        <v>0.88497709632314703</v>
      </c>
      <c r="F941">
        <v>1.01779652139671</v>
      </c>
      <c r="G941">
        <v>0.55272813231602202</v>
      </c>
      <c r="H941">
        <v>0.35200590893154998</v>
      </c>
      <c r="I941">
        <v>0.24569451929546099</v>
      </c>
      <c r="J941">
        <v>0.18154693434513</v>
      </c>
      <c r="K941">
        <v>0.103508309318432</v>
      </c>
      <c r="L941">
        <v>1447.23727004998</v>
      </c>
      <c r="M941">
        <v>26.712168925360899</v>
      </c>
      <c r="N941">
        <v>54.975719321851699</v>
      </c>
      <c r="O941">
        <v>53.878047916520302</v>
      </c>
      <c r="P941">
        <v>-0.104054562774859</v>
      </c>
      <c r="Q941">
        <v>0.16050279470419501</v>
      </c>
      <c r="R941">
        <v>0.97303076224898699</v>
      </c>
      <c r="S941" t="s">
        <v>6524</v>
      </c>
      <c r="T941" t="s">
        <v>11164</v>
      </c>
      <c r="U941" t="s">
        <v>11164</v>
      </c>
      <c r="V941" t="s">
        <v>11164</v>
      </c>
      <c r="W941" t="s">
        <v>12089</v>
      </c>
      <c r="X941">
        <v>2</v>
      </c>
      <c r="Y941" t="s">
        <v>17619</v>
      </c>
      <c r="Z941" t="s">
        <v>23091</v>
      </c>
      <c r="AA941">
        <v>0.64777936335938224</v>
      </c>
      <c r="AB941" t="str">
        <f>HYPERLINK("Melting_Curves/meltCurve_H7C1E4_AP1S1.pdf", "Melting_Curves/meltCurve_H7C1E4_AP1S1.pdf")</f>
        <v>Melting_Curves/meltCurve_H7C1E4_AP1S1.pdf</v>
      </c>
    </row>
    <row r="942" spans="1:28" x14ac:dyDescent="0.25">
      <c r="A942" t="s">
        <v>946</v>
      </c>
      <c r="B942">
        <v>0.99796759195183404</v>
      </c>
      <c r="C942">
        <v>1.0189297555302399</v>
      </c>
      <c r="D942">
        <v>0.788747695032194</v>
      </c>
      <c r="E942">
        <v>0.937265043565918</v>
      </c>
      <c r="F942">
        <v>0.69709872399662998</v>
      </c>
      <c r="G942">
        <v>1.12914241796249</v>
      </c>
      <c r="H942">
        <v>1.0319234631932499</v>
      </c>
      <c r="I942">
        <v>0.51667495377152095</v>
      </c>
      <c r="J942">
        <v>0.123971182508801</v>
      </c>
      <c r="K942">
        <v>0.11875508564456499</v>
      </c>
      <c r="L942">
        <v>13356.1223221987</v>
      </c>
      <c r="M942">
        <v>219.15381417847499</v>
      </c>
      <c r="N942">
        <v>61.021460732948199</v>
      </c>
      <c r="O942">
        <v>60.938982866553999</v>
      </c>
      <c r="P942">
        <v>-0.78996488156132605</v>
      </c>
      <c r="Q942">
        <v>0.12135401339384</v>
      </c>
      <c r="R942">
        <v>0.87219623155609904</v>
      </c>
      <c r="S942" t="s">
        <v>6525</v>
      </c>
      <c r="T942" t="s">
        <v>11164</v>
      </c>
      <c r="U942" t="s">
        <v>11164</v>
      </c>
      <c r="V942" t="s">
        <v>11164</v>
      </c>
      <c r="W942" t="s">
        <v>12090</v>
      </c>
      <c r="X942">
        <v>1</v>
      </c>
      <c r="Y942" t="s">
        <v>17620</v>
      </c>
      <c r="Z942" t="s">
        <v>23092</v>
      </c>
      <c r="AA942">
        <v>0.8227546042354571</v>
      </c>
      <c r="AB942" t="str">
        <f>HYPERLINK("Melting_Curves/meltCurve_H7C1J4_UHRF1BP1.pdf", "Melting_Curves/meltCurve_H7C1J4_UHRF1BP1.pdf")</f>
        <v>Melting_Curves/meltCurve_H7C1J4_UHRF1BP1.pdf</v>
      </c>
    </row>
    <row r="943" spans="1:28" x14ac:dyDescent="0.25">
      <c r="A943" t="s">
        <v>947</v>
      </c>
      <c r="B943">
        <v>0.99796759195183404</v>
      </c>
      <c r="C943">
        <v>1.00829214363958</v>
      </c>
      <c r="D943">
        <v>0.92961819951187297</v>
      </c>
      <c r="E943">
        <v>0.76118866574183397</v>
      </c>
      <c r="F943">
        <v>0.68235482002682502</v>
      </c>
      <c r="G943">
        <v>0.33502853390668003</v>
      </c>
      <c r="H943">
        <v>0.22791790271347201</v>
      </c>
      <c r="I943">
        <v>0.186907785885287</v>
      </c>
      <c r="J943">
        <v>0.157964210387214</v>
      </c>
      <c r="K943">
        <v>0.127632245226248</v>
      </c>
      <c r="L943">
        <v>747.23537035840002</v>
      </c>
      <c r="M943">
        <v>14.6761557843815</v>
      </c>
      <c r="N943">
        <v>51.724890079000303</v>
      </c>
      <c r="O943">
        <v>49.997658086670697</v>
      </c>
      <c r="P943">
        <v>-6.5857868750210602E-2</v>
      </c>
      <c r="Q943">
        <v>0.10265983652730699</v>
      </c>
      <c r="R943">
        <v>0.98868795284003896</v>
      </c>
      <c r="S943" t="s">
        <v>6526</v>
      </c>
      <c r="T943" t="s">
        <v>11164</v>
      </c>
      <c r="U943" t="s">
        <v>11164</v>
      </c>
      <c r="V943" t="s">
        <v>11164</v>
      </c>
      <c r="W943" t="s">
        <v>12091</v>
      </c>
      <c r="X943">
        <v>11</v>
      </c>
      <c r="Y943" t="s">
        <v>17621</v>
      </c>
      <c r="Z943" t="s">
        <v>23093</v>
      </c>
      <c r="AA943">
        <v>0.53752941145960176</v>
      </c>
      <c r="AB943" t="str">
        <f>HYPERLINK("Melting_Curves/meltCurve_H7C1U3_CC2D1B.pdf", "Melting_Curves/meltCurve_H7C1U3_CC2D1B.pdf")</f>
        <v>Melting_Curves/meltCurve_H7C1U3_CC2D1B.pdf</v>
      </c>
    </row>
    <row r="944" spans="1:28" x14ac:dyDescent="0.25">
      <c r="A944" t="s">
        <v>948</v>
      </c>
      <c r="B944">
        <v>0.99796759195183404</v>
      </c>
      <c r="C944">
        <v>1.0554156949797799</v>
      </c>
      <c r="D944">
        <v>1.09772798163757</v>
      </c>
      <c r="E944">
        <v>0.97925240097411903</v>
      </c>
      <c r="F944">
        <v>0.89588729305361803</v>
      </c>
      <c r="G944">
        <v>0.52260196340338905</v>
      </c>
      <c r="H944">
        <v>0.61701773563571605</v>
      </c>
      <c r="I944">
        <v>0.66222138880650405</v>
      </c>
      <c r="J944">
        <v>0.93942372859290701</v>
      </c>
      <c r="K944">
        <v>0.78066548261145896</v>
      </c>
      <c r="L944">
        <v>12580.592840847199</v>
      </c>
      <c r="M944">
        <v>250</v>
      </c>
      <c r="O944">
        <v>50.319151056621301</v>
      </c>
      <c r="P944">
        <v>-0.36717374430090599</v>
      </c>
      <c r="Q944">
        <v>0.70438606263887205</v>
      </c>
      <c r="R944">
        <v>0.67029775365073296</v>
      </c>
      <c r="S944" t="s">
        <v>6527</v>
      </c>
      <c r="T944" t="s">
        <v>11164</v>
      </c>
      <c r="U944" t="s">
        <v>11164</v>
      </c>
      <c r="V944" t="s">
        <v>11164</v>
      </c>
      <c r="W944" t="s">
        <v>12092</v>
      </c>
      <c r="X944">
        <v>8</v>
      </c>
      <c r="Y944" t="s">
        <v>17622</v>
      </c>
      <c r="Z944" t="s">
        <v>23094</v>
      </c>
      <c r="AA944">
        <v>0.83568812490135913</v>
      </c>
      <c r="AB944" t="str">
        <f>HYPERLINK("Melting_Curves/meltCurve_H7C1U8_APOO.pdf", "Melting_Curves/meltCurve_H7C1U8_APOO.pdf")</f>
        <v>Melting_Curves/meltCurve_H7C1U8_APOO.pdf</v>
      </c>
    </row>
    <row r="945" spans="1:28" x14ac:dyDescent="0.25">
      <c r="A945" t="s">
        <v>949</v>
      </c>
      <c r="B945">
        <v>0.99796759195183404</v>
      </c>
      <c r="C945">
        <v>1.00805350691839</v>
      </c>
      <c r="D945">
        <v>0.93725313186376402</v>
      </c>
      <c r="E945">
        <v>0.82892386555218001</v>
      </c>
      <c r="F945">
        <v>0.64366223518444698</v>
      </c>
      <c r="G945">
        <v>0.72178662680740502</v>
      </c>
      <c r="H945">
        <v>0.62609516613543403</v>
      </c>
      <c r="I945">
        <v>0.70232483012962499</v>
      </c>
      <c r="J945">
        <v>0.66365635771103904</v>
      </c>
      <c r="K945">
        <v>0.58127972196287603</v>
      </c>
      <c r="L945">
        <v>1199.4612877183699</v>
      </c>
      <c r="M945">
        <v>25.932577917019501</v>
      </c>
      <c r="O945">
        <v>45.980666751993503</v>
      </c>
      <c r="P945">
        <v>-4.9367054781648101E-2</v>
      </c>
      <c r="Q945">
        <v>0.64987622685343804</v>
      </c>
      <c r="R945">
        <v>0.93322778699232201</v>
      </c>
      <c r="S945" t="s">
        <v>6528</v>
      </c>
      <c r="T945" t="s">
        <v>11164</v>
      </c>
      <c r="U945" t="s">
        <v>11164</v>
      </c>
      <c r="V945" t="s">
        <v>11164</v>
      </c>
      <c r="W945" t="s">
        <v>12093</v>
      </c>
      <c r="X945">
        <v>2</v>
      </c>
      <c r="Y945" t="s">
        <v>17623</v>
      </c>
      <c r="Z945" t="s">
        <v>23095</v>
      </c>
      <c r="AA945">
        <v>0.76056764476681094</v>
      </c>
      <c r="AB945" t="str">
        <f>HYPERLINK("Melting_Curves/meltCurve_H7C1W4_TATDN2.pdf", "Melting_Curves/meltCurve_H7C1W4_TATDN2.pdf")</f>
        <v>Melting_Curves/meltCurve_H7C1W4_TATDN2.pdf</v>
      </c>
    </row>
    <row r="946" spans="1:28" x14ac:dyDescent="0.25">
      <c r="A946" t="s">
        <v>950</v>
      </c>
      <c r="B946">
        <v>0.99796759195183404</v>
      </c>
      <c r="C946">
        <v>1.1598323517443301</v>
      </c>
      <c r="D946">
        <v>1.0581228318112399</v>
      </c>
      <c r="E946">
        <v>0.97776095013453002</v>
      </c>
      <c r="F946">
        <v>0.84875902463197705</v>
      </c>
      <c r="G946">
        <v>0.66449130155667102</v>
      </c>
      <c r="H946">
        <v>0.31679379689688603</v>
      </c>
      <c r="I946">
        <v>0.27827212051486799</v>
      </c>
      <c r="J946">
        <v>0.24724156519204499</v>
      </c>
      <c r="K946">
        <v>0.22452946526626699</v>
      </c>
      <c r="L946">
        <v>1311.72718508766</v>
      </c>
      <c r="M946">
        <v>24.330853795143</v>
      </c>
      <c r="N946">
        <v>55.227531231004399</v>
      </c>
      <c r="O946">
        <v>53.551863344911197</v>
      </c>
      <c r="P946">
        <v>-8.8607289851079699E-2</v>
      </c>
      <c r="Q946">
        <v>0.219918141550008</v>
      </c>
      <c r="R946">
        <v>0.97227184057942695</v>
      </c>
      <c r="S946" t="s">
        <v>6529</v>
      </c>
      <c r="T946" t="s">
        <v>11164</v>
      </c>
      <c r="U946" t="s">
        <v>11164</v>
      </c>
      <c r="V946" t="s">
        <v>11164</v>
      </c>
      <c r="W946" t="s">
        <v>12094</v>
      </c>
      <c r="X946">
        <v>1</v>
      </c>
      <c r="Y946" t="s">
        <v>17624</v>
      </c>
      <c r="Z946" t="s">
        <v>23096</v>
      </c>
      <c r="AA946">
        <v>0.66680403655472753</v>
      </c>
      <c r="AB946" t="str">
        <f>HYPERLINK("Melting_Curves/meltCurve_H7C270_CTDSP1.pdf", "Melting_Curves/meltCurve_H7C270_CTDSP1.pdf")</f>
        <v>Melting_Curves/meltCurve_H7C270_CTDSP1.pdf</v>
      </c>
    </row>
    <row r="947" spans="1:28" x14ac:dyDescent="0.25">
      <c r="A947" t="s">
        <v>951</v>
      </c>
      <c r="B947">
        <v>0.99796759195183404</v>
      </c>
      <c r="C947">
        <v>1.4519097631576701</v>
      </c>
      <c r="D947">
        <v>1.42434911107796</v>
      </c>
      <c r="E947">
        <v>1.5612567876438199</v>
      </c>
      <c r="F947">
        <v>1.6081072282097599</v>
      </c>
      <c r="G947">
        <v>0.97341645409330602</v>
      </c>
      <c r="H947">
        <v>1.0260089711443099</v>
      </c>
      <c r="I947">
        <v>0.88375410027912904</v>
      </c>
      <c r="J947">
        <v>1.0074024621948401</v>
      </c>
      <c r="K947">
        <v>1.2406453078025499</v>
      </c>
      <c r="L947">
        <v>6514.2205230953896</v>
      </c>
      <c r="M947">
        <v>97.383341349759803</v>
      </c>
      <c r="O947">
        <v>66.864360666621806</v>
      </c>
      <c r="P947">
        <v>0.161986101649712</v>
      </c>
      <c r="Q947">
        <v>1.4448849803811601</v>
      </c>
      <c r="R947">
        <v>-0.62039006738826896</v>
      </c>
      <c r="S947" t="s">
        <v>6530</v>
      </c>
      <c r="T947" t="s">
        <v>11164</v>
      </c>
      <c r="U947" t="s">
        <v>11164</v>
      </c>
      <c r="V947" t="s">
        <v>11164</v>
      </c>
      <c r="W947" t="s">
        <v>12087</v>
      </c>
      <c r="X947">
        <v>2</v>
      </c>
      <c r="Y947" t="s">
        <v>17617</v>
      </c>
      <c r="Z947" t="s">
        <v>23097</v>
      </c>
      <c r="AA947">
        <v>1.0077219332265319</v>
      </c>
      <c r="AB947" t="str">
        <f>HYPERLINK("Melting_Curves/meltCurve_H7C293_MZT2B.pdf", "Melting_Curves/meltCurve_H7C293_MZT2B.pdf")</f>
        <v>Melting_Curves/meltCurve_H7C293_MZT2B.pdf</v>
      </c>
    </row>
    <row r="948" spans="1:28" x14ac:dyDescent="0.25">
      <c r="A948" t="s">
        <v>952</v>
      </c>
      <c r="B948">
        <v>0.99796759195183404</v>
      </c>
      <c r="C948">
        <v>0.96029428999566402</v>
      </c>
      <c r="D948">
        <v>0.93566038562667397</v>
      </c>
      <c r="E948">
        <v>0.95635215709250199</v>
      </c>
      <c r="F948">
        <v>0.73846084424912894</v>
      </c>
      <c r="G948">
        <v>0.48389413601654802</v>
      </c>
      <c r="H948">
        <v>0.39012499775239601</v>
      </c>
      <c r="I948">
        <v>0.31598734885565799</v>
      </c>
      <c r="J948">
        <v>0.17560566850025799</v>
      </c>
      <c r="K948">
        <v>0.13292884647103001</v>
      </c>
      <c r="L948">
        <v>692.32034316268096</v>
      </c>
      <c r="M948">
        <v>12.8796089582543</v>
      </c>
      <c r="N948">
        <v>54.625499397642301</v>
      </c>
      <c r="O948">
        <v>52.506843003934399</v>
      </c>
      <c r="P948">
        <v>-5.56337654275963E-2</v>
      </c>
      <c r="Q948">
        <v>9.2948117847494294E-2</v>
      </c>
      <c r="R948">
        <v>0.986173181226353</v>
      </c>
      <c r="S948" t="s">
        <v>6531</v>
      </c>
      <c r="T948" t="s">
        <v>11164</v>
      </c>
      <c r="U948" t="s">
        <v>11164</v>
      </c>
      <c r="V948" t="s">
        <v>11164</v>
      </c>
      <c r="W948" t="s">
        <v>12095</v>
      </c>
      <c r="X948">
        <v>1</v>
      </c>
      <c r="Y948" t="s">
        <v>17625</v>
      </c>
      <c r="Z948" t="s">
        <v>23098</v>
      </c>
      <c r="AA948">
        <v>0.61606464949053574</v>
      </c>
      <c r="AB948" t="str">
        <f>HYPERLINK("Melting_Curves/meltCurve_H7C2P2_SDK2.pdf", "Melting_Curves/meltCurve_H7C2P2_SDK2.pdf")</f>
        <v>Melting_Curves/meltCurve_H7C2P2_SDK2.pdf</v>
      </c>
    </row>
    <row r="949" spans="1:28" x14ac:dyDescent="0.25">
      <c r="A949" t="s">
        <v>953</v>
      </c>
      <c r="B949">
        <v>0.99796759195183404</v>
      </c>
      <c r="C949">
        <v>0.91013855999573001</v>
      </c>
      <c r="D949">
        <v>0.96577123402654597</v>
      </c>
      <c r="E949">
        <v>0.77354276302746705</v>
      </c>
      <c r="F949">
        <v>0.58031617261228496</v>
      </c>
      <c r="G949">
        <v>0.324509609290489</v>
      </c>
      <c r="H949">
        <v>0.22737906429426599</v>
      </c>
      <c r="I949">
        <v>0.15708698324418199</v>
      </c>
      <c r="J949">
        <v>6.0410023213565499E-2</v>
      </c>
      <c r="K949">
        <v>6.5691190511554004E-2</v>
      </c>
      <c r="L949">
        <v>667.04579182560701</v>
      </c>
      <c r="M949">
        <v>13.060668627291101</v>
      </c>
      <c r="N949">
        <v>51.261088484136899</v>
      </c>
      <c r="O949">
        <v>49.9200417198644</v>
      </c>
      <c r="P949">
        <v>-6.3887684755369406E-2</v>
      </c>
      <c r="Q949">
        <v>2.3412139296323901E-2</v>
      </c>
      <c r="R949">
        <v>0.99295179209423001</v>
      </c>
      <c r="S949" t="s">
        <v>6532</v>
      </c>
      <c r="T949" t="s">
        <v>11164</v>
      </c>
      <c r="U949" t="s">
        <v>11164</v>
      </c>
      <c r="V949" t="s">
        <v>11164</v>
      </c>
      <c r="W949" t="s">
        <v>12096</v>
      </c>
      <c r="X949">
        <v>2</v>
      </c>
      <c r="Y949" t="s">
        <v>17626</v>
      </c>
      <c r="Z949" t="s">
        <v>23099</v>
      </c>
      <c r="AA949">
        <v>0.50466688906876722</v>
      </c>
      <c r="AB949" t="str">
        <f>HYPERLINK("Melting_Curves/meltCurve_H7C3C7_SNAP47.pdf", "Melting_Curves/meltCurve_H7C3C7_SNAP47.pdf")</f>
        <v>Melting_Curves/meltCurve_H7C3C7_SNAP47.pdf</v>
      </c>
    </row>
    <row r="950" spans="1:28" x14ac:dyDescent="0.25">
      <c r="A950" t="s">
        <v>954</v>
      </c>
      <c r="B950">
        <v>0.99796759195183404</v>
      </c>
      <c r="C950">
        <v>0.96778172808936302</v>
      </c>
      <c r="D950">
        <v>0.97016909670467</v>
      </c>
      <c r="E950">
        <v>0.90191496216426204</v>
      </c>
      <c r="F950">
        <v>0.97010915607492298</v>
      </c>
      <c r="G950">
        <v>0.80158925953659199</v>
      </c>
      <c r="H950">
        <v>0.67785505913129795</v>
      </c>
      <c r="I950">
        <v>0.63563425761422998</v>
      </c>
      <c r="J950">
        <v>0.72257524571435305</v>
      </c>
      <c r="K950">
        <v>0.451988492918039</v>
      </c>
      <c r="L950">
        <v>391.62250243120599</v>
      </c>
      <c r="M950">
        <v>5.7527734720992498</v>
      </c>
      <c r="O950">
        <v>61.196174637232502</v>
      </c>
      <c r="P950">
        <v>-2.3589730853065101E-2</v>
      </c>
      <c r="Q950">
        <v>0</v>
      </c>
      <c r="R950">
        <v>0.87815360675805798</v>
      </c>
      <c r="S950" t="s">
        <v>6533</v>
      </c>
      <c r="T950" t="s">
        <v>11164</v>
      </c>
      <c r="U950" t="s">
        <v>11164</v>
      </c>
      <c r="V950" t="s">
        <v>11164</v>
      </c>
      <c r="W950" t="s">
        <v>12097</v>
      </c>
      <c r="X950">
        <v>2</v>
      </c>
      <c r="Y950" t="s">
        <v>17627</v>
      </c>
      <c r="Z950" t="s">
        <v>23100</v>
      </c>
      <c r="AA950">
        <v>0.81905450619854769</v>
      </c>
      <c r="AB950" t="str">
        <f>HYPERLINK("Melting_Curves/meltCurve_H7C3D5_FAM134A.pdf", "Melting_Curves/meltCurve_H7C3D5_FAM134A.pdf")</f>
        <v>Melting_Curves/meltCurve_H7C3D5_FAM134A.pdf</v>
      </c>
    </row>
    <row r="951" spans="1:28" x14ac:dyDescent="0.25">
      <c r="A951" t="s">
        <v>955</v>
      </c>
      <c r="B951">
        <v>0.99796759195183404</v>
      </c>
      <c r="C951">
        <v>1.16996573039244</v>
      </c>
      <c r="D951">
        <v>1.11558088411985</v>
      </c>
      <c r="E951">
        <v>1.1533606682781401</v>
      </c>
      <c r="F951">
        <v>0.96386415453228502</v>
      </c>
      <c r="G951">
        <v>0.74870205632838105</v>
      </c>
      <c r="H951">
        <v>0.66443001147279201</v>
      </c>
      <c r="I951">
        <v>0.45481789697464903</v>
      </c>
      <c r="J951">
        <v>0.489850952834469</v>
      </c>
      <c r="K951">
        <v>0.39124962418721199</v>
      </c>
      <c r="L951">
        <v>1203.21091156337</v>
      </c>
      <c r="M951">
        <v>21.622271862608599</v>
      </c>
      <c r="N951">
        <v>60.483290314966702</v>
      </c>
      <c r="O951">
        <v>55.177423251109701</v>
      </c>
      <c r="P951">
        <v>-5.7677659266483203E-2</v>
      </c>
      <c r="Q951">
        <v>0.41126855838125598</v>
      </c>
      <c r="R951">
        <v>0.903402060497139</v>
      </c>
      <c r="S951" t="s">
        <v>6534</v>
      </c>
      <c r="T951" t="s">
        <v>11164</v>
      </c>
      <c r="U951" t="s">
        <v>11164</v>
      </c>
      <c r="V951" t="s">
        <v>11164</v>
      </c>
      <c r="W951" t="s">
        <v>12098</v>
      </c>
      <c r="X951">
        <v>3</v>
      </c>
      <c r="Y951" t="s">
        <v>17628</v>
      </c>
      <c r="Z951" t="s">
        <v>23101</v>
      </c>
      <c r="AA951">
        <v>0.7830238133515911</v>
      </c>
      <c r="AB951" t="str">
        <f>HYPERLINK("Melting_Curves/meltCurve_H7C3D8_CMC1.pdf", "Melting_Curves/meltCurve_H7C3D8_CMC1.pdf")</f>
        <v>Melting_Curves/meltCurve_H7C3D8_CMC1.pdf</v>
      </c>
    </row>
    <row r="952" spans="1:28" x14ac:dyDescent="0.25">
      <c r="A952" t="s">
        <v>956</v>
      </c>
      <c r="B952">
        <v>0.99796759195183404</v>
      </c>
      <c r="C952">
        <v>0.98811594032665495</v>
      </c>
      <c r="D952">
        <v>1.0429288672631101</v>
      </c>
      <c r="E952">
        <v>0.931919859201779</v>
      </c>
      <c r="F952">
        <v>0.69879344504984497</v>
      </c>
      <c r="G952">
        <v>0.73045510507799505</v>
      </c>
      <c r="H952">
        <v>0.53160503472739196</v>
      </c>
      <c r="I952">
        <v>0.28036052618816498</v>
      </c>
      <c r="J952">
        <v>0.120072447358487</v>
      </c>
      <c r="K952">
        <v>9.6912593034455902E-2</v>
      </c>
      <c r="L952">
        <v>723.85389356488395</v>
      </c>
      <c r="M952">
        <v>12.772200417923999</v>
      </c>
      <c r="N952">
        <v>56.674172987491801</v>
      </c>
      <c r="O952">
        <v>55.338744705537998</v>
      </c>
      <c r="P952">
        <v>-5.7711003183438303E-2</v>
      </c>
      <c r="Q952">
        <v>0</v>
      </c>
      <c r="R952">
        <v>0.96890533969910297</v>
      </c>
      <c r="S952" t="s">
        <v>6535</v>
      </c>
      <c r="T952" t="s">
        <v>11164</v>
      </c>
      <c r="U952" t="s">
        <v>11164</v>
      </c>
      <c r="V952" t="s">
        <v>11164</v>
      </c>
      <c r="W952" t="s">
        <v>12099</v>
      </c>
      <c r="X952">
        <v>1</v>
      </c>
      <c r="Y952" t="s">
        <v>17629</v>
      </c>
      <c r="Z952" t="s">
        <v>23102</v>
      </c>
      <c r="AA952">
        <v>0.66335647295718725</v>
      </c>
      <c r="AB952" t="str">
        <f>HYPERLINK("Melting_Curves/meltCurve_H7C3M5_DPY19L1.pdf", "Melting_Curves/meltCurve_H7C3M5_DPY19L1.pdf")</f>
        <v>Melting_Curves/meltCurve_H7C3M5_DPY19L1.pdf</v>
      </c>
    </row>
    <row r="953" spans="1:28" x14ac:dyDescent="0.25">
      <c r="A953" t="s">
        <v>957</v>
      </c>
      <c r="B953">
        <v>0.99796759195183404</v>
      </c>
      <c r="C953">
        <v>0.97436949410498397</v>
      </c>
      <c r="D953">
        <v>0.96053301215978404</v>
      </c>
      <c r="E953">
        <v>0.91775656803506001</v>
      </c>
      <c r="F953">
        <v>0.83129044250744799</v>
      </c>
      <c r="G953">
        <v>0.72516465097732696</v>
      </c>
      <c r="H953">
        <v>0.72702931291015804</v>
      </c>
      <c r="I953">
        <v>0.72313458955160204</v>
      </c>
      <c r="J953">
        <v>0.90164199362203001</v>
      </c>
      <c r="K953">
        <v>0.75315661617331697</v>
      </c>
      <c r="L953">
        <v>1260.4828893619799</v>
      </c>
      <c r="M953">
        <v>26.533165864005799</v>
      </c>
      <c r="O953">
        <v>47.238548376854602</v>
      </c>
      <c r="P953">
        <v>-3.2720452172439699E-2</v>
      </c>
      <c r="Q953">
        <v>0.76698592936324494</v>
      </c>
      <c r="R953">
        <v>0.76740926696190004</v>
      </c>
      <c r="S953" t="s">
        <v>6536</v>
      </c>
      <c r="T953" t="s">
        <v>11164</v>
      </c>
      <c r="U953" t="s">
        <v>11164</v>
      </c>
      <c r="V953" t="s">
        <v>11164</v>
      </c>
      <c r="W953" t="s">
        <v>12100</v>
      </c>
      <c r="X953">
        <v>9</v>
      </c>
      <c r="Y953" t="s">
        <v>17630</v>
      </c>
      <c r="Z953" t="s">
        <v>23103</v>
      </c>
      <c r="AA953">
        <v>0.85033714539095584</v>
      </c>
      <c r="AB953" t="str">
        <f>HYPERLINK("Melting_Curves/meltCurve_H7C3P4_GNS.pdf", "Melting_Curves/meltCurve_H7C3P4_GNS.pdf")</f>
        <v>Melting_Curves/meltCurve_H7C3P4_GNS.pdf</v>
      </c>
    </row>
    <row r="954" spans="1:28" x14ac:dyDescent="0.25">
      <c r="A954" t="s">
        <v>958</v>
      </c>
      <c r="B954">
        <v>0.99796759195183404</v>
      </c>
      <c r="C954">
        <v>1.16917523786855</v>
      </c>
      <c r="D954">
        <v>0.89209485191519899</v>
      </c>
      <c r="E954">
        <v>1.0933852277820399</v>
      </c>
      <c r="F954">
        <v>0.79745141852250701</v>
      </c>
      <c r="G954">
        <v>0.70075812705785001</v>
      </c>
      <c r="H954">
        <v>0.55479254389275001</v>
      </c>
      <c r="I954">
        <v>0.37646076614582102</v>
      </c>
      <c r="J954">
        <v>0.156351189292187</v>
      </c>
      <c r="K954">
        <v>0</v>
      </c>
      <c r="L954">
        <v>846.95606343045802</v>
      </c>
      <c r="M954">
        <v>14.7216326588639</v>
      </c>
      <c r="N954">
        <v>57.531395088185597</v>
      </c>
      <c r="O954">
        <v>56.501118249111798</v>
      </c>
      <c r="P954">
        <v>-6.5145761213123696E-2</v>
      </c>
      <c r="Q954">
        <v>0</v>
      </c>
      <c r="R954">
        <v>0.93908138220811499</v>
      </c>
      <c r="S954" t="s">
        <v>6537</v>
      </c>
      <c r="T954" t="s">
        <v>11164</v>
      </c>
      <c r="U954" t="s">
        <v>11164</v>
      </c>
      <c r="V954" t="s">
        <v>11164</v>
      </c>
      <c r="W954" t="s">
        <v>12101</v>
      </c>
      <c r="X954">
        <v>1</v>
      </c>
      <c r="Y954" t="s">
        <v>17631</v>
      </c>
      <c r="Z954" t="s">
        <v>23104</v>
      </c>
      <c r="AA954">
        <v>0.69027009784091975</v>
      </c>
      <c r="AB954" t="str">
        <f>HYPERLINK("Melting_Curves/meltCurve_H7C484_ARV1.pdf", "Melting_Curves/meltCurve_H7C484_ARV1.pdf")</f>
        <v>Melting_Curves/meltCurve_H7C484_ARV1.pdf</v>
      </c>
    </row>
    <row r="955" spans="1:28" x14ac:dyDescent="0.25">
      <c r="A955" t="s">
        <v>959</v>
      </c>
      <c r="B955">
        <v>0.99796759195183404</v>
      </c>
      <c r="C955">
        <v>0.98420051027884103</v>
      </c>
      <c r="D955">
        <v>0.90811870329542099</v>
      </c>
      <c r="E955">
        <v>0.87213414991946503</v>
      </c>
      <c r="F955">
        <v>0.79396915564604098</v>
      </c>
      <c r="G955">
        <v>0.63569149185927798</v>
      </c>
      <c r="H955">
        <v>0.56501238290009304</v>
      </c>
      <c r="I955">
        <v>0.403922939027612</v>
      </c>
      <c r="J955">
        <v>0.44461615848161501</v>
      </c>
      <c r="K955">
        <v>0.34067940421955301</v>
      </c>
      <c r="L955">
        <v>482.25652855580398</v>
      </c>
      <c r="M955">
        <v>8.7303968302897008</v>
      </c>
      <c r="N955">
        <v>59.058337945910999</v>
      </c>
      <c r="O955">
        <v>52.5703533855662</v>
      </c>
      <c r="P955">
        <v>-3.2588215867470002E-2</v>
      </c>
      <c r="Q955">
        <v>0.215715186614374</v>
      </c>
      <c r="R955">
        <v>0.98619807673997395</v>
      </c>
      <c r="S955" t="s">
        <v>6538</v>
      </c>
      <c r="T955" t="s">
        <v>11164</v>
      </c>
      <c r="U955" t="s">
        <v>11164</v>
      </c>
      <c r="V955" t="s">
        <v>11164</v>
      </c>
      <c r="W955" t="s">
        <v>12102</v>
      </c>
      <c r="X955">
        <v>2</v>
      </c>
      <c r="Y955" t="s">
        <v>17632</v>
      </c>
      <c r="Z955" t="s">
        <v>23105</v>
      </c>
      <c r="AA955">
        <v>0.69844016054017599</v>
      </c>
      <c r="AB955" t="str">
        <f>HYPERLINK("Melting_Curves/meltCurve_H7C4M4_HEG1.pdf", "Melting_Curves/meltCurve_H7C4M4_HEG1.pdf")</f>
        <v>Melting_Curves/meltCurve_H7C4M4_HEG1.pdf</v>
      </c>
    </row>
    <row r="956" spans="1:28" x14ac:dyDescent="0.25">
      <c r="A956" t="s">
        <v>960</v>
      </c>
      <c r="B956">
        <v>0.99796759195183404</v>
      </c>
      <c r="C956">
        <v>1.0106900306344699</v>
      </c>
      <c r="D956">
        <v>0.78636798344012004</v>
      </c>
      <c r="E956">
        <v>0.87264659711529902</v>
      </c>
      <c r="F956">
        <v>0.898274459714544</v>
      </c>
      <c r="G956">
        <v>0.60882592847993</v>
      </c>
      <c r="H956">
        <v>0.38715986592742602</v>
      </c>
      <c r="I956">
        <v>0.35383588449325198</v>
      </c>
      <c r="J956">
        <v>0.48778802518221898</v>
      </c>
      <c r="K956">
        <v>0.27123063019320598</v>
      </c>
      <c r="L956">
        <v>711.97467636928798</v>
      </c>
      <c r="M956">
        <v>13.3906509236395</v>
      </c>
      <c r="N956">
        <v>56.705294199561997</v>
      </c>
      <c r="O956">
        <v>52.025731904272803</v>
      </c>
      <c r="P956">
        <v>-4.6140252577519698E-2</v>
      </c>
      <c r="Q956">
        <v>0.28305126078361398</v>
      </c>
      <c r="R956">
        <v>0.88365488310413998</v>
      </c>
      <c r="S956" t="s">
        <v>6539</v>
      </c>
      <c r="T956" t="s">
        <v>11164</v>
      </c>
      <c r="U956" t="s">
        <v>11164</v>
      </c>
      <c r="V956" t="s">
        <v>11164</v>
      </c>
      <c r="W956" t="s">
        <v>12103</v>
      </c>
      <c r="X956">
        <v>1</v>
      </c>
      <c r="Y956" t="s">
        <v>17633</v>
      </c>
      <c r="Z956" t="s">
        <v>23106</v>
      </c>
      <c r="AA956">
        <v>0.68331066588523093</v>
      </c>
      <c r="AB956" t="str">
        <f>HYPERLINK("Melting_Curves/meltCurve_H7C4N1_TMEM222.pdf", "Melting_Curves/meltCurve_H7C4N1_TMEM222.pdf")</f>
        <v>Melting_Curves/meltCurve_H7C4N1_TMEM222.pdf</v>
      </c>
    </row>
    <row r="957" spans="1:28" x14ac:dyDescent="0.25">
      <c r="A957" t="s">
        <v>961</v>
      </c>
      <c r="B957">
        <v>0.99796759195183404</v>
      </c>
      <c r="C957">
        <v>1.1005725326942799</v>
      </c>
      <c r="D957">
        <v>1.07543974758766</v>
      </c>
      <c r="E957">
        <v>0.99477023061436398</v>
      </c>
      <c r="F957">
        <v>0.89829386674821399</v>
      </c>
      <c r="G957">
        <v>0.73716881198028394</v>
      </c>
      <c r="H957">
        <v>0.65812076110441597</v>
      </c>
      <c r="I957">
        <v>0.52003803557643302</v>
      </c>
      <c r="J957">
        <v>0.59071573538993905</v>
      </c>
      <c r="K957">
        <v>0.44533507880174</v>
      </c>
      <c r="L957">
        <v>967.513096735506</v>
      </c>
      <c r="M957">
        <v>17.817469905924501</v>
      </c>
      <c r="O957">
        <v>53.631209970098702</v>
      </c>
      <c r="P957">
        <v>-4.27617533369209E-2</v>
      </c>
      <c r="Q957">
        <v>0.48516892837178599</v>
      </c>
      <c r="R957">
        <v>0.94606132295994205</v>
      </c>
      <c r="S957" t="s">
        <v>6540</v>
      </c>
      <c r="T957" t="s">
        <v>11164</v>
      </c>
      <c r="U957" t="s">
        <v>11164</v>
      </c>
      <c r="V957" t="s">
        <v>11164</v>
      </c>
      <c r="W957" t="s">
        <v>12104</v>
      </c>
      <c r="X957">
        <v>13</v>
      </c>
      <c r="Y957" t="s">
        <v>17634</v>
      </c>
      <c r="Z957" t="s">
        <v>23107</v>
      </c>
      <c r="AA957">
        <v>0.78905240009461985</v>
      </c>
      <c r="AB957" t="str">
        <f>HYPERLINK("Melting_Curves/meltCurve_H7C525_CCDC58.pdf", "Melting_Curves/meltCurve_H7C525_CCDC58.pdf")</f>
        <v>Melting_Curves/meltCurve_H7C525_CCDC58.pdf</v>
      </c>
    </row>
    <row r="958" spans="1:28" x14ac:dyDescent="0.25">
      <c r="A958" t="s">
        <v>962</v>
      </c>
      <c r="B958">
        <v>0.99796759195183404</v>
      </c>
      <c r="C958">
        <v>0.85032017696583095</v>
      </c>
      <c r="D958">
        <v>0.93405123117925803</v>
      </c>
      <c r="E958">
        <v>0.86978428642146599</v>
      </c>
      <c r="F958">
        <v>0.76849619280881298</v>
      </c>
      <c r="G958">
        <v>0.50738881014264503</v>
      </c>
      <c r="H958">
        <v>0.58614126562902402</v>
      </c>
      <c r="I958">
        <v>0.406756537024556</v>
      </c>
      <c r="J958">
        <v>0.56948259399404599</v>
      </c>
      <c r="K958">
        <v>0.28058919418068701</v>
      </c>
      <c r="L958">
        <v>388.19286109271297</v>
      </c>
      <c r="M958">
        <v>7.0732007376022201</v>
      </c>
      <c r="N958">
        <v>59.130245112167898</v>
      </c>
      <c r="O958">
        <v>51.001838923726702</v>
      </c>
      <c r="P958">
        <v>-2.7814434854054399E-2</v>
      </c>
      <c r="Q958">
        <v>0.199197246395934</v>
      </c>
      <c r="R958">
        <v>0.86899243561464501</v>
      </c>
      <c r="S958" t="s">
        <v>6541</v>
      </c>
      <c r="T958" t="s">
        <v>11164</v>
      </c>
      <c r="U958" t="s">
        <v>11164</v>
      </c>
      <c r="V958" t="s">
        <v>11164</v>
      </c>
      <c r="W958" t="s">
        <v>12105</v>
      </c>
      <c r="X958">
        <v>1</v>
      </c>
      <c r="Y958" t="s">
        <v>17635</v>
      </c>
      <c r="Z958" t="s">
        <v>23108</v>
      </c>
      <c r="AA958">
        <v>0.67940666887782319</v>
      </c>
      <c r="AB958" t="str">
        <f>HYPERLINK("Melting_Curves/meltCurve_H7C5G1_IAH1.pdf", "Melting_Curves/meltCurve_H7C5G1_IAH1.pdf")</f>
        <v>Melting_Curves/meltCurve_H7C5G1_IAH1.pdf</v>
      </c>
    </row>
    <row r="959" spans="1:28" x14ac:dyDescent="0.25">
      <c r="A959" t="s">
        <v>963</v>
      </c>
      <c r="B959">
        <v>0.99796759195183404</v>
      </c>
      <c r="C959">
        <v>1.0109597326019799</v>
      </c>
      <c r="D959">
        <v>0.84712169131328996</v>
      </c>
      <c r="E959">
        <v>0.70563384428928999</v>
      </c>
      <c r="F959">
        <v>0.52904714814873999</v>
      </c>
      <c r="G959">
        <v>0.44063000458296198</v>
      </c>
      <c r="H959">
        <v>0.31528980753101399</v>
      </c>
      <c r="I959">
        <v>0.20292911716992501</v>
      </c>
      <c r="J959">
        <v>0.21291344878954399</v>
      </c>
      <c r="K959">
        <v>0.167964184066168</v>
      </c>
      <c r="L959">
        <v>534.84478850932601</v>
      </c>
      <c r="M959">
        <v>10.700031463621899</v>
      </c>
      <c r="N959">
        <v>51.339631815843099</v>
      </c>
      <c r="O959">
        <v>48.3343212314482</v>
      </c>
      <c r="P959">
        <v>-4.8557033056066803E-2</v>
      </c>
      <c r="Q959">
        <v>0.122959393815854</v>
      </c>
      <c r="R959">
        <v>0.99081841367731405</v>
      </c>
      <c r="S959" t="s">
        <v>6542</v>
      </c>
      <c r="T959" t="s">
        <v>11164</v>
      </c>
      <c r="U959" t="s">
        <v>11164</v>
      </c>
      <c r="V959" t="s">
        <v>11164</v>
      </c>
      <c r="W959" t="s">
        <v>12106</v>
      </c>
      <c r="X959">
        <v>1</v>
      </c>
      <c r="Y959" t="s">
        <v>17636</v>
      </c>
      <c r="Z959" t="s">
        <v>23109</v>
      </c>
      <c r="AA959">
        <v>0.53045952298201837</v>
      </c>
      <c r="AB959" t="str">
        <f>HYPERLINK("Melting_Curves/meltCurve_H7C5J7_C3orf52.pdf", "Melting_Curves/meltCurve_H7C5J7_C3orf52.pdf")</f>
        <v>Melting_Curves/meltCurve_H7C5J7_C3orf52.pdf</v>
      </c>
    </row>
    <row r="960" spans="1:28" x14ac:dyDescent="0.25">
      <c r="A960" t="s">
        <v>964</v>
      </c>
      <c r="B960">
        <v>0.99796759195183404</v>
      </c>
      <c r="C960">
        <v>0.83113852635743501</v>
      </c>
      <c r="D960">
        <v>0.71526878053076803</v>
      </c>
      <c r="E960">
        <v>0.65755591718914497</v>
      </c>
      <c r="F960">
        <v>0.290323498735643</v>
      </c>
      <c r="G960">
        <v>0.15173161209251501</v>
      </c>
      <c r="H960">
        <v>9.9478991580468398E-2</v>
      </c>
      <c r="I960">
        <v>9.7606552470651406E-2</v>
      </c>
      <c r="J960">
        <v>9.0372012183185205E-2</v>
      </c>
      <c r="K960">
        <v>8.3375283821941301E-2</v>
      </c>
      <c r="L960">
        <v>577.62813009203103</v>
      </c>
      <c r="M960">
        <v>12.3179508363213</v>
      </c>
      <c r="N960">
        <v>47.174402054032697</v>
      </c>
      <c r="O960">
        <v>45.708694318481598</v>
      </c>
      <c r="P960">
        <v>-6.5001379280195296E-2</v>
      </c>
      <c r="Q960">
        <v>3.5397615761469603E-2</v>
      </c>
      <c r="R960">
        <v>0.97533203070653895</v>
      </c>
      <c r="S960" t="s">
        <v>6543</v>
      </c>
      <c r="T960" t="s">
        <v>11164</v>
      </c>
      <c r="U960" t="s">
        <v>11164</v>
      </c>
      <c r="V960" t="s">
        <v>11164</v>
      </c>
      <c r="W960" t="s">
        <v>12107</v>
      </c>
      <c r="X960">
        <v>7</v>
      </c>
      <c r="Y960" t="s">
        <v>17637</v>
      </c>
      <c r="Z960" t="s">
        <v>23110</v>
      </c>
      <c r="AA960">
        <v>0.38403852632903401</v>
      </c>
      <c r="AB960" t="str">
        <f>HYPERLINK("Melting_Curves/meltCurve_H9KV59_PRC1.pdf", "Melting_Curves/meltCurve_H9KV59_PRC1.pdf")</f>
        <v>Melting_Curves/meltCurve_H9KV59_PRC1.pdf</v>
      </c>
    </row>
    <row r="961" spans="1:28" x14ac:dyDescent="0.25">
      <c r="A961" t="s">
        <v>965</v>
      </c>
      <c r="B961">
        <v>0.99796759195183404</v>
      </c>
      <c r="C961">
        <v>0.91548735679485505</v>
      </c>
      <c r="D961">
        <v>0.84150667636757703</v>
      </c>
      <c r="E961">
        <v>0.65042923119365703</v>
      </c>
      <c r="F961">
        <v>0.788767059490732</v>
      </c>
      <c r="G961">
        <v>0.37762741943198602</v>
      </c>
      <c r="H961">
        <v>0.29104052304011302</v>
      </c>
      <c r="I961">
        <v>0.21021568212010799</v>
      </c>
      <c r="J961">
        <v>0.18889222385793</v>
      </c>
      <c r="K961">
        <v>0.24612033043834999</v>
      </c>
      <c r="L961">
        <v>472.60609387057298</v>
      </c>
      <c r="M961">
        <v>9.1996094086142293</v>
      </c>
      <c r="N961">
        <v>52.353375512183</v>
      </c>
      <c r="O961">
        <v>49.119827650465801</v>
      </c>
      <c r="P961">
        <v>-4.3144213413986103E-2</v>
      </c>
      <c r="Q961">
        <v>7.9169168584623806E-2</v>
      </c>
      <c r="R961">
        <v>0.93090300001721704</v>
      </c>
      <c r="S961" t="s">
        <v>6544</v>
      </c>
      <c r="T961" t="s">
        <v>11164</v>
      </c>
      <c r="U961" t="s">
        <v>11164</v>
      </c>
      <c r="V961" t="s">
        <v>11164</v>
      </c>
      <c r="W961" t="s">
        <v>12108</v>
      </c>
      <c r="X961">
        <v>1</v>
      </c>
      <c r="Y961" t="s">
        <v>17638</v>
      </c>
      <c r="Z961" t="s">
        <v>23111</v>
      </c>
      <c r="AA961">
        <v>0.54847989017466703</v>
      </c>
      <c r="AB961" t="str">
        <f>HYPERLINK("Melting_Curves/meltCurve_H9KV61_PWWP2B.pdf", "Melting_Curves/meltCurve_H9KV61_PWWP2B.pdf")</f>
        <v>Melting_Curves/meltCurve_H9KV61_PWWP2B.pdf</v>
      </c>
    </row>
    <row r="962" spans="1:28" x14ac:dyDescent="0.25">
      <c r="A962" t="s">
        <v>966</v>
      </c>
      <c r="B962">
        <v>0.99796759195183404</v>
      </c>
      <c r="C962">
        <v>1.1673241602675599</v>
      </c>
      <c r="D962">
        <v>1.0181688824958901</v>
      </c>
      <c r="E962">
        <v>0.90469589538121897</v>
      </c>
      <c r="F962">
        <v>0.91864560992467403</v>
      </c>
      <c r="G962">
        <v>0.665176136588435</v>
      </c>
      <c r="H962">
        <v>0.53555057408419304</v>
      </c>
      <c r="I962">
        <v>0.41603723354376398</v>
      </c>
      <c r="J962">
        <v>0.50820231664355198</v>
      </c>
      <c r="K962">
        <v>0.438128119703313</v>
      </c>
      <c r="L962">
        <v>1309.01296844793</v>
      </c>
      <c r="M962">
        <v>24.678049957252199</v>
      </c>
      <c r="N962">
        <v>58.353516460926699</v>
      </c>
      <c r="O962">
        <v>52.698986230554603</v>
      </c>
      <c r="P962">
        <v>-6.4733205318799406E-2</v>
      </c>
      <c r="Q962">
        <v>0.44706716945783997</v>
      </c>
      <c r="R962">
        <v>0.93917804642040503</v>
      </c>
      <c r="S962" t="s">
        <v>6545</v>
      </c>
      <c r="T962" t="s">
        <v>11164</v>
      </c>
      <c r="U962" t="s">
        <v>11164</v>
      </c>
      <c r="V962" t="s">
        <v>11164</v>
      </c>
      <c r="W962" t="s">
        <v>12109</v>
      </c>
      <c r="X962">
        <v>5</v>
      </c>
      <c r="Y962" t="s">
        <v>17639</v>
      </c>
      <c r="Z962" t="s">
        <v>23112</v>
      </c>
      <c r="AA962">
        <v>0.74776266005075809</v>
      </c>
      <c r="AB962" t="str">
        <f>HYPERLINK("Melting_Curves/meltCurve_H9KVB8_MICU1.pdf", "Melting_Curves/meltCurve_H9KVB8_MICU1.pdf")</f>
        <v>Melting_Curves/meltCurve_H9KVB8_MICU1.pdf</v>
      </c>
    </row>
    <row r="963" spans="1:28" x14ac:dyDescent="0.25">
      <c r="A963" t="s">
        <v>967</v>
      </c>
      <c r="B963">
        <v>0.99796759195183404</v>
      </c>
      <c r="C963">
        <v>1.20902767282946</v>
      </c>
      <c r="D963">
        <v>1.01373045985651</v>
      </c>
      <c r="E963">
        <v>0.96206554570992198</v>
      </c>
      <c r="F963">
        <v>0.78892237030689505</v>
      </c>
      <c r="G963">
        <v>0.47578115362107698</v>
      </c>
      <c r="H963">
        <v>0.33783380605951902</v>
      </c>
      <c r="I963">
        <v>0.275353540375471</v>
      </c>
      <c r="J963">
        <v>0.28501600395715698</v>
      </c>
      <c r="K963">
        <v>0.16703214668329999</v>
      </c>
      <c r="L963">
        <v>1193.6206517891901</v>
      </c>
      <c r="M963">
        <v>22.8292722937591</v>
      </c>
      <c r="N963">
        <v>53.7295594508265</v>
      </c>
      <c r="O963">
        <v>51.888432369514902</v>
      </c>
      <c r="P963">
        <v>-8.4762976355538894E-2</v>
      </c>
      <c r="Q963">
        <v>0.229387058683934</v>
      </c>
      <c r="R963">
        <v>0.96055043747451296</v>
      </c>
      <c r="S963" t="s">
        <v>6546</v>
      </c>
      <c r="T963" t="s">
        <v>11164</v>
      </c>
      <c r="U963" t="s">
        <v>11164</v>
      </c>
      <c r="V963" t="s">
        <v>11164</v>
      </c>
      <c r="W963" t="s">
        <v>12110</v>
      </c>
      <c r="X963">
        <v>2</v>
      </c>
      <c r="Y963" t="s">
        <v>17640</v>
      </c>
      <c r="Z963" t="s">
        <v>23113</v>
      </c>
      <c r="AA963">
        <v>0.62999787700230703</v>
      </c>
      <c r="AB963" t="str">
        <f>HYPERLINK("Melting_Curves/meltCurve_H9ZYI9_GABPB1.pdf", "Melting_Curves/meltCurve_H9ZYI9_GABPB1.pdf")</f>
        <v>Melting_Curves/meltCurve_H9ZYI9_GABPB1.pdf</v>
      </c>
    </row>
    <row r="964" spans="1:28" x14ac:dyDescent="0.25">
      <c r="A964" t="s">
        <v>968</v>
      </c>
      <c r="B964">
        <v>0.99796759195183404</v>
      </c>
      <c r="C964">
        <v>1.0067110820693399</v>
      </c>
      <c r="D964">
        <v>0.98383258973654297</v>
      </c>
      <c r="E964">
        <v>0.88439638627078998</v>
      </c>
      <c r="F964">
        <v>0.77718714513370002</v>
      </c>
      <c r="G964">
        <v>0.47644852066986398</v>
      </c>
      <c r="H964">
        <v>0.22840760058845</v>
      </c>
      <c r="I964">
        <v>0.15796631555912799</v>
      </c>
      <c r="J964">
        <v>0.11508441991553101</v>
      </c>
      <c r="K964">
        <v>0.120362601770185</v>
      </c>
      <c r="L964">
        <v>1001.50722031229</v>
      </c>
      <c r="M964">
        <v>18.956636389042099</v>
      </c>
      <c r="N964">
        <v>53.381238754064903</v>
      </c>
      <c r="O964">
        <v>52.2540926630871</v>
      </c>
      <c r="P964">
        <v>-8.2655090883044499E-2</v>
      </c>
      <c r="Q964">
        <v>8.8679438495780305E-2</v>
      </c>
      <c r="R964">
        <v>0.99711810884204299</v>
      </c>
      <c r="S964" t="s">
        <v>6547</v>
      </c>
      <c r="T964" t="s">
        <v>11164</v>
      </c>
      <c r="U964" t="s">
        <v>11164</v>
      </c>
      <c r="V964" t="s">
        <v>11164</v>
      </c>
      <c r="W964" t="s">
        <v>11533</v>
      </c>
      <c r="X964">
        <v>6</v>
      </c>
      <c r="Z964" t="s">
        <v>23114</v>
      </c>
      <c r="AA964">
        <v>0.58205305414254371</v>
      </c>
      <c r="AB964" t="str">
        <f>HYPERLINK("Melting_Curves/meltCurve_I3L097_.pdf", "Melting_Curves/meltCurve_I3L097_.pdf")</f>
        <v>Melting_Curves/meltCurve_I3L097_.pdf</v>
      </c>
    </row>
    <row r="965" spans="1:28" x14ac:dyDescent="0.25">
      <c r="A965" t="s">
        <v>969</v>
      </c>
      <c r="B965">
        <v>0.99796759195183404</v>
      </c>
      <c r="C965">
        <v>0.637395626315853</v>
      </c>
      <c r="D965">
        <v>0.72285252993160898</v>
      </c>
      <c r="E965">
        <v>0.58581047557402599</v>
      </c>
      <c r="F965">
        <v>0.823585608727195</v>
      </c>
      <c r="G965">
        <v>1.36252586340353</v>
      </c>
      <c r="H965">
        <v>1.25031740692422</v>
      </c>
      <c r="I965">
        <v>0.86999087440565503</v>
      </c>
      <c r="J965">
        <v>0.70714629324651801</v>
      </c>
      <c r="K965">
        <v>0.53544737898907202</v>
      </c>
      <c r="L965">
        <v>2814.3389069270302</v>
      </c>
      <c r="M965">
        <v>44.449520047262602</v>
      </c>
      <c r="O965">
        <v>63.187641648545799</v>
      </c>
      <c r="P965">
        <v>-8.7186539864735096E-2</v>
      </c>
      <c r="Q965">
        <v>0.50423722911203395</v>
      </c>
      <c r="R965">
        <v>0.122668792521254</v>
      </c>
      <c r="S965" t="s">
        <v>6548</v>
      </c>
      <c r="T965" t="s">
        <v>11164</v>
      </c>
      <c r="U965" t="s">
        <v>11164</v>
      </c>
      <c r="V965" t="s">
        <v>11164</v>
      </c>
      <c r="W965" t="s">
        <v>12111</v>
      </c>
      <c r="X965">
        <v>2</v>
      </c>
      <c r="Y965" t="s">
        <v>17641</v>
      </c>
      <c r="Z965" t="s">
        <v>23115</v>
      </c>
      <c r="AA965">
        <v>0.93855639740163499</v>
      </c>
      <c r="AB965" t="str">
        <f>HYPERLINK("Melting_Curves/meltCurve_I3L0A4_WASH6P.pdf", "Melting_Curves/meltCurve_I3L0A4_WASH6P.pdf")</f>
        <v>Melting_Curves/meltCurve_I3L0A4_WASH6P.pdf</v>
      </c>
    </row>
    <row r="966" spans="1:28" x14ac:dyDescent="0.25">
      <c r="A966" t="s">
        <v>970</v>
      </c>
      <c r="B966">
        <v>0.99796759195183404</v>
      </c>
      <c r="C966">
        <v>1.10451229674005</v>
      </c>
      <c r="D966">
        <v>1.15997598833677</v>
      </c>
      <c r="E966">
        <v>1.02318298317124</v>
      </c>
      <c r="F966">
        <v>0.92921136803505</v>
      </c>
      <c r="G966">
        <v>0.58335812044425694</v>
      </c>
      <c r="H966">
        <v>0.12179949837575101</v>
      </c>
      <c r="I966">
        <v>0.11369684965959601</v>
      </c>
      <c r="J966">
        <v>9.2506601650627199E-2</v>
      </c>
      <c r="K966">
        <v>0.42556099063789898</v>
      </c>
      <c r="L966">
        <v>13447.1257536503</v>
      </c>
      <c r="M966">
        <v>250</v>
      </c>
      <c r="N966">
        <v>53.890432976339902</v>
      </c>
      <c r="O966">
        <v>53.785074898931498</v>
      </c>
      <c r="P966">
        <v>-0.94311624805050998</v>
      </c>
      <c r="Q966">
        <v>0.18839096259112201</v>
      </c>
      <c r="R966">
        <v>0.93233740332440196</v>
      </c>
      <c r="S966" t="s">
        <v>6549</v>
      </c>
      <c r="T966" t="s">
        <v>11164</v>
      </c>
      <c r="U966" t="s">
        <v>11164</v>
      </c>
      <c r="V966" t="s">
        <v>11164</v>
      </c>
      <c r="W966" t="s">
        <v>12112</v>
      </c>
      <c r="X966">
        <v>2</v>
      </c>
      <c r="Y966" t="s">
        <v>17642</v>
      </c>
      <c r="Z966" t="s">
        <v>23116</v>
      </c>
      <c r="AA966">
        <v>0.64265760255661142</v>
      </c>
      <c r="AB966" t="str">
        <f>HYPERLINK("Melting_Curves/meltCurve_I3L0C1_SMG1.pdf", "Melting_Curves/meltCurve_I3L0C1_SMG1.pdf")</f>
        <v>Melting_Curves/meltCurve_I3L0C1_SMG1.pdf</v>
      </c>
    </row>
    <row r="967" spans="1:28" x14ac:dyDescent="0.25">
      <c r="A967" t="s">
        <v>971</v>
      </c>
      <c r="B967">
        <v>0.99796759195183404</v>
      </c>
      <c r="C967">
        <v>1.0547362305907</v>
      </c>
      <c r="D967">
        <v>0.95901994991048101</v>
      </c>
      <c r="E967">
        <v>1.00028984057232</v>
      </c>
      <c r="F967">
        <v>0.84185891429706405</v>
      </c>
      <c r="G967">
        <v>0.62750665046005905</v>
      </c>
      <c r="H967">
        <v>0.54810725884726597</v>
      </c>
      <c r="I967">
        <v>0.311948988123537</v>
      </c>
      <c r="J967">
        <v>0.24121678954642101</v>
      </c>
      <c r="K967">
        <v>0.18965013437516001</v>
      </c>
      <c r="L967">
        <v>742.11853904943996</v>
      </c>
      <c r="M967">
        <v>13.174298754773501</v>
      </c>
      <c r="N967">
        <v>57.187498682227798</v>
      </c>
      <c r="O967">
        <v>55.080315314492999</v>
      </c>
      <c r="P967">
        <v>-5.4450071637865E-2</v>
      </c>
      <c r="Q967">
        <v>8.9553367409929696E-2</v>
      </c>
      <c r="R967">
        <v>0.98648872878222604</v>
      </c>
      <c r="S967" t="s">
        <v>6550</v>
      </c>
      <c r="T967" t="s">
        <v>11164</v>
      </c>
      <c r="U967" t="s">
        <v>11164</v>
      </c>
      <c r="V967" t="s">
        <v>11164</v>
      </c>
      <c r="W967" t="s">
        <v>12113</v>
      </c>
      <c r="X967">
        <v>4</v>
      </c>
      <c r="Y967" t="s">
        <v>17643</v>
      </c>
      <c r="Z967" t="s">
        <v>23117</v>
      </c>
      <c r="AA967">
        <v>0.68485933073357619</v>
      </c>
      <c r="AB967" t="str">
        <f>HYPERLINK("Melting_Curves/meltCurve_I3L0K1_GOSR2.pdf", "Melting_Curves/meltCurve_I3L0K1_GOSR2.pdf")</f>
        <v>Melting_Curves/meltCurve_I3L0K1_GOSR2.pdf</v>
      </c>
    </row>
    <row r="968" spans="1:28" x14ac:dyDescent="0.25">
      <c r="A968" t="s">
        <v>972</v>
      </c>
      <c r="B968">
        <v>0.99796759195183404</v>
      </c>
      <c r="C968">
        <v>1.0176162751887701</v>
      </c>
      <c r="D968">
        <v>1.0394937259889601</v>
      </c>
      <c r="E968">
        <v>1.0647789203931901</v>
      </c>
      <c r="F968">
        <v>0.84169809320806699</v>
      </c>
      <c r="G968">
        <v>0.62490351273365896</v>
      </c>
      <c r="H968">
        <v>0.451283079906317</v>
      </c>
      <c r="I968">
        <v>0.271722453265139</v>
      </c>
      <c r="J968">
        <v>0.18501904418029899</v>
      </c>
      <c r="K968">
        <v>0.133357059959197</v>
      </c>
      <c r="L968">
        <v>935.98162869419298</v>
      </c>
      <c r="M968">
        <v>16.899303510810199</v>
      </c>
      <c r="N968">
        <v>56.156870457462503</v>
      </c>
      <c r="O968">
        <v>54.627698169541397</v>
      </c>
      <c r="P968">
        <v>-6.9335239411438904E-2</v>
      </c>
      <c r="Q968">
        <v>0.10354058741062599</v>
      </c>
      <c r="R968">
        <v>0.98772352929744101</v>
      </c>
      <c r="S968" t="s">
        <v>6551</v>
      </c>
      <c r="T968" t="s">
        <v>11164</v>
      </c>
      <c r="U968" t="s">
        <v>11164</v>
      </c>
      <c r="V968" t="s">
        <v>11164</v>
      </c>
      <c r="W968" t="s">
        <v>11812</v>
      </c>
      <c r="X968">
        <v>27</v>
      </c>
      <c r="Y968" t="s">
        <v>17345</v>
      </c>
      <c r="Z968" t="s">
        <v>23118</v>
      </c>
      <c r="AA968">
        <v>0.66418409182496108</v>
      </c>
      <c r="AB968" t="str">
        <f>HYPERLINK("Melting_Curves/meltCurve_I3L0K7_TRAP1.pdf", "Melting_Curves/meltCurve_I3L0K7_TRAP1.pdf")</f>
        <v>Melting_Curves/meltCurve_I3L0K7_TRAP1.pdf</v>
      </c>
    </row>
    <row r="969" spans="1:28" x14ac:dyDescent="0.25">
      <c r="A969" t="s">
        <v>973</v>
      </c>
      <c r="B969">
        <v>0.99796759195183404</v>
      </c>
      <c r="C969">
        <v>1.0361039408143899</v>
      </c>
      <c r="D969">
        <v>1.1425537382592199</v>
      </c>
      <c r="E969">
        <v>1.1832274035144701</v>
      </c>
      <c r="F969">
        <v>1.1484847516537</v>
      </c>
      <c r="G969">
        <v>0.70546272507137797</v>
      </c>
      <c r="H969">
        <v>0.79955102077908302</v>
      </c>
      <c r="I969">
        <v>0.64393955492490496</v>
      </c>
      <c r="J969">
        <v>0.79940018824736303</v>
      </c>
      <c r="K969">
        <v>0.50294804293177997</v>
      </c>
      <c r="L969">
        <v>13302.547784194499</v>
      </c>
      <c r="M969">
        <v>250</v>
      </c>
      <c r="O969">
        <v>53.206809473970601</v>
      </c>
      <c r="P969">
        <v>-0.36830416615570799</v>
      </c>
      <c r="Q969">
        <v>0.686459503971945</v>
      </c>
      <c r="R969">
        <v>0.728878723924403</v>
      </c>
      <c r="S969" t="s">
        <v>6552</v>
      </c>
      <c r="T969" t="s">
        <v>11164</v>
      </c>
      <c r="U969" t="s">
        <v>11164</v>
      </c>
      <c r="V969" t="s">
        <v>11164</v>
      </c>
      <c r="W969" t="s">
        <v>12114</v>
      </c>
      <c r="X969">
        <v>4</v>
      </c>
      <c r="Y969" t="s">
        <v>17644</v>
      </c>
      <c r="Z969" t="s">
        <v>23119</v>
      </c>
      <c r="AA969">
        <v>0.85590716233322017</v>
      </c>
      <c r="AB969" t="str">
        <f>HYPERLINK("Melting_Curves/meltCurve_I3L0L6_RNF167.pdf", "Melting_Curves/meltCurve_I3L0L6_RNF167.pdf")</f>
        <v>Melting_Curves/meltCurve_I3L0L6_RNF167.pdf</v>
      </c>
    </row>
    <row r="970" spans="1:28" x14ac:dyDescent="0.25">
      <c r="A970" t="s">
        <v>974</v>
      </c>
      <c r="B970">
        <v>0.99796759195183404</v>
      </c>
      <c r="C970">
        <v>1.0024048218970001</v>
      </c>
      <c r="D970">
        <v>1.01367613174482</v>
      </c>
      <c r="E970">
        <v>0.95424370401970005</v>
      </c>
      <c r="F970">
        <v>0.753623133422481</v>
      </c>
      <c r="G970">
        <v>0.36892993023861798</v>
      </c>
      <c r="H970">
        <v>0.25819971855492202</v>
      </c>
      <c r="I970">
        <v>0.23482741903027299</v>
      </c>
      <c r="J970">
        <v>0.30964124390638198</v>
      </c>
      <c r="K970">
        <v>0.27824685272932698</v>
      </c>
      <c r="L970">
        <v>1864.5818655861401</v>
      </c>
      <c r="M970">
        <v>36.489448222692197</v>
      </c>
      <c r="N970">
        <v>52.190312741781</v>
      </c>
      <c r="O970">
        <v>50.946460470153497</v>
      </c>
      <c r="P970">
        <v>-0.13127943332129099</v>
      </c>
      <c r="Q970">
        <v>0.26683435734372801</v>
      </c>
      <c r="R970">
        <v>0.99610271314340204</v>
      </c>
      <c r="S970" t="s">
        <v>6553</v>
      </c>
      <c r="T970" t="s">
        <v>11164</v>
      </c>
      <c r="U970" t="s">
        <v>11164</v>
      </c>
      <c r="V970" t="s">
        <v>11164</v>
      </c>
      <c r="W970" t="s">
        <v>12115</v>
      </c>
      <c r="X970">
        <v>16</v>
      </c>
      <c r="Y970" t="s">
        <v>17645</v>
      </c>
      <c r="Z970" t="s">
        <v>23120</v>
      </c>
      <c r="AA970">
        <v>0.61451021630156222</v>
      </c>
      <c r="AB970" t="str">
        <f>HYPERLINK("Melting_Curves/meltCurve_I3L0N3_NSF.pdf", "Melting_Curves/meltCurve_I3L0N3_NSF.pdf")</f>
        <v>Melting_Curves/meltCurve_I3L0N3_NSF.pdf</v>
      </c>
    </row>
    <row r="971" spans="1:28" x14ac:dyDescent="0.25">
      <c r="A971" t="s">
        <v>975</v>
      </c>
      <c r="B971">
        <v>0.99796759195183404</v>
      </c>
      <c r="C971">
        <v>1.0180472456669301</v>
      </c>
      <c r="D971">
        <v>1.0543719160328</v>
      </c>
      <c r="E971">
        <v>0.98786660346724997</v>
      </c>
      <c r="F971">
        <v>0.87146769072684505</v>
      </c>
      <c r="G971">
        <v>0.96482005161863205</v>
      </c>
      <c r="H971">
        <v>0.575755883023644</v>
      </c>
      <c r="I971">
        <v>0.41680083688281799</v>
      </c>
      <c r="J971">
        <v>0.179627943357452</v>
      </c>
      <c r="K971">
        <v>0.11663826794968001</v>
      </c>
      <c r="L971">
        <v>1107.18347538219</v>
      </c>
      <c r="M971">
        <v>18.717418308954802</v>
      </c>
      <c r="N971">
        <v>59.240773647593102</v>
      </c>
      <c r="O971">
        <v>58.4897806485044</v>
      </c>
      <c r="P971">
        <v>-7.8906997679381696E-2</v>
      </c>
      <c r="Q971">
        <v>1.3740522146236901E-2</v>
      </c>
      <c r="R971">
        <v>0.97570727939317803</v>
      </c>
      <c r="S971" t="s">
        <v>6554</v>
      </c>
      <c r="T971" t="s">
        <v>11164</v>
      </c>
      <c r="U971" t="s">
        <v>11164</v>
      </c>
      <c r="V971" t="s">
        <v>11164</v>
      </c>
      <c r="W971" t="s">
        <v>12116</v>
      </c>
      <c r="X971">
        <v>2</v>
      </c>
      <c r="Y971" t="s">
        <v>17646</v>
      </c>
      <c r="Z971" t="s">
        <v>23121</v>
      </c>
      <c r="AA971">
        <v>0.74476972376044459</v>
      </c>
      <c r="AB971" t="str">
        <f>HYPERLINK("Melting_Curves/meltCurve_I3L1H5_DPH1.pdf", "Melting_Curves/meltCurve_I3L1H5_DPH1.pdf")</f>
        <v>Melting_Curves/meltCurve_I3L1H5_DPH1.pdf</v>
      </c>
    </row>
    <row r="972" spans="1:28" x14ac:dyDescent="0.25">
      <c r="A972" t="s">
        <v>976</v>
      </c>
      <c r="B972">
        <v>0.99796759195183404</v>
      </c>
      <c r="C972">
        <v>0.99308345024845301</v>
      </c>
      <c r="D972">
        <v>0.97441850484264703</v>
      </c>
      <c r="E972">
        <v>0.93878931224684603</v>
      </c>
      <c r="F972">
        <v>0.86881142279936396</v>
      </c>
      <c r="G972">
        <v>0.62013830951371096</v>
      </c>
      <c r="H972">
        <v>0.665820904874733</v>
      </c>
      <c r="I972">
        <v>0.64339338028588</v>
      </c>
      <c r="J972">
        <v>0.88904048703246497</v>
      </c>
      <c r="K972">
        <v>0.94593140517067098</v>
      </c>
      <c r="L972">
        <v>12543.799941863001</v>
      </c>
      <c r="M972">
        <v>250</v>
      </c>
      <c r="O972">
        <v>50.171969265101303</v>
      </c>
      <c r="P972">
        <v>-0.307859906709335</v>
      </c>
      <c r="Q972">
        <v>0.75286489860525996</v>
      </c>
      <c r="R972">
        <v>0.52721570861716704</v>
      </c>
      <c r="S972" t="s">
        <v>6555</v>
      </c>
      <c r="T972" t="s">
        <v>11164</v>
      </c>
      <c r="U972" t="s">
        <v>11164</v>
      </c>
      <c r="V972" t="s">
        <v>11164</v>
      </c>
      <c r="W972" t="s">
        <v>12117</v>
      </c>
      <c r="X972">
        <v>12</v>
      </c>
      <c r="Y972" t="s">
        <v>17647</v>
      </c>
      <c r="Z972" t="s">
        <v>23122</v>
      </c>
      <c r="AA972">
        <v>0.86142180485293829</v>
      </c>
      <c r="AB972" t="str">
        <f>HYPERLINK("Melting_Curves/meltCurve_I3L1P8_SLC25A11.pdf", "Melting_Curves/meltCurve_I3L1P8_SLC25A11.pdf")</f>
        <v>Melting_Curves/meltCurve_I3L1P8_SLC25A11.pdf</v>
      </c>
    </row>
    <row r="973" spans="1:28" x14ac:dyDescent="0.25">
      <c r="A973" t="s">
        <v>977</v>
      </c>
      <c r="B973">
        <v>0.99796759195183404</v>
      </c>
      <c r="C973">
        <v>1.02407786593344</v>
      </c>
      <c r="D973">
        <v>0.98803714542079002</v>
      </c>
      <c r="E973">
        <v>0.93333831776728304</v>
      </c>
      <c r="F973">
        <v>0.86299224186753398</v>
      </c>
      <c r="G973">
        <v>0.45342562708406198</v>
      </c>
      <c r="H973">
        <v>0.29160448739035699</v>
      </c>
      <c r="I973">
        <v>0.17978648040861001</v>
      </c>
      <c r="J973">
        <v>0.212463492101506</v>
      </c>
      <c r="K973">
        <v>0.16997786297082201</v>
      </c>
      <c r="L973">
        <v>1476.01231822043</v>
      </c>
      <c r="M973">
        <v>28.020330425814599</v>
      </c>
      <c r="N973">
        <v>53.562121895813704</v>
      </c>
      <c r="O973">
        <v>52.410371975330101</v>
      </c>
      <c r="P973">
        <v>-0.10887869549278401</v>
      </c>
      <c r="Q973">
        <v>0.18540238120300201</v>
      </c>
      <c r="R973">
        <v>0.99504767065042399</v>
      </c>
      <c r="S973" t="s">
        <v>6556</v>
      </c>
      <c r="T973" t="s">
        <v>11164</v>
      </c>
      <c r="U973" t="s">
        <v>11164</v>
      </c>
      <c r="V973" t="s">
        <v>11164</v>
      </c>
      <c r="W973" t="s">
        <v>12118</v>
      </c>
      <c r="X973">
        <v>18</v>
      </c>
      <c r="Y973" t="s">
        <v>17648</v>
      </c>
      <c r="Z973" t="s">
        <v>23123</v>
      </c>
      <c r="AA973">
        <v>0.61694495721799014</v>
      </c>
      <c r="AB973" t="str">
        <f>HYPERLINK("Melting_Curves/meltCurve_I3L2B0_CLUH.pdf", "Melting_Curves/meltCurve_I3L2B0_CLUH.pdf")</f>
        <v>Melting_Curves/meltCurve_I3L2B0_CLUH.pdf</v>
      </c>
    </row>
    <row r="974" spans="1:28" x14ac:dyDescent="0.25">
      <c r="A974" t="s">
        <v>978</v>
      </c>
      <c r="B974">
        <v>0.99796759195183404</v>
      </c>
      <c r="C974">
        <v>0.95698245041780605</v>
      </c>
      <c r="D974">
        <v>0.76878911650182002</v>
      </c>
      <c r="E974">
        <v>0.77707161126429602</v>
      </c>
      <c r="F974">
        <v>0.59525971408539602</v>
      </c>
      <c r="G974">
        <v>0.34407907578511698</v>
      </c>
      <c r="H974">
        <v>0.20782830164242799</v>
      </c>
      <c r="I974">
        <v>0.23036911933743801</v>
      </c>
      <c r="J974">
        <v>0.17994902310098801</v>
      </c>
      <c r="K974">
        <v>0.25542921224513199</v>
      </c>
      <c r="L974">
        <v>600.01947497654703</v>
      </c>
      <c r="M974">
        <v>12.1606015840482</v>
      </c>
      <c r="N974">
        <v>50.857089865097699</v>
      </c>
      <c r="O974">
        <v>48.0638443954618</v>
      </c>
      <c r="P974">
        <v>-5.3649250292485497E-2</v>
      </c>
      <c r="Q974">
        <v>0.15201597996989899</v>
      </c>
      <c r="R974">
        <v>0.96681930908716995</v>
      </c>
      <c r="S974" t="s">
        <v>6557</v>
      </c>
      <c r="T974" t="s">
        <v>11164</v>
      </c>
      <c r="U974" t="s">
        <v>11164</v>
      </c>
      <c r="V974" t="s">
        <v>11164</v>
      </c>
      <c r="W974" t="s">
        <v>12119</v>
      </c>
      <c r="X974">
        <v>3</v>
      </c>
      <c r="Y974" t="s">
        <v>17649</v>
      </c>
      <c r="Z974" t="s">
        <v>23124</v>
      </c>
      <c r="AA974">
        <v>0.52515774259502401</v>
      </c>
      <c r="AB974" t="str">
        <f>HYPERLINK("Melting_Curves/meltCurve_I3L2C7_GEMIN4.pdf", "Melting_Curves/meltCurve_I3L2C7_GEMIN4.pdf")</f>
        <v>Melting_Curves/meltCurve_I3L2C7_GEMIN4.pdf</v>
      </c>
    </row>
    <row r="975" spans="1:28" x14ac:dyDescent="0.25">
      <c r="A975" t="s">
        <v>979</v>
      </c>
      <c r="B975">
        <v>0.99796759195183404</v>
      </c>
      <c r="C975">
        <v>0.94902846130350405</v>
      </c>
      <c r="D975">
        <v>0.94955354149482496</v>
      </c>
      <c r="E975">
        <v>0.91753638533973503</v>
      </c>
      <c r="F975">
        <v>0.75819936838367696</v>
      </c>
      <c r="G975">
        <v>0.76687262232956299</v>
      </c>
      <c r="H975">
        <v>0.87822341933074999</v>
      </c>
      <c r="I975">
        <v>0.96407981928866604</v>
      </c>
      <c r="J975">
        <v>1.3133838384748799</v>
      </c>
      <c r="K975">
        <v>1.2650586271544</v>
      </c>
      <c r="L975">
        <v>15000</v>
      </c>
      <c r="M975">
        <v>239.758591873483</v>
      </c>
      <c r="O975">
        <v>62.558571566328197</v>
      </c>
      <c r="P975">
        <v>0.27747881485333797</v>
      </c>
      <c r="Q975">
        <v>1.28960263190643</v>
      </c>
      <c r="R975">
        <v>0.53179155125162103</v>
      </c>
      <c r="S975" t="s">
        <v>6558</v>
      </c>
      <c r="T975" t="s">
        <v>11164</v>
      </c>
      <c r="U975" t="s">
        <v>11164</v>
      </c>
      <c r="V975" t="s">
        <v>11164</v>
      </c>
      <c r="W975" t="s">
        <v>12120</v>
      </c>
      <c r="X975">
        <v>6</v>
      </c>
      <c r="Y975" t="s">
        <v>17650</v>
      </c>
      <c r="Z975" t="s">
        <v>23125</v>
      </c>
      <c r="AA975">
        <v>1.042798332712203</v>
      </c>
      <c r="AB975" t="str">
        <f>HYPERLINK("Melting_Curves/meltCurve_I3L2L5_FAM195B.pdf", "Melting_Curves/meltCurve_I3L2L5_FAM195B.pdf")</f>
        <v>Melting_Curves/meltCurve_I3L2L5_FAM195B.pdf</v>
      </c>
    </row>
    <row r="976" spans="1:28" x14ac:dyDescent="0.25">
      <c r="A976" t="s">
        <v>980</v>
      </c>
      <c r="B976">
        <v>0.99796759195183404</v>
      </c>
      <c r="C976">
        <v>1.0419010477038899</v>
      </c>
      <c r="D976">
        <v>0.91756491560779296</v>
      </c>
      <c r="E976">
        <v>0.66129636015285898</v>
      </c>
      <c r="F976">
        <v>0.33785697995344899</v>
      </c>
      <c r="G976">
        <v>0.27905787361707801</v>
      </c>
      <c r="H976">
        <v>0.17886237325368401</v>
      </c>
      <c r="I976">
        <v>0.15901444336830001</v>
      </c>
      <c r="J976">
        <v>0.12958360167057301</v>
      </c>
      <c r="K976">
        <v>0.11593337682136701</v>
      </c>
      <c r="L976">
        <v>956.34383901721696</v>
      </c>
      <c r="M976">
        <v>20.078623207399801</v>
      </c>
      <c r="N976">
        <v>48.438382914056803</v>
      </c>
      <c r="O976">
        <v>47.165043110524998</v>
      </c>
      <c r="P976">
        <v>-9.12779702273738E-2</v>
      </c>
      <c r="Q976">
        <v>0.14237318303921601</v>
      </c>
      <c r="R976">
        <v>0.99302029046819396</v>
      </c>
      <c r="S976" t="s">
        <v>6559</v>
      </c>
      <c r="T976" t="s">
        <v>11164</v>
      </c>
      <c r="U976" t="s">
        <v>11164</v>
      </c>
      <c r="V976" t="s">
        <v>11164</v>
      </c>
      <c r="W976" t="s">
        <v>12121</v>
      </c>
      <c r="X976">
        <v>7</v>
      </c>
      <c r="Y976" t="s">
        <v>17651</v>
      </c>
      <c r="Z976" t="s">
        <v>23126</v>
      </c>
      <c r="AA976">
        <v>0.45742584170859613</v>
      </c>
      <c r="AB976" t="str">
        <f>HYPERLINK("Melting_Curves/meltCurve_I3L2N2_DVL2.pdf", "Melting_Curves/meltCurve_I3L2N2_DVL2.pdf")</f>
        <v>Melting_Curves/meltCurve_I3L2N2_DVL2.pdf</v>
      </c>
    </row>
    <row r="977" spans="1:28" x14ac:dyDescent="0.25">
      <c r="A977" t="s">
        <v>981</v>
      </c>
      <c r="B977">
        <v>0.99796759195183404</v>
      </c>
      <c r="C977">
        <v>1.0008428527275399</v>
      </c>
      <c r="D977">
        <v>0.85549197467649696</v>
      </c>
      <c r="E977">
        <v>0.94473784988569298</v>
      </c>
      <c r="F977">
        <v>0.90959007355885602</v>
      </c>
      <c r="G977">
        <v>2.6104756885682701</v>
      </c>
      <c r="H977">
        <v>2.8878706953835098</v>
      </c>
      <c r="I977">
        <v>0.86964891590774895</v>
      </c>
      <c r="J977">
        <v>0.30608705511398498</v>
      </c>
      <c r="K977">
        <v>0.37756293644654898</v>
      </c>
      <c r="L977">
        <v>15000</v>
      </c>
      <c r="M977">
        <v>244.503146869543</v>
      </c>
      <c r="N977">
        <v>61.639032424353402</v>
      </c>
      <c r="O977">
        <v>61.344800008478003</v>
      </c>
      <c r="P977">
        <v>-0.65583319041444699</v>
      </c>
      <c r="Q977">
        <v>0.34181697265637601</v>
      </c>
      <c r="R977">
        <v>8.4766738994372898E-2</v>
      </c>
      <c r="S977" t="s">
        <v>6560</v>
      </c>
      <c r="T977" t="s">
        <v>11164</v>
      </c>
      <c r="U977" t="s">
        <v>11164</v>
      </c>
      <c r="V977" t="s">
        <v>11164</v>
      </c>
      <c r="W977" t="s">
        <v>12122</v>
      </c>
      <c r="X977">
        <v>4</v>
      </c>
      <c r="Y977" t="s">
        <v>17652</v>
      </c>
      <c r="Z977" t="s">
        <v>23127</v>
      </c>
      <c r="AA977">
        <v>0.87609223030125027</v>
      </c>
      <c r="AB977" t="str">
        <f>HYPERLINK("Melting_Curves/meltCurve_I3L3A8_PELP1.pdf", "Melting_Curves/meltCurve_I3L3A8_PELP1.pdf")</f>
        <v>Melting_Curves/meltCurve_I3L3A8_PELP1.pdf</v>
      </c>
    </row>
    <row r="978" spans="1:28" x14ac:dyDescent="0.25">
      <c r="A978" t="s">
        <v>982</v>
      </c>
      <c r="B978">
        <v>0.99796759195183404</v>
      </c>
      <c r="C978">
        <v>0.91312821102252395</v>
      </c>
      <c r="D978">
        <v>0.94875435077540204</v>
      </c>
      <c r="E978">
        <v>0.898565192793359</v>
      </c>
      <c r="F978">
        <v>0.77762710713656003</v>
      </c>
      <c r="G978">
        <v>0.54735634396101496</v>
      </c>
      <c r="H978">
        <v>0.422625259153942</v>
      </c>
      <c r="I978">
        <v>0.331272659602734</v>
      </c>
      <c r="J978">
        <v>0.23434859653439699</v>
      </c>
      <c r="K978">
        <v>0.17170445390757799</v>
      </c>
      <c r="L978">
        <v>578.36840078863202</v>
      </c>
      <c r="M978">
        <v>10.5110784853595</v>
      </c>
      <c r="N978">
        <v>55.679796003446299</v>
      </c>
      <c r="O978">
        <v>53.144924983501298</v>
      </c>
      <c r="P978">
        <v>-4.6587959382546798E-2</v>
      </c>
      <c r="Q978">
        <v>5.8167400862946798E-2</v>
      </c>
      <c r="R978">
        <v>0.99083119041469703</v>
      </c>
      <c r="S978" t="s">
        <v>6561</v>
      </c>
      <c r="T978" t="s">
        <v>11164</v>
      </c>
      <c r="U978" t="s">
        <v>11164</v>
      </c>
      <c r="V978" t="s">
        <v>11164</v>
      </c>
      <c r="W978" t="s">
        <v>12008</v>
      </c>
      <c r="X978">
        <v>1</v>
      </c>
      <c r="Z978" t="s">
        <v>23128</v>
      </c>
      <c r="AA978">
        <v>0.63609624639233919</v>
      </c>
      <c r="AB978" t="str">
        <f>HYPERLINK("Melting_Curves/meltCurve_I3L3B4_.pdf", "Melting_Curves/meltCurve_I3L3B4_.pdf")</f>
        <v>Melting_Curves/meltCurve_I3L3B4_.pdf</v>
      </c>
    </row>
    <row r="979" spans="1:28" x14ac:dyDescent="0.25">
      <c r="A979" t="s">
        <v>983</v>
      </c>
      <c r="B979">
        <v>0.99796759195183404</v>
      </c>
      <c r="C979">
        <v>1.0720313204715699</v>
      </c>
      <c r="D979">
        <v>1.0858702836435401</v>
      </c>
      <c r="E979">
        <v>0.99118607916880996</v>
      </c>
      <c r="F979">
        <v>0.79393920633910897</v>
      </c>
      <c r="G979">
        <v>0.40526272545713399</v>
      </c>
      <c r="H979">
        <v>0.23243329509464999</v>
      </c>
      <c r="I979">
        <v>9.8380933167192597E-2</v>
      </c>
      <c r="J979">
        <v>6.4101245787896499E-2</v>
      </c>
      <c r="K979">
        <v>4.6678941403915701E-2</v>
      </c>
      <c r="L979">
        <v>1247.7391799460499</v>
      </c>
      <c r="M979">
        <v>23.595308111016301</v>
      </c>
      <c r="N979">
        <v>53.158400433436398</v>
      </c>
      <c r="O979">
        <v>52.505372532254398</v>
      </c>
      <c r="P979">
        <v>-0.105837245798799</v>
      </c>
      <c r="Q979">
        <v>5.7960173196974697E-2</v>
      </c>
      <c r="R979">
        <v>0.99026695171051105</v>
      </c>
      <c r="S979" t="s">
        <v>6562</v>
      </c>
      <c r="T979" t="s">
        <v>11164</v>
      </c>
      <c r="U979" t="s">
        <v>11164</v>
      </c>
      <c r="V979" t="s">
        <v>11164</v>
      </c>
      <c r="W979" t="s">
        <v>12123</v>
      </c>
      <c r="X979">
        <v>8</v>
      </c>
      <c r="Y979" t="s">
        <v>17653</v>
      </c>
      <c r="Z979" t="s">
        <v>23129</v>
      </c>
      <c r="AA979">
        <v>0.56583006070376596</v>
      </c>
      <c r="AB979" t="str">
        <f>HYPERLINK("Melting_Curves/meltCurve_I3L448_ATPAF1.pdf", "Melting_Curves/meltCurve_I3L448_ATPAF1.pdf")</f>
        <v>Melting_Curves/meltCurve_I3L448_ATPAF1.pdf</v>
      </c>
    </row>
    <row r="980" spans="1:28" x14ac:dyDescent="0.25">
      <c r="A980" t="s">
        <v>984</v>
      </c>
      <c r="B980">
        <v>0.99796759195183404</v>
      </c>
      <c r="C980">
        <v>1.0082007183075801</v>
      </c>
      <c r="D980">
        <v>0.95916885734038904</v>
      </c>
      <c r="E980">
        <v>0.82293304437142001</v>
      </c>
      <c r="F980">
        <v>1.05835519576963</v>
      </c>
      <c r="G980">
        <v>1.4671046060731101</v>
      </c>
      <c r="H980">
        <v>1.2572885717476301</v>
      </c>
      <c r="I980">
        <v>1.30032497156259</v>
      </c>
      <c r="J980">
        <v>1.3484072427382501</v>
      </c>
      <c r="K980">
        <v>1.2986780084438601</v>
      </c>
      <c r="L980">
        <v>12628.004185527499</v>
      </c>
      <c r="M980">
        <v>250</v>
      </c>
      <c r="O980">
        <v>50.508784294338597</v>
      </c>
      <c r="P980">
        <v>0.413740757830937</v>
      </c>
      <c r="Q980">
        <v>1.33436068275598</v>
      </c>
      <c r="R980">
        <v>0.84842771497893898</v>
      </c>
      <c r="S980" t="s">
        <v>6563</v>
      </c>
      <c r="T980" t="s">
        <v>11164</v>
      </c>
      <c r="U980" t="s">
        <v>11164</v>
      </c>
      <c r="V980" t="s">
        <v>11164</v>
      </c>
      <c r="W980" t="s">
        <v>12124</v>
      </c>
      <c r="X980">
        <v>1</v>
      </c>
      <c r="Y980" t="s">
        <v>17654</v>
      </c>
      <c r="Z980" t="s">
        <v>23130</v>
      </c>
      <c r="AA980">
        <v>1.183734804305892</v>
      </c>
      <c r="AB980" t="str">
        <f>HYPERLINK("Melting_Curves/meltCurve_I3L4B1_MYL4.pdf", "Melting_Curves/meltCurve_I3L4B1_MYL4.pdf")</f>
        <v>Melting_Curves/meltCurve_I3L4B1_MYL4.pdf</v>
      </c>
    </row>
    <row r="981" spans="1:28" x14ac:dyDescent="0.25">
      <c r="A981" t="s">
        <v>985</v>
      </c>
      <c r="B981">
        <v>0.99796759195183404</v>
      </c>
      <c r="C981">
        <v>1.13198467970965</v>
      </c>
      <c r="D981">
        <v>1.0018455247323499</v>
      </c>
      <c r="E981">
        <v>1.1185291782295399</v>
      </c>
      <c r="F981">
        <v>0.85111371827266302</v>
      </c>
      <c r="G981">
        <v>1.0223389836355801</v>
      </c>
      <c r="H981">
        <v>1.02658661514899</v>
      </c>
      <c r="I981">
        <v>0.78951564195060697</v>
      </c>
      <c r="J981">
        <v>0.61402056130941995</v>
      </c>
      <c r="K981">
        <v>0.30299151260684098</v>
      </c>
      <c r="L981">
        <v>1657.2833464526</v>
      </c>
      <c r="M981">
        <v>25.514239464305899</v>
      </c>
      <c r="N981">
        <v>64.955232090777102</v>
      </c>
      <c r="O981">
        <v>64.560147031045304</v>
      </c>
      <c r="P981">
        <v>-9.8801494005065105E-2</v>
      </c>
      <c r="Q981">
        <v>0</v>
      </c>
      <c r="R981">
        <v>0.89826010545870505</v>
      </c>
      <c r="S981" t="s">
        <v>6564</v>
      </c>
      <c r="T981" t="s">
        <v>11164</v>
      </c>
      <c r="U981" t="s">
        <v>11164</v>
      </c>
      <c r="V981" t="s">
        <v>11164</v>
      </c>
      <c r="W981" t="s">
        <v>12125</v>
      </c>
      <c r="X981">
        <v>1</v>
      </c>
      <c r="Y981" t="s">
        <v>17655</v>
      </c>
      <c r="Z981" t="s">
        <v>23131</v>
      </c>
      <c r="AA981">
        <v>0.90542364688924371</v>
      </c>
      <c r="AB981" t="str">
        <f>HYPERLINK("Melting_Curves/meltCurve_I3L4D1_ELMO3.pdf", "Melting_Curves/meltCurve_I3L4D1_ELMO3.pdf")</f>
        <v>Melting_Curves/meltCurve_I3L4D1_ELMO3.pdf</v>
      </c>
    </row>
    <row r="982" spans="1:28" x14ac:dyDescent="0.25">
      <c r="A982" t="s">
        <v>986</v>
      </c>
      <c r="B982">
        <v>0.99796759195183404</v>
      </c>
      <c r="C982">
        <v>1.10050182210976</v>
      </c>
      <c r="D982">
        <v>1.1374555719823201</v>
      </c>
      <c r="E982">
        <v>1.01695459355603</v>
      </c>
      <c r="F982">
        <v>0.86592941263295797</v>
      </c>
      <c r="G982">
        <v>0.51784123421872996</v>
      </c>
      <c r="H982">
        <v>0.25761441784193201</v>
      </c>
      <c r="I982">
        <v>0.16436314498111401</v>
      </c>
      <c r="J982">
        <v>0.17933236802283101</v>
      </c>
      <c r="K982">
        <v>0.11859356603620901</v>
      </c>
      <c r="L982">
        <v>1488.61762742575</v>
      </c>
      <c r="M982">
        <v>27.908065680538201</v>
      </c>
      <c r="N982">
        <v>53.997948445340299</v>
      </c>
      <c r="O982">
        <v>53.068446652866001</v>
      </c>
      <c r="P982">
        <v>-0.112524829553169</v>
      </c>
      <c r="Q982">
        <v>0.144123479582974</v>
      </c>
      <c r="R982">
        <v>0.98061028301078901</v>
      </c>
      <c r="S982" t="s">
        <v>6565</v>
      </c>
      <c r="T982" t="s">
        <v>11164</v>
      </c>
      <c r="U982" t="s">
        <v>11164</v>
      </c>
      <c r="V982" t="s">
        <v>11164</v>
      </c>
      <c r="W982" t="s">
        <v>12126</v>
      </c>
      <c r="X982">
        <v>3</v>
      </c>
      <c r="Y982" t="s">
        <v>17656</v>
      </c>
      <c r="Z982" t="s">
        <v>23132</v>
      </c>
      <c r="AA982">
        <v>0.61651840440943828</v>
      </c>
      <c r="AB982" t="str">
        <f>HYPERLINK("Melting_Curves/meltCurve_I3L4X3_NFKBIB.pdf", "Melting_Curves/meltCurve_I3L4X3_NFKBIB.pdf")</f>
        <v>Melting_Curves/meltCurve_I3L4X3_NFKBIB.pdf</v>
      </c>
    </row>
    <row r="983" spans="1:28" x14ac:dyDescent="0.25">
      <c r="A983" t="s">
        <v>987</v>
      </c>
      <c r="B983">
        <v>0.99796759195183404</v>
      </c>
      <c r="C983">
        <v>0.92033794763755905</v>
      </c>
      <c r="D983">
        <v>1.1201060060613099</v>
      </c>
      <c r="E983">
        <v>1.0263294319007099</v>
      </c>
      <c r="F983">
        <v>0.69759949129263799</v>
      </c>
      <c r="G983">
        <v>0.72991653725372496</v>
      </c>
      <c r="H983">
        <v>0.35153813233567899</v>
      </c>
      <c r="I983">
        <v>0.38535509659468797</v>
      </c>
      <c r="J983">
        <v>0.32050644208233298</v>
      </c>
      <c r="K983">
        <v>0.327357609382112</v>
      </c>
      <c r="L983">
        <v>993.06972104102795</v>
      </c>
      <c r="M983">
        <v>18.6973285157509</v>
      </c>
      <c r="N983">
        <v>55.870199161904097</v>
      </c>
      <c r="O983">
        <v>52.516543649356898</v>
      </c>
      <c r="P983">
        <v>-6.2192974638521997E-2</v>
      </c>
      <c r="Q983">
        <v>0.30128598050073802</v>
      </c>
      <c r="R983">
        <v>0.92705677713926005</v>
      </c>
      <c r="S983" t="s">
        <v>6566</v>
      </c>
      <c r="T983" t="s">
        <v>11164</v>
      </c>
      <c r="U983" t="s">
        <v>11164</v>
      </c>
      <c r="V983" t="s">
        <v>11164</v>
      </c>
      <c r="W983" t="s">
        <v>12127</v>
      </c>
      <c r="X983">
        <v>6</v>
      </c>
      <c r="Y983" t="s">
        <v>17657</v>
      </c>
      <c r="Z983" t="s">
        <v>23133</v>
      </c>
      <c r="AA983">
        <v>0.68618333879589133</v>
      </c>
      <c r="AB983" t="str">
        <f>HYPERLINK("Melting_Curves/meltCurve_I6L894_ANK2.pdf", "Melting_Curves/meltCurve_I6L894_ANK2.pdf")</f>
        <v>Melting_Curves/meltCurve_I6L894_ANK2.pdf</v>
      </c>
    </row>
    <row r="984" spans="1:28" x14ac:dyDescent="0.25">
      <c r="A984" t="s">
        <v>988</v>
      </c>
      <c r="B984">
        <v>0.99796759195183404</v>
      </c>
      <c r="C984">
        <v>0.91382725167313195</v>
      </c>
      <c r="D984">
        <v>0.844883897980239</v>
      </c>
      <c r="E984">
        <v>0.70244921304043795</v>
      </c>
      <c r="F984">
        <v>0.63389913377040497</v>
      </c>
      <c r="G984">
        <v>0.542553332173217</v>
      </c>
      <c r="H984">
        <v>0.40986370606189598</v>
      </c>
      <c r="I984">
        <v>0.51541157746070998</v>
      </c>
      <c r="J984">
        <v>0.23169826731433699</v>
      </c>
      <c r="K984">
        <v>0.21383271170563001</v>
      </c>
      <c r="L984">
        <v>329.95430283059397</v>
      </c>
      <c r="M984">
        <v>5.9890942960429703</v>
      </c>
      <c r="N984">
        <v>55.092520925477501</v>
      </c>
      <c r="O984">
        <v>49.8914634797014</v>
      </c>
      <c r="P984">
        <v>-3.01084421510723E-2</v>
      </c>
      <c r="Q984">
        <v>0</v>
      </c>
      <c r="R984">
        <v>0.94436389694411105</v>
      </c>
      <c r="S984" t="s">
        <v>6567</v>
      </c>
      <c r="T984" t="s">
        <v>11164</v>
      </c>
      <c r="U984" t="s">
        <v>11164</v>
      </c>
      <c r="V984" t="s">
        <v>11164</v>
      </c>
      <c r="W984" t="s">
        <v>12128</v>
      </c>
      <c r="X984">
        <v>15</v>
      </c>
      <c r="Y984" t="s">
        <v>17658</v>
      </c>
      <c r="Z984" t="s">
        <v>23134</v>
      </c>
      <c r="AA984">
        <v>0.59740271786812926</v>
      </c>
      <c r="AB984" t="str">
        <f>HYPERLINK("Melting_Curves/meltCurve_I6L8B7_FABP5.pdf", "Melting_Curves/meltCurve_I6L8B7_FABP5.pdf")</f>
        <v>Melting_Curves/meltCurve_I6L8B7_FABP5.pdf</v>
      </c>
    </row>
    <row r="985" spans="1:28" x14ac:dyDescent="0.25">
      <c r="A985" t="s">
        <v>989</v>
      </c>
      <c r="B985">
        <v>0.99796759195183404</v>
      </c>
      <c r="C985">
        <v>1.07274215676855</v>
      </c>
      <c r="D985">
        <v>0.88969229633764901</v>
      </c>
      <c r="E985">
        <v>0.90909979048939704</v>
      </c>
      <c r="F985">
        <v>0.83155833284784297</v>
      </c>
      <c r="G985">
        <v>0.44139285787347698</v>
      </c>
      <c r="H985">
        <v>0.29672763966758098</v>
      </c>
      <c r="I985">
        <v>0.195193823282997</v>
      </c>
      <c r="J985">
        <v>0.156722139719156</v>
      </c>
      <c r="K985">
        <v>0.135358319513223</v>
      </c>
      <c r="L985">
        <v>1077.7701383128301</v>
      </c>
      <c r="M985">
        <v>20.412560911179799</v>
      </c>
      <c r="N985">
        <v>53.620485848393699</v>
      </c>
      <c r="O985">
        <v>52.300468187083403</v>
      </c>
      <c r="P985">
        <v>-8.4479257398350605E-2</v>
      </c>
      <c r="Q985">
        <v>0.134225042332492</v>
      </c>
      <c r="R985">
        <v>0.98248765574792996</v>
      </c>
      <c r="S985" t="s">
        <v>6568</v>
      </c>
      <c r="T985" t="s">
        <v>11164</v>
      </c>
      <c r="U985" t="s">
        <v>11164</v>
      </c>
      <c r="V985" t="s">
        <v>11164</v>
      </c>
      <c r="W985" t="s">
        <v>12129</v>
      </c>
      <c r="X985">
        <v>1</v>
      </c>
      <c r="Y985" t="s">
        <v>17659</v>
      </c>
      <c r="Z985" t="s">
        <v>23135</v>
      </c>
      <c r="AA985">
        <v>0.60082643013118553</v>
      </c>
      <c r="AB985" t="str">
        <f>HYPERLINK("Melting_Curves/meltCurve_J3KMW8_CACTIN.pdf", "Melting_Curves/meltCurve_J3KMW8_CACTIN.pdf")</f>
        <v>Melting_Curves/meltCurve_J3KMW8_CACTIN.pdf</v>
      </c>
    </row>
    <row r="986" spans="1:28" x14ac:dyDescent="0.25">
      <c r="A986" t="s">
        <v>990</v>
      </c>
      <c r="B986">
        <v>0.99796759195183404</v>
      </c>
      <c r="C986">
        <v>1.0022490799015999</v>
      </c>
      <c r="D986">
        <v>0.99096976168319395</v>
      </c>
      <c r="E986">
        <v>1.0555955517342701</v>
      </c>
      <c r="F986">
        <v>0.834701822278064</v>
      </c>
      <c r="G986">
        <v>0.45662615566632903</v>
      </c>
      <c r="H986">
        <v>0.64270934820311598</v>
      </c>
      <c r="I986">
        <v>0.67987882945574496</v>
      </c>
      <c r="J986">
        <v>0.83754530359238399</v>
      </c>
      <c r="K986">
        <v>0.77869409561181102</v>
      </c>
      <c r="L986">
        <v>12546.968335198901</v>
      </c>
      <c r="M986">
        <v>250</v>
      </c>
      <c r="O986">
        <v>50.184674187263099</v>
      </c>
      <c r="P986">
        <v>-0.39966052382649297</v>
      </c>
      <c r="Q986">
        <v>0.67909074945546999</v>
      </c>
      <c r="R986">
        <v>0.73375127191604095</v>
      </c>
      <c r="S986" t="s">
        <v>6569</v>
      </c>
      <c r="T986" t="s">
        <v>11164</v>
      </c>
      <c r="U986" t="s">
        <v>11164</v>
      </c>
      <c r="V986" t="s">
        <v>11164</v>
      </c>
      <c r="W986" t="s">
        <v>12130</v>
      </c>
      <c r="X986">
        <v>6</v>
      </c>
      <c r="Y986" t="s">
        <v>17660</v>
      </c>
      <c r="Z986" t="s">
        <v>23136</v>
      </c>
      <c r="AA986">
        <v>0.82018936647003871</v>
      </c>
      <c r="AB986" t="str">
        <f>HYPERLINK("Melting_Curves/meltCurve_J3KMY5_NPC2.pdf", "Melting_Curves/meltCurve_J3KMY5_NPC2.pdf")</f>
        <v>Melting_Curves/meltCurve_J3KMY5_NPC2.pdf</v>
      </c>
    </row>
    <row r="987" spans="1:28" x14ac:dyDescent="0.25">
      <c r="A987" t="s">
        <v>991</v>
      </c>
      <c r="B987">
        <v>0.99796759195183404</v>
      </c>
      <c r="C987">
        <v>1.1459493290536999</v>
      </c>
      <c r="D987">
        <v>0.83176193284407396</v>
      </c>
      <c r="E987">
        <v>0.90408006895970505</v>
      </c>
      <c r="F987">
        <v>0.81115585920365196</v>
      </c>
      <c r="G987">
        <v>0.53046955763827097</v>
      </c>
      <c r="H987">
        <v>0.29569145835085497</v>
      </c>
      <c r="I987">
        <v>0.38472333852799401</v>
      </c>
      <c r="J987">
        <v>0.350666388600685</v>
      </c>
      <c r="K987">
        <v>0.28353913724881702</v>
      </c>
      <c r="L987">
        <v>1145.60067623284</v>
      </c>
      <c r="M987">
        <v>22.092833498124602</v>
      </c>
      <c r="N987">
        <v>54.170625249602899</v>
      </c>
      <c r="O987">
        <v>51.4347368845552</v>
      </c>
      <c r="P987">
        <v>-7.4565472340917704E-2</v>
      </c>
      <c r="Q987">
        <v>0.30562651156704301</v>
      </c>
      <c r="R987">
        <v>0.93220326741602599</v>
      </c>
      <c r="S987" t="s">
        <v>6570</v>
      </c>
      <c r="T987" t="s">
        <v>11164</v>
      </c>
      <c r="U987" t="s">
        <v>11164</v>
      </c>
      <c r="V987" t="s">
        <v>11164</v>
      </c>
      <c r="W987" t="s">
        <v>12131</v>
      </c>
      <c r="X987">
        <v>3</v>
      </c>
      <c r="Y987" t="s">
        <v>17661</v>
      </c>
      <c r="Z987" t="s">
        <v>23137</v>
      </c>
      <c r="AA987">
        <v>0.65707066382753987</v>
      </c>
      <c r="AB987" t="str">
        <f>HYPERLINK("Melting_Curves/meltCurve_J3KMZ7_INTS2.pdf", "Melting_Curves/meltCurve_J3KMZ7_INTS2.pdf")</f>
        <v>Melting_Curves/meltCurve_J3KMZ7_INTS2.pdf</v>
      </c>
    </row>
    <row r="988" spans="1:28" x14ac:dyDescent="0.25">
      <c r="A988" t="s">
        <v>992</v>
      </c>
      <c r="B988">
        <v>0.99796759195183404</v>
      </c>
      <c r="C988">
        <v>0.98812185691215804</v>
      </c>
      <c r="D988">
        <v>0.95476595883745596</v>
      </c>
      <c r="E988">
        <v>0.823548252279935</v>
      </c>
      <c r="F988">
        <v>0.81522538636636699</v>
      </c>
      <c r="G988">
        <v>0.74648881511259402</v>
      </c>
      <c r="H988">
        <v>0.60143457720841098</v>
      </c>
      <c r="I988">
        <v>0.49630097749773799</v>
      </c>
      <c r="J988">
        <v>0.48170816057905003</v>
      </c>
      <c r="K988">
        <v>0.30585973195312199</v>
      </c>
      <c r="L988">
        <v>406.39373815546702</v>
      </c>
      <c r="M988">
        <v>6.6420919079127403</v>
      </c>
      <c r="N988">
        <v>61.184600067038502</v>
      </c>
      <c r="O988">
        <v>56.352268999550397</v>
      </c>
      <c r="P988">
        <v>-2.9532989079341699E-2</v>
      </c>
      <c r="Q988">
        <v>0</v>
      </c>
      <c r="R988">
        <v>0.97655129847883404</v>
      </c>
      <c r="S988" t="s">
        <v>6571</v>
      </c>
      <c r="T988" t="s">
        <v>11164</v>
      </c>
      <c r="U988" t="s">
        <v>11164</v>
      </c>
      <c r="V988" t="s">
        <v>11164</v>
      </c>
      <c r="W988" t="s">
        <v>12132</v>
      </c>
      <c r="X988">
        <v>4</v>
      </c>
      <c r="Y988" t="s">
        <v>17662</v>
      </c>
      <c r="Z988" t="s">
        <v>23138</v>
      </c>
      <c r="AA988">
        <v>0.72956456035372841</v>
      </c>
      <c r="AB988" t="str">
        <f>HYPERLINK("Melting_Curves/meltCurve_J3KMZ8_DPF2.pdf", "Melting_Curves/meltCurve_J3KMZ8_DPF2.pdf")</f>
        <v>Melting_Curves/meltCurve_J3KMZ8_DPF2.pdf</v>
      </c>
    </row>
    <row r="989" spans="1:28" x14ac:dyDescent="0.25">
      <c r="A989" t="s">
        <v>993</v>
      </c>
      <c r="B989">
        <v>0.99796759195183404</v>
      </c>
      <c r="C989">
        <v>0.92775024592272404</v>
      </c>
      <c r="D989">
        <v>0.85159115259417195</v>
      </c>
      <c r="E989">
        <v>0.89252112701216701</v>
      </c>
      <c r="F989">
        <v>0.80045007631151199</v>
      </c>
      <c r="G989">
        <v>0.55814019864741105</v>
      </c>
      <c r="H989">
        <v>0.54379405306300499</v>
      </c>
      <c r="I989">
        <v>0.46416142147545603</v>
      </c>
      <c r="J989">
        <v>0.42289870193318302</v>
      </c>
      <c r="K989">
        <v>0.24114322932242599</v>
      </c>
      <c r="L989">
        <v>380.43089226101398</v>
      </c>
      <c r="M989">
        <v>6.4893738752797097</v>
      </c>
      <c r="N989">
        <v>58.623666867565497</v>
      </c>
      <c r="O989">
        <v>53.802139521994299</v>
      </c>
      <c r="P989">
        <v>-3.0227552248423099E-2</v>
      </c>
      <c r="Q989">
        <v>0</v>
      </c>
      <c r="R989">
        <v>0.95625181106432</v>
      </c>
      <c r="S989" t="s">
        <v>6572</v>
      </c>
      <c r="T989" t="s">
        <v>11164</v>
      </c>
      <c r="U989" t="s">
        <v>11164</v>
      </c>
      <c r="V989" t="s">
        <v>11164</v>
      </c>
      <c r="W989" t="s">
        <v>12133</v>
      </c>
      <c r="X989">
        <v>3</v>
      </c>
      <c r="Y989" t="s">
        <v>17663</v>
      </c>
      <c r="Z989" t="s">
        <v>23139</v>
      </c>
      <c r="AA989">
        <v>0.67727028560082991</v>
      </c>
      <c r="AB989" t="str">
        <f>HYPERLINK("Melting_Curves/meltCurve_J3KMZ9_LDLR.pdf", "Melting_Curves/meltCurve_J3KMZ9_LDLR.pdf")</f>
        <v>Melting_Curves/meltCurve_J3KMZ9_LDLR.pdf</v>
      </c>
    </row>
    <row r="990" spans="1:28" x14ac:dyDescent="0.25">
      <c r="A990" t="s">
        <v>994</v>
      </c>
      <c r="B990">
        <v>0.99796759195183404</v>
      </c>
      <c r="C990">
        <v>1.1551336593281001</v>
      </c>
      <c r="D990">
        <v>1.1061615955684401</v>
      </c>
      <c r="E990">
        <v>1.0689758423358999</v>
      </c>
      <c r="F990">
        <v>0.89578908571793703</v>
      </c>
      <c r="G990">
        <v>1.1104770783618401</v>
      </c>
      <c r="H990">
        <v>0.22554315242204401</v>
      </c>
      <c r="I990">
        <v>0.26862915495110901</v>
      </c>
      <c r="J990">
        <v>0.173825455340267</v>
      </c>
      <c r="K990">
        <v>0.177837209343019</v>
      </c>
      <c r="L990">
        <v>14136.565872076701</v>
      </c>
      <c r="M990">
        <v>250</v>
      </c>
      <c r="N990">
        <v>56.667217531668399</v>
      </c>
      <c r="O990">
        <v>56.542644839837799</v>
      </c>
      <c r="P990">
        <v>-0.876816878492089</v>
      </c>
      <c r="Q990">
        <v>0.206759274448129</v>
      </c>
      <c r="R990">
        <v>0.96087410761957104</v>
      </c>
      <c r="S990" t="s">
        <v>6573</v>
      </c>
      <c r="T990" t="s">
        <v>11164</v>
      </c>
      <c r="U990" t="s">
        <v>11164</v>
      </c>
      <c r="V990" t="s">
        <v>11164</v>
      </c>
      <c r="W990" t="s">
        <v>12134</v>
      </c>
      <c r="X990">
        <v>2</v>
      </c>
      <c r="Y990" t="s">
        <v>17664</v>
      </c>
      <c r="Z990" t="s">
        <v>23140</v>
      </c>
      <c r="AA990">
        <v>0.72366773496549819</v>
      </c>
      <c r="AB990" t="str">
        <f>HYPERLINK("Melting_Curves/meltCurve_J3KN10_PI4KA.pdf", "Melting_Curves/meltCurve_J3KN10_PI4KA.pdf")</f>
        <v>Melting_Curves/meltCurve_J3KN10_PI4KA.pdf</v>
      </c>
    </row>
    <row r="991" spans="1:28" x14ac:dyDescent="0.25">
      <c r="A991" t="s">
        <v>995</v>
      </c>
      <c r="B991">
        <v>0.99796759195183404</v>
      </c>
      <c r="C991">
        <v>0.99319011759913101</v>
      </c>
      <c r="D991">
        <v>0.98262232888521195</v>
      </c>
      <c r="E991">
        <v>0.95824751960480503</v>
      </c>
      <c r="F991">
        <v>0.81375720408913299</v>
      </c>
      <c r="G991">
        <v>0.23228821114953899</v>
      </c>
      <c r="H991">
        <v>0.15298357708788701</v>
      </c>
      <c r="I991">
        <v>0.13132207098757001</v>
      </c>
      <c r="J991">
        <v>0.109103148899362</v>
      </c>
      <c r="K991">
        <v>8.5645264984646904E-2</v>
      </c>
      <c r="L991">
        <v>2325.7727050822</v>
      </c>
      <c r="M991">
        <v>45.042852222568797</v>
      </c>
      <c r="N991">
        <v>51.938021706055203</v>
      </c>
      <c r="O991">
        <v>51.533213491926297</v>
      </c>
      <c r="P991">
        <v>-0.19324062527885499</v>
      </c>
      <c r="Q991">
        <v>0.115660350055897</v>
      </c>
      <c r="R991">
        <v>0.99783962977461704</v>
      </c>
      <c r="S991" t="s">
        <v>6574</v>
      </c>
      <c r="T991" t="s">
        <v>11164</v>
      </c>
      <c r="U991" t="s">
        <v>11164</v>
      </c>
      <c r="V991" t="s">
        <v>11164</v>
      </c>
      <c r="W991" t="s">
        <v>12135</v>
      </c>
      <c r="X991">
        <v>45</v>
      </c>
      <c r="Y991" t="s">
        <v>17665</v>
      </c>
      <c r="Z991" t="s">
        <v>23141</v>
      </c>
      <c r="AA991">
        <v>0.54954413153549919</v>
      </c>
      <c r="AB991" t="str">
        <f>HYPERLINK("Melting_Curves/meltCurve_J3KN16_KIAA0368.pdf", "Melting_Curves/meltCurve_J3KN16_KIAA0368.pdf")</f>
        <v>Melting_Curves/meltCurve_J3KN16_KIAA0368.pdf</v>
      </c>
    </row>
    <row r="992" spans="1:28" x14ac:dyDescent="0.25">
      <c r="A992" t="s">
        <v>996</v>
      </c>
      <c r="B992">
        <v>0.99796759195183404</v>
      </c>
      <c r="C992">
        <v>1.28700883855732</v>
      </c>
      <c r="D992">
        <v>1.0141174910375601</v>
      </c>
      <c r="E992">
        <v>0.947716575649864</v>
      </c>
      <c r="F992">
        <v>0.93261294012811302</v>
      </c>
      <c r="G992">
        <v>0.62385237437119001</v>
      </c>
      <c r="H992">
        <v>0.44870849397398899</v>
      </c>
      <c r="I992">
        <v>0.39086566722190103</v>
      </c>
      <c r="J992">
        <v>0.29169405573318302</v>
      </c>
      <c r="K992">
        <v>0.22318717362589299</v>
      </c>
      <c r="L992">
        <v>1066.0662874914001</v>
      </c>
      <c r="M992">
        <v>19.579755376748501</v>
      </c>
      <c r="N992">
        <v>56.442632574927998</v>
      </c>
      <c r="O992">
        <v>53.8889715732235</v>
      </c>
      <c r="P992">
        <v>-6.8150624683984001E-2</v>
      </c>
      <c r="Q992">
        <v>0.24974823078484801</v>
      </c>
      <c r="R992">
        <v>0.92179429096794196</v>
      </c>
      <c r="S992" t="s">
        <v>6575</v>
      </c>
      <c r="T992" t="s">
        <v>11164</v>
      </c>
      <c r="U992" t="s">
        <v>11164</v>
      </c>
      <c r="V992" t="s">
        <v>11164</v>
      </c>
      <c r="W992" t="s">
        <v>12136</v>
      </c>
      <c r="X992">
        <v>4</v>
      </c>
      <c r="Y992" t="s">
        <v>17666</v>
      </c>
      <c r="Z992" t="s">
        <v>23142</v>
      </c>
      <c r="AA992">
        <v>0.6951518100193993</v>
      </c>
      <c r="AB992" t="str">
        <f>HYPERLINK("Melting_Curves/meltCurve_J3KN27_FBRSL1.pdf", "Melting_Curves/meltCurve_J3KN27_FBRSL1.pdf")</f>
        <v>Melting_Curves/meltCurve_J3KN27_FBRSL1.pdf</v>
      </c>
    </row>
    <row r="993" spans="1:28" x14ac:dyDescent="0.25">
      <c r="A993" t="s">
        <v>997</v>
      </c>
      <c r="B993">
        <v>0.99796759195183404</v>
      </c>
      <c r="C993">
        <v>1.05233193494495</v>
      </c>
      <c r="D993">
        <v>1.02615707989988</v>
      </c>
      <c r="E993">
        <v>1.0117123187433299</v>
      </c>
      <c r="F993">
        <v>0.85709335637086903</v>
      </c>
      <c r="G993">
        <v>0.59562973800293595</v>
      </c>
      <c r="H993">
        <v>0.74061752546548998</v>
      </c>
      <c r="I993">
        <v>0.75003093453289904</v>
      </c>
      <c r="J993">
        <v>0.95268771875081504</v>
      </c>
      <c r="K993">
        <v>0.87333044159670103</v>
      </c>
      <c r="L993">
        <v>12517.3903426985</v>
      </c>
      <c r="M993">
        <v>250</v>
      </c>
      <c r="O993">
        <v>50.066357588118997</v>
      </c>
      <c r="P993">
        <v>-0.27156550052306999</v>
      </c>
      <c r="Q993">
        <v>0.78245927439521601</v>
      </c>
      <c r="R993">
        <v>0.61709855088079002</v>
      </c>
      <c r="S993" t="s">
        <v>6576</v>
      </c>
      <c r="T993" t="s">
        <v>11164</v>
      </c>
      <c r="U993" t="s">
        <v>11164</v>
      </c>
      <c r="V993" t="s">
        <v>11164</v>
      </c>
      <c r="W993" t="s">
        <v>12137</v>
      </c>
      <c r="X993">
        <v>20</v>
      </c>
      <c r="Y993" t="s">
        <v>17667</v>
      </c>
      <c r="Z993" t="s">
        <v>23143</v>
      </c>
      <c r="AA993">
        <v>0.87725045211307751</v>
      </c>
      <c r="AB993" t="str">
        <f>HYPERLINK("Melting_Curves/meltCurve_J3KN29_PSMD9.pdf", "Melting_Curves/meltCurve_J3KN29_PSMD9.pdf")</f>
        <v>Melting_Curves/meltCurve_J3KN29_PSMD9.pdf</v>
      </c>
    </row>
    <row r="994" spans="1:28" x14ac:dyDescent="0.25">
      <c r="A994" t="s">
        <v>998</v>
      </c>
      <c r="B994">
        <v>0.99796759195183404</v>
      </c>
      <c r="C994">
        <v>0.92499146089492401</v>
      </c>
      <c r="D994">
        <v>0.86248099648889698</v>
      </c>
      <c r="E994">
        <v>0.79538598005439298</v>
      </c>
      <c r="F994">
        <v>0.73457469345362303</v>
      </c>
      <c r="G994">
        <v>0.50420320235326399</v>
      </c>
      <c r="H994">
        <v>0.52271554886888605</v>
      </c>
      <c r="I994">
        <v>0.54927656645789802</v>
      </c>
      <c r="J994">
        <v>0.38219594088053599</v>
      </c>
      <c r="K994">
        <v>0.35810858579877602</v>
      </c>
      <c r="L994">
        <v>385.633247111998</v>
      </c>
      <c r="M994">
        <v>7.3498630888180196</v>
      </c>
      <c r="N994">
        <v>58.201949945995601</v>
      </c>
      <c r="O994">
        <v>49.003286156107499</v>
      </c>
      <c r="P994">
        <v>-2.78801581784574E-2</v>
      </c>
      <c r="Q994">
        <v>0.257615820667773</v>
      </c>
      <c r="R994">
        <v>0.95274023235841199</v>
      </c>
      <c r="S994" t="s">
        <v>6577</v>
      </c>
      <c r="T994" t="s">
        <v>11164</v>
      </c>
      <c r="U994" t="s">
        <v>11164</v>
      </c>
      <c r="V994" t="s">
        <v>11164</v>
      </c>
      <c r="W994" t="s">
        <v>12138</v>
      </c>
      <c r="X994">
        <v>2</v>
      </c>
      <c r="Y994" t="s">
        <v>17668</v>
      </c>
      <c r="Z994" t="s">
        <v>23144</v>
      </c>
      <c r="AA994">
        <v>0.65907448661662615</v>
      </c>
      <c r="AB994" t="str">
        <f>HYPERLINK("Melting_Curves/meltCurve_J3KN49_OBSL1.pdf", "Melting_Curves/meltCurve_J3KN49_OBSL1.pdf")</f>
        <v>Melting_Curves/meltCurve_J3KN49_OBSL1.pdf</v>
      </c>
    </row>
    <row r="995" spans="1:28" x14ac:dyDescent="0.25">
      <c r="A995" t="s">
        <v>999</v>
      </c>
      <c r="B995">
        <v>0.99796759195183404</v>
      </c>
      <c r="C995">
        <v>1.03147556839093</v>
      </c>
      <c r="D995">
        <v>1.06190017476257</v>
      </c>
      <c r="E995">
        <v>0.97122371548435804</v>
      </c>
      <c r="F995">
        <v>0.89153523209563601</v>
      </c>
      <c r="G995">
        <v>0.48945449508040501</v>
      </c>
      <c r="H995">
        <v>0.52250161395445804</v>
      </c>
      <c r="I995">
        <v>0.37320652865762999</v>
      </c>
      <c r="J995">
        <v>0.30788473774332697</v>
      </c>
      <c r="K995">
        <v>0.17877908922643501</v>
      </c>
      <c r="L995">
        <v>882.33559100128105</v>
      </c>
      <c r="M995">
        <v>16.325432242904899</v>
      </c>
      <c r="N995">
        <v>56.096033266711899</v>
      </c>
      <c r="O995">
        <v>53.2552663304701</v>
      </c>
      <c r="P995">
        <v>-5.9428538233598803E-2</v>
      </c>
      <c r="Q995">
        <v>0.22460777780662899</v>
      </c>
      <c r="R995">
        <v>0.95636274661841403</v>
      </c>
      <c r="S995" t="s">
        <v>6578</v>
      </c>
      <c r="T995" t="s">
        <v>11164</v>
      </c>
      <c r="U995" t="s">
        <v>11164</v>
      </c>
      <c r="V995" t="s">
        <v>11164</v>
      </c>
      <c r="W995" t="s">
        <v>12139</v>
      </c>
      <c r="X995">
        <v>3</v>
      </c>
      <c r="Y995" t="s">
        <v>17669</v>
      </c>
      <c r="Z995" t="s">
        <v>23145</v>
      </c>
      <c r="AA995">
        <v>0.67687758245192564</v>
      </c>
      <c r="AB995" t="str">
        <f>HYPERLINK("Melting_Curves/meltCurve_J3KN59_BNIP2.pdf", "Melting_Curves/meltCurve_J3KN59_BNIP2.pdf")</f>
        <v>Melting_Curves/meltCurve_J3KN59_BNIP2.pdf</v>
      </c>
    </row>
    <row r="996" spans="1:28" x14ac:dyDescent="0.25">
      <c r="A996" t="s">
        <v>1000</v>
      </c>
      <c r="B996">
        <v>0.99796759195183404</v>
      </c>
      <c r="C996">
        <v>1.09008694198487</v>
      </c>
      <c r="D996">
        <v>1.05617374678705</v>
      </c>
      <c r="E996">
        <v>1.0055882506800899</v>
      </c>
      <c r="F996">
        <v>0.99244490728481605</v>
      </c>
      <c r="G996">
        <v>0.89429865208144299</v>
      </c>
      <c r="H996">
        <v>0.60287082818321203</v>
      </c>
      <c r="I996">
        <v>0.30222526123397703</v>
      </c>
      <c r="J996">
        <v>0.18083948754873599</v>
      </c>
      <c r="K996">
        <v>0.12172782711640601</v>
      </c>
      <c r="L996">
        <v>1478.64994209983</v>
      </c>
      <c r="M996">
        <v>25.501818440298301</v>
      </c>
      <c r="N996">
        <v>58.499784881963102</v>
      </c>
      <c r="O996">
        <v>57.629125496636298</v>
      </c>
      <c r="P996">
        <v>-9.9456511894372698E-2</v>
      </c>
      <c r="Q996">
        <v>0.10100205677348199</v>
      </c>
      <c r="R996">
        <v>0.99141597138353499</v>
      </c>
      <c r="S996" t="s">
        <v>6579</v>
      </c>
      <c r="T996" t="s">
        <v>11164</v>
      </c>
      <c r="U996" t="s">
        <v>11164</v>
      </c>
      <c r="V996" t="s">
        <v>11164</v>
      </c>
      <c r="W996" t="s">
        <v>12140</v>
      </c>
      <c r="X996">
        <v>15</v>
      </c>
      <c r="Y996" t="s">
        <v>17670</v>
      </c>
      <c r="Z996" t="s">
        <v>23146</v>
      </c>
      <c r="AA996">
        <v>0.73554979185581304</v>
      </c>
      <c r="AB996" t="str">
        <f>HYPERLINK("Melting_Curves/meltCurve_J3KN66_TOR1AIP1.pdf", "Melting_Curves/meltCurve_J3KN66_TOR1AIP1.pdf")</f>
        <v>Melting_Curves/meltCurve_J3KN66_TOR1AIP1.pdf</v>
      </c>
    </row>
    <row r="997" spans="1:28" x14ac:dyDescent="0.25">
      <c r="A997" t="s">
        <v>1001</v>
      </c>
      <c r="B997">
        <v>0.99796759195183404</v>
      </c>
      <c r="C997">
        <v>0.95351186272581201</v>
      </c>
      <c r="D997">
        <v>0.94374536639306295</v>
      </c>
      <c r="E997">
        <v>0.80434047019795596</v>
      </c>
      <c r="F997">
        <v>0.82441449167458103</v>
      </c>
      <c r="G997">
        <v>0.64069518365985001</v>
      </c>
      <c r="H997">
        <v>0.55647138458843703</v>
      </c>
      <c r="I997">
        <v>0.45984435436742899</v>
      </c>
      <c r="J997">
        <v>0.303821130998502</v>
      </c>
      <c r="K997">
        <v>0.152540249977273</v>
      </c>
      <c r="L997">
        <v>489.50041268313203</v>
      </c>
      <c r="M997">
        <v>8.4448303182903501</v>
      </c>
      <c r="N997">
        <v>57.964499940058502</v>
      </c>
      <c r="O997">
        <v>54.987892824479502</v>
      </c>
      <c r="P997">
        <v>-3.8429496850355398E-2</v>
      </c>
      <c r="Q997">
        <v>0</v>
      </c>
      <c r="R997">
        <v>0.97037714220336202</v>
      </c>
      <c r="S997" t="s">
        <v>6580</v>
      </c>
      <c r="T997" t="s">
        <v>11164</v>
      </c>
      <c r="U997" t="s">
        <v>11164</v>
      </c>
      <c r="V997" t="s">
        <v>11164</v>
      </c>
      <c r="W997" t="s">
        <v>12141</v>
      </c>
      <c r="X997">
        <v>4</v>
      </c>
      <c r="Y997" t="s">
        <v>17671</v>
      </c>
      <c r="Z997" t="s">
        <v>23147</v>
      </c>
      <c r="AA997">
        <v>0.68159030857980052</v>
      </c>
      <c r="AB997" t="str">
        <f>HYPERLINK("Melting_Curves/meltCurve_J3KN69_NCEH1.pdf", "Melting_Curves/meltCurve_J3KN69_NCEH1.pdf")</f>
        <v>Melting_Curves/meltCurve_J3KN69_NCEH1.pdf</v>
      </c>
    </row>
    <row r="998" spans="1:28" x14ac:dyDescent="0.25">
      <c r="A998" t="s">
        <v>1002</v>
      </c>
      <c r="B998">
        <v>0.99796759195183404</v>
      </c>
      <c r="C998">
        <v>0.99950220907523801</v>
      </c>
      <c r="D998">
        <v>0.999131015844262</v>
      </c>
      <c r="E998">
        <v>0.97108875104814396</v>
      </c>
      <c r="F998">
        <v>0.81255724422841002</v>
      </c>
      <c r="G998">
        <v>0.66634824785040703</v>
      </c>
      <c r="H998">
        <v>0.66192766883669196</v>
      </c>
      <c r="I998">
        <v>0.40333498226574299</v>
      </c>
      <c r="J998">
        <v>0.16134233076194399</v>
      </c>
      <c r="K998">
        <v>0.11059786936267101</v>
      </c>
      <c r="L998">
        <v>732.99205399641005</v>
      </c>
      <c r="M998">
        <v>12.6018846791317</v>
      </c>
      <c r="N998">
        <v>58.165272413178201</v>
      </c>
      <c r="O998">
        <v>56.758916792631503</v>
      </c>
      <c r="P998">
        <v>-5.5517277109298303E-2</v>
      </c>
      <c r="Q998">
        <v>0</v>
      </c>
      <c r="R998">
        <v>0.96807599661473598</v>
      </c>
      <c r="S998" t="s">
        <v>6581</v>
      </c>
      <c r="T998" t="s">
        <v>11164</v>
      </c>
      <c r="U998" t="s">
        <v>11164</v>
      </c>
      <c r="V998" t="s">
        <v>11164</v>
      </c>
      <c r="W998" t="s">
        <v>12142</v>
      </c>
      <c r="X998">
        <v>7</v>
      </c>
      <c r="Y998" t="s">
        <v>17672</v>
      </c>
      <c r="Z998" t="s">
        <v>23148</v>
      </c>
      <c r="AA998">
        <v>0.70466936498436794</v>
      </c>
      <c r="AB998" t="str">
        <f>HYPERLINK("Melting_Curves/meltCurve_J3KNA0_OXA1L.pdf", "Melting_Curves/meltCurve_J3KNA0_OXA1L.pdf")</f>
        <v>Melting_Curves/meltCurve_J3KNA0_OXA1L.pdf</v>
      </c>
    </row>
    <row r="999" spans="1:28" x14ac:dyDescent="0.25">
      <c r="A999" t="s">
        <v>1003</v>
      </c>
      <c r="B999">
        <v>0.99796759195183404</v>
      </c>
      <c r="C999">
        <v>1.1315930030572099</v>
      </c>
      <c r="D999">
        <v>0.98857320009905303</v>
      </c>
      <c r="E999">
        <v>0.86324098376503899</v>
      </c>
      <c r="F999">
        <v>0.77737722507177698</v>
      </c>
      <c r="G999">
        <v>0.66611499221714698</v>
      </c>
      <c r="H999">
        <v>0.55230341289210005</v>
      </c>
      <c r="I999">
        <v>0.61077120770298898</v>
      </c>
      <c r="J999">
        <v>0.73065981174610595</v>
      </c>
      <c r="K999">
        <v>0.67357626505663204</v>
      </c>
      <c r="L999">
        <v>1184.3057057721401</v>
      </c>
      <c r="M999">
        <v>24.569145867895202</v>
      </c>
      <c r="O999">
        <v>47.887035785924297</v>
      </c>
      <c r="P999">
        <v>-4.5705816876070102E-2</v>
      </c>
      <c r="Q999">
        <v>0.64366941156429502</v>
      </c>
      <c r="R999">
        <v>0.87913255751994901</v>
      </c>
      <c r="S999" t="s">
        <v>6582</v>
      </c>
      <c r="T999" t="s">
        <v>11164</v>
      </c>
      <c r="U999" t="s">
        <v>11164</v>
      </c>
      <c r="V999" t="s">
        <v>11164</v>
      </c>
      <c r="W999" t="s">
        <v>12143</v>
      </c>
      <c r="X999">
        <v>2</v>
      </c>
      <c r="Y999" t="s">
        <v>17673</v>
      </c>
      <c r="Z999" t="s">
        <v>23149</v>
      </c>
      <c r="AA999">
        <v>0.77988621915190481</v>
      </c>
      <c r="AB999" t="str">
        <f>HYPERLINK("Melting_Curves/meltCurve_J3KNC0_GTF2A1.pdf", "Melting_Curves/meltCurve_J3KNC0_GTF2A1.pdf")</f>
        <v>Melting_Curves/meltCurve_J3KNC0_GTF2A1.pdf</v>
      </c>
    </row>
    <row r="1000" spans="1:28" x14ac:dyDescent="0.25">
      <c r="A1000" t="s">
        <v>1004</v>
      </c>
      <c r="B1000">
        <v>0.99796759195183404</v>
      </c>
      <c r="C1000">
        <v>1.07662777206572</v>
      </c>
      <c r="D1000">
        <v>1.0458315390209101</v>
      </c>
      <c r="E1000">
        <v>1.0170859496204301</v>
      </c>
      <c r="F1000">
        <v>0.92979827746864596</v>
      </c>
      <c r="G1000">
        <v>0.55500360731852205</v>
      </c>
      <c r="H1000">
        <v>0.36507774127852799</v>
      </c>
      <c r="I1000">
        <v>0.28830476717845799</v>
      </c>
      <c r="J1000">
        <v>0.21354086782069101</v>
      </c>
      <c r="K1000">
        <v>0.17145046058490601</v>
      </c>
      <c r="L1000">
        <v>1431.9614998438201</v>
      </c>
      <c r="M1000">
        <v>26.6676967181848</v>
      </c>
      <c r="N1000">
        <v>54.837226189789398</v>
      </c>
      <c r="O1000">
        <v>53.397263956432496</v>
      </c>
      <c r="P1000">
        <v>-9.8275471421809493E-2</v>
      </c>
      <c r="Q1000">
        <v>0.21289240374365301</v>
      </c>
      <c r="R1000">
        <v>0.98687095644275902</v>
      </c>
      <c r="S1000" t="s">
        <v>6583</v>
      </c>
      <c r="T1000" t="s">
        <v>11164</v>
      </c>
      <c r="U1000" t="s">
        <v>11164</v>
      </c>
      <c r="V1000" t="s">
        <v>11164</v>
      </c>
      <c r="W1000" t="s">
        <v>12144</v>
      </c>
      <c r="X1000">
        <v>14</v>
      </c>
      <c r="Y1000" t="s">
        <v>17674</v>
      </c>
      <c r="Z1000" t="s">
        <v>23150</v>
      </c>
      <c r="AA1000">
        <v>0.65714993143486611</v>
      </c>
      <c r="AB1000" t="str">
        <f>HYPERLINK("Melting_Curves/meltCurve_J3KNF4_CCS.pdf", "Melting_Curves/meltCurve_J3KNF4_CCS.pdf")</f>
        <v>Melting_Curves/meltCurve_J3KNF4_CCS.pdf</v>
      </c>
    </row>
    <row r="1001" spans="1:28" x14ac:dyDescent="0.25">
      <c r="A1001" t="s">
        <v>1005</v>
      </c>
      <c r="B1001">
        <v>0.99796759195183404</v>
      </c>
      <c r="C1001">
        <v>1.0060910861918799</v>
      </c>
      <c r="D1001">
        <v>0.95271998967869898</v>
      </c>
      <c r="E1001">
        <v>0.82953223066980497</v>
      </c>
      <c r="F1001">
        <v>0.66009145975904604</v>
      </c>
      <c r="G1001">
        <v>0.36655179524515702</v>
      </c>
      <c r="H1001">
        <v>0.20814859822367701</v>
      </c>
      <c r="I1001">
        <v>0.165054814016173</v>
      </c>
      <c r="J1001">
        <v>0.133776126780278</v>
      </c>
      <c r="K1001">
        <v>0.107773129370988</v>
      </c>
      <c r="L1001">
        <v>846.90316157465998</v>
      </c>
      <c r="M1001">
        <v>16.511208209408501</v>
      </c>
      <c r="N1001">
        <v>51.937869191395997</v>
      </c>
      <c r="O1001">
        <v>50.557933100290498</v>
      </c>
      <c r="P1001">
        <v>-7.4079231417371702E-2</v>
      </c>
      <c r="Q1001">
        <v>9.2729420424339501E-2</v>
      </c>
      <c r="R1001">
        <v>0.99788400863286497</v>
      </c>
      <c r="S1001" t="s">
        <v>6584</v>
      </c>
      <c r="T1001" t="s">
        <v>11164</v>
      </c>
      <c r="U1001" t="s">
        <v>11164</v>
      </c>
      <c r="V1001" t="s">
        <v>11164</v>
      </c>
      <c r="W1001" t="s">
        <v>12145</v>
      </c>
      <c r="X1001">
        <v>4</v>
      </c>
      <c r="Y1001" t="s">
        <v>17675</v>
      </c>
      <c r="Z1001" t="s">
        <v>23151</v>
      </c>
      <c r="AA1001">
        <v>0.54083018246664971</v>
      </c>
      <c r="AB1001" t="str">
        <f>HYPERLINK("Melting_Curves/meltCurve_J3KNI1_COG4.pdf", "Melting_Curves/meltCurve_J3KNI1_COG4.pdf")</f>
        <v>Melting_Curves/meltCurve_J3KNI1_COG4.pdf</v>
      </c>
    </row>
    <row r="1002" spans="1:28" x14ac:dyDescent="0.25">
      <c r="A1002" t="s">
        <v>1006</v>
      </c>
      <c r="B1002">
        <v>0.99796759195183404</v>
      </c>
      <c r="C1002">
        <v>0.97388030695093497</v>
      </c>
      <c r="D1002">
        <v>0.89545772104446397</v>
      </c>
      <c r="E1002">
        <v>0.94512828866189003</v>
      </c>
      <c r="F1002">
        <v>0.77389130863494604</v>
      </c>
      <c r="G1002">
        <v>0.48912535222772402</v>
      </c>
      <c r="H1002">
        <v>0.28667455163323702</v>
      </c>
      <c r="I1002">
        <v>0.30955844125091603</v>
      </c>
      <c r="J1002">
        <v>0.155909428608454</v>
      </c>
      <c r="K1002">
        <v>9.1634733836835694E-2</v>
      </c>
      <c r="L1002">
        <v>792.46642391399303</v>
      </c>
      <c r="M1002">
        <v>14.839288507369499</v>
      </c>
      <c r="N1002">
        <v>54.130835342294802</v>
      </c>
      <c r="O1002">
        <v>52.461572879980302</v>
      </c>
      <c r="P1002">
        <v>-6.4328363960229396E-2</v>
      </c>
      <c r="Q1002">
        <v>9.0411423607076394E-2</v>
      </c>
      <c r="R1002">
        <v>0.98081891600196303</v>
      </c>
      <c r="S1002" t="s">
        <v>6585</v>
      </c>
      <c r="T1002" t="s">
        <v>11164</v>
      </c>
      <c r="U1002" t="s">
        <v>11164</v>
      </c>
      <c r="V1002" t="s">
        <v>11164</v>
      </c>
      <c r="W1002" t="s">
        <v>12146</v>
      </c>
      <c r="X1002">
        <v>3</v>
      </c>
      <c r="Y1002" t="s">
        <v>17676</v>
      </c>
      <c r="Z1002" t="s">
        <v>23152</v>
      </c>
      <c r="AA1002">
        <v>0.60357067247837437</v>
      </c>
      <c r="AB1002" t="str">
        <f>HYPERLINK("Melting_Curves/meltCurve_J3KNL3_CHID1.pdf", "Melting_Curves/meltCurve_J3KNL3_CHID1.pdf")</f>
        <v>Melting_Curves/meltCurve_J3KNL3_CHID1.pdf</v>
      </c>
    </row>
    <row r="1003" spans="1:28" x14ac:dyDescent="0.25">
      <c r="A1003" t="s">
        <v>1007</v>
      </c>
      <c r="B1003">
        <v>0.99796759195183404</v>
      </c>
      <c r="C1003">
        <v>1.0160791179316599</v>
      </c>
      <c r="D1003">
        <v>0.93243403429496796</v>
      </c>
      <c r="E1003">
        <v>0.775756059928014</v>
      </c>
      <c r="F1003">
        <v>0.73643172002194002</v>
      </c>
      <c r="G1003">
        <v>0.52578687021576298</v>
      </c>
      <c r="H1003">
        <v>0.47721018571869001</v>
      </c>
      <c r="I1003">
        <v>0.367335925428595</v>
      </c>
      <c r="J1003">
        <v>0.329638825129835</v>
      </c>
      <c r="K1003">
        <v>0.207597888043832</v>
      </c>
      <c r="L1003">
        <v>464.55620046365499</v>
      </c>
      <c r="M1003">
        <v>8.5301269863495097</v>
      </c>
      <c r="N1003">
        <v>55.879395821526302</v>
      </c>
      <c r="O1003">
        <v>51.7150560647056</v>
      </c>
      <c r="P1003">
        <v>-3.72543466725355E-2</v>
      </c>
      <c r="Q1003">
        <v>9.7364375733970193E-2</v>
      </c>
      <c r="R1003">
        <v>0.98325810840869898</v>
      </c>
      <c r="S1003" t="s">
        <v>6586</v>
      </c>
      <c r="T1003" t="s">
        <v>11164</v>
      </c>
      <c r="U1003" t="s">
        <v>11164</v>
      </c>
      <c r="V1003" t="s">
        <v>11164</v>
      </c>
      <c r="W1003" t="s">
        <v>12147</v>
      </c>
      <c r="X1003">
        <v>11</v>
      </c>
      <c r="Y1003" t="s">
        <v>17677</v>
      </c>
      <c r="Z1003" t="s">
        <v>23153</v>
      </c>
      <c r="AA1003">
        <v>0.63406009672087393</v>
      </c>
      <c r="AB1003" t="str">
        <f>HYPERLINK("Melting_Curves/meltCurve_J3KNL6_SEC16A.pdf", "Melting_Curves/meltCurve_J3KNL6_SEC16A.pdf")</f>
        <v>Melting_Curves/meltCurve_J3KNL6_SEC16A.pdf</v>
      </c>
    </row>
    <row r="1004" spans="1:28" x14ac:dyDescent="0.25">
      <c r="A1004" t="s">
        <v>1008</v>
      </c>
      <c r="B1004">
        <v>0.99796759195183404</v>
      </c>
      <c r="C1004">
        <v>0.93465991036486096</v>
      </c>
      <c r="D1004">
        <v>0.94249478707576095</v>
      </c>
      <c r="E1004">
        <v>0.95056141379213199</v>
      </c>
      <c r="F1004">
        <v>0.684848683969699</v>
      </c>
      <c r="G1004">
        <v>0.21010955754568</v>
      </c>
      <c r="H1004">
        <v>0.12480951644888599</v>
      </c>
      <c r="I1004">
        <v>0.11537262184085401</v>
      </c>
      <c r="J1004">
        <v>0.109612988063036</v>
      </c>
      <c r="K1004">
        <v>7.8328457368478502E-2</v>
      </c>
      <c r="L1004">
        <v>1831.59672664648</v>
      </c>
      <c r="M1004">
        <v>35.906474791793997</v>
      </c>
      <c r="N1004">
        <v>51.330009157512301</v>
      </c>
      <c r="O1004">
        <v>50.852754433976997</v>
      </c>
      <c r="P1004">
        <v>-0.15882933907789901</v>
      </c>
      <c r="Q1004">
        <v>0.10023084054755201</v>
      </c>
      <c r="R1004">
        <v>0.99437105770632295</v>
      </c>
      <c r="S1004" t="s">
        <v>6587</v>
      </c>
      <c r="T1004" t="s">
        <v>11164</v>
      </c>
      <c r="U1004" t="s">
        <v>11164</v>
      </c>
      <c r="V1004" t="s">
        <v>11164</v>
      </c>
      <c r="W1004" t="s">
        <v>12148</v>
      </c>
      <c r="X1004">
        <v>7</v>
      </c>
      <c r="Y1004" t="s">
        <v>17678</v>
      </c>
      <c r="Z1004" t="s">
        <v>23154</v>
      </c>
      <c r="AA1004">
        <v>0.52436098846542267</v>
      </c>
      <c r="AB1004" t="str">
        <f>HYPERLINK("Melting_Curves/meltCurve_J3KNL9_ZFYVE1.pdf", "Melting_Curves/meltCurve_J3KNL9_ZFYVE1.pdf")</f>
        <v>Melting_Curves/meltCurve_J3KNL9_ZFYVE1.pdf</v>
      </c>
    </row>
    <row r="1005" spans="1:28" x14ac:dyDescent="0.25">
      <c r="A1005" t="s">
        <v>1009</v>
      </c>
      <c r="B1005">
        <v>0.99796759195183404</v>
      </c>
      <c r="C1005">
        <v>1.0583296454150799</v>
      </c>
      <c r="D1005">
        <v>0.97620388432642802</v>
      </c>
      <c r="E1005">
        <v>1.01993041558416</v>
      </c>
      <c r="F1005">
        <v>0.76192586885494695</v>
      </c>
      <c r="G1005">
        <v>0.65145327976499201</v>
      </c>
      <c r="H1005">
        <v>0.53879761103072799</v>
      </c>
      <c r="I1005">
        <v>0.31476229767162101</v>
      </c>
      <c r="J1005">
        <v>9.8367880820754094E-2</v>
      </c>
      <c r="K1005">
        <v>0.17650125001075201</v>
      </c>
      <c r="L1005">
        <v>711.92236221586802</v>
      </c>
      <c r="M1005">
        <v>12.5207838737676</v>
      </c>
      <c r="N1005">
        <v>56.859248699019801</v>
      </c>
      <c r="O1005">
        <v>55.467303305230502</v>
      </c>
      <c r="P1005">
        <v>-5.6444712389525399E-2</v>
      </c>
      <c r="Q1005">
        <v>0</v>
      </c>
      <c r="R1005">
        <v>0.97211866015285697</v>
      </c>
      <c r="S1005" t="s">
        <v>6588</v>
      </c>
      <c r="T1005" t="s">
        <v>11164</v>
      </c>
      <c r="U1005" t="s">
        <v>11164</v>
      </c>
      <c r="V1005" t="s">
        <v>11164</v>
      </c>
      <c r="W1005" t="s">
        <v>12149</v>
      </c>
      <c r="X1005">
        <v>3</v>
      </c>
      <c r="Y1005" t="s">
        <v>17679</v>
      </c>
      <c r="Z1005" t="s">
        <v>23155</v>
      </c>
      <c r="AA1005">
        <v>0.66827153596752809</v>
      </c>
      <c r="AB1005" t="str">
        <f>HYPERLINK("Melting_Curves/meltCurve_J3KNN3_PHKG2.pdf", "Melting_Curves/meltCurve_J3KNN3_PHKG2.pdf")</f>
        <v>Melting_Curves/meltCurve_J3KNN3_PHKG2.pdf</v>
      </c>
    </row>
    <row r="1006" spans="1:28" x14ac:dyDescent="0.25">
      <c r="A1006" t="s">
        <v>1010</v>
      </c>
      <c r="B1006">
        <v>0.99796759195183404</v>
      </c>
      <c r="C1006">
        <v>1.0449164196785601</v>
      </c>
      <c r="D1006">
        <v>0.85439151235716604</v>
      </c>
      <c r="E1006">
        <v>0.67572485677238503</v>
      </c>
      <c r="F1006">
        <v>0.64220443531676197</v>
      </c>
      <c r="G1006">
        <v>0.36526794603955998</v>
      </c>
      <c r="H1006">
        <v>0.33150025425795299</v>
      </c>
      <c r="I1006">
        <v>0.20949788255437701</v>
      </c>
      <c r="J1006">
        <v>0.21985274193428</v>
      </c>
      <c r="K1006">
        <v>0.20957010468769099</v>
      </c>
      <c r="L1006">
        <v>582.21557230048802</v>
      </c>
      <c r="M1006">
        <v>11.6823385646891</v>
      </c>
      <c r="N1006">
        <v>51.491104417980999</v>
      </c>
      <c r="O1006">
        <v>48.444131090996201</v>
      </c>
      <c r="P1006">
        <v>-5.08702704556485E-2</v>
      </c>
      <c r="Q1006">
        <v>0.15643357737536501</v>
      </c>
      <c r="R1006">
        <v>0.97583710955758496</v>
      </c>
      <c r="S1006" t="s">
        <v>6589</v>
      </c>
      <c r="T1006" t="s">
        <v>11164</v>
      </c>
      <c r="U1006" t="s">
        <v>11164</v>
      </c>
      <c r="V1006" t="s">
        <v>11164</v>
      </c>
      <c r="W1006" t="s">
        <v>12150</v>
      </c>
      <c r="X1006">
        <v>1</v>
      </c>
      <c r="Y1006" t="s">
        <v>17680</v>
      </c>
      <c r="Z1006" t="s">
        <v>23156</v>
      </c>
      <c r="AA1006">
        <v>0.54203124988761642</v>
      </c>
      <c r="AB1006" t="str">
        <f>HYPERLINK("Melting_Curves/meltCurve_J3KNN5_DDX41.pdf", "Melting_Curves/meltCurve_J3KNN5_DDX41.pdf")</f>
        <v>Melting_Curves/meltCurve_J3KNN5_DDX41.pdf</v>
      </c>
    </row>
    <row r="1007" spans="1:28" x14ac:dyDescent="0.25">
      <c r="A1007" t="s">
        <v>1011</v>
      </c>
      <c r="B1007">
        <v>0.99796759195183404</v>
      </c>
      <c r="C1007">
        <v>0.98127194288575803</v>
      </c>
      <c r="D1007">
        <v>0.991696454157727</v>
      </c>
      <c r="E1007">
        <v>1.0530620160814499</v>
      </c>
      <c r="F1007">
        <v>0.90597885321891802</v>
      </c>
      <c r="G1007">
        <v>0.35388850433094898</v>
      </c>
      <c r="H1007">
        <v>0.27368338783759899</v>
      </c>
      <c r="I1007">
        <v>0.20944965935552901</v>
      </c>
      <c r="J1007">
        <v>0.17341619494499599</v>
      </c>
      <c r="K1007">
        <v>0.123907611944248</v>
      </c>
      <c r="L1007">
        <v>2435.5473100977601</v>
      </c>
      <c r="M1007">
        <v>46.552755995385702</v>
      </c>
      <c r="N1007">
        <v>52.8580829762872</v>
      </c>
      <c r="O1007">
        <v>52.221735151057501</v>
      </c>
      <c r="P1007">
        <v>-0.18068243547510801</v>
      </c>
      <c r="Q1007">
        <v>0.18926048436252099</v>
      </c>
      <c r="R1007">
        <v>0.99076811885365901</v>
      </c>
      <c r="S1007" t="s">
        <v>6590</v>
      </c>
      <c r="T1007" t="s">
        <v>11164</v>
      </c>
      <c r="U1007" t="s">
        <v>11164</v>
      </c>
      <c r="V1007" t="s">
        <v>11164</v>
      </c>
      <c r="W1007" t="s">
        <v>12151</v>
      </c>
      <c r="X1007">
        <v>3</v>
      </c>
      <c r="Y1007" t="s">
        <v>17681</v>
      </c>
      <c r="Z1007" t="s">
        <v>23157</v>
      </c>
      <c r="AA1007">
        <v>0.60538247915062926</v>
      </c>
      <c r="AB1007" t="str">
        <f>HYPERLINK("Melting_Curves/meltCurve_J3KNN7_BRAP.pdf", "Melting_Curves/meltCurve_J3KNN7_BRAP.pdf")</f>
        <v>Melting_Curves/meltCurve_J3KNN7_BRAP.pdf</v>
      </c>
    </row>
    <row r="1008" spans="1:28" x14ac:dyDescent="0.25">
      <c r="A1008" t="s">
        <v>1012</v>
      </c>
      <c r="B1008">
        <v>0.99796759195183404</v>
      </c>
      <c r="C1008">
        <v>1.1046710099722401</v>
      </c>
      <c r="D1008">
        <v>0.82290134915156998</v>
      </c>
      <c r="E1008">
        <v>0.68902868798416195</v>
      </c>
      <c r="F1008">
        <v>0.76135261280021105</v>
      </c>
      <c r="G1008">
        <v>0.29738855627802202</v>
      </c>
      <c r="H1008">
        <v>0.30506192357929501</v>
      </c>
      <c r="I1008">
        <v>0.15592250147032299</v>
      </c>
      <c r="J1008">
        <v>0.21509012291851201</v>
      </c>
      <c r="K1008">
        <v>0.124799866404806</v>
      </c>
      <c r="L1008">
        <v>602.05781863012999</v>
      </c>
      <c r="M1008">
        <v>11.778505421429299</v>
      </c>
      <c r="N1008">
        <v>51.907636772730697</v>
      </c>
      <c r="O1008">
        <v>49.708314173281302</v>
      </c>
      <c r="P1008">
        <v>-5.4376373412738203E-2</v>
      </c>
      <c r="Q1008">
        <v>8.2308803086536306E-2</v>
      </c>
      <c r="R1008">
        <v>0.93260354416526403</v>
      </c>
      <c r="S1008" t="s">
        <v>6591</v>
      </c>
      <c r="T1008" t="s">
        <v>11164</v>
      </c>
      <c r="U1008" t="s">
        <v>11164</v>
      </c>
      <c r="V1008" t="s">
        <v>11164</v>
      </c>
      <c r="W1008" t="s">
        <v>12152</v>
      </c>
      <c r="X1008">
        <v>2</v>
      </c>
      <c r="Y1008" t="s">
        <v>17682</v>
      </c>
      <c r="Z1008" t="s">
        <v>23158</v>
      </c>
      <c r="AA1008">
        <v>0.53817345432850794</v>
      </c>
      <c r="AB1008" t="str">
        <f>HYPERLINK("Melting_Curves/meltCurve_J3KNQ1_ZFP1.pdf", "Melting_Curves/meltCurve_J3KNQ1_ZFP1.pdf")</f>
        <v>Melting_Curves/meltCurve_J3KNQ1_ZFP1.pdf</v>
      </c>
    </row>
    <row r="1009" spans="1:28" x14ac:dyDescent="0.25">
      <c r="A1009" t="s">
        <v>1013</v>
      </c>
      <c r="B1009">
        <v>0.99796759195183404</v>
      </c>
      <c r="C1009">
        <v>1.2917955020807399</v>
      </c>
      <c r="D1009">
        <v>1.19688665834474</v>
      </c>
      <c r="E1009">
        <v>1.16374445254001</v>
      </c>
      <c r="F1009">
        <v>1.03245960209673</v>
      </c>
      <c r="G1009">
        <v>0.40316388189476199</v>
      </c>
      <c r="H1009">
        <v>0.212314873038006</v>
      </c>
      <c r="I1009">
        <v>0.27265944316797602</v>
      </c>
      <c r="J1009">
        <v>0.10964753197159099</v>
      </c>
      <c r="K1009">
        <v>6.4025627185390704E-2</v>
      </c>
      <c r="L1009">
        <v>9321.3948733639609</v>
      </c>
      <c r="M1009">
        <v>174.17736420514399</v>
      </c>
      <c r="N1009">
        <v>53.639702048680199</v>
      </c>
      <c r="O1009">
        <v>53.509623280399801</v>
      </c>
      <c r="P1009">
        <v>-0.67977184463547302</v>
      </c>
      <c r="Q1009">
        <v>0.164659790885375</v>
      </c>
      <c r="R1009">
        <v>0.92108277709139297</v>
      </c>
      <c r="S1009" t="s">
        <v>6592</v>
      </c>
      <c r="T1009" t="s">
        <v>11164</v>
      </c>
      <c r="U1009" t="s">
        <v>11164</v>
      </c>
      <c r="V1009" t="s">
        <v>11164</v>
      </c>
      <c r="W1009" t="s">
        <v>12153</v>
      </c>
      <c r="X1009">
        <v>3</v>
      </c>
      <c r="Y1009" t="s">
        <v>17683</v>
      </c>
      <c r="Z1009" t="s">
        <v>23159</v>
      </c>
      <c r="AA1009">
        <v>0.62472312066863578</v>
      </c>
      <c r="AB1009" t="str">
        <f>HYPERLINK("Melting_Curves/meltCurve_J3KNR0_MARK3.pdf", "Melting_Curves/meltCurve_J3KNR0_MARK3.pdf")</f>
        <v>Melting_Curves/meltCurve_J3KNR0_MARK3.pdf</v>
      </c>
    </row>
    <row r="1010" spans="1:28" x14ac:dyDescent="0.25">
      <c r="A1010" t="s">
        <v>1014</v>
      </c>
      <c r="B1010">
        <v>0.99796759195183404</v>
      </c>
      <c r="C1010">
        <v>1.0879117892291299</v>
      </c>
      <c r="D1010">
        <v>1.01828669987413</v>
      </c>
      <c r="E1010">
        <v>0.98084579998414101</v>
      </c>
      <c r="F1010">
        <v>0.93984673464769897</v>
      </c>
      <c r="G1010">
        <v>0.583460653859598</v>
      </c>
      <c r="H1010">
        <v>0.28373867873241099</v>
      </c>
      <c r="I1010">
        <v>0.20170500658551799</v>
      </c>
      <c r="J1010">
        <v>0.191356998346806</v>
      </c>
      <c r="K1010">
        <v>9.9638876915720404E-2</v>
      </c>
      <c r="L1010">
        <v>1573.7956103930801</v>
      </c>
      <c r="M1010">
        <v>29.145679726011601</v>
      </c>
      <c r="N1010">
        <v>54.668804060416299</v>
      </c>
      <c r="O1010">
        <v>53.745274651581497</v>
      </c>
      <c r="P1010">
        <v>-0.115181823330841</v>
      </c>
      <c r="Q1010">
        <v>0.15041495714572201</v>
      </c>
      <c r="R1010">
        <v>0.99097926200728403</v>
      </c>
      <c r="S1010" t="s">
        <v>6593</v>
      </c>
      <c r="T1010" t="s">
        <v>11164</v>
      </c>
      <c r="U1010" t="s">
        <v>11164</v>
      </c>
      <c r="V1010" t="s">
        <v>11164</v>
      </c>
      <c r="W1010" t="s">
        <v>12154</v>
      </c>
      <c r="X1010">
        <v>3</v>
      </c>
      <c r="Y1010" t="s">
        <v>17684</v>
      </c>
      <c r="Z1010" t="s">
        <v>23160</v>
      </c>
      <c r="AA1010">
        <v>0.6374902141310812</v>
      </c>
      <c r="AB1010" t="str">
        <f>HYPERLINK("Melting_Curves/meltCurve_J3KNU8_ALDH6A1.pdf", "Melting_Curves/meltCurve_J3KNU8_ALDH6A1.pdf")</f>
        <v>Melting_Curves/meltCurve_J3KNU8_ALDH6A1.pdf</v>
      </c>
    </row>
    <row r="1011" spans="1:28" x14ac:dyDescent="0.25">
      <c r="A1011" t="s">
        <v>1015</v>
      </c>
      <c r="B1011">
        <v>0.99796759195183404</v>
      </c>
      <c r="C1011">
        <v>0.99930502061186599</v>
      </c>
      <c r="D1011">
        <v>0.99327580122859604</v>
      </c>
      <c r="E1011">
        <v>0.943224563597582</v>
      </c>
      <c r="F1011">
        <v>0.86773537963888403</v>
      </c>
      <c r="G1011">
        <v>0.82481543274072699</v>
      </c>
      <c r="H1011">
        <v>0.70960410072094204</v>
      </c>
      <c r="I1011">
        <v>0.560686239811783</v>
      </c>
      <c r="J1011">
        <v>0.66454220205164005</v>
      </c>
      <c r="K1011">
        <v>0.53478095161278105</v>
      </c>
      <c r="L1011">
        <v>648.05705829434703</v>
      </c>
      <c r="M1011">
        <v>11.689360149972501</v>
      </c>
      <c r="O1011">
        <v>53.891943161210001</v>
      </c>
      <c r="P1011">
        <v>-2.69606066980215E-2</v>
      </c>
      <c r="Q1011">
        <v>0.502942071887443</v>
      </c>
      <c r="R1011">
        <v>0.95634210451468105</v>
      </c>
      <c r="S1011" t="s">
        <v>6594</v>
      </c>
      <c r="T1011" t="s">
        <v>11164</v>
      </c>
      <c r="U1011" t="s">
        <v>11164</v>
      </c>
      <c r="V1011" t="s">
        <v>11164</v>
      </c>
      <c r="W1011" t="s">
        <v>12155</v>
      </c>
      <c r="X1011">
        <v>9</v>
      </c>
      <c r="Y1011" t="s">
        <v>17685</v>
      </c>
      <c r="Z1011" t="s">
        <v>23161</v>
      </c>
      <c r="AA1011">
        <v>0.81446688033911785</v>
      </c>
      <c r="AB1011" t="str">
        <f>HYPERLINK("Melting_Curves/meltCurve_J3KNW4_FHL2.pdf", "Melting_Curves/meltCurve_J3KNW4_FHL2.pdf")</f>
        <v>Melting_Curves/meltCurve_J3KNW4_FHL2.pdf</v>
      </c>
    </row>
    <row r="1012" spans="1:28" x14ac:dyDescent="0.25">
      <c r="A1012" t="s">
        <v>1016</v>
      </c>
      <c r="B1012">
        <v>0.99796759195183404</v>
      </c>
      <c r="C1012">
        <v>1.0189344799989</v>
      </c>
      <c r="D1012">
        <v>0.992129939784966</v>
      </c>
      <c r="E1012">
        <v>0.93793105749368799</v>
      </c>
      <c r="F1012">
        <v>0.73317964682662196</v>
      </c>
      <c r="G1012">
        <v>0.61436214431256697</v>
      </c>
      <c r="H1012">
        <v>0.39522160515250199</v>
      </c>
      <c r="I1012">
        <v>0.29282906441866702</v>
      </c>
      <c r="J1012">
        <v>0.32754959811907502</v>
      </c>
      <c r="K1012">
        <v>0.50226674868736698</v>
      </c>
      <c r="L1012">
        <v>1081.4427602532401</v>
      </c>
      <c r="M1012">
        <v>21.001904157033199</v>
      </c>
      <c r="N1012">
        <v>54.896888071659298</v>
      </c>
      <c r="O1012">
        <v>51.032574156949899</v>
      </c>
      <c r="P1012">
        <v>-6.5430682357364697E-2</v>
      </c>
      <c r="Q1012">
        <v>0.36405641285818602</v>
      </c>
      <c r="R1012">
        <v>0.95350064143425906</v>
      </c>
      <c r="S1012" t="s">
        <v>6595</v>
      </c>
      <c r="T1012" t="s">
        <v>11164</v>
      </c>
      <c r="U1012" t="s">
        <v>11164</v>
      </c>
      <c r="V1012" t="s">
        <v>11164</v>
      </c>
      <c r="W1012" t="s">
        <v>12156</v>
      </c>
      <c r="X1012">
        <v>10</v>
      </c>
      <c r="Y1012" t="s">
        <v>17686</v>
      </c>
      <c r="Z1012" t="s">
        <v>23162</v>
      </c>
      <c r="AA1012">
        <v>0.67891213399368688</v>
      </c>
      <c r="AB1012" t="str">
        <f>HYPERLINK("Melting_Curves/meltCurve_J3KP15_SRSF2.pdf", "Melting_Curves/meltCurve_J3KP15_SRSF2.pdf")</f>
        <v>Melting_Curves/meltCurve_J3KP15_SRSF2.pdf</v>
      </c>
    </row>
    <row r="1013" spans="1:28" x14ac:dyDescent="0.25">
      <c r="A1013" t="s">
        <v>1017</v>
      </c>
      <c r="B1013">
        <v>0.99796759195183404</v>
      </c>
      <c r="C1013">
        <v>0.86834922238692702</v>
      </c>
      <c r="D1013">
        <v>0.88753037495039899</v>
      </c>
      <c r="E1013">
        <v>1.0906111593433601</v>
      </c>
      <c r="F1013">
        <v>0.88842577916455201</v>
      </c>
      <c r="G1013">
        <v>0.60795663454636295</v>
      </c>
      <c r="H1013">
        <v>0.39752067618074499</v>
      </c>
      <c r="I1013">
        <v>0.40181507061875099</v>
      </c>
      <c r="J1013">
        <v>0.31196190796236201</v>
      </c>
      <c r="K1013">
        <v>0.23678247319733101</v>
      </c>
      <c r="L1013">
        <v>1394.7658804318801</v>
      </c>
      <c r="M1013">
        <v>26.082505125856599</v>
      </c>
      <c r="N1013">
        <v>55.419698697914697</v>
      </c>
      <c r="O1013">
        <v>53.163763016810002</v>
      </c>
      <c r="P1013">
        <v>-8.5884545818478195E-2</v>
      </c>
      <c r="Q1013">
        <v>0.299776652166928</v>
      </c>
      <c r="R1013">
        <v>0.94227575471231995</v>
      </c>
      <c r="S1013" t="s">
        <v>6596</v>
      </c>
      <c r="T1013" t="s">
        <v>11164</v>
      </c>
      <c r="U1013" t="s">
        <v>11164</v>
      </c>
      <c r="V1013" t="s">
        <v>11164</v>
      </c>
      <c r="W1013" t="s">
        <v>12157</v>
      </c>
      <c r="X1013">
        <v>2</v>
      </c>
      <c r="Y1013" t="s">
        <v>17687</v>
      </c>
      <c r="Z1013" t="s">
        <v>23163</v>
      </c>
      <c r="AA1013">
        <v>0.69005310534930508</v>
      </c>
      <c r="AB1013" t="str">
        <f>HYPERLINK("Melting_Curves/meltCurve_J3KP22_PTPRA.pdf", "Melting_Curves/meltCurve_J3KP22_PTPRA.pdf")</f>
        <v>Melting_Curves/meltCurve_J3KP22_PTPRA.pdf</v>
      </c>
    </row>
    <row r="1014" spans="1:28" x14ac:dyDescent="0.25">
      <c r="A1014" t="s">
        <v>1018</v>
      </c>
      <c r="B1014">
        <v>0.99796759195183404</v>
      </c>
      <c r="C1014">
        <v>0.89846564107535398</v>
      </c>
      <c r="D1014">
        <v>0.86407530594816395</v>
      </c>
      <c r="E1014">
        <v>0.75659393543479303</v>
      </c>
      <c r="F1014">
        <v>0.63168459535752397</v>
      </c>
      <c r="G1014">
        <v>0.43782258474095198</v>
      </c>
      <c r="H1014">
        <v>0.264262762292584</v>
      </c>
      <c r="I1014">
        <v>0.230664613587798</v>
      </c>
      <c r="J1014">
        <v>0.15357111150314301</v>
      </c>
      <c r="K1014">
        <v>0.10979456204228701</v>
      </c>
      <c r="L1014">
        <v>481.14495724872103</v>
      </c>
      <c r="M1014">
        <v>9.2033490177744</v>
      </c>
      <c r="N1014">
        <v>52.279333988767497</v>
      </c>
      <c r="O1014">
        <v>49.9887151588837</v>
      </c>
      <c r="P1014">
        <v>-4.6057845237742499E-2</v>
      </c>
      <c r="Q1014">
        <v>0</v>
      </c>
      <c r="R1014">
        <v>0.99370418766615198</v>
      </c>
      <c r="S1014" t="s">
        <v>6597</v>
      </c>
      <c r="T1014" t="s">
        <v>11164</v>
      </c>
      <c r="U1014" t="s">
        <v>11164</v>
      </c>
      <c r="V1014" t="s">
        <v>11164</v>
      </c>
      <c r="W1014" t="s">
        <v>12158</v>
      </c>
      <c r="X1014">
        <v>9</v>
      </c>
      <c r="Y1014" t="s">
        <v>17688</v>
      </c>
      <c r="Z1014" t="s">
        <v>23164</v>
      </c>
      <c r="AA1014">
        <v>0.5355288171741468</v>
      </c>
      <c r="AB1014" t="str">
        <f>HYPERLINK("Melting_Curves/meltCurve_J3KP29_NUP98.pdf", "Melting_Curves/meltCurve_J3KP29_NUP98.pdf")</f>
        <v>Melting_Curves/meltCurve_J3KP29_NUP98.pdf</v>
      </c>
    </row>
    <row r="1015" spans="1:28" x14ac:dyDescent="0.25">
      <c r="A1015" t="s">
        <v>1019</v>
      </c>
      <c r="B1015">
        <v>0.99796759195183404</v>
      </c>
      <c r="C1015">
        <v>0.84323176867401595</v>
      </c>
      <c r="D1015">
        <v>1.0306945646885901</v>
      </c>
      <c r="E1015">
        <v>0.79771983139382496</v>
      </c>
      <c r="F1015">
        <v>0.59095350309899697</v>
      </c>
      <c r="G1015">
        <v>0.46540891882097801</v>
      </c>
      <c r="H1015">
        <v>0.31535440056278302</v>
      </c>
      <c r="I1015">
        <v>0.23800099879449799</v>
      </c>
      <c r="J1015">
        <v>0.25307032800887502</v>
      </c>
      <c r="K1015">
        <v>2.7917101399336602E-2</v>
      </c>
      <c r="L1015">
        <v>517.14949882091798</v>
      </c>
      <c r="M1015">
        <v>9.7420903500126705</v>
      </c>
      <c r="N1015">
        <v>53.084028210097998</v>
      </c>
      <c r="O1015">
        <v>50.992208188387202</v>
      </c>
      <c r="P1015">
        <v>-4.7788310461979101E-2</v>
      </c>
      <c r="Q1015">
        <v>0</v>
      </c>
      <c r="R1015">
        <v>0.95572198809638498</v>
      </c>
      <c r="S1015" t="s">
        <v>6598</v>
      </c>
      <c r="T1015" t="s">
        <v>11164</v>
      </c>
      <c r="U1015" t="s">
        <v>11164</v>
      </c>
      <c r="V1015" t="s">
        <v>11164</v>
      </c>
      <c r="W1015" t="s">
        <v>12159</v>
      </c>
      <c r="X1015">
        <v>3</v>
      </c>
      <c r="Y1015" t="s">
        <v>17689</v>
      </c>
      <c r="Z1015" t="s">
        <v>23165</v>
      </c>
      <c r="AA1015">
        <v>0.55818720553384604</v>
      </c>
      <c r="AB1015" t="str">
        <f>HYPERLINK("Melting_Curves/meltCurve_J3KP30_DNTTIP2.pdf", "Melting_Curves/meltCurve_J3KP30_DNTTIP2.pdf")</f>
        <v>Melting_Curves/meltCurve_J3KP30_DNTTIP2.pdf</v>
      </c>
    </row>
    <row r="1016" spans="1:28" x14ac:dyDescent="0.25">
      <c r="A1016" t="s">
        <v>1020</v>
      </c>
      <c r="B1016">
        <v>0.99796759195183404</v>
      </c>
      <c r="C1016">
        <v>0.91107576059088502</v>
      </c>
      <c r="D1016">
        <v>0.94582763576237305</v>
      </c>
      <c r="E1016">
        <v>0.86871336959787904</v>
      </c>
      <c r="F1016">
        <v>0.91082332687477696</v>
      </c>
      <c r="G1016">
        <v>0.48657142645711599</v>
      </c>
      <c r="H1016">
        <v>0.35935687035973601</v>
      </c>
      <c r="I1016">
        <v>0.26864510669050201</v>
      </c>
      <c r="J1016">
        <v>0.10200840247993501</v>
      </c>
      <c r="K1016">
        <v>0.133822103981416</v>
      </c>
      <c r="L1016">
        <v>868.20028816409194</v>
      </c>
      <c r="M1016">
        <v>16.026008729895899</v>
      </c>
      <c r="N1016">
        <v>54.789967425676302</v>
      </c>
      <c r="O1016">
        <v>53.352003253826503</v>
      </c>
      <c r="P1016">
        <v>-6.8914618547592094E-2</v>
      </c>
      <c r="Q1016">
        <v>8.2380241840917898E-2</v>
      </c>
      <c r="R1016">
        <v>0.96754819961650695</v>
      </c>
      <c r="S1016" t="s">
        <v>6599</v>
      </c>
      <c r="T1016" t="s">
        <v>11164</v>
      </c>
      <c r="U1016" t="s">
        <v>11164</v>
      </c>
      <c r="V1016" t="s">
        <v>11164</v>
      </c>
      <c r="W1016" t="s">
        <v>12160</v>
      </c>
      <c r="X1016">
        <v>1</v>
      </c>
      <c r="Y1016" t="s">
        <v>17690</v>
      </c>
      <c r="Z1016" t="s">
        <v>23166</v>
      </c>
      <c r="AA1016">
        <v>0.62156018903278487</v>
      </c>
      <c r="AB1016" t="str">
        <f>HYPERLINK("Melting_Curves/meltCurve_J3KP68_ETNK2.pdf", "Melting_Curves/meltCurve_J3KP68_ETNK2.pdf")</f>
        <v>Melting_Curves/meltCurve_J3KP68_ETNK2.pdf</v>
      </c>
    </row>
    <row r="1017" spans="1:28" x14ac:dyDescent="0.25">
      <c r="A1017" t="s">
        <v>1021</v>
      </c>
      <c r="B1017">
        <v>0.99796759195183404</v>
      </c>
      <c r="C1017">
        <v>1.04375321662455</v>
      </c>
      <c r="D1017">
        <v>0.89669415167302502</v>
      </c>
      <c r="E1017">
        <v>0.93368028248711699</v>
      </c>
      <c r="F1017">
        <v>0.83488703450601698</v>
      </c>
      <c r="G1017">
        <v>1.0041509577172401</v>
      </c>
      <c r="H1017">
        <v>0.93108211545905395</v>
      </c>
      <c r="I1017">
        <v>0.83347969215578299</v>
      </c>
      <c r="J1017">
        <v>0.82853272102146303</v>
      </c>
      <c r="K1017">
        <v>0.54233640904213698</v>
      </c>
      <c r="L1017">
        <v>1067.0649785523799</v>
      </c>
      <c r="M1017">
        <v>15.5800805954882</v>
      </c>
      <c r="Q1017">
        <v>0</v>
      </c>
      <c r="R1017">
        <v>0.70255767599658003</v>
      </c>
      <c r="S1017" t="s">
        <v>6600</v>
      </c>
      <c r="T1017" t="s">
        <v>11164</v>
      </c>
      <c r="U1017" t="s">
        <v>11164</v>
      </c>
      <c r="V1017" t="s">
        <v>11164</v>
      </c>
      <c r="W1017" t="s">
        <v>12161</v>
      </c>
      <c r="X1017">
        <v>5</v>
      </c>
      <c r="Y1017" t="s">
        <v>17691</v>
      </c>
      <c r="Z1017" t="s">
        <v>23167</v>
      </c>
      <c r="AA1017">
        <v>0.93400266474242555</v>
      </c>
      <c r="AB1017" t="str">
        <f>HYPERLINK("Melting_Curves/meltCurve_J3KP75_PHACTR2.pdf", "Melting_Curves/meltCurve_J3KP75_PHACTR2.pdf")</f>
        <v>Melting_Curves/meltCurve_J3KP75_PHACTR2.pdf</v>
      </c>
    </row>
    <row r="1018" spans="1:28" x14ac:dyDescent="0.25">
      <c r="A1018" t="s">
        <v>1022</v>
      </c>
      <c r="B1018">
        <v>0.99796759195183404</v>
      </c>
      <c r="C1018">
        <v>0.987291024991928</v>
      </c>
      <c r="D1018">
        <v>0.95787762465761594</v>
      </c>
      <c r="E1018">
        <v>0.90414583317433195</v>
      </c>
      <c r="F1018">
        <v>0.79860097899230398</v>
      </c>
      <c r="G1018">
        <v>0.53785836611642202</v>
      </c>
      <c r="H1018">
        <v>0.34110146394862001</v>
      </c>
      <c r="I1018">
        <v>0.34861036317016603</v>
      </c>
      <c r="J1018">
        <v>0.15435290074840299</v>
      </c>
      <c r="K1018">
        <v>0.13876138124180701</v>
      </c>
      <c r="L1018">
        <v>714.31541324685895</v>
      </c>
      <c r="M1018">
        <v>13.1722553390941</v>
      </c>
      <c r="N1018">
        <v>54.987664161792701</v>
      </c>
      <c r="O1018">
        <v>53.024612405161797</v>
      </c>
      <c r="P1018">
        <v>-5.69524027454201E-2</v>
      </c>
      <c r="Q1018">
        <v>8.3111401002780805E-2</v>
      </c>
      <c r="R1018">
        <v>0.98746404414487798</v>
      </c>
      <c r="S1018" t="s">
        <v>6601</v>
      </c>
      <c r="T1018" t="s">
        <v>11164</v>
      </c>
      <c r="U1018" t="s">
        <v>11164</v>
      </c>
      <c r="V1018" t="s">
        <v>11164</v>
      </c>
      <c r="W1018" t="s">
        <v>12162</v>
      </c>
      <c r="X1018">
        <v>2</v>
      </c>
      <c r="Y1018" t="s">
        <v>17692</v>
      </c>
      <c r="Z1018" t="s">
        <v>23168</v>
      </c>
      <c r="AA1018">
        <v>0.62508075640787608</v>
      </c>
      <c r="AB1018" t="str">
        <f>HYPERLINK("Melting_Curves/meltCurve_J3KP99_HS6ST2.pdf", "Melting_Curves/meltCurve_J3KP99_HS6ST2.pdf")</f>
        <v>Melting_Curves/meltCurve_J3KP99_HS6ST2.pdf</v>
      </c>
    </row>
    <row r="1019" spans="1:28" x14ac:dyDescent="0.25">
      <c r="A1019" t="s">
        <v>1023</v>
      </c>
      <c r="B1019">
        <v>0.99796759195183404</v>
      </c>
      <c r="C1019">
        <v>1.07239083183221</v>
      </c>
      <c r="D1019">
        <v>1.04529409646378</v>
      </c>
      <c r="E1019">
        <v>1.0218830239046299</v>
      </c>
      <c r="F1019">
        <v>0.79266071240709002</v>
      </c>
      <c r="G1019">
        <v>0.48207537820796198</v>
      </c>
      <c r="H1019">
        <v>0.40432721884001999</v>
      </c>
      <c r="I1019">
        <v>0.28679097794897501</v>
      </c>
      <c r="J1019">
        <v>0.258714306550548</v>
      </c>
      <c r="K1019">
        <v>0.15312336347392</v>
      </c>
      <c r="L1019">
        <v>1099.1208611787999</v>
      </c>
      <c r="M1019">
        <v>20.8175469546206</v>
      </c>
      <c r="N1019">
        <v>54.2764271055742</v>
      </c>
      <c r="O1019">
        <v>52.317856971715898</v>
      </c>
      <c r="P1019">
        <v>-7.7949657582995602E-2</v>
      </c>
      <c r="Q1019">
        <v>0.21642153717722701</v>
      </c>
      <c r="R1019">
        <v>0.97900988218282503</v>
      </c>
      <c r="S1019" t="s">
        <v>6602</v>
      </c>
      <c r="T1019" t="s">
        <v>11164</v>
      </c>
      <c r="U1019" t="s">
        <v>11164</v>
      </c>
      <c r="V1019" t="s">
        <v>11164</v>
      </c>
      <c r="W1019" t="s">
        <v>12163</v>
      </c>
      <c r="X1019">
        <v>7</v>
      </c>
      <c r="Y1019" t="s">
        <v>17693</v>
      </c>
      <c r="Z1019" t="s">
        <v>23169</v>
      </c>
      <c r="AA1019">
        <v>0.6384019774507641</v>
      </c>
      <c r="AB1019" t="str">
        <f>HYPERLINK("Melting_Curves/meltCurve_J3KPF9_KIF3A.pdf", "Melting_Curves/meltCurve_J3KPF9_KIF3A.pdf")</f>
        <v>Melting_Curves/meltCurve_J3KPF9_KIF3A.pdf</v>
      </c>
    </row>
    <row r="1020" spans="1:28" x14ac:dyDescent="0.25">
      <c r="A1020" t="s">
        <v>1024</v>
      </c>
      <c r="B1020">
        <v>0.99796759195183404</v>
      </c>
      <c r="C1020">
        <v>0.94552082115147496</v>
      </c>
      <c r="D1020">
        <v>0.88640071929612196</v>
      </c>
      <c r="E1020">
        <v>0.74134305941464895</v>
      </c>
      <c r="F1020">
        <v>0.95722309240074399</v>
      </c>
      <c r="G1020">
        <v>0.62285233000183604</v>
      </c>
      <c r="H1020">
        <v>0.48078549999579101</v>
      </c>
      <c r="I1020">
        <v>0.33471389900486398</v>
      </c>
      <c r="J1020">
        <v>0.34559750595011102</v>
      </c>
      <c r="K1020">
        <v>0.13618965405771799</v>
      </c>
      <c r="L1020">
        <v>521.15686448954602</v>
      </c>
      <c r="M1020">
        <v>9.1060605720227397</v>
      </c>
      <c r="N1020">
        <v>57.231857334115404</v>
      </c>
      <c r="O1020">
        <v>54.674309614345198</v>
      </c>
      <c r="P1020">
        <v>-4.16666742020049E-2</v>
      </c>
      <c r="Q1020">
        <v>0</v>
      </c>
      <c r="R1020">
        <v>0.91771344951812095</v>
      </c>
      <c r="S1020" t="s">
        <v>6603</v>
      </c>
      <c r="T1020" t="s">
        <v>11164</v>
      </c>
      <c r="U1020" t="s">
        <v>11164</v>
      </c>
      <c r="V1020" t="s">
        <v>11164</v>
      </c>
      <c r="W1020" t="s">
        <v>12164</v>
      </c>
      <c r="X1020">
        <v>3</v>
      </c>
      <c r="Y1020" t="s">
        <v>17694</v>
      </c>
      <c r="Z1020" t="s">
        <v>23170</v>
      </c>
      <c r="AA1020">
        <v>0.667837665765735</v>
      </c>
      <c r="AB1020" t="str">
        <f>HYPERLINK("Melting_Curves/meltCurve_J3KPH8_HDAC7.pdf", "Melting_Curves/meltCurve_J3KPH8_HDAC7.pdf")</f>
        <v>Melting_Curves/meltCurve_J3KPH8_HDAC7.pdf</v>
      </c>
    </row>
    <row r="1021" spans="1:28" x14ac:dyDescent="0.25">
      <c r="A1021" t="s">
        <v>1025</v>
      </c>
      <c r="B1021">
        <v>0.99796759195183404</v>
      </c>
      <c r="C1021">
        <v>0.96017476903392196</v>
      </c>
      <c r="D1021">
        <v>0.94570308626043398</v>
      </c>
      <c r="E1021">
        <v>0.86253142039306796</v>
      </c>
      <c r="F1021">
        <v>0.61288028537285699</v>
      </c>
      <c r="G1021">
        <v>0.25305310661215502</v>
      </c>
      <c r="H1021">
        <v>0.15938234781956201</v>
      </c>
      <c r="I1021">
        <v>0.14285683679400801</v>
      </c>
      <c r="J1021">
        <v>0.100789866960492</v>
      </c>
      <c r="K1021">
        <v>0.11337206196682099</v>
      </c>
      <c r="L1021">
        <v>1126.1618463541399</v>
      </c>
      <c r="M1021">
        <v>22.3003745241516</v>
      </c>
      <c r="N1021">
        <v>51.030326161465801</v>
      </c>
      <c r="O1021">
        <v>50.0988601415606</v>
      </c>
      <c r="P1021">
        <v>-9.9768101596608594E-2</v>
      </c>
      <c r="Q1021">
        <v>0.103483680880316</v>
      </c>
      <c r="R1021">
        <v>0.99601982905233699</v>
      </c>
      <c r="S1021" t="s">
        <v>6604</v>
      </c>
      <c r="T1021" t="s">
        <v>11164</v>
      </c>
      <c r="U1021" t="s">
        <v>11164</v>
      </c>
      <c r="V1021" t="s">
        <v>11164</v>
      </c>
      <c r="W1021" t="s">
        <v>12165</v>
      </c>
      <c r="X1021">
        <v>8</v>
      </c>
      <c r="Y1021" t="s">
        <v>17695</v>
      </c>
      <c r="Z1021" t="s">
        <v>23171</v>
      </c>
      <c r="AA1021">
        <v>0.51663508962375315</v>
      </c>
      <c r="AB1021" t="str">
        <f>HYPERLINK("Melting_Curves/meltCurve_J3KPJ3_CAMKK1.pdf", "Melting_Curves/meltCurve_J3KPJ3_CAMKK1.pdf")</f>
        <v>Melting_Curves/meltCurve_J3KPJ3_CAMKK1.pdf</v>
      </c>
    </row>
    <row r="1022" spans="1:28" x14ac:dyDescent="0.25">
      <c r="A1022" t="s">
        <v>1026</v>
      </c>
      <c r="B1022">
        <v>0.99796759195183404</v>
      </c>
      <c r="C1022">
        <v>1.21535144076905</v>
      </c>
      <c r="D1022">
        <v>1.0016126909391001</v>
      </c>
      <c r="E1022">
        <v>0.80892461648998903</v>
      </c>
      <c r="F1022">
        <v>0.78871163783241005</v>
      </c>
      <c r="G1022">
        <v>0.64710610117547396</v>
      </c>
      <c r="H1022">
        <v>0.440396563619526</v>
      </c>
      <c r="I1022">
        <v>0.281113211510303</v>
      </c>
      <c r="J1022">
        <v>0.228136261632432</v>
      </c>
      <c r="K1022">
        <v>0.15542810096351101</v>
      </c>
      <c r="L1022">
        <v>633.47170062379701</v>
      </c>
      <c r="M1022">
        <v>11.3486811516337</v>
      </c>
      <c r="N1022">
        <v>56.153787072680501</v>
      </c>
      <c r="O1022">
        <v>54.170050040845098</v>
      </c>
      <c r="P1022">
        <v>-5.0676996373608098E-2</v>
      </c>
      <c r="Q1022">
        <v>3.2713898241370699E-2</v>
      </c>
      <c r="R1022">
        <v>0.94784536092711502</v>
      </c>
      <c r="S1022" t="s">
        <v>6605</v>
      </c>
      <c r="T1022" t="s">
        <v>11164</v>
      </c>
      <c r="U1022" t="s">
        <v>11164</v>
      </c>
      <c r="V1022" t="s">
        <v>11164</v>
      </c>
      <c r="W1022" t="s">
        <v>12166</v>
      </c>
      <c r="X1022">
        <v>5</v>
      </c>
      <c r="Y1022" t="s">
        <v>17696</v>
      </c>
      <c r="Z1022" t="s">
        <v>23172</v>
      </c>
      <c r="AA1022">
        <v>0.64900267210933804</v>
      </c>
      <c r="AB1022" t="str">
        <f>HYPERLINK("Melting_Curves/meltCurve_J3KPK1_SYNJ1.pdf", "Melting_Curves/meltCurve_J3KPK1_SYNJ1.pdf")</f>
        <v>Melting_Curves/meltCurve_J3KPK1_SYNJ1.pdf</v>
      </c>
    </row>
    <row r="1023" spans="1:28" x14ac:dyDescent="0.25">
      <c r="A1023" t="s">
        <v>1027</v>
      </c>
      <c r="B1023">
        <v>0.99796759195183404</v>
      </c>
      <c r="C1023">
        <v>0.80926682712784903</v>
      </c>
      <c r="D1023">
        <v>0.71971668964735502</v>
      </c>
      <c r="E1023">
        <v>0.76360341682056998</v>
      </c>
      <c r="F1023">
        <v>0.73506046446708895</v>
      </c>
      <c r="G1023">
        <v>0.60750428076496099</v>
      </c>
      <c r="H1023">
        <v>0.40841126521422599</v>
      </c>
      <c r="I1023">
        <v>0.28075561003576399</v>
      </c>
      <c r="J1023">
        <v>0.24292083690865399</v>
      </c>
      <c r="K1023">
        <v>7.6798071790505601E-2</v>
      </c>
      <c r="L1023">
        <v>385.22543352737898</v>
      </c>
      <c r="M1023">
        <v>7.12120780983693</v>
      </c>
      <c r="N1023">
        <v>54.0955191606716</v>
      </c>
      <c r="O1023">
        <v>50.316370754992803</v>
      </c>
      <c r="P1023">
        <v>-3.5443752640894402E-2</v>
      </c>
      <c r="Q1023">
        <v>0</v>
      </c>
      <c r="R1023">
        <v>0.90919000196465904</v>
      </c>
      <c r="S1023" t="s">
        <v>6606</v>
      </c>
      <c r="T1023" t="s">
        <v>11164</v>
      </c>
      <c r="U1023" t="s">
        <v>11164</v>
      </c>
      <c r="V1023" t="s">
        <v>11164</v>
      </c>
      <c r="W1023" t="s">
        <v>12167</v>
      </c>
      <c r="X1023">
        <v>2</v>
      </c>
      <c r="Y1023" t="s">
        <v>17697</v>
      </c>
      <c r="Z1023" t="s">
        <v>23173</v>
      </c>
      <c r="AA1023">
        <v>0.58091927063002446</v>
      </c>
      <c r="AB1023" t="str">
        <f>HYPERLINK("Melting_Curves/meltCurve_J3KPN1_TESC.pdf", "Melting_Curves/meltCurve_J3KPN1_TESC.pdf")</f>
        <v>Melting_Curves/meltCurve_J3KPN1_TESC.pdf</v>
      </c>
    </row>
    <row r="1024" spans="1:28" x14ac:dyDescent="0.25">
      <c r="A1024" t="s">
        <v>1028</v>
      </c>
      <c r="B1024">
        <v>0.99796759195183404</v>
      </c>
      <c r="C1024">
        <v>1.0513702803310401</v>
      </c>
      <c r="D1024">
        <v>0.91924293637029197</v>
      </c>
      <c r="E1024">
        <v>0.83054085076248596</v>
      </c>
      <c r="F1024">
        <v>0.71979149315127999</v>
      </c>
      <c r="G1024">
        <v>0.434403144725588</v>
      </c>
      <c r="H1024">
        <v>0.28776889958124702</v>
      </c>
      <c r="I1024">
        <v>0.22701853785075399</v>
      </c>
      <c r="J1024">
        <v>0.17326510812314799</v>
      </c>
      <c r="K1024">
        <v>0.122134140329423</v>
      </c>
      <c r="L1024">
        <v>716.88058567100097</v>
      </c>
      <c r="M1024">
        <v>13.7097961775493</v>
      </c>
      <c r="N1024">
        <v>53.102146281907999</v>
      </c>
      <c r="O1024">
        <v>51.214795465515401</v>
      </c>
      <c r="P1024">
        <v>-6.0599949617969398E-2</v>
      </c>
      <c r="Q1024">
        <v>9.4612877310475602E-2</v>
      </c>
      <c r="R1024">
        <v>0.991699901902376</v>
      </c>
      <c r="S1024" t="s">
        <v>6607</v>
      </c>
      <c r="T1024" t="s">
        <v>11164</v>
      </c>
      <c r="U1024" t="s">
        <v>11164</v>
      </c>
      <c r="V1024" t="s">
        <v>11164</v>
      </c>
      <c r="W1024" t="s">
        <v>12168</v>
      </c>
      <c r="X1024">
        <v>15</v>
      </c>
      <c r="Y1024" t="s">
        <v>17698</v>
      </c>
      <c r="Z1024" t="s">
        <v>23174</v>
      </c>
      <c r="AA1024">
        <v>0.57470811688255019</v>
      </c>
      <c r="AB1024" t="str">
        <f>HYPERLINK("Melting_Curves/meltCurve_J3KPP4_LUC7L3.pdf", "Melting_Curves/meltCurve_J3KPP4_LUC7L3.pdf")</f>
        <v>Melting_Curves/meltCurve_J3KPP4_LUC7L3.pdf</v>
      </c>
    </row>
    <row r="1025" spans="1:28" x14ac:dyDescent="0.25">
      <c r="A1025" t="s">
        <v>1029</v>
      </c>
      <c r="B1025">
        <v>0.99796759195183404</v>
      </c>
      <c r="C1025">
        <v>1.0086655731634999</v>
      </c>
      <c r="D1025">
        <v>1.02069879380114</v>
      </c>
      <c r="E1025">
        <v>1.00578599248706</v>
      </c>
      <c r="F1025">
        <v>0.95469529653333796</v>
      </c>
      <c r="G1025">
        <v>0.64677256143528805</v>
      </c>
      <c r="H1025">
        <v>0.55482571843893003</v>
      </c>
      <c r="I1025">
        <v>0.32907111747395301</v>
      </c>
      <c r="J1025">
        <v>0.26367023162832098</v>
      </c>
      <c r="K1025">
        <v>0.18251612696543401</v>
      </c>
      <c r="L1025">
        <v>919.73176524884298</v>
      </c>
      <c r="M1025">
        <v>16.3176889097962</v>
      </c>
      <c r="N1025">
        <v>57.545102089110401</v>
      </c>
      <c r="O1025">
        <v>55.537970342092699</v>
      </c>
      <c r="P1025">
        <v>-6.3005714111947594E-2</v>
      </c>
      <c r="Q1025">
        <v>0.14229140711823601</v>
      </c>
      <c r="R1025">
        <v>0.98607683328394502</v>
      </c>
      <c r="S1025" t="s">
        <v>6608</v>
      </c>
      <c r="T1025" t="s">
        <v>11164</v>
      </c>
      <c r="U1025" t="s">
        <v>11164</v>
      </c>
      <c r="V1025" t="s">
        <v>11164</v>
      </c>
      <c r="W1025" t="s">
        <v>12169</v>
      </c>
      <c r="X1025">
        <v>9</v>
      </c>
      <c r="Y1025" t="s">
        <v>17699</v>
      </c>
      <c r="Z1025" t="s">
        <v>23175</v>
      </c>
      <c r="AA1025">
        <v>0.70494435537663691</v>
      </c>
      <c r="AB1025" t="str">
        <f>HYPERLINK("Melting_Curves/meltCurve_J3KPP7_ARRB1.pdf", "Melting_Curves/meltCurve_J3KPP7_ARRB1.pdf")</f>
        <v>Melting_Curves/meltCurve_J3KPP7_ARRB1.pdf</v>
      </c>
    </row>
    <row r="1026" spans="1:28" x14ac:dyDescent="0.25">
      <c r="A1026" t="s">
        <v>1030</v>
      </c>
      <c r="B1026">
        <v>0.99796759195183404</v>
      </c>
      <c r="C1026">
        <v>1.06888303124461</v>
      </c>
      <c r="D1026">
        <v>1.0566375308293501</v>
      </c>
      <c r="E1026">
        <v>0.90278830838810697</v>
      </c>
      <c r="F1026">
        <v>0.66481227524731101</v>
      </c>
      <c r="G1026">
        <v>0.35299496957881599</v>
      </c>
      <c r="H1026">
        <v>0.34028452828165701</v>
      </c>
      <c r="I1026">
        <v>0.273860853903999</v>
      </c>
      <c r="J1026">
        <v>0.27741600760430102</v>
      </c>
      <c r="K1026">
        <v>0.25321588108299098</v>
      </c>
      <c r="L1026">
        <v>1380.4501062137599</v>
      </c>
      <c r="M1026">
        <v>27.4230062342975</v>
      </c>
      <c r="N1026">
        <v>51.833717059171597</v>
      </c>
      <c r="O1026">
        <v>50.073726143503698</v>
      </c>
      <c r="P1026">
        <v>-9.9503672669179893E-2</v>
      </c>
      <c r="Q1026">
        <v>0.273241951409748</v>
      </c>
      <c r="R1026">
        <v>0.98886722292398499</v>
      </c>
      <c r="S1026" t="s">
        <v>6609</v>
      </c>
      <c r="T1026" t="s">
        <v>11164</v>
      </c>
      <c r="U1026" t="s">
        <v>11164</v>
      </c>
      <c r="V1026" t="s">
        <v>11164</v>
      </c>
      <c r="W1026" t="s">
        <v>12170</v>
      </c>
      <c r="X1026">
        <v>1</v>
      </c>
      <c r="Y1026" t="s">
        <v>17700</v>
      </c>
      <c r="Z1026" t="s">
        <v>23176</v>
      </c>
      <c r="AA1026">
        <v>0.60172835714870643</v>
      </c>
      <c r="AB1026" t="str">
        <f>HYPERLINK("Melting_Curves/meltCurve_J3KPS0_DNAJB12.pdf", "Melting_Curves/meltCurve_J3KPS0_DNAJB12.pdf")</f>
        <v>Melting_Curves/meltCurve_J3KPS0_DNAJB12.pdf</v>
      </c>
    </row>
    <row r="1027" spans="1:28" x14ac:dyDescent="0.25">
      <c r="A1027" t="s">
        <v>1031</v>
      </c>
      <c r="B1027">
        <v>0.99796759195183404</v>
      </c>
      <c r="C1027">
        <v>1.23998791716018</v>
      </c>
      <c r="D1027">
        <v>1.0714722243035499</v>
      </c>
      <c r="E1027">
        <v>1.04847416160324</v>
      </c>
      <c r="F1027">
        <v>1.03093915186935</v>
      </c>
      <c r="G1027">
        <v>0.44012232271134299</v>
      </c>
      <c r="H1027">
        <v>0.28825261734170798</v>
      </c>
      <c r="I1027">
        <v>0.18628723568424599</v>
      </c>
      <c r="J1027">
        <v>0.14470630478299701</v>
      </c>
      <c r="K1027">
        <v>0.105579634563491</v>
      </c>
      <c r="L1027">
        <v>3894.1025302716998</v>
      </c>
      <c r="M1027">
        <v>73.119866490760799</v>
      </c>
      <c r="N1027">
        <v>53.5820027451146</v>
      </c>
      <c r="O1027">
        <v>53.216633865755902</v>
      </c>
      <c r="P1027">
        <v>-0.28188978320617802</v>
      </c>
      <c r="Q1027">
        <v>0.17936277308529</v>
      </c>
      <c r="R1027">
        <v>0.95540831944141602</v>
      </c>
      <c r="S1027" t="s">
        <v>6610</v>
      </c>
      <c r="T1027" t="s">
        <v>11164</v>
      </c>
      <c r="U1027" t="s">
        <v>11164</v>
      </c>
      <c r="V1027" t="s">
        <v>11164</v>
      </c>
      <c r="W1027" t="s">
        <v>12171</v>
      </c>
      <c r="X1027">
        <v>8</v>
      </c>
      <c r="Y1027" t="s">
        <v>17701</v>
      </c>
      <c r="Z1027" t="s">
        <v>23177</v>
      </c>
      <c r="AA1027">
        <v>0.62494903577601735</v>
      </c>
      <c r="AB1027" t="str">
        <f>HYPERLINK("Melting_Curves/meltCurve_J3KPT4_TRABD.pdf", "Melting_Curves/meltCurve_J3KPT4_TRABD.pdf")</f>
        <v>Melting_Curves/meltCurve_J3KPT4_TRABD.pdf</v>
      </c>
    </row>
    <row r="1028" spans="1:28" x14ac:dyDescent="0.25">
      <c r="A1028" t="s">
        <v>1032</v>
      </c>
      <c r="B1028">
        <v>0.99796759195183404</v>
      </c>
      <c r="C1028">
        <v>1.0250020197988601</v>
      </c>
      <c r="D1028">
        <v>1.00948312650162</v>
      </c>
      <c r="E1028">
        <v>0.97845106063742704</v>
      </c>
      <c r="F1028">
        <v>0.78710857410547697</v>
      </c>
      <c r="G1028">
        <v>0.39368627953296798</v>
      </c>
      <c r="H1028">
        <v>0.19622184550174601</v>
      </c>
      <c r="I1028">
        <v>0.12889420515497099</v>
      </c>
      <c r="J1028">
        <v>0.107798174861956</v>
      </c>
      <c r="K1028">
        <v>8.2040256141990203E-2</v>
      </c>
      <c r="L1028">
        <v>1377.30661526419</v>
      </c>
      <c r="M1028">
        <v>26.2715166454004</v>
      </c>
      <c r="N1028">
        <v>52.864501989832597</v>
      </c>
      <c r="O1028">
        <v>52.124912867939699</v>
      </c>
      <c r="P1028">
        <v>-0.113664015093645</v>
      </c>
      <c r="Q1028">
        <v>9.7933723323563704E-2</v>
      </c>
      <c r="R1028">
        <v>0.99897586267872496</v>
      </c>
      <c r="S1028" t="s">
        <v>6611</v>
      </c>
      <c r="T1028" t="s">
        <v>11164</v>
      </c>
      <c r="U1028" t="s">
        <v>11164</v>
      </c>
      <c r="V1028" t="s">
        <v>11164</v>
      </c>
      <c r="W1028" t="s">
        <v>12172</v>
      </c>
      <c r="X1028">
        <v>24</v>
      </c>
      <c r="Y1028" t="s">
        <v>17702</v>
      </c>
      <c r="Z1028" t="s">
        <v>23178</v>
      </c>
      <c r="AA1028">
        <v>0.56908429179063835</v>
      </c>
      <c r="AB1028" t="str">
        <f>HYPERLINK("Melting_Curves/meltCurve_J3KPV7_MPST.pdf", "Melting_Curves/meltCurve_J3KPV7_MPST.pdf")</f>
        <v>Melting_Curves/meltCurve_J3KPV7_MPST.pdf</v>
      </c>
    </row>
    <row r="1029" spans="1:28" x14ac:dyDescent="0.25">
      <c r="A1029" t="s">
        <v>1033</v>
      </c>
      <c r="B1029">
        <v>0.99796759195183404</v>
      </c>
      <c r="C1029">
        <v>1.0332121115824799</v>
      </c>
      <c r="D1029">
        <v>1.01740700525804</v>
      </c>
      <c r="E1029">
        <v>0.98656561312333202</v>
      </c>
      <c r="F1029">
        <v>0.83976658177360897</v>
      </c>
      <c r="G1029">
        <v>0.71091540768698103</v>
      </c>
      <c r="H1029">
        <v>0.37794079967067801</v>
      </c>
      <c r="I1029">
        <v>0.21235720544078501</v>
      </c>
      <c r="J1029">
        <v>0.16572153672793699</v>
      </c>
      <c r="K1029">
        <v>0.100799362622798</v>
      </c>
      <c r="L1029">
        <v>1024.74251418885</v>
      </c>
      <c r="M1029">
        <v>18.453366071988398</v>
      </c>
      <c r="N1029">
        <v>55.999503815408097</v>
      </c>
      <c r="O1029">
        <v>54.891647053845801</v>
      </c>
      <c r="P1029">
        <v>-7.8042063440269496E-2</v>
      </c>
      <c r="Q1029">
        <v>7.1461211681261697E-2</v>
      </c>
      <c r="R1029">
        <v>0.99508466540860196</v>
      </c>
      <c r="S1029" t="s">
        <v>6612</v>
      </c>
      <c r="T1029" t="s">
        <v>11164</v>
      </c>
      <c r="U1029" t="s">
        <v>11164</v>
      </c>
      <c r="V1029" t="s">
        <v>11164</v>
      </c>
      <c r="W1029" t="s">
        <v>12173</v>
      </c>
      <c r="X1029">
        <v>7</v>
      </c>
      <c r="Y1029" t="s">
        <v>17703</v>
      </c>
      <c r="Z1029" t="s">
        <v>23179</v>
      </c>
      <c r="AA1029">
        <v>0.65579898249861479</v>
      </c>
      <c r="AB1029" t="str">
        <f>HYPERLINK("Melting_Curves/meltCurve_J3KPW7_HDAC2.pdf", "Melting_Curves/meltCurve_J3KPW7_HDAC2.pdf")</f>
        <v>Melting_Curves/meltCurve_J3KPW7_HDAC2.pdf</v>
      </c>
    </row>
    <row r="1030" spans="1:28" x14ac:dyDescent="0.25">
      <c r="A1030" t="s">
        <v>1034</v>
      </c>
      <c r="B1030">
        <v>0.99796759195183404</v>
      </c>
      <c r="C1030">
        <v>1.0239131756878701</v>
      </c>
      <c r="D1030">
        <v>1.01509070078504</v>
      </c>
      <c r="E1030">
        <v>0.95625233938148801</v>
      </c>
      <c r="F1030">
        <v>0.67685270599059899</v>
      </c>
      <c r="G1030">
        <v>0.59841639214867803</v>
      </c>
      <c r="H1030">
        <v>0.61340581491197299</v>
      </c>
      <c r="I1030">
        <v>0.35586672220110199</v>
      </c>
      <c r="J1030">
        <v>0.48374771961665097</v>
      </c>
      <c r="K1030">
        <v>0.28659160580693599</v>
      </c>
      <c r="L1030">
        <v>656.54841196623204</v>
      </c>
      <c r="M1030">
        <v>12.400225603498001</v>
      </c>
      <c r="N1030">
        <v>57.602322790190101</v>
      </c>
      <c r="O1030">
        <v>51.626043232609298</v>
      </c>
      <c r="P1030">
        <v>-4.1053030736604601E-2</v>
      </c>
      <c r="Q1030">
        <v>0.31647832277339899</v>
      </c>
      <c r="R1030">
        <v>0.93082365692190205</v>
      </c>
      <c r="S1030" t="s">
        <v>6613</v>
      </c>
      <c r="T1030" t="s">
        <v>11164</v>
      </c>
      <c r="U1030" t="s">
        <v>11164</v>
      </c>
      <c r="V1030" t="s">
        <v>11164</v>
      </c>
      <c r="W1030" t="s">
        <v>12174</v>
      </c>
      <c r="X1030">
        <v>1</v>
      </c>
      <c r="Y1030" t="s">
        <v>17704</v>
      </c>
      <c r="Z1030" t="s">
        <v>23180</v>
      </c>
      <c r="AA1030">
        <v>0.69404756362819653</v>
      </c>
      <c r="AB1030" t="str">
        <f>HYPERLINK("Melting_Curves/meltCurve_J3KPY9_ANTXR2.pdf", "Melting_Curves/meltCurve_J3KPY9_ANTXR2.pdf")</f>
        <v>Melting_Curves/meltCurve_J3KPY9_ANTXR2.pdf</v>
      </c>
    </row>
    <row r="1031" spans="1:28" x14ac:dyDescent="0.25">
      <c r="A1031" t="s">
        <v>1035</v>
      </c>
      <c r="B1031">
        <v>0.99796759195183404</v>
      </c>
      <c r="C1031">
        <v>1.0507589880494801</v>
      </c>
      <c r="D1031">
        <v>0.91447379846243804</v>
      </c>
      <c r="E1031">
        <v>0.65886743672103898</v>
      </c>
      <c r="F1031">
        <v>0.39732323529647301</v>
      </c>
      <c r="G1031">
        <v>0.29408525682029801</v>
      </c>
      <c r="H1031">
        <v>0.19824494794917599</v>
      </c>
      <c r="I1031">
        <v>0.13698497446251801</v>
      </c>
      <c r="J1031">
        <v>9.5687463344392196E-2</v>
      </c>
      <c r="K1031">
        <v>6.9927946096836002E-2</v>
      </c>
      <c r="L1031">
        <v>763.90635633570105</v>
      </c>
      <c r="M1031">
        <v>15.7594531903601</v>
      </c>
      <c r="N1031">
        <v>49.119778458674801</v>
      </c>
      <c r="O1031">
        <v>47.712556893965299</v>
      </c>
      <c r="P1031">
        <v>-7.4843141372148994E-2</v>
      </c>
      <c r="Q1031">
        <v>9.3709900096475396E-2</v>
      </c>
      <c r="R1031">
        <v>0.99042929449115003</v>
      </c>
      <c r="S1031" t="s">
        <v>6614</v>
      </c>
      <c r="T1031" t="s">
        <v>11164</v>
      </c>
      <c r="U1031" t="s">
        <v>11164</v>
      </c>
      <c r="V1031" t="s">
        <v>11164</v>
      </c>
      <c r="W1031" t="s">
        <v>12175</v>
      </c>
      <c r="X1031">
        <v>2</v>
      </c>
      <c r="Y1031" t="s">
        <v>17705</v>
      </c>
      <c r="Z1031" t="s">
        <v>23181</v>
      </c>
      <c r="AA1031">
        <v>0.45850216784634262</v>
      </c>
      <c r="AB1031" t="str">
        <f>HYPERLINK("Melting_Curves/meltCurve_J3KPZ8_RFXANK.pdf", "Melting_Curves/meltCurve_J3KPZ8_RFXANK.pdf")</f>
        <v>Melting_Curves/meltCurve_J3KPZ8_RFXANK.pdf</v>
      </c>
    </row>
    <row r="1032" spans="1:28" x14ac:dyDescent="0.25">
      <c r="A1032" t="s">
        <v>1036</v>
      </c>
      <c r="B1032">
        <v>0.99796759195183404</v>
      </c>
      <c r="C1032">
        <v>1.00347020494243</v>
      </c>
      <c r="D1032">
        <v>1.01127409794012</v>
      </c>
      <c r="E1032">
        <v>0.95706351785055099</v>
      </c>
      <c r="F1032">
        <v>0.76180397081667495</v>
      </c>
      <c r="G1032">
        <v>0.59446538412734595</v>
      </c>
      <c r="H1032">
        <v>0.16800998849201501</v>
      </c>
      <c r="I1032">
        <v>0.139804962973129</v>
      </c>
      <c r="J1032">
        <v>0.10041219903453601</v>
      </c>
      <c r="K1032">
        <v>7.8962020007520298E-2</v>
      </c>
      <c r="L1032">
        <v>1116.85447662311</v>
      </c>
      <c r="M1032">
        <v>20.822494987838802</v>
      </c>
      <c r="N1032">
        <v>53.946582830355801</v>
      </c>
      <c r="O1032">
        <v>53.149562639697002</v>
      </c>
      <c r="P1032">
        <v>-9.2428446492040101E-2</v>
      </c>
      <c r="Q1032">
        <v>5.6329192363720797E-2</v>
      </c>
      <c r="R1032">
        <v>0.98921513162347396</v>
      </c>
      <c r="S1032" t="s">
        <v>6615</v>
      </c>
      <c r="T1032" t="s">
        <v>11164</v>
      </c>
      <c r="U1032" t="s">
        <v>11164</v>
      </c>
      <c r="V1032" t="s">
        <v>11164</v>
      </c>
      <c r="W1032" t="s">
        <v>12176</v>
      </c>
      <c r="X1032">
        <v>15</v>
      </c>
      <c r="Y1032" t="s">
        <v>17706</v>
      </c>
      <c r="Z1032" t="s">
        <v>23182</v>
      </c>
      <c r="AA1032">
        <v>0.59063506541725408</v>
      </c>
      <c r="AB1032" t="str">
        <f>HYPERLINK("Melting_Curves/meltCurve_J3KQ32_OLA1.pdf", "Melting_Curves/meltCurve_J3KQ32_OLA1.pdf")</f>
        <v>Melting_Curves/meltCurve_J3KQ32_OLA1.pdf</v>
      </c>
    </row>
    <row r="1033" spans="1:28" x14ac:dyDescent="0.25">
      <c r="A1033" t="s">
        <v>1037</v>
      </c>
      <c r="B1033">
        <v>0.99796759195183404</v>
      </c>
      <c r="C1033">
        <v>0.98344989345057099</v>
      </c>
      <c r="D1033">
        <v>1.0139248095518401</v>
      </c>
      <c r="E1033">
        <v>1.02488619192758</v>
      </c>
      <c r="F1033">
        <v>0.86892081196641402</v>
      </c>
      <c r="G1033">
        <v>0.64165614137441296</v>
      </c>
      <c r="H1033">
        <v>0.43994852720545202</v>
      </c>
      <c r="I1033">
        <v>0.235142242198389</v>
      </c>
      <c r="J1033">
        <v>0.19384634281733701</v>
      </c>
      <c r="K1033">
        <v>0.123279115126659</v>
      </c>
      <c r="L1033">
        <v>978.92499948322302</v>
      </c>
      <c r="M1033">
        <v>17.665357856536101</v>
      </c>
      <c r="N1033">
        <v>56.112813105434597</v>
      </c>
      <c r="O1033">
        <v>54.719465441728801</v>
      </c>
      <c r="P1033">
        <v>-7.2753186854761107E-2</v>
      </c>
      <c r="Q1033">
        <v>9.8619129077545706E-2</v>
      </c>
      <c r="R1033">
        <v>0.99540830782713596</v>
      </c>
      <c r="S1033" t="s">
        <v>6616</v>
      </c>
      <c r="T1033" t="s">
        <v>11164</v>
      </c>
      <c r="U1033" t="s">
        <v>11164</v>
      </c>
      <c r="V1033" t="s">
        <v>11164</v>
      </c>
      <c r="W1033" t="s">
        <v>12177</v>
      </c>
      <c r="X1033">
        <v>9</v>
      </c>
      <c r="Y1033" t="s">
        <v>17707</v>
      </c>
      <c r="Z1033" t="s">
        <v>23183</v>
      </c>
      <c r="AA1033">
        <v>0.66286059191171443</v>
      </c>
      <c r="AB1033" t="str">
        <f>HYPERLINK("Melting_Curves/meltCurve_J3KQ48_PTRH2.pdf", "Melting_Curves/meltCurve_J3KQ48_PTRH2.pdf")</f>
        <v>Melting_Curves/meltCurve_J3KQ48_PTRH2.pdf</v>
      </c>
    </row>
    <row r="1034" spans="1:28" x14ac:dyDescent="0.25">
      <c r="A1034" t="s">
        <v>1038</v>
      </c>
      <c r="B1034">
        <v>0.99796759195183404</v>
      </c>
      <c r="C1034">
        <v>0.87103393337603596</v>
      </c>
      <c r="D1034">
        <v>0.97843055238459697</v>
      </c>
      <c r="E1034">
        <v>0.91409533804476795</v>
      </c>
      <c r="F1034">
        <v>0.65295109124239803</v>
      </c>
      <c r="G1034">
        <v>0.52706522529590705</v>
      </c>
      <c r="H1034">
        <v>0.46371626406077399</v>
      </c>
      <c r="I1034">
        <v>0.38335488238221399</v>
      </c>
      <c r="J1034">
        <v>0.43737968582507503</v>
      </c>
      <c r="K1034">
        <v>0.410333282629464</v>
      </c>
      <c r="L1034">
        <v>1040.49639005378</v>
      </c>
      <c r="M1034">
        <v>20.909827057040602</v>
      </c>
      <c r="N1034">
        <v>54.229271284017003</v>
      </c>
      <c r="O1034">
        <v>49.312683783789502</v>
      </c>
      <c r="P1034">
        <v>-6.2469071574075101E-2</v>
      </c>
      <c r="Q1034">
        <v>0.41072033687892001</v>
      </c>
      <c r="R1034">
        <v>0.96508809020766795</v>
      </c>
      <c r="S1034" t="s">
        <v>6617</v>
      </c>
      <c r="T1034" t="s">
        <v>11164</v>
      </c>
      <c r="U1034" t="s">
        <v>11164</v>
      </c>
      <c r="V1034" t="s">
        <v>11164</v>
      </c>
      <c r="W1034" t="s">
        <v>12178</v>
      </c>
      <c r="X1034">
        <v>1</v>
      </c>
      <c r="Y1034" t="s">
        <v>17708</v>
      </c>
      <c r="Z1034" t="s">
        <v>23184</v>
      </c>
      <c r="AA1034">
        <v>0.66855358221892158</v>
      </c>
      <c r="AB1034" t="str">
        <f>HYPERLINK("Melting_Curves/meltCurve_J3KQ88_C6orf203.pdf", "Melting_Curves/meltCurve_J3KQ88_C6orf203.pdf")</f>
        <v>Melting_Curves/meltCurve_J3KQ88_C6orf203.pdf</v>
      </c>
    </row>
    <row r="1035" spans="1:28" x14ac:dyDescent="0.25">
      <c r="A1035" t="s">
        <v>1039</v>
      </c>
      <c r="B1035">
        <v>0.99796759195183404</v>
      </c>
      <c r="C1035">
        <v>1.0668076521368799</v>
      </c>
      <c r="D1035">
        <v>0.96436416468187203</v>
      </c>
      <c r="E1035">
        <v>0.90198632438570603</v>
      </c>
      <c r="F1035">
        <v>0.97889059749603402</v>
      </c>
      <c r="G1035">
        <v>0.81321215253250601</v>
      </c>
      <c r="H1035">
        <v>0.71038140735518995</v>
      </c>
      <c r="I1035">
        <v>0.48086927870359403</v>
      </c>
      <c r="J1035">
        <v>0.25181575925009603</v>
      </c>
      <c r="K1035">
        <v>0.147559008730761</v>
      </c>
      <c r="L1035">
        <v>942.52374772792405</v>
      </c>
      <c r="M1035">
        <v>15.6595170037281</v>
      </c>
      <c r="N1035">
        <v>60.188558263070703</v>
      </c>
      <c r="O1035">
        <v>59.232655690149002</v>
      </c>
      <c r="P1035">
        <v>-6.6098901960571499E-2</v>
      </c>
      <c r="Q1035">
        <v>0</v>
      </c>
      <c r="R1035">
        <v>0.97981995689257995</v>
      </c>
      <c r="S1035" t="s">
        <v>6618</v>
      </c>
      <c r="T1035" t="s">
        <v>11164</v>
      </c>
      <c r="U1035" t="s">
        <v>11164</v>
      </c>
      <c r="V1035" t="s">
        <v>11164</v>
      </c>
      <c r="W1035" t="s">
        <v>12179</v>
      </c>
      <c r="X1035">
        <v>13</v>
      </c>
      <c r="Y1035" t="s">
        <v>17709</v>
      </c>
      <c r="Z1035" t="s">
        <v>23185</v>
      </c>
      <c r="AA1035">
        <v>0.76643945264829516</v>
      </c>
      <c r="AB1035" t="str">
        <f>HYPERLINK("Melting_Curves/meltCurve_J3KQB0_THUMPD1.pdf", "Melting_Curves/meltCurve_J3KQB0_THUMPD1.pdf")</f>
        <v>Melting_Curves/meltCurve_J3KQB0_THUMPD1.pdf</v>
      </c>
    </row>
    <row r="1036" spans="1:28" x14ac:dyDescent="0.25">
      <c r="A1036" t="s">
        <v>1040</v>
      </c>
      <c r="B1036">
        <v>0.99796759195183404</v>
      </c>
      <c r="C1036">
        <v>0.82217610507516603</v>
      </c>
      <c r="D1036">
        <v>0.93200639368220495</v>
      </c>
      <c r="E1036">
        <v>0.84697605805322296</v>
      </c>
      <c r="F1036">
        <v>0.60832902959764001</v>
      </c>
      <c r="G1036">
        <v>0.51449165647028705</v>
      </c>
      <c r="H1036">
        <v>0.36637951506725602</v>
      </c>
      <c r="I1036">
        <v>0.385676394147624</v>
      </c>
      <c r="J1036">
        <v>0.32402674101553303</v>
      </c>
      <c r="K1036">
        <v>0.30848554592866001</v>
      </c>
      <c r="L1036">
        <v>551.27182733964503</v>
      </c>
      <c r="M1036">
        <v>10.934661633651</v>
      </c>
      <c r="N1036">
        <v>53.999757142080597</v>
      </c>
      <c r="O1036">
        <v>48.816873810190799</v>
      </c>
      <c r="P1036">
        <v>-4.1562318435390301E-2</v>
      </c>
      <c r="Q1036">
        <v>0.25805028371135302</v>
      </c>
      <c r="R1036">
        <v>0.95648630050928196</v>
      </c>
      <c r="S1036" t="s">
        <v>6619</v>
      </c>
      <c r="T1036" t="s">
        <v>11164</v>
      </c>
      <c r="U1036" t="s">
        <v>11164</v>
      </c>
      <c r="V1036" t="s">
        <v>11164</v>
      </c>
      <c r="W1036" t="s">
        <v>12180</v>
      </c>
      <c r="X1036">
        <v>1</v>
      </c>
      <c r="Y1036" t="s">
        <v>17710</v>
      </c>
      <c r="Z1036" t="s">
        <v>23186</v>
      </c>
      <c r="AA1036">
        <v>0.61206311129178059</v>
      </c>
      <c r="AB1036" t="str">
        <f>HYPERLINK("Melting_Curves/meltCurve_J3KQC7_GTF2H2.pdf", "Melting_Curves/meltCurve_J3KQC7_GTF2H2.pdf")</f>
        <v>Melting_Curves/meltCurve_J3KQC7_GTF2H2.pdf</v>
      </c>
    </row>
    <row r="1037" spans="1:28" x14ac:dyDescent="0.25">
      <c r="A1037" t="s">
        <v>1041</v>
      </c>
      <c r="B1037">
        <v>0.99796759195183404</v>
      </c>
      <c r="C1037">
        <v>0.92296521412215005</v>
      </c>
      <c r="D1037">
        <v>0.82901592058806295</v>
      </c>
      <c r="E1037">
        <v>0.745483495263628</v>
      </c>
      <c r="F1037">
        <v>0.62894071256370698</v>
      </c>
      <c r="G1037">
        <v>0.52787005642938301</v>
      </c>
      <c r="H1037">
        <v>0.31613108432081599</v>
      </c>
      <c r="I1037">
        <v>0.26560131165481998</v>
      </c>
      <c r="J1037">
        <v>0.16996911784625601</v>
      </c>
      <c r="K1037">
        <v>0.154446566274306</v>
      </c>
      <c r="L1037">
        <v>430.52713191128299</v>
      </c>
      <c r="M1037">
        <v>8.1142381135017008</v>
      </c>
      <c r="N1037">
        <v>53.058232438571203</v>
      </c>
      <c r="O1037">
        <v>50.127327731239802</v>
      </c>
      <c r="P1037">
        <v>-4.0511541648856599E-2</v>
      </c>
      <c r="Q1037">
        <v>0</v>
      </c>
      <c r="R1037">
        <v>0.99104279408529405</v>
      </c>
      <c r="S1037" t="s">
        <v>6620</v>
      </c>
      <c r="T1037" t="s">
        <v>11164</v>
      </c>
      <c r="U1037" t="s">
        <v>11164</v>
      </c>
      <c r="V1037" t="s">
        <v>11164</v>
      </c>
      <c r="W1037" t="s">
        <v>12181</v>
      </c>
      <c r="X1037">
        <v>5</v>
      </c>
      <c r="Y1037" t="s">
        <v>17711</v>
      </c>
      <c r="Z1037" t="s">
        <v>23187</v>
      </c>
      <c r="AA1037">
        <v>0.55682526047833247</v>
      </c>
      <c r="AB1037" t="str">
        <f>HYPERLINK("Melting_Curves/meltCurve_J3KQE0_SUN2.pdf", "Melting_Curves/meltCurve_J3KQE0_SUN2.pdf")</f>
        <v>Melting_Curves/meltCurve_J3KQE0_SUN2.pdf</v>
      </c>
    </row>
    <row r="1038" spans="1:28" x14ac:dyDescent="0.25">
      <c r="A1038" t="s">
        <v>1042</v>
      </c>
      <c r="B1038">
        <v>0.99796759195183404</v>
      </c>
      <c r="C1038">
        <v>1.02422893221189</v>
      </c>
      <c r="D1038">
        <v>0.96206378613101895</v>
      </c>
      <c r="E1038">
        <v>0.93685799605748199</v>
      </c>
      <c r="F1038">
        <v>0.83788095762717496</v>
      </c>
      <c r="G1038">
        <v>0.76653477533822001</v>
      </c>
      <c r="H1038">
        <v>0.616319562092698</v>
      </c>
      <c r="I1038">
        <v>0.42669346615106302</v>
      </c>
      <c r="J1038">
        <v>0.1980392013849</v>
      </c>
      <c r="K1038">
        <v>6.83245097495052E-2</v>
      </c>
      <c r="L1038">
        <v>817.97887464972098</v>
      </c>
      <c r="M1038">
        <v>13.9589505974578</v>
      </c>
      <c r="N1038">
        <v>58.598880279573002</v>
      </c>
      <c r="O1038">
        <v>57.435538308087501</v>
      </c>
      <c r="P1038">
        <v>-6.0767334852814103E-2</v>
      </c>
      <c r="Q1038">
        <v>0</v>
      </c>
      <c r="R1038">
        <v>0.97980150555813506</v>
      </c>
      <c r="S1038" t="s">
        <v>6621</v>
      </c>
      <c r="T1038" t="s">
        <v>11164</v>
      </c>
      <c r="U1038" t="s">
        <v>11164</v>
      </c>
      <c r="V1038" t="s">
        <v>11164</v>
      </c>
      <c r="W1038" t="s">
        <v>12182</v>
      </c>
      <c r="X1038">
        <v>18</v>
      </c>
      <c r="Y1038" t="s">
        <v>17712</v>
      </c>
      <c r="Z1038" t="s">
        <v>23188</v>
      </c>
      <c r="AA1038">
        <v>0.71950827907071968</v>
      </c>
      <c r="AB1038" t="str">
        <f>HYPERLINK("Melting_Curves/meltCurve_J3KQE5_RAN.pdf", "Melting_Curves/meltCurve_J3KQE5_RAN.pdf")</f>
        <v>Melting_Curves/meltCurve_J3KQE5_RAN.pdf</v>
      </c>
    </row>
    <row r="1039" spans="1:28" x14ac:dyDescent="0.25">
      <c r="A1039" t="s">
        <v>1043</v>
      </c>
      <c r="B1039">
        <v>0.99796759195183404</v>
      </c>
      <c r="C1039">
        <v>1.0010880984211701</v>
      </c>
      <c r="D1039">
        <v>0.95246980609501397</v>
      </c>
      <c r="E1039">
        <v>0.90213002837594103</v>
      </c>
      <c r="F1039">
        <v>0.82588713305355999</v>
      </c>
      <c r="G1039">
        <v>0.62817608965892802</v>
      </c>
      <c r="H1039">
        <v>0.58480508918799101</v>
      </c>
      <c r="I1039">
        <v>0.58528872324825898</v>
      </c>
      <c r="J1039">
        <v>0.38922200883261598</v>
      </c>
      <c r="K1039">
        <v>0.199126546546459</v>
      </c>
      <c r="L1039">
        <v>470.36212041418401</v>
      </c>
      <c r="M1039">
        <v>7.8664960206341901</v>
      </c>
      <c r="N1039">
        <v>59.793088728118903</v>
      </c>
      <c r="O1039">
        <v>56.298842366827401</v>
      </c>
      <c r="P1039">
        <v>-3.4973942630013702E-2</v>
      </c>
      <c r="Q1039">
        <v>0</v>
      </c>
      <c r="R1039">
        <v>0.95199621975729798</v>
      </c>
      <c r="S1039" t="s">
        <v>6622</v>
      </c>
      <c r="T1039" t="s">
        <v>11164</v>
      </c>
      <c r="U1039" t="s">
        <v>11164</v>
      </c>
      <c r="V1039" t="s">
        <v>11164</v>
      </c>
      <c r="W1039" t="s">
        <v>12183</v>
      </c>
      <c r="X1039">
        <v>7</v>
      </c>
      <c r="Y1039" t="s">
        <v>17713</v>
      </c>
      <c r="Z1039" t="s">
        <v>23189</v>
      </c>
      <c r="AA1039">
        <v>0.71751290957556457</v>
      </c>
      <c r="AB1039" t="str">
        <f>HYPERLINK("Melting_Curves/meltCurve_J3KQG4_GBA.pdf", "Melting_Curves/meltCurve_J3KQG4_GBA.pdf")</f>
        <v>Melting_Curves/meltCurve_J3KQG4_GBA.pdf</v>
      </c>
    </row>
    <row r="1040" spans="1:28" x14ac:dyDescent="0.25">
      <c r="A1040" t="s">
        <v>1044</v>
      </c>
      <c r="B1040">
        <v>0.99796759195183404</v>
      </c>
      <c r="C1040">
        <v>1.1046896303690199</v>
      </c>
      <c r="D1040">
        <v>1.0393781818043299</v>
      </c>
      <c r="E1040">
        <v>0.960607159954319</v>
      </c>
      <c r="F1040">
        <v>0.96421825357149704</v>
      </c>
      <c r="G1040">
        <v>0.47137893020396199</v>
      </c>
      <c r="H1040">
        <v>0.269755768297334</v>
      </c>
      <c r="I1040">
        <v>0.22939170845202</v>
      </c>
      <c r="J1040">
        <v>0.17157075461874199</v>
      </c>
      <c r="K1040">
        <v>0.14128794718087201</v>
      </c>
      <c r="L1040">
        <v>2275.1554022282999</v>
      </c>
      <c r="M1040">
        <v>42.840426666910403</v>
      </c>
      <c r="N1040">
        <v>53.713816626191097</v>
      </c>
      <c r="O1040">
        <v>52.992359310238598</v>
      </c>
      <c r="P1040">
        <v>-0.163368986470732</v>
      </c>
      <c r="Q1040">
        <v>0.19167078353859801</v>
      </c>
      <c r="R1040">
        <v>0.985989077490526</v>
      </c>
      <c r="S1040" t="s">
        <v>6623</v>
      </c>
      <c r="T1040" t="s">
        <v>11164</v>
      </c>
      <c r="U1040" t="s">
        <v>11164</v>
      </c>
      <c r="V1040" t="s">
        <v>11164</v>
      </c>
      <c r="W1040" t="s">
        <v>12184</v>
      </c>
      <c r="X1040">
        <v>9</v>
      </c>
      <c r="Y1040" t="s">
        <v>17714</v>
      </c>
      <c r="Z1040" t="s">
        <v>23190</v>
      </c>
      <c r="AA1040">
        <v>0.62825773681413777</v>
      </c>
      <c r="AB1040" t="str">
        <f>HYPERLINK("Melting_Curves/meltCurve_J3KQJ1_SUMF2.pdf", "Melting_Curves/meltCurve_J3KQJ1_SUMF2.pdf")</f>
        <v>Melting_Curves/meltCurve_J3KQJ1_SUMF2.pdf</v>
      </c>
    </row>
    <row r="1041" spans="1:28" x14ac:dyDescent="0.25">
      <c r="A1041" t="s">
        <v>1045</v>
      </c>
      <c r="B1041">
        <v>0.99796759195183404</v>
      </c>
      <c r="C1041">
        <v>0.94699868472610804</v>
      </c>
      <c r="D1041">
        <v>0.88129883721118696</v>
      </c>
      <c r="E1041">
        <v>0.90190404195282503</v>
      </c>
      <c r="F1041">
        <v>0.70174788805691002</v>
      </c>
      <c r="G1041">
        <v>0.46013254429643302</v>
      </c>
      <c r="H1041">
        <v>0.40448672280818698</v>
      </c>
      <c r="I1041">
        <v>0.35920261058616099</v>
      </c>
      <c r="J1041">
        <v>0.31270890366696302</v>
      </c>
      <c r="K1041">
        <v>0.28156817867828099</v>
      </c>
      <c r="L1041">
        <v>731.68056958935904</v>
      </c>
      <c r="M1041">
        <v>14.323590871942599</v>
      </c>
      <c r="N1041">
        <v>54.029434235917002</v>
      </c>
      <c r="O1041">
        <v>50.117476667263801</v>
      </c>
      <c r="P1041">
        <v>-5.2086112691088302E-2</v>
      </c>
      <c r="Q1041">
        <v>0.271102156507883</v>
      </c>
      <c r="R1041">
        <v>0.98291997916055995</v>
      </c>
      <c r="S1041" t="s">
        <v>6624</v>
      </c>
      <c r="T1041" t="s">
        <v>11164</v>
      </c>
      <c r="U1041" t="s">
        <v>11164</v>
      </c>
      <c r="V1041" t="s">
        <v>11164</v>
      </c>
      <c r="W1041" t="s">
        <v>12185</v>
      </c>
      <c r="X1041">
        <v>7</v>
      </c>
      <c r="Y1041" t="s">
        <v>17715</v>
      </c>
      <c r="Z1041" t="s">
        <v>23191</v>
      </c>
      <c r="AA1041">
        <v>0.62875164132586792</v>
      </c>
      <c r="AB1041" t="str">
        <f>HYPERLINK("Melting_Curves/meltCurve_J3KQL8_APOL2.pdf", "Melting_Curves/meltCurve_J3KQL8_APOL2.pdf")</f>
        <v>Melting_Curves/meltCurve_J3KQL8_APOL2.pdf</v>
      </c>
    </row>
    <row r="1042" spans="1:28" x14ac:dyDescent="0.25">
      <c r="A1042" t="s">
        <v>1046</v>
      </c>
      <c r="B1042">
        <v>0.99796759195183404</v>
      </c>
      <c r="C1042">
        <v>1.0572743551800201</v>
      </c>
      <c r="D1042">
        <v>0.93191238001207299</v>
      </c>
      <c r="E1042">
        <v>0.91494519190869505</v>
      </c>
      <c r="F1042">
        <v>0.77006904139450305</v>
      </c>
      <c r="G1042">
        <v>0.63978104219384702</v>
      </c>
      <c r="H1042">
        <v>0.34298152442262098</v>
      </c>
      <c r="I1042">
        <v>0.191923835350885</v>
      </c>
      <c r="J1042">
        <v>0.10963723157227601</v>
      </c>
      <c r="K1042">
        <v>0.100675629503256</v>
      </c>
      <c r="L1042">
        <v>767.23679212899003</v>
      </c>
      <c r="M1042">
        <v>13.9192929820766</v>
      </c>
      <c r="N1042">
        <v>55.120385497920701</v>
      </c>
      <c r="O1042">
        <v>54.020064840376001</v>
      </c>
      <c r="P1042">
        <v>-6.4425954693869997E-2</v>
      </c>
      <c r="Q1042">
        <v>0</v>
      </c>
      <c r="R1042">
        <v>0.99127811381697195</v>
      </c>
      <c r="S1042" t="s">
        <v>6625</v>
      </c>
      <c r="T1042" t="s">
        <v>11164</v>
      </c>
      <c r="U1042" t="s">
        <v>11164</v>
      </c>
      <c r="V1042" t="s">
        <v>11164</v>
      </c>
      <c r="W1042" t="s">
        <v>12186</v>
      </c>
      <c r="X1042">
        <v>7</v>
      </c>
      <c r="Y1042" t="s">
        <v>17716</v>
      </c>
      <c r="Z1042" t="s">
        <v>23192</v>
      </c>
      <c r="AA1042">
        <v>0.61805894660605731</v>
      </c>
      <c r="AB1042" t="str">
        <f>HYPERLINK("Melting_Curves/meltCurve_J3KQU9_AP1G1.pdf", "Melting_Curves/meltCurve_J3KQU9_AP1G1.pdf")</f>
        <v>Melting_Curves/meltCurve_J3KQU9_AP1G1.pdf</v>
      </c>
    </row>
    <row r="1043" spans="1:28" x14ac:dyDescent="0.25">
      <c r="A1043" t="s">
        <v>1047</v>
      </c>
      <c r="B1043">
        <v>0.99796759195183404</v>
      </c>
      <c r="C1043">
        <v>1.0554532504957601</v>
      </c>
      <c r="D1043">
        <v>1.03806399148428</v>
      </c>
      <c r="E1043">
        <v>0.96034803735034402</v>
      </c>
      <c r="F1043">
        <v>0.86593860074476503</v>
      </c>
      <c r="G1043">
        <v>0.70534884363339201</v>
      </c>
      <c r="H1043">
        <v>0.88809934233418997</v>
      </c>
      <c r="I1043">
        <v>0.96312470863326005</v>
      </c>
      <c r="J1043">
        <v>1.3200292327493299</v>
      </c>
      <c r="K1043">
        <v>1.4840796427796401</v>
      </c>
      <c r="L1043">
        <v>15000</v>
      </c>
      <c r="M1043">
        <v>234.67751246758101</v>
      </c>
      <c r="O1043">
        <v>63.912858717299699</v>
      </c>
      <c r="P1043">
        <v>0.44437519681287402</v>
      </c>
      <c r="Q1043">
        <v>1.48409050848777</v>
      </c>
      <c r="R1043">
        <v>0.72502893960248804</v>
      </c>
      <c r="S1043" t="s">
        <v>6626</v>
      </c>
      <c r="T1043" t="s">
        <v>11164</v>
      </c>
      <c r="U1043" t="s">
        <v>11164</v>
      </c>
      <c r="V1043" t="s">
        <v>11164</v>
      </c>
      <c r="W1043" t="s">
        <v>12187</v>
      </c>
      <c r="X1043">
        <v>12</v>
      </c>
      <c r="Y1043" t="s">
        <v>17717</v>
      </c>
      <c r="Z1043" t="s">
        <v>23193</v>
      </c>
      <c r="AA1043">
        <v>1.0496787659926741</v>
      </c>
      <c r="AB1043" t="str">
        <f>HYPERLINK("Melting_Curves/meltCurve_J3KR35_CCDC12.pdf", "Melting_Curves/meltCurve_J3KR35_CCDC12.pdf")</f>
        <v>Melting_Curves/meltCurve_J3KR35_CCDC12.pdf</v>
      </c>
    </row>
    <row r="1044" spans="1:28" x14ac:dyDescent="0.25">
      <c r="A1044" t="s">
        <v>1048</v>
      </c>
      <c r="B1044">
        <v>0.99796759195183404</v>
      </c>
      <c r="C1044">
        <v>1.01212966282785</v>
      </c>
      <c r="D1044">
        <v>1.01736623901032</v>
      </c>
      <c r="E1044">
        <v>0.96877933344815204</v>
      </c>
      <c r="F1044">
        <v>0.84347437939695102</v>
      </c>
      <c r="G1044">
        <v>0.413865517176079</v>
      </c>
      <c r="H1044">
        <v>0.190910045087168</v>
      </c>
      <c r="I1044">
        <v>0.14592756532100701</v>
      </c>
      <c r="J1044">
        <v>0.118088873392504</v>
      </c>
      <c r="K1044">
        <v>8.4433668784279201E-2</v>
      </c>
      <c r="L1044">
        <v>1557.53558461382</v>
      </c>
      <c r="M1044">
        <v>29.5577336564665</v>
      </c>
      <c r="N1044">
        <v>53.140480633678699</v>
      </c>
      <c r="O1044">
        <v>52.455252351078201</v>
      </c>
      <c r="P1044">
        <v>-0.125403916156793</v>
      </c>
      <c r="Q1044">
        <v>0.109803350571005</v>
      </c>
      <c r="R1044">
        <v>0.99868872492087502</v>
      </c>
      <c r="S1044" t="s">
        <v>6627</v>
      </c>
      <c r="T1044" t="s">
        <v>11164</v>
      </c>
      <c r="U1044" t="s">
        <v>11164</v>
      </c>
      <c r="V1044" t="s">
        <v>11164</v>
      </c>
      <c r="W1044" t="s">
        <v>12188</v>
      </c>
      <c r="X1044">
        <v>15</v>
      </c>
      <c r="Y1044" t="s">
        <v>17718</v>
      </c>
      <c r="Z1044" t="s">
        <v>23194</v>
      </c>
      <c r="AA1044">
        <v>0.58132945681471004</v>
      </c>
      <c r="AB1044" t="str">
        <f>HYPERLINK("Melting_Curves/meltCurve_J3KR97_TBCD.pdf", "Melting_Curves/meltCurve_J3KR97_TBCD.pdf")</f>
        <v>Melting_Curves/meltCurve_J3KR97_TBCD.pdf</v>
      </c>
    </row>
    <row r="1045" spans="1:28" x14ac:dyDescent="0.25">
      <c r="A1045" t="s">
        <v>1049</v>
      </c>
      <c r="B1045">
        <v>0.99796759195183404</v>
      </c>
      <c r="C1045">
        <v>1.2002149226735299</v>
      </c>
      <c r="D1045">
        <v>1.3551282945824199</v>
      </c>
      <c r="E1045">
        <v>1.27765834947118</v>
      </c>
      <c r="F1045">
        <v>1.1437522777450899</v>
      </c>
      <c r="G1045">
        <v>0.82302949093176303</v>
      </c>
      <c r="H1045">
        <v>0.95134928671140895</v>
      </c>
      <c r="I1045">
        <v>0.65805809568766205</v>
      </c>
      <c r="J1045">
        <v>1.3336219314122999</v>
      </c>
      <c r="K1045">
        <v>1.1959165712239399</v>
      </c>
      <c r="L1045">
        <v>6715.2198031287098</v>
      </c>
      <c r="M1045">
        <v>106.64717275133999</v>
      </c>
      <c r="O1045">
        <v>62.944562798309001</v>
      </c>
      <c r="P1045">
        <v>0.116996682538287</v>
      </c>
      <c r="Q1045">
        <v>1.27621190000171</v>
      </c>
      <c r="R1045">
        <v>8.56625391727424E-2</v>
      </c>
      <c r="S1045" t="s">
        <v>6628</v>
      </c>
      <c r="T1045" t="s">
        <v>11164</v>
      </c>
      <c r="U1045" t="s">
        <v>11164</v>
      </c>
      <c r="V1045" t="s">
        <v>11164</v>
      </c>
      <c r="W1045" t="s">
        <v>12189</v>
      </c>
      <c r="X1045">
        <v>2</v>
      </c>
      <c r="Y1045" t="s">
        <v>17719</v>
      </c>
      <c r="Z1045" t="s">
        <v>23195</v>
      </c>
      <c r="AA1045">
        <v>1.036977237312215</v>
      </c>
      <c r="AB1045" t="str">
        <f>HYPERLINK("Melting_Curves/meltCurve_J3KRC8_C16orf55.pdf", "Melting_Curves/meltCurve_J3KRC8_C16orf55.pdf")</f>
        <v>Melting_Curves/meltCurve_J3KRC8_C16orf55.pdf</v>
      </c>
    </row>
    <row r="1046" spans="1:28" x14ac:dyDescent="0.25">
      <c r="A1046" t="s">
        <v>1050</v>
      </c>
      <c r="B1046">
        <v>0.99796759195183404</v>
      </c>
      <c r="C1046">
        <v>0.85548355844108304</v>
      </c>
      <c r="D1046">
        <v>0.95487109604158404</v>
      </c>
      <c r="E1046">
        <v>0.846143403207402</v>
      </c>
      <c r="F1046">
        <v>0.89061093225668497</v>
      </c>
      <c r="G1046">
        <v>0.62256750342993095</v>
      </c>
      <c r="H1046">
        <v>0.43574515852132001</v>
      </c>
      <c r="I1046">
        <v>0.351458955111977</v>
      </c>
      <c r="J1046">
        <v>0.201985461815961</v>
      </c>
      <c r="K1046">
        <v>0.19038488406736601</v>
      </c>
      <c r="L1046">
        <v>584.31144759245501</v>
      </c>
      <c r="M1046">
        <v>10.3011549818946</v>
      </c>
      <c r="N1046">
        <v>56.7229090648867</v>
      </c>
      <c r="O1046">
        <v>54.710021947513603</v>
      </c>
      <c r="P1046">
        <v>-4.70920456496811E-2</v>
      </c>
      <c r="Q1046">
        <v>0</v>
      </c>
      <c r="R1046">
        <v>0.96240427194884004</v>
      </c>
      <c r="S1046" t="s">
        <v>6629</v>
      </c>
      <c r="T1046" t="s">
        <v>11164</v>
      </c>
      <c r="U1046" t="s">
        <v>11164</v>
      </c>
      <c r="V1046" t="s">
        <v>11164</v>
      </c>
      <c r="W1046" t="s">
        <v>12190</v>
      </c>
      <c r="X1046">
        <v>1</v>
      </c>
      <c r="Y1046" t="s">
        <v>17720</v>
      </c>
      <c r="Z1046" t="s">
        <v>23196</v>
      </c>
      <c r="AA1046">
        <v>0.65956581616869092</v>
      </c>
      <c r="AB1046" t="str">
        <f>HYPERLINK("Melting_Curves/meltCurve_J3KRG2_GSDMA.pdf", "Melting_Curves/meltCurve_J3KRG2_GSDMA.pdf")</f>
        <v>Melting_Curves/meltCurve_J3KRG2_GSDMA.pdf</v>
      </c>
    </row>
    <row r="1047" spans="1:28" x14ac:dyDescent="0.25">
      <c r="A1047" t="s">
        <v>1051</v>
      </c>
      <c r="B1047">
        <v>0.99796759195183404</v>
      </c>
      <c r="C1047">
        <v>1.0472407065228</v>
      </c>
      <c r="D1047">
        <v>1.2180865225489801</v>
      </c>
      <c r="E1047">
        <v>1.0355727880912899</v>
      </c>
      <c r="F1047">
        <v>1.0211069335863301</v>
      </c>
      <c r="G1047">
        <v>0.48713444944951001</v>
      </c>
      <c r="H1047">
        <v>0.26188308974802299</v>
      </c>
      <c r="I1047">
        <v>7.9790687725019099E-2</v>
      </c>
      <c r="J1047">
        <v>9.9517154272941694E-2</v>
      </c>
      <c r="K1047">
        <v>6.6837820419707497E-2</v>
      </c>
      <c r="L1047">
        <v>2055.9680396787198</v>
      </c>
      <c r="M1047">
        <v>38.295576247213901</v>
      </c>
      <c r="N1047">
        <v>54.003479166905102</v>
      </c>
      <c r="O1047">
        <v>53.541060675977</v>
      </c>
      <c r="P1047">
        <v>-0.160832726341927</v>
      </c>
      <c r="Q1047">
        <v>0.100561016482434</v>
      </c>
      <c r="R1047">
        <v>0.96543567515204598</v>
      </c>
      <c r="S1047" t="s">
        <v>6630</v>
      </c>
      <c r="T1047" t="s">
        <v>11164</v>
      </c>
      <c r="U1047" t="s">
        <v>11164</v>
      </c>
      <c r="V1047" t="s">
        <v>11164</v>
      </c>
      <c r="W1047" t="s">
        <v>12191</v>
      </c>
      <c r="X1047">
        <v>1</v>
      </c>
      <c r="Y1047" t="s">
        <v>17721</v>
      </c>
      <c r="Z1047" t="s">
        <v>23197</v>
      </c>
      <c r="AA1047">
        <v>0.6044645674851753</v>
      </c>
      <c r="AB1047" t="str">
        <f>HYPERLINK("Melting_Curves/meltCurve_J3KRN4_MAP3K3.pdf", "Melting_Curves/meltCurve_J3KRN4_MAP3K3.pdf")</f>
        <v>Melting_Curves/meltCurve_J3KRN4_MAP3K3.pdf</v>
      </c>
    </row>
    <row r="1048" spans="1:28" x14ac:dyDescent="0.25">
      <c r="A1048" t="s">
        <v>1052</v>
      </c>
      <c r="B1048">
        <v>0.99796759195183404</v>
      </c>
      <c r="C1048">
        <v>0.94654424961967298</v>
      </c>
      <c r="D1048">
        <v>1.0681474795494299</v>
      </c>
      <c r="E1048">
        <v>0.95527745623635796</v>
      </c>
      <c r="F1048">
        <v>0.82025999351802104</v>
      </c>
      <c r="G1048">
        <v>0.58513998565999803</v>
      </c>
      <c r="H1048">
        <v>0.53070752913052499</v>
      </c>
      <c r="I1048">
        <v>0.48841283103353</v>
      </c>
      <c r="J1048">
        <v>0.41167842469598098</v>
      </c>
      <c r="K1048">
        <v>0.207701878360466</v>
      </c>
      <c r="L1048">
        <v>611.10251133378097</v>
      </c>
      <c r="M1048">
        <v>10.944501641255</v>
      </c>
      <c r="N1048">
        <v>58.288487107785699</v>
      </c>
      <c r="O1048">
        <v>54.069435583938002</v>
      </c>
      <c r="P1048">
        <v>-4.1282578822653598E-2</v>
      </c>
      <c r="Q1048">
        <v>0.18448254953829801</v>
      </c>
      <c r="R1048">
        <v>0.94963215350982499</v>
      </c>
      <c r="S1048" t="s">
        <v>6631</v>
      </c>
      <c r="T1048" t="s">
        <v>11164</v>
      </c>
      <c r="U1048" t="s">
        <v>11164</v>
      </c>
      <c r="V1048" t="s">
        <v>11164</v>
      </c>
      <c r="W1048" t="s">
        <v>12192</v>
      </c>
      <c r="X1048">
        <v>2</v>
      </c>
      <c r="Y1048" t="s">
        <v>17722</v>
      </c>
      <c r="Z1048" t="s">
        <v>23198</v>
      </c>
      <c r="AA1048">
        <v>0.70395337497652666</v>
      </c>
      <c r="AB1048" t="str">
        <f>HYPERLINK("Melting_Curves/meltCurve_J3KRR5_PIGL.pdf", "Melting_Curves/meltCurve_J3KRR5_PIGL.pdf")</f>
        <v>Melting_Curves/meltCurve_J3KRR5_PIGL.pdf</v>
      </c>
    </row>
    <row r="1049" spans="1:28" x14ac:dyDescent="0.25">
      <c r="A1049" t="s">
        <v>1053</v>
      </c>
      <c r="B1049">
        <v>0.99796759195183404</v>
      </c>
      <c r="C1049">
        <v>1.0652084296225801</v>
      </c>
      <c r="D1049">
        <v>1.0644005665184699</v>
      </c>
      <c r="E1049">
        <v>1.0061894709847501</v>
      </c>
      <c r="F1049">
        <v>0.96779976222011199</v>
      </c>
      <c r="G1049">
        <v>0.73091390363492903</v>
      </c>
      <c r="H1049">
        <v>0.64516335474762299</v>
      </c>
      <c r="I1049">
        <v>0.47706194652291101</v>
      </c>
      <c r="J1049">
        <v>0.456922859728009</v>
      </c>
      <c r="K1049">
        <v>0.31026116258539299</v>
      </c>
      <c r="L1049">
        <v>875.58540230190795</v>
      </c>
      <c r="M1049">
        <v>15.367133192847501</v>
      </c>
      <c r="N1049">
        <v>60.433869937604598</v>
      </c>
      <c r="O1049">
        <v>56.039068081306702</v>
      </c>
      <c r="P1049">
        <v>-4.8516913213674399E-2</v>
      </c>
      <c r="Q1049">
        <v>0.29236173071287203</v>
      </c>
      <c r="R1049">
        <v>0.96976583626601698</v>
      </c>
      <c r="S1049" t="s">
        <v>6632</v>
      </c>
      <c r="T1049" t="s">
        <v>11164</v>
      </c>
      <c r="U1049" t="s">
        <v>11164</v>
      </c>
      <c r="V1049" t="s">
        <v>11164</v>
      </c>
      <c r="W1049" t="s">
        <v>12193</v>
      </c>
      <c r="X1049">
        <v>8</v>
      </c>
      <c r="Y1049" t="s">
        <v>17723</v>
      </c>
      <c r="Z1049" t="s">
        <v>23199</v>
      </c>
      <c r="AA1049">
        <v>0.76958866402014503</v>
      </c>
      <c r="AB1049" t="str">
        <f>HYPERLINK("Melting_Curves/meltCurve_J3KS05_CBX1.pdf", "Melting_Curves/meltCurve_J3KS05_CBX1.pdf")</f>
        <v>Melting_Curves/meltCurve_J3KS05_CBX1.pdf</v>
      </c>
    </row>
    <row r="1050" spans="1:28" x14ac:dyDescent="0.25">
      <c r="A1050" t="s">
        <v>1054</v>
      </c>
      <c r="B1050">
        <v>0.99796759195183404</v>
      </c>
      <c r="C1050">
        <v>1.10423184349333</v>
      </c>
      <c r="D1050">
        <v>1.0540273194702601</v>
      </c>
      <c r="E1050">
        <v>1.0053253745622599</v>
      </c>
      <c r="F1050">
        <v>0.87881983542785003</v>
      </c>
      <c r="G1050">
        <v>0.74745453664461503</v>
      </c>
      <c r="H1050">
        <v>0.694751126966209</v>
      </c>
      <c r="I1050">
        <v>0.52697928864908605</v>
      </c>
      <c r="J1050">
        <v>0.41198608416209098</v>
      </c>
      <c r="K1050">
        <v>0.26819346505663699</v>
      </c>
      <c r="L1050">
        <v>626.63709544187702</v>
      </c>
      <c r="M1050">
        <v>10.219411096140099</v>
      </c>
      <c r="N1050">
        <v>61.318338971867497</v>
      </c>
      <c r="O1050">
        <v>59.109449431241003</v>
      </c>
      <c r="P1050">
        <v>-4.3241740695623303E-2</v>
      </c>
      <c r="Q1050">
        <v>0</v>
      </c>
      <c r="R1050">
        <v>0.96769698351436595</v>
      </c>
      <c r="S1050" t="s">
        <v>6633</v>
      </c>
      <c r="T1050" t="s">
        <v>11164</v>
      </c>
      <c r="U1050" t="s">
        <v>11164</v>
      </c>
      <c r="V1050" t="s">
        <v>11164</v>
      </c>
      <c r="W1050" t="s">
        <v>12194</v>
      </c>
      <c r="X1050">
        <v>2</v>
      </c>
      <c r="Y1050" t="s">
        <v>17724</v>
      </c>
      <c r="Z1050" t="s">
        <v>23200</v>
      </c>
      <c r="AA1050">
        <v>0.77099759702475956</v>
      </c>
      <c r="AB1050" t="str">
        <f>HYPERLINK("Melting_Curves/meltCurve_J3KS81_TMEM199.pdf", "Melting_Curves/meltCurve_J3KS81_TMEM199.pdf")</f>
        <v>Melting_Curves/meltCurve_J3KS81_TMEM199.pdf</v>
      </c>
    </row>
    <row r="1051" spans="1:28" x14ac:dyDescent="0.25">
      <c r="A1051" t="s">
        <v>1055</v>
      </c>
      <c r="B1051">
        <v>0.99796759195183404</v>
      </c>
      <c r="C1051">
        <v>0.98245049539998497</v>
      </c>
      <c r="D1051">
        <v>0.91419249355529197</v>
      </c>
      <c r="E1051">
        <v>0.96884186061766098</v>
      </c>
      <c r="F1051">
        <v>0.95928502166722296</v>
      </c>
      <c r="G1051">
        <v>1.50994636134831</v>
      </c>
      <c r="H1051">
        <v>1.3442818136361101</v>
      </c>
      <c r="I1051">
        <v>1.47830969323463</v>
      </c>
      <c r="J1051">
        <v>2.1975891782137702</v>
      </c>
      <c r="K1051">
        <v>1.11495244045917</v>
      </c>
      <c r="L1051">
        <v>13020.5745007941</v>
      </c>
      <c r="M1051">
        <v>250</v>
      </c>
      <c r="O1051">
        <v>52.078989777088303</v>
      </c>
      <c r="P1051">
        <v>0.60005032507789802</v>
      </c>
      <c r="Q1051">
        <v>1.5</v>
      </c>
      <c r="R1051">
        <v>0.53984677349317101</v>
      </c>
      <c r="S1051" t="s">
        <v>6634</v>
      </c>
      <c r="T1051" t="s">
        <v>11164</v>
      </c>
      <c r="U1051" t="s">
        <v>11164</v>
      </c>
      <c r="V1051" t="s">
        <v>11164</v>
      </c>
      <c r="W1051" t="s">
        <v>12195</v>
      </c>
      <c r="X1051">
        <v>6</v>
      </c>
      <c r="Y1051" t="s">
        <v>17725</v>
      </c>
      <c r="Z1051" t="s">
        <v>23201</v>
      </c>
      <c r="AA1051">
        <v>1.2485826648025189</v>
      </c>
      <c r="AB1051" t="str">
        <f>HYPERLINK("Melting_Curves/meltCurve_J3KSD8_BLMH.pdf", "Melting_Curves/meltCurve_J3KSD8_BLMH.pdf")</f>
        <v>Melting_Curves/meltCurve_J3KSD8_BLMH.pdf</v>
      </c>
    </row>
    <row r="1052" spans="1:28" x14ac:dyDescent="0.25">
      <c r="A1052" t="s">
        <v>1056</v>
      </c>
      <c r="B1052">
        <v>0.99796759195183404</v>
      </c>
      <c r="C1052">
        <v>0.87791503423765305</v>
      </c>
      <c r="D1052">
        <v>0.99086952641962101</v>
      </c>
      <c r="E1052">
        <v>0.86073266555098005</v>
      </c>
      <c r="F1052">
        <v>0.70236475029994505</v>
      </c>
      <c r="G1052">
        <v>0.41589846584794599</v>
      </c>
      <c r="H1052">
        <v>0.331606445209913</v>
      </c>
      <c r="I1052">
        <v>0.22486232215951199</v>
      </c>
      <c r="J1052">
        <v>0.19519284848258101</v>
      </c>
      <c r="K1052">
        <v>0.13911609436080299</v>
      </c>
      <c r="L1052">
        <v>747.52298307084595</v>
      </c>
      <c r="M1052">
        <v>14.365004593586599</v>
      </c>
      <c r="N1052">
        <v>53.106556095056497</v>
      </c>
      <c r="O1052">
        <v>51.060503205986798</v>
      </c>
      <c r="P1052">
        <v>-6.1511769572083499E-2</v>
      </c>
      <c r="Q1052">
        <v>0.125528876765548</v>
      </c>
      <c r="R1052">
        <v>0.983860224618335</v>
      </c>
      <c r="S1052" t="s">
        <v>6635</v>
      </c>
      <c r="T1052" t="s">
        <v>11164</v>
      </c>
      <c r="U1052" t="s">
        <v>11164</v>
      </c>
      <c r="V1052" t="s">
        <v>11164</v>
      </c>
      <c r="W1052" t="s">
        <v>12196</v>
      </c>
      <c r="X1052">
        <v>4</v>
      </c>
      <c r="Y1052" t="s">
        <v>17726</v>
      </c>
      <c r="Z1052" t="s">
        <v>23202</v>
      </c>
      <c r="AA1052">
        <v>0.58138290337581999</v>
      </c>
      <c r="AB1052" t="str">
        <f>HYPERLINK("Melting_Curves/meltCurve_J3KSH1_AMZ2.pdf", "Melting_Curves/meltCurve_J3KSH1_AMZ2.pdf")</f>
        <v>Melting_Curves/meltCurve_J3KSH1_AMZ2.pdf</v>
      </c>
    </row>
    <row r="1053" spans="1:28" x14ac:dyDescent="0.25">
      <c r="A1053" t="s">
        <v>1057</v>
      </c>
      <c r="B1053">
        <v>0.99796759195183404</v>
      </c>
      <c r="C1053">
        <v>0.96706060359353996</v>
      </c>
      <c r="D1053">
        <v>0.94064902590122801</v>
      </c>
      <c r="E1053">
        <v>0.924555755335563</v>
      </c>
      <c r="F1053">
        <v>0.89455445141235601</v>
      </c>
      <c r="G1053">
        <v>0.61046413103184805</v>
      </c>
      <c r="H1053">
        <v>0.224340908866276</v>
      </c>
      <c r="I1053">
        <v>0.17104345349529201</v>
      </c>
      <c r="J1053">
        <v>0.10866219141962299</v>
      </c>
      <c r="K1053">
        <v>0.100764642266997</v>
      </c>
      <c r="L1053">
        <v>1449.1149642216501</v>
      </c>
      <c r="M1053">
        <v>26.7654660640742</v>
      </c>
      <c r="N1053">
        <v>54.590664780334698</v>
      </c>
      <c r="O1053">
        <v>53.841702394364503</v>
      </c>
      <c r="P1053">
        <v>-0.111990275990925</v>
      </c>
      <c r="Q1053">
        <v>9.8885816480990901E-2</v>
      </c>
      <c r="R1053">
        <v>0.99196798339131498</v>
      </c>
      <c r="S1053" t="s">
        <v>6636</v>
      </c>
      <c r="T1053" t="s">
        <v>11164</v>
      </c>
      <c r="U1053" t="s">
        <v>11164</v>
      </c>
      <c r="V1053" t="s">
        <v>11164</v>
      </c>
      <c r="W1053" t="s">
        <v>12197</v>
      </c>
      <c r="X1053">
        <v>5</v>
      </c>
      <c r="Y1053" t="s">
        <v>17727</v>
      </c>
      <c r="Z1053" t="s">
        <v>23203</v>
      </c>
      <c r="AA1053">
        <v>0.62077384520201617</v>
      </c>
      <c r="AB1053" t="str">
        <f>HYPERLINK("Melting_Curves/meltCurve_J3KTA1_FBXL20.pdf", "Melting_Curves/meltCurve_J3KTA1_FBXL20.pdf")</f>
        <v>Melting_Curves/meltCurve_J3KTA1_FBXL20.pdf</v>
      </c>
    </row>
    <row r="1054" spans="1:28" x14ac:dyDescent="0.25">
      <c r="A1054" t="s">
        <v>1058</v>
      </c>
      <c r="B1054">
        <v>0.99796759195183404</v>
      </c>
      <c r="C1054">
        <v>1.0566445880463</v>
      </c>
      <c r="D1054">
        <v>0.76944772000005301</v>
      </c>
      <c r="E1054">
        <v>0.72727396308454695</v>
      </c>
      <c r="F1054">
        <v>0.55646279081588002</v>
      </c>
      <c r="G1054">
        <v>0.291080171919047</v>
      </c>
      <c r="H1054">
        <v>0.241582583453645</v>
      </c>
      <c r="I1054">
        <v>0</v>
      </c>
      <c r="J1054">
        <v>7.2744108291930495E-2</v>
      </c>
      <c r="K1054">
        <v>0.104346411218306</v>
      </c>
      <c r="L1054">
        <v>594.86230030533102</v>
      </c>
      <c r="M1054">
        <v>11.8204779542643</v>
      </c>
      <c r="N1054">
        <v>50.324729068667899</v>
      </c>
      <c r="O1054">
        <v>48.949203340293103</v>
      </c>
      <c r="P1054">
        <v>-6.0386574220358903E-2</v>
      </c>
      <c r="Q1054">
        <v>0</v>
      </c>
      <c r="R1054">
        <v>0.96786990102175197</v>
      </c>
      <c r="S1054" t="s">
        <v>6637</v>
      </c>
      <c r="T1054" t="s">
        <v>11164</v>
      </c>
      <c r="U1054" t="s">
        <v>11164</v>
      </c>
      <c r="V1054" t="s">
        <v>11164</v>
      </c>
      <c r="W1054" t="s">
        <v>12198</v>
      </c>
      <c r="X1054">
        <v>1</v>
      </c>
      <c r="Y1054" t="s">
        <v>17728</v>
      </c>
      <c r="Z1054" t="s">
        <v>23204</v>
      </c>
      <c r="AA1054">
        <v>0.47200306180944551</v>
      </c>
      <c r="AB1054" t="str">
        <f>HYPERLINK("Melting_Curves/meltCurve_J3KTD6_AURKB.pdf", "Melting_Curves/meltCurve_J3KTD6_AURKB.pdf")</f>
        <v>Melting_Curves/meltCurve_J3KTD6_AURKB.pdf</v>
      </c>
    </row>
    <row r="1055" spans="1:28" x14ac:dyDescent="0.25">
      <c r="A1055" t="s">
        <v>1059</v>
      </c>
      <c r="B1055">
        <v>0.99796759195183404</v>
      </c>
      <c r="C1055">
        <v>1.09806488955784</v>
      </c>
      <c r="D1055">
        <v>0.99748347328190701</v>
      </c>
      <c r="E1055">
        <v>0.96093436663625498</v>
      </c>
      <c r="F1055">
        <v>0.87598611178555696</v>
      </c>
      <c r="G1055">
        <v>0.768873420416611</v>
      </c>
      <c r="H1055">
        <v>0.655440292399328</v>
      </c>
      <c r="I1055">
        <v>0.58422616126393001</v>
      </c>
      <c r="J1055">
        <v>0.57654005404893005</v>
      </c>
      <c r="K1055">
        <v>1.14835152452645</v>
      </c>
      <c r="L1055">
        <v>1889.66613729204</v>
      </c>
      <c r="M1055">
        <v>37.682142802090702</v>
      </c>
      <c r="O1055">
        <v>50.006916882045203</v>
      </c>
      <c r="P1055">
        <v>-4.8413654783337798E-2</v>
      </c>
      <c r="Q1055">
        <v>0.74300705127171596</v>
      </c>
      <c r="R1055">
        <v>0.40214805893536598</v>
      </c>
      <c r="S1055" t="s">
        <v>6638</v>
      </c>
      <c r="T1055" t="s">
        <v>11164</v>
      </c>
      <c r="U1055" t="s">
        <v>11164</v>
      </c>
      <c r="V1055" t="s">
        <v>11164</v>
      </c>
      <c r="W1055" t="s">
        <v>12199</v>
      </c>
      <c r="X1055">
        <v>9</v>
      </c>
      <c r="Y1055" t="s">
        <v>17729</v>
      </c>
      <c r="Z1055" t="s">
        <v>23205</v>
      </c>
      <c r="AA1055">
        <v>0.85663795316791824</v>
      </c>
      <c r="AB1055" t="str">
        <f>HYPERLINK("Melting_Curves/meltCurve_J3KTL2_SRSF1.pdf", "Melting_Curves/meltCurve_J3KTL2_SRSF1.pdf")</f>
        <v>Melting_Curves/meltCurve_J3KTL2_SRSF1.pdf</v>
      </c>
    </row>
    <row r="1056" spans="1:28" x14ac:dyDescent="0.25">
      <c r="A1056" t="s">
        <v>1060</v>
      </c>
      <c r="B1056">
        <v>0.99796759195183404</v>
      </c>
      <c r="C1056">
        <v>0.97819707783529197</v>
      </c>
      <c r="D1056">
        <v>0.98906330244247598</v>
      </c>
      <c r="E1056">
        <v>0.94983770390279398</v>
      </c>
      <c r="F1056">
        <v>0.697398166033113</v>
      </c>
      <c r="G1056">
        <v>0.376090933466384</v>
      </c>
      <c r="H1056">
        <v>0.36171174761826802</v>
      </c>
      <c r="I1056">
        <v>0.23560364001006601</v>
      </c>
      <c r="J1056">
        <v>0.20908443998249501</v>
      </c>
      <c r="K1056">
        <v>0.140476155923588</v>
      </c>
      <c r="L1056">
        <v>1045.82097081866</v>
      </c>
      <c r="M1056">
        <v>20.305911975085198</v>
      </c>
      <c r="N1056">
        <v>52.742124130688502</v>
      </c>
      <c r="O1056">
        <v>51.011576721950199</v>
      </c>
      <c r="P1056">
        <v>-8.0643832486254993E-2</v>
      </c>
      <c r="Q1056">
        <v>0.18966599503716999</v>
      </c>
      <c r="R1056">
        <v>0.98762527585832405</v>
      </c>
      <c r="S1056" t="s">
        <v>6639</v>
      </c>
      <c r="T1056" t="s">
        <v>11164</v>
      </c>
      <c r="U1056" t="s">
        <v>11164</v>
      </c>
      <c r="V1056" t="s">
        <v>11164</v>
      </c>
      <c r="W1056" t="s">
        <v>12200</v>
      </c>
      <c r="X1056">
        <v>7</v>
      </c>
      <c r="Y1056" t="s">
        <v>17730</v>
      </c>
      <c r="Z1056" t="s">
        <v>23206</v>
      </c>
      <c r="AA1056">
        <v>0.59170744102921469</v>
      </c>
      <c r="AB1056" t="str">
        <f>HYPERLINK("Melting_Curves/meltCurve_J3QK89_CHERP.pdf", "Melting_Curves/meltCurve_J3QK89_CHERP.pdf")</f>
        <v>Melting_Curves/meltCurve_J3QK89_CHERP.pdf</v>
      </c>
    </row>
    <row r="1057" spans="1:28" x14ac:dyDescent="0.25">
      <c r="A1057" t="s">
        <v>1061</v>
      </c>
      <c r="B1057">
        <v>0.99796759195183404</v>
      </c>
      <c r="C1057">
        <v>3.1405766956436798</v>
      </c>
      <c r="D1057">
        <v>1.9206136447954101</v>
      </c>
      <c r="E1057">
        <v>2.3232364839195099</v>
      </c>
      <c r="F1057">
        <v>2.4709709692574702</v>
      </c>
      <c r="G1057">
        <v>2.2452131713007901</v>
      </c>
      <c r="H1057">
        <v>1.91918139135938</v>
      </c>
      <c r="I1057">
        <v>5.51002731271271</v>
      </c>
      <c r="J1057">
        <v>4.6105252627850302</v>
      </c>
      <c r="K1057">
        <v>2.6930441932178599</v>
      </c>
      <c r="L1057">
        <v>9480.6570093198006</v>
      </c>
      <c r="M1057">
        <v>250</v>
      </c>
      <c r="O1057">
        <v>37.9202048238892</v>
      </c>
      <c r="P1057">
        <v>0.82409900290327498</v>
      </c>
      <c r="Q1057">
        <v>1.5</v>
      </c>
      <c r="R1057">
        <v>-1.0015864025446399</v>
      </c>
      <c r="S1057" t="s">
        <v>6640</v>
      </c>
      <c r="T1057" t="s">
        <v>11164</v>
      </c>
      <c r="U1057" t="s">
        <v>11164</v>
      </c>
      <c r="V1057" t="s">
        <v>11164</v>
      </c>
      <c r="W1057" t="s">
        <v>12201</v>
      </c>
      <c r="X1057">
        <v>21</v>
      </c>
      <c r="Y1057" t="s">
        <v>17731</v>
      </c>
      <c r="Z1057" t="s">
        <v>23207</v>
      </c>
      <c r="AA1057">
        <v>1.4845849092695289</v>
      </c>
      <c r="AB1057" t="str">
        <f>HYPERLINK("Melting_Curves/meltCurve_J3QKP5_ALDOC.pdf", "Melting_Curves/meltCurve_J3QKP5_ALDOC.pdf")</f>
        <v>Melting_Curves/meltCurve_J3QKP5_ALDOC.pdf</v>
      </c>
    </row>
    <row r="1058" spans="1:28" x14ac:dyDescent="0.25">
      <c r="A1058" t="s">
        <v>1062</v>
      </c>
      <c r="B1058">
        <v>0.99796759195183404</v>
      </c>
      <c r="C1058">
        <v>0.92607312900782401</v>
      </c>
      <c r="D1058">
        <v>0.925383169639588</v>
      </c>
      <c r="E1058">
        <v>1.05774440379992</v>
      </c>
      <c r="F1058">
        <v>1.36023558297433</v>
      </c>
      <c r="G1058">
        <v>1.6011886664702</v>
      </c>
      <c r="H1058">
        <v>1.40374560963003</v>
      </c>
      <c r="I1058">
        <v>1.5987895403061401</v>
      </c>
      <c r="J1058">
        <v>1.3107441001337701</v>
      </c>
      <c r="K1058">
        <v>1.6868732570590199</v>
      </c>
      <c r="L1058">
        <v>2344.7673650474399</v>
      </c>
      <c r="M1058">
        <v>47.807029457964902</v>
      </c>
      <c r="O1058">
        <v>48.960908507473697</v>
      </c>
      <c r="P1058">
        <v>0.122054205199189</v>
      </c>
      <c r="Q1058">
        <v>1.5</v>
      </c>
      <c r="R1058">
        <v>0.85348828108706298</v>
      </c>
      <c r="S1058" t="s">
        <v>6641</v>
      </c>
      <c r="T1058" t="s">
        <v>11164</v>
      </c>
      <c r="U1058" t="s">
        <v>11164</v>
      </c>
      <c r="V1058" t="s">
        <v>11164</v>
      </c>
      <c r="W1058" t="s">
        <v>12202</v>
      </c>
      <c r="X1058">
        <v>3</v>
      </c>
      <c r="Y1058" t="s">
        <v>17732</v>
      </c>
      <c r="Z1058" t="s">
        <v>23208</v>
      </c>
      <c r="AA1058">
        <v>1.2980412523164619</v>
      </c>
      <c r="AB1058" t="str">
        <f>HYPERLINK("Melting_Curves/meltCurve_J3QKR3_PSMB3.pdf", "Melting_Curves/meltCurve_J3QKR3_PSMB3.pdf")</f>
        <v>Melting_Curves/meltCurve_J3QKR3_PSMB3.pdf</v>
      </c>
    </row>
    <row r="1059" spans="1:28" x14ac:dyDescent="0.25">
      <c r="A1059" t="s">
        <v>1063</v>
      </c>
      <c r="B1059">
        <v>0.99796759195183404</v>
      </c>
      <c r="C1059">
        <v>1.11568239231457</v>
      </c>
      <c r="D1059">
        <v>1.0036851829495801</v>
      </c>
      <c r="E1059">
        <v>1.0648674738486299</v>
      </c>
      <c r="F1059">
        <v>0.81510850618512298</v>
      </c>
      <c r="G1059">
        <v>0.54954800725328401</v>
      </c>
      <c r="H1059">
        <v>0.44486215183986999</v>
      </c>
      <c r="I1059">
        <v>0.32206663814874598</v>
      </c>
      <c r="J1059">
        <v>0.218381950255851</v>
      </c>
      <c r="K1059">
        <v>0.19403474599680001</v>
      </c>
      <c r="L1059">
        <v>995.06717206052303</v>
      </c>
      <c r="M1059">
        <v>18.4782509322104</v>
      </c>
      <c r="N1059">
        <v>55.392635006517899</v>
      </c>
      <c r="O1059">
        <v>53.231923364097597</v>
      </c>
      <c r="P1059">
        <v>-6.93366790633866E-2</v>
      </c>
      <c r="Q1059">
        <v>0.20105859291856601</v>
      </c>
      <c r="R1059">
        <v>0.97189396857020904</v>
      </c>
      <c r="S1059" t="s">
        <v>6642</v>
      </c>
      <c r="T1059" t="s">
        <v>11164</v>
      </c>
      <c r="U1059" t="s">
        <v>11164</v>
      </c>
      <c r="V1059" t="s">
        <v>11164</v>
      </c>
      <c r="W1059" t="s">
        <v>12203</v>
      </c>
      <c r="X1059">
        <v>3</v>
      </c>
      <c r="Y1059" t="s">
        <v>17733</v>
      </c>
      <c r="Z1059" t="s">
        <v>23209</v>
      </c>
      <c r="AA1059">
        <v>0.66055717306524098</v>
      </c>
      <c r="AB1059" t="str">
        <f>HYPERLINK("Melting_Curves/meltCurve_J3QKS7_SMARCE1.pdf", "Melting_Curves/meltCurve_J3QKS7_SMARCE1.pdf")</f>
        <v>Melting_Curves/meltCurve_J3QKS7_SMARCE1.pdf</v>
      </c>
    </row>
    <row r="1060" spans="1:28" x14ac:dyDescent="0.25">
      <c r="A1060" t="s">
        <v>1064</v>
      </c>
      <c r="B1060">
        <v>0.99796759195183404</v>
      </c>
      <c r="C1060">
        <v>0.96839026345359303</v>
      </c>
      <c r="D1060">
        <v>1.0421955848322</v>
      </c>
      <c r="E1060">
        <v>0.96671523778238999</v>
      </c>
      <c r="F1060">
        <v>0.73391158128327405</v>
      </c>
      <c r="G1060">
        <v>0.34097784188090802</v>
      </c>
      <c r="H1060">
        <v>0.16837738500566199</v>
      </c>
      <c r="I1060">
        <v>0.124044946627952</v>
      </c>
      <c r="J1060">
        <v>0.122598513124599</v>
      </c>
      <c r="K1060">
        <v>0.107694013213603</v>
      </c>
      <c r="L1060">
        <v>1454.4924653583801</v>
      </c>
      <c r="M1060">
        <v>28.106838937175599</v>
      </c>
      <c r="N1060">
        <v>52.225708299057899</v>
      </c>
      <c r="O1060">
        <v>51.488874326308199</v>
      </c>
      <c r="P1060">
        <v>-0.12102222247649699</v>
      </c>
      <c r="Q1060">
        <v>0.113205838645404</v>
      </c>
      <c r="R1060">
        <v>0.99799800439897102</v>
      </c>
      <c r="S1060" t="s">
        <v>6643</v>
      </c>
      <c r="T1060" t="s">
        <v>11164</v>
      </c>
      <c r="U1060" t="s">
        <v>11164</v>
      </c>
      <c r="V1060" t="s">
        <v>11164</v>
      </c>
      <c r="W1060" t="s">
        <v>12204</v>
      </c>
      <c r="X1060">
        <v>4</v>
      </c>
      <c r="Y1060" t="s">
        <v>17734</v>
      </c>
      <c r="Z1060" t="s">
        <v>23210</v>
      </c>
      <c r="AA1060">
        <v>0.55549325667174365</v>
      </c>
      <c r="AB1060" t="str">
        <f>HYPERLINK("Melting_Curves/meltCurve_J3QL56_SCO1.pdf", "Melting_Curves/meltCurve_J3QL56_SCO1.pdf")</f>
        <v>Melting_Curves/meltCurve_J3QL56_SCO1.pdf</v>
      </c>
    </row>
    <row r="1061" spans="1:28" x14ac:dyDescent="0.25">
      <c r="A1061" t="s">
        <v>1065</v>
      </c>
      <c r="B1061">
        <v>0.99796759195183404</v>
      </c>
      <c r="C1061">
        <v>1.1243633973821801</v>
      </c>
      <c r="D1061">
        <v>0.98056926759893803</v>
      </c>
      <c r="E1061">
        <v>0.88681990141191602</v>
      </c>
      <c r="F1061">
        <v>0.902738786745507</v>
      </c>
      <c r="G1061">
        <v>0.50280327321256801</v>
      </c>
      <c r="H1061">
        <v>0.27517832020503202</v>
      </c>
      <c r="I1061">
        <v>0.223456577822192</v>
      </c>
      <c r="J1061">
        <v>0.13974211174293499</v>
      </c>
      <c r="K1061">
        <v>0.13443812540870201</v>
      </c>
      <c r="L1061">
        <v>1322.7718549444101</v>
      </c>
      <c r="M1061">
        <v>24.787912335102799</v>
      </c>
      <c r="N1061">
        <v>54.110958205795299</v>
      </c>
      <c r="O1061">
        <v>53.019931897232802</v>
      </c>
      <c r="P1061">
        <v>-9.9939075036270295E-2</v>
      </c>
      <c r="Q1061">
        <v>0.144956283922408</v>
      </c>
      <c r="R1061">
        <v>0.97933024683513203</v>
      </c>
      <c r="S1061" t="s">
        <v>6644</v>
      </c>
      <c r="T1061" t="s">
        <v>11164</v>
      </c>
      <c r="U1061" t="s">
        <v>11164</v>
      </c>
      <c r="V1061" t="s">
        <v>11164</v>
      </c>
      <c r="W1061" t="s">
        <v>12205</v>
      </c>
      <c r="X1061">
        <v>5</v>
      </c>
      <c r="Y1061" t="s">
        <v>17735</v>
      </c>
      <c r="Z1061" t="s">
        <v>23211</v>
      </c>
      <c r="AA1061">
        <v>0.61898343691238489</v>
      </c>
      <c r="AB1061" t="str">
        <f>HYPERLINK("Melting_Curves/meltCurve_J3QL71_SCRN2.pdf", "Melting_Curves/meltCurve_J3QL71_SCRN2.pdf")</f>
        <v>Melting_Curves/meltCurve_J3QL71_SCRN2.pdf</v>
      </c>
    </row>
    <row r="1062" spans="1:28" x14ac:dyDescent="0.25">
      <c r="A1062" t="s">
        <v>1066</v>
      </c>
      <c r="B1062">
        <v>0.99796759195183404</v>
      </c>
      <c r="C1062">
        <v>0.94009019294756901</v>
      </c>
      <c r="D1062">
        <v>0.99375034224644698</v>
      </c>
      <c r="E1062">
        <v>0.91039438175105103</v>
      </c>
      <c r="F1062">
        <v>0.83210639882214699</v>
      </c>
      <c r="G1062">
        <v>0.69571944842875</v>
      </c>
      <c r="H1062">
        <v>0.70077246920860703</v>
      </c>
      <c r="I1062">
        <v>0.64828888195645895</v>
      </c>
      <c r="J1062">
        <v>0.77298794318143105</v>
      </c>
      <c r="K1062">
        <v>0.53951916008864598</v>
      </c>
      <c r="L1062">
        <v>731.14184386658496</v>
      </c>
      <c r="M1062">
        <v>14.5652004733669</v>
      </c>
      <c r="O1062">
        <v>49.280104655037199</v>
      </c>
      <c r="P1062">
        <v>-2.7022874447189399E-2</v>
      </c>
      <c r="Q1062">
        <v>0.63432332858053597</v>
      </c>
      <c r="R1062">
        <v>0.85818398158019504</v>
      </c>
      <c r="S1062" t="s">
        <v>6645</v>
      </c>
      <c r="T1062" t="s">
        <v>11164</v>
      </c>
      <c r="U1062" t="s">
        <v>11164</v>
      </c>
      <c r="V1062" t="s">
        <v>11164</v>
      </c>
      <c r="W1062" t="s">
        <v>12206</v>
      </c>
      <c r="X1062">
        <v>2</v>
      </c>
      <c r="Y1062" t="s">
        <v>17736</v>
      </c>
      <c r="Z1062" t="s">
        <v>23212</v>
      </c>
      <c r="AA1062">
        <v>0.80310802807041548</v>
      </c>
      <c r="AB1062" t="str">
        <f>HYPERLINK("Melting_Curves/meltCurve_J3QLB2_SLC39A11.pdf", "Melting_Curves/meltCurve_J3QLB2_SLC39A11.pdf")</f>
        <v>Melting_Curves/meltCurve_J3QLB2_SLC39A11.pdf</v>
      </c>
    </row>
    <row r="1063" spans="1:28" x14ac:dyDescent="0.25">
      <c r="A1063" t="s">
        <v>1067</v>
      </c>
      <c r="B1063">
        <v>0.99796759195183404</v>
      </c>
      <c r="C1063">
        <v>1.00608255769205</v>
      </c>
      <c r="D1063">
        <v>0.99590295669100504</v>
      </c>
      <c r="E1063">
        <v>0.94390051605019198</v>
      </c>
      <c r="F1063">
        <v>0.83238375755789995</v>
      </c>
      <c r="G1063">
        <v>0.61596184745904503</v>
      </c>
      <c r="H1063">
        <v>0.44596192254991601</v>
      </c>
      <c r="I1063">
        <v>0.30857080248213198</v>
      </c>
      <c r="J1063">
        <v>0.22946445849960201</v>
      </c>
      <c r="K1063">
        <v>0.17877141050460801</v>
      </c>
      <c r="L1063">
        <v>786.27706321449</v>
      </c>
      <c r="M1063">
        <v>14.2779761560176</v>
      </c>
      <c r="N1063">
        <v>56.191244130871603</v>
      </c>
      <c r="O1063">
        <v>54.022744185109502</v>
      </c>
      <c r="P1063">
        <v>-5.7885855657158397E-2</v>
      </c>
      <c r="Q1063">
        <v>0.12402989153155999</v>
      </c>
      <c r="R1063">
        <v>0.999121682723491</v>
      </c>
      <c r="S1063" t="s">
        <v>6646</v>
      </c>
      <c r="T1063" t="s">
        <v>11164</v>
      </c>
      <c r="U1063" t="s">
        <v>11164</v>
      </c>
      <c r="V1063" t="s">
        <v>11164</v>
      </c>
      <c r="W1063" t="s">
        <v>12207</v>
      </c>
      <c r="X1063">
        <v>9</v>
      </c>
      <c r="Y1063" t="s">
        <v>17737</v>
      </c>
      <c r="Z1063" t="s">
        <v>23213</v>
      </c>
      <c r="AA1063">
        <v>0.66401497621368344</v>
      </c>
      <c r="AB1063" t="str">
        <f>HYPERLINK("Melting_Curves/meltCurve_J3QLD9_FLOT2.pdf", "Melting_Curves/meltCurve_J3QLD9_FLOT2.pdf")</f>
        <v>Melting_Curves/meltCurve_J3QLD9_FLOT2.pdf</v>
      </c>
    </row>
    <row r="1064" spans="1:28" x14ac:dyDescent="0.25">
      <c r="A1064" t="s">
        <v>1068</v>
      </c>
      <c r="B1064">
        <v>0.99796759195183404</v>
      </c>
      <c r="C1064">
        <v>0.94158025441308701</v>
      </c>
      <c r="D1064">
        <v>0.78135441304067599</v>
      </c>
      <c r="E1064">
        <v>0.92081615896814295</v>
      </c>
      <c r="F1064">
        <v>0.999197751685171</v>
      </c>
      <c r="G1064">
        <v>0.67520288860159206</v>
      </c>
      <c r="H1064">
        <v>0.43949839498549198</v>
      </c>
      <c r="I1064">
        <v>0.23697150231047401</v>
      </c>
      <c r="J1064">
        <v>0.216771158458406</v>
      </c>
      <c r="K1064">
        <v>0.172198414961689</v>
      </c>
      <c r="L1064">
        <v>1280.9783001235901</v>
      </c>
      <c r="M1064">
        <v>23.1713874300534</v>
      </c>
      <c r="N1064">
        <v>56.275642229168199</v>
      </c>
      <c r="O1064">
        <v>54.875947882231799</v>
      </c>
      <c r="P1064">
        <v>-8.78526257251733E-2</v>
      </c>
      <c r="Q1064">
        <v>0.167782509182235</v>
      </c>
      <c r="R1064">
        <v>0.93984290536420301</v>
      </c>
      <c r="S1064" t="s">
        <v>6647</v>
      </c>
      <c r="T1064" t="s">
        <v>11164</v>
      </c>
      <c r="U1064" t="s">
        <v>11164</v>
      </c>
      <c r="V1064" t="s">
        <v>11164</v>
      </c>
      <c r="W1064" t="s">
        <v>12208</v>
      </c>
      <c r="X1064">
        <v>3</v>
      </c>
      <c r="Y1064" t="s">
        <v>17738</v>
      </c>
      <c r="Z1064" t="s">
        <v>23214</v>
      </c>
      <c r="AA1064">
        <v>0.68272475359645957</v>
      </c>
      <c r="AB1064" t="str">
        <f>HYPERLINK("Melting_Curves/meltCurve_J3QLR8_MRPS23.pdf", "Melting_Curves/meltCurve_J3QLR8_MRPS23.pdf")</f>
        <v>Melting_Curves/meltCurve_J3QLR8_MRPS23.pdf</v>
      </c>
    </row>
    <row r="1065" spans="1:28" x14ac:dyDescent="0.25">
      <c r="A1065" t="s">
        <v>1069</v>
      </c>
      <c r="B1065">
        <v>0.99796759195183404</v>
      </c>
      <c r="C1065">
        <v>1.0764326552163701</v>
      </c>
      <c r="D1065">
        <v>1.2266605774992001</v>
      </c>
      <c r="E1065">
        <v>0.95306523412764399</v>
      </c>
      <c r="F1065">
        <v>0.90079779189686504</v>
      </c>
      <c r="G1065">
        <v>0.67247841860537605</v>
      </c>
      <c r="H1065">
        <v>0.55748205648624005</v>
      </c>
      <c r="I1065">
        <v>0.46201106817592502</v>
      </c>
      <c r="J1065">
        <v>0.44397430357794998</v>
      </c>
      <c r="K1065">
        <v>9.9020135137982704E-2</v>
      </c>
      <c r="L1065">
        <v>654.09016933509804</v>
      </c>
      <c r="M1065">
        <v>11.025823946358599</v>
      </c>
      <c r="N1065">
        <v>59.323473045835001</v>
      </c>
      <c r="O1065">
        <v>57.472247418786203</v>
      </c>
      <c r="P1065">
        <v>-4.7977549366384598E-2</v>
      </c>
      <c r="Q1065">
        <v>0</v>
      </c>
      <c r="R1065">
        <v>0.90120098335162802</v>
      </c>
      <c r="S1065" t="s">
        <v>6648</v>
      </c>
      <c r="T1065" t="s">
        <v>11164</v>
      </c>
      <c r="U1065" t="s">
        <v>11164</v>
      </c>
      <c r="V1065" t="s">
        <v>11164</v>
      </c>
      <c r="W1065" t="s">
        <v>12209</v>
      </c>
      <c r="X1065">
        <v>3</v>
      </c>
      <c r="Y1065" t="s">
        <v>17739</v>
      </c>
      <c r="Z1065" t="s">
        <v>23215</v>
      </c>
      <c r="AA1065">
        <v>0.72927738439781886</v>
      </c>
      <c r="AB1065" t="str">
        <f>HYPERLINK("Melting_Curves/meltCurve_J3QLS3_MRPS7.pdf", "Melting_Curves/meltCurve_J3QLS3_MRPS7.pdf")</f>
        <v>Melting_Curves/meltCurve_J3QLS3_MRPS7.pdf</v>
      </c>
    </row>
    <row r="1066" spans="1:28" x14ac:dyDescent="0.25">
      <c r="A1066" t="s">
        <v>1070</v>
      </c>
      <c r="B1066">
        <v>0.99796759195183404</v>
      </c>
      <c r="C1066">
        <v>0.81495325270110697</v>
      </c>
      <c r="D1066">
        <v>0.90242686293996699</v>
      </c>
      <c r="E1066">
        <v>0.80189330070419296</v>
      </c>
      <c r="F1066">
        <v>0.656823487061717</v>
      </c>
      <c r="G1066">
        <v>1.3256942922253601</v>
      </c>
      <c r="H1066">
        <v>1.6413900322205801</v>
      </c>
      <c r="I1066">
        <v>1.6509336308228399</v>
      </c>
      <c r="J1066">
        <v>0.81982259020771298</v>
      </c>
      <c r="K1066">
        <v>0.452893164243661</v>
      </c>
      <c r="L1066">
        <v>15000</v>
      </c>
      <c r="M1066">
        <v>233.297926728661</v>
      </c>
      <c r="N1066">
        <v>64.952858635163693</v>
      </c>
      <c r="O1066">
        <v>64.290746353584893</v>
      </c>
      <c r="P1066">
        <v>-0.49637594440830002</v>
      </c>
      <c r="Q1066">
        <v>0.45284760694044401</v>
      </c>
      <c r="R1066">
        <v>0.22491123177483099</v>
      </c>
      <c r="S1066" t="s">
        <v>6649</v>
      </c>
      <c r="T1066" t="s">
        <v>11164</v>
      </c>
      <c r="U1066" t="s">
        <v>11164</v>
      </c>
      <c r="V1066" t="s">
        <v>11164</v>
      </c>
      <c r="W1066" t="s">
        <v>12210</v>
      </c>
      <c r="X1066">
        <v>1</v>
      </c>
      <c r="Y1066" t="s">
        <v>17740</v>
      </c>
      <c r="Z1066" t="s">
        <v>23216</v>
      </c>
      <c r="AA1066">
        <v>0.95074412672927189</v>
      </c>
      <c r="AB1066" t="str">
        <f>HYPERLINK("Melting_Curves/meltCurve_J3QQ66_ZFHX4.pdf", "Melting_Curves/meltCurve_J3QQ66_ZFHX4.pdf")</f>
        <v>Melting_Curves/meltCurve_J3QQ66_ZFHX4.pdf</v>
      </c>
    </row>
    <row r="1067" spans="1:28" x14ac:dyDescent="0.25">
      <c r="A1067" t="s">
        <v>1071</v>
      </c>
      <c r="B1067">
        <v>0.99796759195183404</v>
      </c>
      <c r="C1067">
        <v>1.0047419843220899</v>
      </c>
      <c r="D1067">
        <v>0.95232165856711404</v>
      </c>
      <c r="E1067">
        <v>0.993582755571084</v>
      </c>
      <c r="F1067">
        <v>0.94095104741555102</v>
      </c>
      <c r="G1067">
        <v>0.70683104277862696</v>
      </c>
      <c r="H1067">
        <v>0.58545740402898305</v>
      </c>
      <c r="I1067">
        <v>0.57626139826811396</v>
      </c>
      <c r="J1067">
        <v>0.64734369911671397</v>
      </c>
      <c r="K1067">
        <v>0.54009321813059097</v>
      </c>
      <c r="L1067">
        <v>2067.4173994477001</v>
      </c>
      <c r="M1067">
        <v>39.337422118764799</v>
      </c>
      <c r="O1067">
        <v>52.420726545095697</v>
      </c>
      <c r="P1067">
        <v>-7.8088141499067995E-2</v>
      </c>
      <c r="Q1067">
        <v>0.58376246227136597</v>
      </c>
      <c r="R1067">
        <v>0.97621928377462597</v>
      </c>
      <c r="S1067" t="s">
        <v>6650</v>
      </c>
      <c r="T1067" t="s">
        <v>11164</v>
      </c>
      <c r="U1067" t="s">
        <v>11164</v>
      </c>
      <c r="V1067" t="s">
        <v>11164</v>
      </c>
      <c r="W1067" t="s">
        <v>12211</v>
      </c>
      <c r="X1067">
        <v>10</v>
      </c>
      <c r="Y1067" t="s">
        <v>17741</v>
      </c>
      <c r="Z1067" t="s">
        <v>23217</v>
      </c>
      <c r="AA1067">
        <v>0.80115315324914227</v>
      </c>
      <c r="AB1067" t="str">
        <f>HYPERLINK("Melting_Curves/meltCurve_J3QQJ0_SAP30BP.pdf", "Melting_Curves/meltCurve_J3QQJ0_SAP30BP.pdf")</f>
        <v>Melting_Curves/meltCurve_J3QQJ0_SAP30BP.pdf</v>
      </c>
    </row>
    <row r="1068" spans="1:28" x14ac:dyDescent="0.25">
      <c r="A1068" t="s">
        <v>1072</v>
      </c>
      <c r="B1068">
        <v>0.99796759195183404</v>
      </c>
      <c r="C1068">
        <v>1.0984837125369</v>
      </c>
      <c r="D1068">
        <v>1.0586075046033701</v>
      </c>
      <c r="E1068">
        <v>0.98196684981343596</v>
      </c>
      <c r="F1068">
        <v>0.89373547804918596</v>
      </c>
      <c r="G1068">
        <v>0.70268759506733103</v>
      </c>
      <c r="H1068">
        <v>0.60566443417211402</v>
      </c>
      <c r="I1068">
        <v>0.50202932326378003</v>
      </c>
      <c r="J1068">
        <v>0.40533546756266298</v>
      </c>
      <c r="K1068">
        <v>0.241456680255483</v>
      </c>
      <c r="L1068">
        <v>642.59936271238996</v>
      </c>
      <c r="M1068">
        <v>10.8885683760685</v>
      </c>
      <c r="N1068">
        <v>60.144959313387403</v>
      </c>
      <c r="O1068">
        <v>57.130069513047502</v>
      </c>
      <c r="P1068">
        <v>-4.3259279031276097E-2</v>
      </c>
      <c r="Q1068">
        <v>9.2428547477132098E-2</v>
      </c>
      <c r="R1068">
        <v>0.96752103230167397</v>
      </c>
      <c r="S1068" t="s">
        <v>6651</v>
      </c>
      <c r="T1068" t="s">
        <v>11164</v>
      </c>
      <c r="U1068" t="s">
        <v>11164</v>
      </c>
      <c r="V1068" t="s">
        <v>11164</v>
      </c>
      <c r="W1068" t="s">
        <v>12212</v>
      </c>
      <c r="X1068">
        <v>7</v>
      </c>
      <c r="Y1068" t="s">
        <v>17742</v>
      </c>
      <c r="Z1068" t="s">
        <v>23218</v>
      </c>
      <c r="AA1068">
        <v>0.74678539082505158</v>
      </c>
      <c r="AB1068" t="str">
        <f>HYPERLINK("Melting_Curves/meltCurve_J3QQT2_RPL17.pdf", "Melting_Curves/meltCurve_J3QQT2_RPL17.pdf")</f>
        <v>Melting_Curves/meltCurve_J3QQT2_RPL17.pdf</v>
      </c>
    </row>
    <row r="1069" spans="1:28" x14ac:dyDescent="0.25">
      <c r="A1069" t="s">
        <v>1073</v>
      </c>
      <c r="B1069">
        <v>0.99796759195183404</v>
      </c>
      <c r="C1069">
        <v>1.0267574377931099</v>
      </c>
      <c r="D1069">
        <v>1.10980609231461</v>
      </c>
      <c r="E1069">
        <v>1.12045051836197</v>
      </c>
      <c r="F1069">
        <v>0.81559857147342496</v>
      </c>
      <c r="G1069">
        <v>0.46714196539929997</v>
      </c>
      <c r="H1069">
        <v>0.33582131065376403</v>
      </c>
      <c r="I1069">
        <v>0.289048412273542</v>
      </c>
      <c r="J1069">
        <v>0.120252631372156</v>
      </c>
      <c r="K1069">
        <v>0</v>
      </c>
      <c r="L1069">
        <v>1047.9514947141099</v>
      </c>
      <c r="M1069">
        <v>19.4321318757389</v>
      </c>
      <c r="N1069">
        <v>54.430601871108301</v>
      </c>
      <c r="O1069">
        <v>53.367414001972698</v>
      </c>
      <c r="P1069">
        <v>-8.3567723971934696E-2</v>
      </c>
      <c r="Q1069">
        <v>8.2008976058743396E-2</v>
      </c>
      <c r="R1069">
        <v>0.956135350333435</v>
      </c>
      <c r="S1069" t="s">
        <v>6652</v>
      </c>
      <c r="T1069" t="s">
        <v>11164</v>
      </c>
      <c r="U1069" t="s">
        <v>11164</v>
      </c>
      <c r="V1069" t="s">
        <v>11164</v>
      </c>
      <c r="W1069" t="s">
        <v>12213</v>
      </c>
      <c r="X1069">
        <v>24</v>
      </c>
      <c r="Y1069" t="s">
        <v>17743</v>
      </c>
      <c r="Z1069" t="s">
        <v>23219</v>
      </c>
      <c r="AA1069">
        <v>0.61158278584434744</v>
      </c>
      <c r="AB1069" t="str">
        <f>HYPERLINK("Melting_Curves/meltCurve_J3QQX3_FDXR.pdf", "Melting_Curves/meltCurve_J3QQX3_FDXR.pdf")</f>
        <v>Melting_Curves/meltCurve_J3QQX3_FDXR.pdf</v>
      </c>
    </row>
    <row r="1070" spans="1:28" x14ac:dyDescent="0.25">
      <c r="A1070" t="s">
        <v>1074</v>
      </c>
      <c r="B1070">
        <v>0.99796759195183404</v>
      </c>
      <c r="C1070">
        <v>0.98270367875666098</v>
      </c>
      <c r="D1070">
        <v>0.86434454427799001</v>
      </c>
      <c r="E1070">
        <v>0.81872985414039401</v>
      </c>
      <c r="F1070">
        <v>0.63806752588983495</v>
      </c>
      <c r="G1070">
        <v>0.547719507364411</v>
      </c>
      <c r="H1070">
        <v>0.41661535677476302</v>
      </c>
      <c r="I1070">
        <v>0.29451883780357702</v>
      </c>
      <c r="J1070">
        <v>0.33100674837126998</v>
      </c>
      <c r="K1070">
        <v>0.25479103019781801</v>
      </c>
      <c r="L1070">
        <v>500.57007065261899</v>
      </c>
      <c r="M1070">
        <v>9.6290143335500602</v>
      </c>
      <c r="N1070">
        <v>54.479734961933403</v>
      </c>
      <c r="O1070">
        <v>49.891839984195798</v>
      </c>
      <c r="P1070">
        <v>-3.9671352102978202E-2</v>
      </c>
      <c r="Q1070">
        <v>0.17824805618690001</v>
      </c>
      <c r="R1070">
        <v>0.99022924681889901</v>
      </c>
      <c r="S1070" t="s">
        <v>6653</v>
      </c>
      <c r="T1070" t="s">
        <v>11164</v>
      </c>
      <c r="U1070" t="s">
        <v>11164</v>
      </c>
      <c r="V1070" t="s">
        <v>11164</v>
      </c>
      <c r="W1070" t="s">
        <v>12214</v>
      </c>
      <c r="X1070">
        <v>3</v>
      </c>
      <c r="Y1070" t="s">
        <v>17744</v>
      </c>
      <c r="Z1070" t="s">
        <v>23220</v>
      </c>
      <c r="AA1070">
        <v>0.61106818748032898</v>
      </c>
      <c r="AB1070" t="str">
        <f>HYPERLINK("Melting_Curves/meltCurve_J3QQY0_MSL1.pdf", "Melting_Curves/meltCurve_J3QQY0_MSL1.pdf")</f>
        <v>Melting_Curves/meltCurve_J3QQY0_MSL1.pdf</v>
      </c>
    </row>
    <row r="1071" spans="1:28" x14ac:dyDescent="0.25">
      <c r="A1071" t="s">
        <v>1075</v>
      </c>
      <c r="B1071">
        <v>0.99796759195183404</v>
      </c>
      <c r="C1071">
        <v>1.12990804824798</v>
      </c>
      <c r="D1071">
        <v>1.0584061819663499</v>
      </c>
      <c r="E1071">
        <v>1.11834574044463</v>
      </c>
      <c r="F1071">
        <v>0.93005334179959398</v>
      </c>
      <c r="G1071">
        <v>0.67847843326216895</v>
      </c>
      <c r="H1071">
        <v>0.63075753111019295</v>
      </c>
      <c r="I1071">
        <v>0.53262566657306798</v>
      </c>
      <c r="J1071">
        <v>0.62276667539558705</v>
      </c>
      <c r="K1071">
        <v>0.59238680543936195</v>
      </c>
      <c r="L1071">
        <v>2277.4948099876301</v>
      </c>
      <c r="M1071">
        <v>43.643695252483802</v>
      </c>
      <c r="O1071">
        <v>52.074619449862503</v>
      </c>
      <c r="P1071">
        <v>-8.5446638275976497E-2</v>
      </c>
      <c r="Q1071">
        <v>0.59218901752504205</v>
      </c>
      <c r="R1071">
        <v>0.921370091407122</v>
      </c>
      <c r="S1071" t="s">
        <v>6654</v>
      </c>
      <c r="T1071" t="s">
        <v>11164</v>
      </c>
      <c r="U1071" t="s">
        <v>11164</v>
      </c>
      <c r="V1071" t="s">
        <v>11164</v>
      </c>
      <c r="W1071" t="s">
        <v>12215</v>
      </c>
      <c r="X1071">
        <v>4</v>
      </c>
      <c r="Y1071" t="s">
        <v>17745</v>
      </c>
      <c r="Z1071" t="s">
        <v>23221</v>
      </c>
      <c r="AA1071">
        <v>0.79982573346823183</v>
      </c>
      <c r="AB1071" t="str">
        <f>HYPERLINK("Melting_Curves/meltCurve_J3QR07_YTHDC1.pdf", "Melting_Curves/meltCurve_J3QR07_YTHDC1.pdf")</f>
        <v>Melting_Curves/meltCurve_J3QR07_YTHDC1.pdf</v>
      </c>
    </row>
    <row r="1072" spans="1:28" x14ac:dyDescent="0.25">
      <c r="A1072" t="s">
        <v>1076</v>
      </c>
      <c r="B1072">
        <v>0.99796759195183404</v>
      </c>
      <c r="C1072">
        <v>0.901429788427212</v>
      </c>
      <c r="D1072">
        <v>1.0591841908319299</v>
      </c>
      <c r="E1072">
        <v>1.0091735058952001</v>
      </c>
      <c r="F1072">
        <v>1.3944494960670899</v>
      </c>
      <c r="G1072">
        <v>1.79626378859848</v>
      </c>
      <c r="H1072">
        <v>0.79968434887813999</v>
      </c>
      <c r="I1072">
        <v>0.64077281382417195</v>
      </c>
      <c r="J1072">
        <v>0.42766720953381798</v>
      </c>
      <c r="K1072">
        <v>0.20913813801848399</v>
      </c>
      <c r="L1072">
        <v>2044.03071548562</v>
      </c>
      <c r="M1072">
        <v>33.2029340985369</v>
      </c>
      <c r="N1072">
        <v>62.502691758651999</v>
      </c>
      <c r="O1072">
        <v>61.339724716396901</v>
      </c>
      <c r="P1072">
        <v>-0.10870759721555399</v>
      </c>
      <c r="Q1072">
        <v>0.196689661281159</v>
      </c>
      <c r="R1072">
        <v>0.551439288307213</v>
      </c>
      <c r="S1072" t="s">
        <v>6655</v>
      </c>
      <c r="T1072" t="s">
        <v>11164</v>
      </c>
      <c r="U1072" t="s">
        <v>11164</v>
      </c>
      <c r="V1072" t="s">
        <v>11164</v>
      </c>
      <c r="W1072" t="s">
        <v>12216</v>
      </c>
      <c r="X1072">
        <v>5</v>
      </c>
      <c r="Y1072" t="s">
        <v>17746</v>
      </c>
      <c r="Z1072" t="s">
        <v>23222</v>
      </c>
      <c r="AA1072">
        <v>0.85523362766994715</v>
      </c>
      <c r="AB1072" t="str">
        <f>HYPERLINK("Melting_Curves/meltCurve_J3QR09_RPL19.pdf", "Melting_Curves/meltCurve_J3QR09_RPL19.pdf")</f>
        <v>Melting_Curves/meltCurve_J3QR09_RPL19.pdf</v>
      </c>
    </row>
    <row r="1073" spans="1:28" x14ac:dyDescent="0.25">
      <c r="A1073" t="s">
        <v>1077</v>
      </c>
      <c r="B1073">
        <v>0.99796759195183404</v>
      </c>
      <c r="C1073">
        <v>1.0540463862349301</v>
      </c>
      <c r="D1073">
        <v>1.0760276529386199</v>
      </c>
      <c r="E1073">
        <v>0.91068327671167304</v>
      </c>
      <c r="F1073">
        <v>0.84117898078880604</v>
      </c>
      <c r="G1073">
        <v>0.46647857105062301</v>
      </c>
      <c r="H1073">
        <v>0.26420749834899898</v>
      </c>
      <c r="I1073">
        <v>0.19909997956652301</v>
      </c>
      <c r="J1073">
        <v>0.152522090486815</v>
      </c>
      <c r="K1073">
        <v>9.9907405066878993E-2</v>
      </c>
      <c r="L1073">
        <v>1202.4616058622901</v>
      </c>
      <c r="M1073">
        <v>22.683508325664</v>
      </c>
      <c r="N1073">
        <v>53.701367870788602</v>
      </c>
      <c r="O1073">
        <v>52.603552147064001</v>
      </c>
      <c r="P1073">
        <v>-9.4161485149823004E-2</v>
      </c>
      <c r="Q1073">
        <v>0.126567094865049</v>
      </c>
      <c r="R1073">
        <v>0.98918947742023</v>
      </c>
      <c r="S1073" t="s">
        <v>6656</v>
      </c>
      <c r="T1073" t="s">
        <v>11164</v>
      </c>
      <c r="U1073" t="s">
        <v>11164</v>
      </c>
      <c r="V1073" t="s">
        <v>11164</v>
      </c>
      <c r="W1073" t="s">
        <v>12217</v>
      </c>
      <c r="X1073">
        <v>4</v>
      </c>
      <c r="Y1073" t="s">
        <v>17747</v>
      </c>
      <c r="Z1073" t="s">
        <v>23223</v>
      </c>
      <c r="AA1073">
        <v>0.60177480597647437</v>
      </c>
      <c r="AB1073" t="str">
        <f>HYPERLINK("Melting_Curves/meltCurve_J3QRD1_ALDH3A2.pdf", "Melting_Curves/meltCurve_J3QRD1_ALDH3A2.pdf")</f>
        <v>Melting_Curves/meltCurve_J3QRD1_ALDH3A2.pdf</v>
      </c>
    </row>
    <row r="1074" spans="1:28" x14ac:dyDescent="0.25">
      <c r="A1074" t="s">
        <v>1078</v>
      </c>
      <c r="B1074">
        <v>0.99796759195183404</v>
      </c>
      <c r="C1074">
        <v>0.91466756263063598</v>
      </c>
      <c r="D1074">
        <v>1.07428121478031</v>
      </c>
      <c r="E1074">
        <v>0.907504302910625</v>
      </c>
      <c r="F1074">
        <v>0.97145140203705205</v>
      </c>
      <c r="G1074">
        <v>0.46001740458380003</v>
      </c>
      <c r="H1074">
        <v>0.41900357496616503</v>
      </c>
      <c r="I1074">
        <v>0.316508390524332</v>
      </c>
      <c r="J1074">
        <v>0.226282291318392</v>
      </c>
      <c r="K1074">
        <v>0.17797511946769601</v>
      </c>
      <c r="L1074">
        <v>2262.54326439324</v>
      </c>
      <c r="M1074">
        <v>42.874369651553501</v>
      </c>
      <c r="N1074">
        <v>53.759866451553499</v>
      </c>
      <c r="O1074">
        <v>52.657046784220903</v>
      </c>
      <c r="P1074">
        <v>-0.14804890892022601</v>
      </c>
      <c r="Q1074">
        <v>0.27268378341604199</v>
      </c>
      <c r="R1074">
        <v>0.95417769951422804</v>
      </c>
      <c r="S1074" t="s">
        <v>6657</v>
      </c>
      <c r="T1074" t="s">
        <v>11164</v>
      </c>
      <c r="U1074" t="s">
        <v>11164</v>
      </c>
      <c r="V1074" t="s">
        <v>11164</v>
      </c>
      <c r="W1074" t="s">
        <v>12218</v>
      </c>
      <c r="X1074">
        <v>1</v>
      </c>
      <c r="Y1074" t="s">
        <v>17748</v>
      </c>
      <c r="Z1074" t="s">
        <v>23224</v>
      </c>
      <c r="AA1074">
        <v>0.65734672357020973</v>
      </c>
      <c r="AB1074" t="str">
        <f>HYPERLINK("Melting_Curves/meltCurve_J3QRM9_ORMDL3.pdf", "Melting_Curves/meltCurve_J3QRM9_ORMDL3.pdf")</f>
        <v>Melting_Curves/meltCurve_J3QRM9_ORMDL3.pdf</v>
      </c>
    </row>
    <row r="1075" spans="1:28" x14ac:dyDescent="0.25">
      <c r="A1075" t="s">
        <v>1079</v>
      </c>
      <c r="B1075">
        <v>0.99796759195183404</v>
      </c>
      <c r="C1075">
        <v>1.09376698528752</v>
      </c>
      <c r="D1075">
        <v>0.97439879308928301</v>
      </c>
      <c r="E1075">
        <v>0.93889632790375899</v>
      </c>
      <c r="F1075">
        <v>0.84623513203068301</v>
      </c>
      <c r="G1075">
        <v>2.3990183338068101</v>
      </c>
      <c r="H1075">
        <v>0.96016257862463095</v>
      </c>
      <c r="I1075">
        <v>0.46332572466548</v>
      </c>
      <c r="J1075">
        <v>0.41088439373026098</v>
      </c>
      <c r="K1075">
        <v>0.35200584748936697</v>
      </c>
      <c r="L1075">
        <v>4773.5363898106798</v>
      </c>
      <c r="M1075">
        <v>80.142307652493301</v>
      </c>
      <c r="N1075">
        <v>60.647562053201497</v>
      </c>
      <c r="O1075">
        <v>59.526183276039198</v>
      </c>
      <c r="P1075">
        <v>-0.20845146202999701</v>
      </c>
      <c r="Q1075">
        <v>0.38068563050125598</v>
      </c>
      <c r="R1075">
        <v>0.33878577383266201</v>
      </c>
      <c r="S1075" t="s">
        <v>6658</v>
      </c>
      <c r="T1075" t="s">
        <v>11164</v>
      </c>
      <c r="U1075" t="s">
        <v>11164</v>
      </c>
      <c r="V1075" t="s">
        <v>11164</v>
      </c>
      <c r="W1075" t="s">
        <v>12219</v>
      </c>
      <c r="X1075">
        <v>6</v>
      </c>
      <c r="Y1075" t="s">
        <v>17749</v>
      </c>
      <c r="Z1075" t="s">
        <v>23225</v>
      </c>
      <c r="AA1075">
        <v>0.84710560400253532</v>
      </c>
      <c r="AB1075" t="str">
        <f>HYPERLINK("Melting_Curves/meltCurve_J3QRS3_MYL12A.pdf", "Melting_Curves/meltCurve_J3QRS3_MYL12A.pdf")</f>
        <v>Melting_Curves/meltCurve_J3QRS3_MYL12A.pdf</v>
      </c>
    </row>
    <row r="1076" spans="1:28" x14ac:dyDescent="0.25">
      <c r="A1076" t="s">
        <v>1080</v>
      </c>
      <c r="B1076">
        <v>0.99796759195183404</v>
      </c>
      <c r="C1076">
        <v>0.96330494350321205</v>
      </c>
      <c r="D1076">
        <v>0.96991930142334903</v>
      </c>
      <c r="E1076">
        <v>0.95951770911370704</v>
      </c>
      <c r="F1076">
        <v>0.81614327736152303</v>
      </c>
      <c r="G1076">
        <v>0.68400688351203098</v>
      </c>
      <c r="H1076">
        <v>0.674814068026096</v>
      </c>
      <c r="I1076">
        <v>0.60535721074781101</v>
      </c>
      <c r="J1076">
        <v>0.71288111238066898</v>
      </c>
      <c r="K1076">
        <v>0.52138192312742404</v>
      </c>
      <c r="L1076">
        <v>954.87037586860799</v>
      </c>
      <c r="M1076">
        <v>18.849319882822201</v>
      </c>
      <c r="O1076">
        <v>50.098238239535497</v>
      </c>
      <c r="P1076">
        <v>-3.69040051933738E-2</v>
      </c>
      <c r="Q1076">
        <v>0.60767824105586699</v>
      </c>
      <c r="R1076">
        <v>0.921559685372071</v>
      </c>
      <c r="S1076" t="s">
        <v>6659</v>
      </c>
      <c r="T1076" t="s">
        <v>11164</v>
      </c>
      <c r="U1076" t="s">
        <v>11164</v>
      </c>
      <c r="V1076" t="s">
        <v>11164</v>
      </c>
      <c r="W1076" t="s">
        <v>12220</v>
      </c>
      <c r="X1076">
        <v>7</v>
      </c>
      <c r="Y1076" t="s">
        <v>17750</v>
      </c>
      <c r="Z1076" t="s">
        <v>23226</v>
      </c>
      <c r="AA1076">
        <v>0.79197534398150515</v>
      </c>
      <c r="AB1076" t="str">
        <f>HYPERLINK("Melting_Curves/meltCurve_J3QRS9_ZNF207.pdf", "Melting_Curves/meltCurve_J3QRS9_ZNF207.pdf")</f>
        <v>Melting_Curves/meltCurve_J3QRS9_ZNF207.pdf</v>
      </c>
    </row>
    <row r="1077" spans="1:28" x14ac:dyDescent="0.25">
      <c r="A1077" t="s">
        <v>1081</v>
      </c>
      <c r="B1077">
        <v>0.99796759195183404</v>
      </c>
      <c r="C1077">
        <v>0.95533212765999398</v>
      </c>
      <c r="D1077">
        <v>0.88551368843789702</v>
      </c>
      <c r="E1077">
        <v>0.81066206999395996</v>
      </c>
      <c r="F1077">
        <v>0.90819756575618604</v>
      </c>
      <c r="G1077">
        <v>0.73828670029524301</v>
      </c>
      <c r="H1077">
        <v>0.64546382684431602</v>
      </c>
      <c r="I1077">
        <v>0.50209607008053903</v>
      </c>
      <c r="J1077">
        <v>0.53152410359365299</v>
      </c>
      <c r="K1077">
        <v>0.45464085137440402</v>
      </c>
      <c r="L1077">
        <v>328.51249509179797</v>
      </c>
      <c r="M1077">
        <v>5.1123380860285996</v>
      </c>
      <c r="N1077">
        <v>64.258739530242593</v>
      </c>
      <c r="O1077">
        <v>56.370506961270799</v>
      </c>
      <c r="P1077">
        <v>-2.2801664254646602E-2</v>
      </c>
      <c r="Q1077">
        <v>0</v>
      </c>
      <c r="R1077">
        <v>0.93975757911606494</v>
      </c>
      <c r="S1077" t="s">
        <v>6660</v>
      </c>
      <c r="T1077" t="s">
        <v>11164</v>
      </c>
      <c r="U1077" t="s">
        <v>11164</v>
      </c>
      <c r="V1077" t="s">
        <v>11164</v>
      </c>
      <c r="W1077" t="s">
        <v>12221</v>
      </c>
      <c r="X1077">
        <v>5</v>
      </c>
      <c r="Y1077" t="s">
        <v>17751</v>
      </c>
      <c r="Z1077" t="s">
        <v>23227</v>
      </c>
      <c r="AA1077">
        <v>0.74933205668002123</v>
      </c>
      <c r="AB1077" t="str">
        <f>HYPERLINK("Melting_Curves/meltCurve_J3QRU4_VAMP2.pdf", "Melting_Curves/meltCurve_J3QRU4_VAMP2.pdf")</f>
        <v>Melting_Curves/meltCurve_J3QRU4_VAMP2.pdf</v>
      </c>
    </row>
    <row r="1078" spans="1:28" x14ac:dyDescent="0.25">
      <c r="A1078" t="s">
        <v>1082</v>
      </c>
      <c r="B1078">
        <v>0.99796759195183404</v>
      </c>
      <c r="C1078">
        <v>0.96625982900280005</v>
      </c>
      <c r="D1078">
        <v>1.02148065762882</v>
      </c>
      <c r="E1078">
        <v>0.78080958904814202</v>
      </c>
      <c r="F1078">
        <v>0.69604828725938594</v>
      </c>
      <c r="G1078">
        <v>0.44535679566376102</v>
      </c>
      <c r="H1078">
        <v>0.21840929581695501</v>
      </c>
      <c r="I1078">
        <v>0.14226016202651101</v>
      </c>
      <c r="J1078">
        <v>0.124520772594092</v>
      </c>
      <c r="K1078">
        <v>0.13203461945035</v>
      </c>
      <c r="L1078">
        <v>775.867685599845</v>
      </c>
      <c r="M1078">
        <v>14.920138199249999</v>
      </c>
      <c r="N1078">
        <v>52.541959716279202</v>
      </c>
      <c r="O1078">
        <v>51.094033010587601</v>
      </c>
      <c r="P1078">
        <v>-6.78159191367078E-2</v>
      </c>
      <c r="Q1078">
        <v>7.1152991807569496E-2</v>
      </c>
      <c r="R1078">
        <v>0.98843587507600095</v>
      </c>
      <c r="S1078" t="s">
        <v>6661</v>
      </c>
      <c r="T1078" t="s">
        <v>11164</v>
      </c>
      <c r="U1078" t="s">
        <v>11164</v>
      </c>
      <c r="V1078" t="s">
        <v>11164</v>
      </c>
      <c r="W1078" t="s">
        <v>12222</v>
      </c>
      <c r="X1078">
        <v>2</v>
      </c>
      <c r="Y1078" t="s">
        <v>17752</v>
      </c>
      <c r="Z1078" t="s">
        <v>23228</v>
      </c>
      <c r="AA1078">
        <v>0.55350068552363108</v>
      </c>
      <c r="AB1078" t="str">
        <f>HYPERLINK("Melting_Curves/meltCurve_J3QS41_HELZ.pdf", "Melting_Curves/meltCurve_J3QS41_HELZ.pdf")</f>
        <v>Melting_Curves/meltCurve_J3QS41_HELZ.pdf</v>
      </c>
    </row>
    <row r="1079" spans="1:28" x14ac:dyDescent="0.25">
      <c r="A1079" t="s">
        <v>1083</v>
      </c>
      <c r="B1079">
        <v>0.99796759195183404</v>
      </c>
      <c r="C1079">
        <v>0.94916878190545995</v>
      </c>
      <c r="D1079">
        <v>0.95107087807937596</v>
      </c>
      <c r="E1079">
        <v>0.84898464949683305</v>
      </c>
      <c r="F1079">
        <v>0.78019131293730404</v>
      </c>
      <c r="G1079">
        <v>0.72990490192632496</v>
      </c>
      <c r="H1079">
        <v>0.369851925223528</v>
      </c>
      <c r="I1079">
        <v>0.17790462488296699</v>
      </c>
      <c r="J1079">
        <v>0.11712361156908301</v>
      </c>
      <c r="K1079">
        <v>5.94606784755339E-2</v>
      </c>
      <c r="L1079">
        <v>813.137011358324</v>
      </c>
      <c r="M1079">
        <v>14.6201678337224</v>
      </c>
      <c r="N1079">
        <v>55.617488640918602</v>
      </c>
      <c r="O1079">
        <v>54.608052390904398</v>
      </c>
      <c r="P1079">
        <v>-6.6939795532924701E-2</v>
      </c>
      <c r="Q1079">
        <v>0</v>
      </c>
      <c r="R1079">
        <v>0.97718779845119297</v>
      </c>
      <c r="S1079" t="s">
        <v>6662</v>
      </c>
      <c r="T1079" t="s">
        <v>11164</v>
      </c>
      <c r="U1079" t="s">
        <v>11164</v>
      </c>
      <c r="V1079" t="s">
        <v>11164</v>
      </c>
      <c r="W1079" t="s">
        <v>12223</v>
      </c>
      <c r="X1079">
        <v>7</v>
      </c>
      <c r="Y1079" t="s">
        <v>17753</v>
      </c>
      <c r="Z1079" t="s">
        <v>23229</v>
      </c>
      <c r="AA1079">
        <v>0.63314647680363478</v>
      </c>
      <c r="AB1079" t="str">
        <f>HYPERLINK("Melting_Curves/meltCurve_J3QSD7_CDK12.pdf", "Melting_Curves/meltCurve_J3QSD7_CDK12.pdf")</f>
        <v>Melting_Curves/meltCurve_J3QSD7_CDK12.pdf</v>
      </c>
    </row>
    <row r="1080" spans="1:28" x14ac:dyDescent="0.25">
      <c r="A1080" t="s">
        <v>1084</v>
      </c>
      <c r="B1080">
        <v>0.99796759195183404</v>
      </c>
      <c r="C1080">
        <v>0.85635759366127495</v>
      </c>
      <c r="D1080">
        <v>0.94726739607766297</v>
      </c>
      <c r="E1080">
        <v>0.79695294468497802</v>
      </c>
      <c r="F1080">
        <v>0.731626693550532</v>
      </c>
      <c r="G1080">
        <v>0.75512796858313702</v>
      </c>
      <c r="H1080">
        <v>0.66755112744313005</v>
      </c>
      <c r="I1080">
        <v>0.49956683905957699</v>
      </c>
      <c r="J1080">
        <v>0.43206192229034401</v>
      </c>
      <c r="K1080">
        <v>0.25544285728447902</v>
      </c>
      <c r="L1080">
        <v>368.35633268859698</v>
      </c>
      <c r="M1080">
        <v>6.0779511953863299</v>
      </c>
      <c r="N1080">
        <v>60.605345581824103</v>
      </c>
      <c r="O1080">
        <v>55.025595644167701</v>
      </c>
      <c r="P1080">
        <v>-2.7699594763828099E-2</v>
      </c>
      <c r="Q1080">
        <v>0</v>
      </c>
      <c r="R1080">
        <v>0.917727937248073</v>
      </c>
      <c r="S1080" t="s">
        <v>6663</v>
      </c>
      <c r="T1080" t="s">
        <v>11164</v>
      </c>
      <c r="U1080" t="s">
        <v>11164</v>
      </c>
      <c r="V1080" t="s">
        <v>11164</v>
      </c>
      <c r="W1080" t="s">
        <v>12224</v>
      </c>
      <c r="X1080">
        <v>2</v>
      </c>
      <c r="Y1080" t="s">
        <v>17754</v>
      </c>
      <c r="Z1080" t="s">
        <v>23230</v>
      </c>
      <c r="AA1080">
        <v>0.70961855209268165</v>
      </c>
      <c r="AB1080" t="str">
        <f>HYPERLINK("Melting_Curves/meltCurve_J3QSR7_KIAA1549.pdf", "Melting_Curves/meltCurve_J3QSR7_KIAA1549.pdf")</f>
        <v>Melting_Curves/meltCurve_J3QSR7_KIAA1549.pdf</v>
      </c>
    </row>
    <row r="1081" spans="1:28" x14ac:dyDescent="0.25">
      <c r="A1081" t="s">
        <v>1085</v>
      </c>
      <c r="B1081">
        <v>0.99796759195183404</v>
      </c>
      <c r="C1081">
        <v>1.04163244758313</v>
      </c>
      <c r="D1081">
        <v>0.85561000992325797</v>
      </c>
      <c r="E1081">
        <v>0.96105188465256697</v>
      </c>
      <c r="F1081">
        <v>0.98129285035998204</v>
      </c>
      <c r="G1081">
        <v>1.0538639114816399</v>
      </c>
      <c r="H1081">
        <v>0.99221889039798195</v>
      </c>
      <c r="I1081">
        <v>0.53521146683735998</v>
      </c>
      <c r="J1081">
        <v>0.30427508188597202</v>
      </c>
      <c r="K1081">
        <v>0.11380024908102999</v>
      </c>
      <c r="L1081">
        <v>2503.0299087081098</v>
      </c>
      <c r="M1081">
        <v>41.005368245083602</v>
      </c>
      <c r="N1081">
        <v>61.507921841238897</v>
      </c>
      <c r="O1081">
        <v>60.896879678965199</v>
      </c>
      <c r="P1081">
        <v>-0.145846157621977</v>
      </c>
      <c r="Q1081">
        <v>0.13361987150489699</v>
      </c>
      <c r="R1081">
        <v>0.96399398371123102</v>
      </c>
      <c r="S1081" t="s">
        <v>6664</v>
      </c>
      <c r="T1081" t="s">
        <v>11164</v>
      </c>
      <c r="U1081" t="s">
        <v>11164</v>
      </c>
      <c r="V1081" t="s">
        <v>11164</v>
      </c>
      <c r="W1081" t="s">
        <v>12225</v>
      </c>
      <c r="X1081">
        <v>6</v>
      </c>
      <c r="Y1081" t="s">
        <v>17755</v>
      </c>
      <c r="Z1081" t="s">
        <v>23231</v>
      </c>
      <c r="AA1081">
        <v>0.82998936849068994</v>
      </c>
      <c r="AB1081" t="str">
        <f>HYPERLINK("Melting_Curves/meltCurve_J3QT73_COPS7B.pdf", "Melting_Curves/meltCurve_J3QT73_COPS7B.pdf")</f>
        <v>Melting_Curves/meltCurve_J3QT73_COPS7B.pdf</v>
      </c>
    </row>
    <row r="1082" spans="1:28" x14ac:dyDescent="0.25">
      <c r="A1082" t="s">
        <v>1086</v>
      </c>
      <c r="B1082">
        <v>0.99796759195183404</v>
      </c>
      <c r="C1082">
        <v>1.0160521173652699</v>
      </c>
      <c r="D1082">
        <v>0.99856351786273001</v>
      </c>
      <c r="E1082">
        <v>0.83404426659257302</v>
      </c>
      <c r="F1082">
        <v>0.76320823199509102</v>
      </c>
      <c r="G1082">
        <v>0.85127018208996796</v>
      </c>
      <c r="H1082">
        <v>0.812300285854057</v>
      </c>
      <c r="I1082">
        <v>0.67980292246267404</v>
      </c>
      <c r="J1082">
        <v>0.60983980879753497</v>
      </c>
      <c r="K1082">
        <v>0.4440110039963</v>
      </c>
      <c r="L1082">
        <v>364.78228668901301</v>
      </c>
      <c r="M1082">
        <v>5.35299635961037</v>
      </c>
      <c r="O1082">
        <v>60.383908015704797</v>
      </c>
      <c r="P1082">
        <v>-2.2269653794032E-2</v>
      </c>
      <c r="Q1082">
        <v>0</v>
      </c>
      <c r="R1082">
        <v>0.87364842700073397</v>
      </c>
      <c r="S1082" t="s">
        <v>6665</v>
      </c>
      <c r="T1082" t="s">
        <v>11164</v>
      </c>
      <c r="U1082" t="s">
        <v>11164</v>
      </c>
      <c r="V1082" t="s">
        <v>11164</v>
      </c>
      <c r="W1082" t="s">
        <v>12226</v>
      </c>
      <c r="X1082">
        <v>9</v>
      </c>
      <c r="Y1082" t="s">
        <v>17756</v>
      </c>
      <c r="Z1082" t="s">
        <v>23232</v>
      </c>
      <c r="AA1082">
        <v>0.80941556786582913</v>
      </c>
      <c r="AB1082" t="str">
        <f>HYPERLINK("Melting_Curves/meltCurve_J3QTA6_CHCHD6.pdf", "Melting_Curves/meltCurve_J3QTA6_CHCHD6.pdf")</f>
        <v>Melting_Curves/meltCurve_J3QTA6_CHCHD6.pdf</v>
      </c>
    </row>
    <row r="1083" spans="1:28" x14ac:dyDescent="0.25">
      <c r="A1083" t="s">
        <v>1087</v>
      </c>
      <c r="B1083">
        <v>0.99796759195183404</v>
      </c>
      <c r="C1083">
        <v>1.00399089527653</v>
      </c>
      <c r="D1083">
        <v>0.95255711404499299</v>
      </c>
      <c r="E1083">
        <v>0.79965539927252205</v>
      </c>
      <c r="F1083">
        <v>0.73444062609142602</v>
      </c>
      <c r="G1083">
        <v>0.55917816667488796</v>
      </c>
      <c r="H1083">
        <v>0.27261528987476902</v>
      </c>
      <c r="I1083">
        <v>0.14368806136555701</v>
      </c>
      <c r="J1083">
        <v>0.15088663162290999</v>
      </c>
      <c r="K1083">
        <v>0.15838946670218401</v>
      </c>
      <c r="L1083">
        <v>696.66869654713901</v>
      </c>
      <c r="M1083">
        <v>13.080735708324699</v>
      </c>
      <c r="N1083">
        <v>53.705330112155899</v>
      </c>
      <c r="O1083">
        <v>52.060517078956003</v>
      </c>
      <c r="P1083">
        <v>-5.9590999827532798E-2</v>
      </c>
      <c r="Q1083">
        <v>5.1489752003838797E-2</v>
      </c>
      <c r="R1083">
        <v>0.98481273694514504</v>
      </c>
      <c r="S1083" t="s">
        <v>6666</v>
      </c>
      <c r="T1083" t="s">
        <v>11164</v>
      </c>
      <c r="U1083" t="s">
        <v>11164</v>
      </c>
      <c r="V1083" t="s">
        <v>11164</v>
      </c>
      <c r="W1083" t="s">
        <v>12227</v>
      </c>
      <c r="X1083">
        <v>5</v>
      </c>
      <c r="Y1083" t="s">
        <v>17757</v>
      </c>
      <c r="Z1083" t="s">
        <v>23233</v>
      </c>
      <c r="AA1083">
        <v>0.58394906410092307</v>
      </c>
      <c r="AB1083" t="str">
        <f>HYPERLINK("Melting_Curves/meltCurve_J3QTQ0_DST.pdf", "Melting_Curves/meltCurve_J3QTQ0_DST.pdf")</f>
        <v>Melting_Curves/meltCurve_J3QTQ0_DST.pdf</v>
      </c>
    </row>
    <row r="1084" spans="1:28" x14ac:dyDescent="0.25">
      <c r="A1084" t="s">
        <v>1088</v>
      </c>
      <c r="B1084">
        <v>0.99796759195183404</v>
      </c>
      <c r="C1084">
        <v>0.95199676177069503</v>
      </c>
      <c r="D1084">
        <v>0.87854053704535295</v>
      </c>
      <c r="E1084">
        <v>0.90348973800849497</v>
      </c>
      <c r="F1084">
        <v>0.83284266148621899</v>
      </c>
      <c r="G1084">
        <v>0.57398144440884202</v>
      </c>
      <c r="H1084">
        <v>0.30855931477436599</v>
      </c>
      <c r="I1084">
        <v>0.23653679581526901</v>
      </c>
      <c r="J1084">
        <v>0.16296843578588599</v>
      </c>
      <c r="K1084">
        <v>0.13621403369711299</v>
      </c>
      <c r="L1084">
        <v>841.78502515852801</v>
      </c>
      <c r="M1084">
        <v>15.5646334998869</v>
      </c>
      <c r="N1084">
        <v>54.763217723245802</v>
      </c>
      <c r="O1084">
        <v>53.214025008004199</v>
      </c>
      <c r="P1084">
        <v>-6.6703139838915501E-2</v>
      </c>
      <c r="Q1084">
        <v>8.7872567829423098E-2</v>
      </c>
      <c r="R1084">
        <v>0.98414115691862003</v>
      </c>
      <c r="S1084" t="s">
        <v>6667</v>
      </c>
      <c r="T1084" t="s">
        <v>11164</v>
      </c>
      <c r="U1084" t="s">
        <v>11164</v>
      </c>
      <c r="V1084" t="s">
        <v>11164</v>
      </c>
      <c r="W1084" t="s">
        <v>12228</v>
      </c>
      <c r="X1084">
        <v>27</v>
      </c>
      <c r="Y1084" t="s">
        <v>17758</v>
      </c>
      <c r="Z1084" t="s">
        <v>23234</v>
      </c>
      <c r="AA1084">
        <v>0.62151244924525761</v>
      </c>
      <c r="AB1084" t="str">
        <f>HYPERLINK("Melting_Curves/meltCurve_J9JID7_LMNB2.pdf", "Melting_Curves/meltCurve_J9JID7_LMNB2.pdf")</f>
        <v>Melting_Curves/meltCurve_J9JID7_LMNB2.pdf</v>
      </c>
    </row>
    <row r="1085" spans="1:28" x14ac:dyDescent="0.25">
      <c r="A1085" t="s">
        <v>1089</v>
      </c>
      <c r="B1085">
        <v>0.99796759195183404</v>
      </c>
      <c r="C1085">
        <v>1.0445026295834501</v>
      </c>
      <c r="D1085">
        <v>1.03516177859971</v>
      </c>
      <c r="E1085">
        <v>0.95588481424382099</v>
      </c>
      <c r="F1085">
        <v>0.89147441607102396</v>
      </c>
      <c r="G1085">
        <v>0.62269668239004705</v>
      </c>
      <c r="H1085">
        <v>0.35592804777723902</v>
      </c>
      <c r="I1085">
        <v>0.237460298308724</v>
      </c>
      <c r="J1085">
        <v>0.27494231242515998</v>
      </c>
      <c r="K1085">
        <v>0.156528831921807</v>
      </c>
      <c r="L1085">
        <v>1245.47550980234</v>
      </c>
      <c r="M1085">
        <v>23.024028762624599</v>
      </c>
      <c r="N1085">
        <v>55.263121650681398</v>
      </c>
      <c r="O1085">
        <v>53.691475521065797</v>
      </c>
      <c r="P1085">
        <v>-8.6546615102433597E-2</v>
      </c>
      <c r="Q1085">
        <v>0.19271663698335001</v>
      </c>
      <c r="R1085">
        <v>0.99181311630652602</v>
      </c>
      <c r="S1085" t="s">
        <v>6668</v>
      </c>
      <c r="T1085" t="s">
        <v>11164</v>
      </c>
      <c r="U1085" t="s">
        <v>11164</v>
      </c>
      <c r="V1085" t="s">
        <v>11164</v>
      </c>
      <c r="W1085" t="s">
        <v>12229</v>
      </c>
      <c r="X1085">
        <v>3</v>
      </c>
      <c r="Y1085" t="s">
        <v>17759</v>
      </c>
      <c r="Z1085" t="s">
        <v>23235</v>
      </c>
      <c r="AA1085">
        <v>0.66071582388313577</v>
      </c>
      <c r="AB1085" t="str">
        <f>HYPERLINK("Melting_Curves/meltCurve_J9JID9_PITPNC1.pdf", "Melting_Curves/meltCurve_J9JID9_PITPNC1.pdf")</f>
        <v>Melting_Curves/meltCurve_J9JID9_PITPNC1.pdf</v>
      </c>
    </row>
    <row r="1086" spans="1:28" x14ac:dyDescent="0.25">
      <c r="A1086" t="s">
        <v>1090</v>
      </c>
      <c r="B1086">
        <v>0.99796759195183404</v>
      </c>
      <c r="C1086">
        <v>0.99921404411322401</v>
      </c>
      <c r="D1086">
        <v>1.0589902596932199</v>
      </c>
      <c r="E1086">
        <v>0.96942171593372395</v>
      </c>
      <c r="F1086">
        <v>0.85812589328264699</v>
      </c>
      <c r="G1086">
        <v>0.75707911575345899</v>
      </c>
      <c r="H1086">
        <v>0.53756957770695302</v>
      </c>
      <c r="I1086">
        <v>0.31319175385898201</v>
      </c>
      <c r="J1086">
        <v>0.127844463621229</v>
      </c>
      <c r="K1086">
        <v>8.0029107928562299E-2</v>
      </c>
      <c r="L1086">
        <v>913.64254083863</v>
      </c>
      <c r="M1086">
        <v>15.8638264987512</v>
      </c>
      <c r="N1086">
        <v>57.5928223211438</v>
      </c>
      <c r="O1086">
        <v>56.700952548620997</v>
      </c>
      <c r="P1086">
        <v>-6.9950823763515704E-2</v>
      </c>
      <c r="Q1086">
        <v>0</v>
      </c>
      <c r="R1086">
        <v>0.99236007340568599</v>
      </c>
      <c r="S1086" t="s">
        <v>6669</v>
      </c>
      <c r="T1086" t="s">
        <v>11164</v>
      </c>
      <c r="U1086" t="s">
        <v>11164</v>
      </c>
      <c r="V1086" t="s">
        <v>11164</v>
      </c>
      <c r="W1086" t="s">
        <v>12230</v>
      </c>
      <c r="X1086">
        <v>4</v>
      </c>
      <c r="Y1086" t="s">
        <v>17760</v>
      </c>
      <c r="Z1086" t="s">
        <v>23236</v>
      </c>
      <c r="AA1086">
        <v>0.69299828787627193</v>
      </c>
      <c r="AB1086" t="str">
        <f>HYPERLINK("Melting_Curves/meltCurve_J9JIE6_TMCO1.pdf", "Melting_Curves/meltCurve_J9JIE6_TMCO1.pdf")</f>
        <v>Melting_Curves/meltCurve_J9JIE6_TMCO1.pdf</v>
      </c>
    </row>
    <row r="1087" spans="1:28" x14ac:dyDescent="0.25">
      <c r="A1087" t="s">
        <v>1091</v>
      </c>
      <c r="B1087">
        <v>0.99796759195183404</v>
      </c>
      <c r="C1087">
        <v>1.11965603186683</v>
      </c>
      <c r="D1087">
        <v>0.86135483195437501</v>
      </c>
      <c r="E1087">
        <v>0.75517032684230101</v>
      </c>
      <c r="F1087">
        <v>0.89231716268690398</v>
      </c>
      <c r="G1087">
        <v>0.88488130597303405</v>
      </c>
      <c r="H1087">
        <v>0.61785181568324399</v>
      </c>
      <c r="I1087">
        <v>0.373348716665868</v>
      </c>
      <c r="J1087">
        <v>0.40883110864626598</v>
      </c>
      <c r="K1087">
        <v>0.68222888741252896</v>
      </c>
      <c r="L1087">
        <v>569.65074565400403</v>
      </c>
      <c r="M1087">
        <v>10.5031736786766</v>
      </c>
      <c r="N1087">
        <v>65.8366016402274</v>
      </c>
      <c r="O1087">
        <v>52.380640176910298</v>
      </c>
      <c r="P1087">
        <v>-2.90146268458184E-2</v>
      </c>
      <c r="Q1087">
        <v>0.42143486702763899</v>
      </c>
      <c r="R1087">
        <v>0.68436448334350197</v>
      </c>
      <c r="S1087" t="s">
        <v>6670</v>
      </c>
      <c r="T1087" t="s">
        <v>11164</v>
      </c>
      <c r="U1087" t="s">
        <v>11164</v>
      </c>
      <c r="V1087" t="s">
        <v>11164</v>
      </c>
      <c r="W1087" t="s">
        <v>12231</v>
      </c>
      <c r="X1087">
        <v>1</v>
      </c>
      <c r="Y1087" t="s">
        <v>17761</v>
      </c>
      <c r="Z1087" t="s">
        <v>23237</v>
      </c>
      <c r="AA1087">
        <v>0.76353174394264756</v>
      </c>
      <c r="AB1087" t="str">
        <f>HYPERLINK("Melting_Curves/meltCurve_J9JIG6_ARSG.pdf", "Melting_Curves/meltCurve_J9JIG6_ARSG.pdf")</f>
        <v>Melting_Curves/meltCurve_J9JIG6_ARSG.pdf</v>
      </c>
    </row>
    <row r="1088" spans="1:28" x14ac:dyDescent="0.25">
      <c r="A1088" t="s">
        <v>1092</v>
      </c>
      <c r="B1088">
        <v>0.99796759195183404</v>
      </c>
      <c r="C1088">
        <v>0.98364009743033698</v>
      </c>
      <c r="D1088">
        <v>0.87489844693468399</v>
      </c>
      <c r="E1088">
        <v>0.89965430784397604</v>
      </c>
      <c r="F1088">
        <v>0.79114360345062795</v>
      </c>
      <c r="G1088">
        <v>0.410776538191791</v>
      </c>
      <c r="H1088">
        <v>0.34626207997957098</v>
      </c>
      <c r="I1088">
        <v>0.280174838645602</v>
      </c>
      <c r="J1088">
        <v>0.27949259678945398</v>
      </c>
      <c r="K1088">
        <v>0.178658368178888</v>
      </c>
      <c r="L1088">
        <v>964.065975957359</v>
      </c>
      <c r="M1088">
        <v>18.597578734568799</v>
      </c>
      <c r="N1088">
        <v>53.466731410533903</v>
      </c>
      <c r="O1088">
        <v>51.250045631410501</v>
      </c>
      <c r="P1088">
        <v>-7.1106773423637804E-2</v>
      </c>
      <c r="Q1088">
        <v>0.216227582423967</v>
      </c>
      <c r="R1088">
        <v>0.97339368985119001</v>
      </c>
      <c r="S1088" t="s">
        <v>6671</v>
      </c>
      <c r="T1088" t="s">
        <v>11164</v>
      </c>
      <c r="U1088" t="s">
        <v>11164</v>
      </c>
      <c r="V1088" t="s">
        <v>11164</v>
      </c>
      <c r="W1088" t="s">
        <v>12232</v>
      </c>
      <c r="X1088">
        <v>3</v>
      </c>
      <c r="Y1088" t="s">
        <v>17762</v>
      </c>
      <c r="Z1088" t="s">
        <v>23238</v>
      </c>
      <c r="AA1088">
        <v>0.61523955005168462</v>
      </c>
      <c r="AB1088" t="str">
        <f>HYPERLINK("Melting_Curves/meltCurve_K4DI92_RWDD4.pdf", "Melting_Curves/meltCurve_K4DI92_RWDD4.pdf")</f>
        <v>Melting_Curves/meltCurve_K4DI92_RWDD4.pdf</v>
      </c>
    </row>
    <row r="1089" spans="1:28" x14ac:dyDescent="0.25">
      <c r="A1089" t="s">
        <v>1093</v>
      </c>
      <c r="B1089">
        <v>0.99796759195183404</v>
      </c>
      <c r="C1089">
        <v>1.04168477219469</v>
      </c>
      <c r="D1089">
        <v>1.0075460375610701</v>
      </c>
      <c r="E1089">
        <v>1.0530581424085499</v>
      </c>
      <c r="F1089">
        <v>0.87667777095504895</v>
      </c>
      <c r="G1089">
        <v>1.1568687474588799</v>
      </c>
      <c r="H1089">
        <v>0.95904019263897899</v>
      </c>
      <c r="I1089">
        <v>0.438273774856409</v>
      </c>
      <c r="J1089">
        <v>0.14038741236101199</v>
      </c>
      <c r="K1089">
        <v>9.0333641382477306E-2</v>
      </c>
      <c r="L1089">
        <v>3456.8008638306301</v>
      </c>
      <c r="M1089">
        <v>57.154572322752998</v>
      </c>
      <c r="N1089">
        <v>60.707157969336002</v>
      </c>
      <c r="O1089">
        <v>60.407706677532801</v>
      </c>
      <c r="P1089">
        <v>-0.21391055456698199</v>
      </c>
      <c r="Q1089">
        <v>9.5656633689138307E-2</v>
      </c>
      <c r="R1089">
        <v>0.96857454547189803</v>
      </c>
      <c r="S1089" t="s">
        <v>6672</v>
      </c>
      <c r="T1089" t="s">
        <v>11164</v>
      </c>
      <c r="U1089" t="s">
        <v>11164</v>
      </c>
      <c r="V1089" t="s">
        <v>11164</v>
      </c>
      <c r="W1089" t="s">
        <v>12233</v>
      </c>
      <c r="X1089">
        <v>9</v>
      </c>
      <c r="Y1089" t="s">
        <v>17763</v>
      </c>
      <c r="Z1089" t="s">
        <v>23239</v>
      </c>
      <c r="AA1089">
        <v>0.8051922517224932</v>
      </c>
      <c r="AB1089" t="str">
        <f>HYPERLINK("Melting_Curves/meltCurve_K4DI93_CUL4B.pdf", "Melting_Curves/meltCurve_K4DI93_CUL4B.pdf")</f>
        <v>Melting_Curves/meltCurve_K4DI93_CUL4B.pdf</v>
      </c>
    </row>
    <row r="1090" spans="1:28" x14ac:dyDescent="0.25">
      <c r="A1090" t="s">
        <v>1094</v>
      </c>
      <c r="B1090">
        <v>0.99796759195183404</v>
      </c>
      <c r="C1090">
        <v>1.1764799372752599</v>
      </c>
      <c r="D1090">
        <v>0.94402011575640998</v>
      </c>
      <c r="E1090">
        <v>0.96990128818410404</v>
      </c>
      <c r="F1090">
        <v>1.08735153981554</v>
      </c>
      <c r="G1090">
        <v>1.42212882085841</v>
      </c>
      <c r="H1090">
        <v>1.41552558358976</v>
      </c>
      <c r="I1090">
        <v>1.1617800838657399</v>
      </c>
      <c r="J1090">
        <v>1.25209976949421</v>
      </c>
      <c r="K1090">
        <v>1.5407297775426501</v>
      </c>
      <c r="L1090">
        <v>12606.8540618438</v>
      </c>
      <c r="M1090">
        <v>250</v>
      </c>
      <c r="O1090">
        <v>50.4241895383458</v>
      </c>
      <c r="P1090">
        <v>0.44429670038665198</v>
      </c>
      <c r="Q1090">
        <v>1.3584528138732099</v>
      </c>
      <c r="R1090">
        <v>0.67639843013388701</v>
      </c>
      <c r="S1090" t="s">
        <v>6673</v>
      </c>
      <c r="T1090" t="s">
        <v>11164</v>
      </c>
      <c r="U1090" t="s">
        <v>11164</v>
      </c>
      <c r="V1090" t="s">
        <v>11164</v>
      </c>
      <c r="W1090" t="s">
        <v>12234</v>
      </c>
      <c r="X1090">
        <v>2</v>
      </c>
      <c r="Y1090" t="s">
        <v>17764</v>
      </c>
      <c r="Z1090" t="s">
        <v>23240</v>
      </c>
      <c r="AA1090">
        <v>1.1979845864751439</v>
      </c>
      <c r="AB1090" t="str">
        <f>HYPERLINK("Melting_Curves/meltCurve_K7EIE8_MBD3.pdf", "Melting_Curves/meltCurve_K7EIE8_MBD3.pdf")</f>
        <v>Melting_Curves/meltCurve_K7EIE8_MBD3.pdf</v>
      </c>
    </row>
    <row r="1091" spans="1:28" x14ac:dyDescent="0.25">
      <c r="A1091" t="s">
        <v>1095</v>
      </c>
      <c r="B1091">
        <v>0.99796759195183404</v>
      </c>
      <c r="C1091">
        <v>1.0695354970600699</v>
      </c>
      <c r="D1091">
        <v>1.01263214852837</v>
      </c>
      <c r="E1091">
        <v>0.91578455192903996</v>
      </c>
      <c r="F1091">
        <v>0.87454652533886101</v>
      </c>
      <c r="G1091">
        <v>0.49335573213821599</v>
      </c>
      <c r="H1091">
        <v>0.217852921345461</v>
      </c>
      <c r="I1091">
        <v>0.210087025702277</v>
      </c>
      <c r="J1091">
        <v>0.14602036798625601</v>
      </c>
      <c r="K1091">
        <v>0.104856983623139</v>
      </c>
      <c r="L1091">
        <v>1430.9289243329999</v>
      </c>
      <c r="M1091">
        <v>26.923232018098901</v>
      </c>
      <c r="N1091">
        <v>53.774435887984801</v>
      </c>
      <c r="O1091">
        <v>52.857862193824602</v>
      </c>
      <c r="P1091">
        <v>-0.110209558426237</v>
      </c>
      <c r="Q1091">
        <v>0.13451946844944099</v>
      </c>
      <c r="R1091">
        <v>0.99075407688567996</v>
      </c>
      <c r="S1091" t="s">
        <v>6674</v>
      </c>
      <c r="T1091" t="s">
        <v>11164</v>
      </c>
      <c r="U1091" t="s">
        <v>11164</v>
      </c>
      <c r="V1091" t="s">
        <v>11164</v>
      </c>
      <c r="W1091" t="s">
        <v>12118</v>
      </c>
      <c r="X1091">
        <v>17</v>
      </c>
      <c r="Y1091" t="s">
        <v>17648</v>
      </c>
      <c r="Z1091" t="s">
        <v>23241</v>
      </c>
      <c r="AA1091">
        <v>0.60710722768300518</v>
      </c>
      <c r="AB1091" t="str">
        <f>HYPERLINK("Melting_Curves/meltCurve_K7EIG1_CLUH.pdf", "Melting_Curves/meltCurve_K7EIG1_CLUH.pdf")</f>
        <v>Melting_Curves/meltCurve_K7EIG1_CLUH.pdf</v>
      </c>
    </row>
    <row r="1092" spans="1:28" x14ac:dyDescent="0.25">
      <c r="A1092" t="s">
        <v>1096</v>
      </c>
      <c r="B1092">
        <v>0.99796759195183404</v>
      </c>
      <c r="C1092">
        <v>0.96794827536955597</v>
      </c>
      <c r="D1092">
        <v>0.92878104502003</v>
      </c>
      <c r="E1092">
        <v>0.996136515220859</v>
      </c>
      <c r="F1092">
        <v>0.83283722477965205</v>
      </c>
      <c r="G1092">
        <v>0.76769849792838796</v>
      </c>
      <c r="H1092">
        <v>0.53922931910918703</v>
      </c>
      <c r="I1092">
        <v>0.14258722750622099</v>
      </c>
      <c r="J1092">
        <v>0.13158899456061299</v>
      </c>
      <c r="K1092">
        <v>9.6043407700833902E-2</v>
      </c>
      <c r="L1092">
        <v>1019.68870326182</v>
      </c>
      <c r="M1092">
        <v>17.877216849982702</v>
      </c>
      <c r="N1092">
        <v>57.038448252728102</v>
      </c>
      <c r="O1092">
        <v>56.339108864447503</v>
      </c>
      <c r="P1092">
        <v>-7.9332653062384406E-2</v>
      </c>
      <c r="Q1092">
        <v>0</v>
      </c>
      <c r="R1092">
        <v>0.97818871274947095</v>
      </c>
      <c r="S1092" t="s">
        <v>6675</v>
      </c>
      <c r="T1092" t="s">
        <v>11164</v>
      </c>
      <c r="U1092" t="s">
        <v>11164</v>
      </c>
      <c r="V1092" t="s">
        <v>11164</v>
      </c>
      <c r="W1092" t="s">
        <v>12235</v>
      </c>
      <c r="X1092">
        <v>8</v>
      </c>
      <c r="Y1092" t="s">
        <v>17765</v>
      </c>
      <c r="Z1092" t="s">
        <v>23242</v>
      </c>
      <c r="AA1092">
        <v>0.67682778546054945</v>
      </c>
      <c r="AB1092" t="str">
        <f>HYPERLINK("Melting_Curves/meltCurve_K7EIK7_EML2.pdf", "Melting_Curves/meltCurve_K7EIK7_EML2.pdf")</f>
        <v>Melting_Curves/meltCurve_K7EIK7_EML2.pdf</v>
      </c>
    </row>
    <row r="1093" spans="1:28" x14ac:dyDescent="0.25">
      <c r="A1093" t="s">
        <v>1097</v>
      </c>
      <c r="B1093">
        <v>0.99796759195183404</v>
      </c>
      <c r="C1093">
        <v>0.94158821735186904</v>
      </c>
      <c r="D1093">
        <v>0.899175670868821</v>
      </c>
      <c r="E1093">
        <v>0.94676466716262797</v>
      </c>
      <c r="F1093">
        <v>0.79474767576763905</v>
      </c>
      <c r="G1093">
        <v>0.65010968148624904</v>
      </c>
      <c r="H1093">
        <v>0.32559385101593502</v>
      </c>
      <c r="I1093">
        <v>0.26167026560943601</v>
      </c>
      <c r="J1093">
        <v>0.18752184274073</v>
      </c>
      <c r="K1093">
        <v>0.18626412204352399</v>
      </c>
      <c r="L1093">
        <v>874.54054062379998</v>
      </c>
      <c r="M1093">
        <v>16.128826324815702</v>
      </c>
      <c r="N1093">
        <v>55.243051137056497</v>
      </c>
      <c r="O1093">
        <v>53.409227781606702</v>
      </c>
      <c r="P1093">
        <v>-6.5772639301128297E-2</v>
      </c>
      <c r="Q1093">
        <v>0.128864490706878</v>
      </c>
      <c r="R1093">
        <v>0.98265842065271902</v>
      </c>
      <c r="S1093" t="s">
        <v>6676</v>
      </c>
      <c r="T1093" t="s">
        <v>11164</v>
      </c>
      <c r="U1093" t="s">
        <v>11164</v>
      </c>
      <c r="V1093" t="s">
        <v>11164</v>
      </c>
      <c r="W1093" t="s">
        <v>12008</v>
      </c>
      <c r="X1093">
        <v>3</v>
      </c>
      <c r="Z1093" t="s">
        <v>23243</v>
      </c>
      <c r="AA1093">
        <v>0.64198406694323318</v>
      </c>
      <c r="AB1093" t="str">
        <f>HYPERLINK("Melting_Curves/meltCurve_K7EIL6_.pdf", "Melting_Curves/meltCurve_K7EIL6_.pdf")</f>
        <v>Melting_Curves/meltCurve_K7EIL6_.pdf</v>
      </c>
    </row>
    <row r="1094" spans="1:28" x14ac:dyDescent="0.25">
      <c r="A1094" t="s">
        <v>1098</v>
      </c>
      <c r="B1094">
        <v>0.99796759195183404</v>
      </c>
      <c r="C1094">
        <v>0.99558263952401205</v>
      </c>
      <c r="D1094">
        <v>1.1228466518610101</v>
      </c>
      <c r="E1094">
        <v>0.82882555614424003</v>
      </c>
      <c r="F1094">
        <v>0.95980344531843298</v>
      </c>
      <c r="G1094">
        <v>0.77160268732815795</v>
      </c>
      <c r="H1094">
        <v>0.46041727631081503</v>
      </c>
      <c r="I1094">
        <v>0.36776756826113899</v>
      </c>
      <c r="J1094">
        <v>0.29987551126599699</v>
      </c>
      <c r="K1094">
        <v>0.134178093933289</v>
      </c>
      <c r="L1094">
        <v>865.38292512645103</v>
      </c>
      <c r="M1094">
        <v>15.162516008251499</v>
      </c>
      <c r="N1094">
        <v>57.887325313566699</v>
      </c>
      <c r="O1094">
        <v>56.108687038910098</v>
      </c>
      <c r="P1094">
        <v>-6.1082104681019399E-2</v>
      </c>
      <c r="Q1094">
        <v>9.59534966477434E-2</v>
      </c>
      <c r="R1094">
        <v>0.95189118294202002</v>
      </c>
      <c r="S1094" t="s">
        <v>6677</v>
      </c>
      <c r="T1094" t="s">
        <v>11164</v>
      </c>
      <c r="U1094" t="s">
        <v>11164</v>
      </c>
      <c r="V1094" t="s">
        <v>11164</v>
      </c>
      <c r="W1094" t="s">
        <v>12236</v>
      </c>
      <c r="X1094">
        <v>2</v>
      </c>
      <c r="Y1094" t="s">
        <v>17766</v>
      </c>
      <c r="Z1094" t="s">
        <v>23244</v>
      </c>
      <c r="AA1094">
        <v>0.7081264093390921</v>
      </c>
      <c r="AB1094" t="str">
        <f>HYPERLINK("Melting_Curves/meltCurve_K7EIP7_YIPF2.pdf", "Melting_Curves/meltCurve_K7EIP7_YIPF2.pdf")</f>
        <v>Melting_Curves/meltCurve_K7EIP7_YIPF2.pdf</v>
      </c>
    </row>
    <row r="1095" spans="1:28" x14ac:dyDescent="0.25">
      <c r="A1095" t="s">
        <v>1099</v>
      </c>
      <c r="B1095">
        <v>0.99796759195183404</v>
      </c>
      <c r="C1095">
        <v>1.0144225943779599</v>
      </c>
      <c r="D1095">
        <v>0.96582935900165501</v>
      </c>
      <c r="E1095">
        <v>0.83254757942899105</v>
      </c>
      <c r="F1095">
        <v>0.68423798935799196</v>
      </c>
      <c r="G1095">
        <v>0.60595747582988502</v>
      </c>
      <c r="H1095">
        <v>0.40776652471284502</v>
      </c>
      <c r="I1095">
        <v>0.22452198390132699</v>
      </c>
      <c r="J1095">
        <v>0.15140818364918601</v>
      </c>
      <c r="K1095">
        <v>6.0046611702923303E-2</v>
      </c>
      <c r="L1095">
        <v>612.52986175548097</v>
      </c>
      <c r="M1095">
        <v>11.195175930066799</v>
      </c>
      <c r="N1095">
        <v>54.713720744708397</v>
      </c>
      <c r="O1095">
        <v>53.055072108248702</v>
      </c>
      <c r="P1095">
        <v>-5.2769250052449902E-2</v>
      </c>
      <c r="Q1095">
        <v>0</v>
      </c>
      <c r="R1095">
        <v>0.98902182451658005</v>
      </c>
      <c r="S1095" t="s">
        <v>6678</v>
      </c>
      <c r="T1095" t="s">
        <v>11164</v>
      </c>
      <c r="U1095" t="s">
        <v>11164</v>
      </c>
      <c r="V1095" t="s">
        <v>11164</v>
      </c>
      <c r="W1095" t="s">
        <v>12237</v>
      </c>
      <c r="X1095">
        <v>3</v>
      </c>
      <c r="Y1095" t="s">
        <v>17767</v>
      </c>
      <c r="Z1095" t="s">
        <v>23245</v>
      </c>
      <c r="AA1095">
        <v>0.60542822688061382</v>
      </c>
      <c r="AB1095" t="str">
        <f>HYPERLINK("Melting_Curves/meltCurve_K7EIS0_TUBG1.pdf", "Melting_Curves/meltCurve_K7EIS0_TUBG1.pdf")</f>
        <v>Melting_Curves/meltCurve_K7EIS0_TUBG1.pdf</v>
      </c>
    </row>
    <row r="1096" spans="1:28" x14ac:dyDescent="0.25">
      <c r="A1096" t="s">
        <v>1100</v>
      </c>
      <c r="B1096">
        <v>0.99796759195183404</v>
      </c>
      <c r="C1096">
        <v>1.0227516359069999</v>
      </c>
      <c r="D1096">
        <v>0.93392052477409904</v>
      </c>
      <c r="E1096">
        <v>0.94080007882774697</v>
      </c>
      <c r="F1096">
        <v>0.68912549944620305</v>
      </c>
      <c r="G1096">
        <v>0.44860356804186502</v>
      </c>
      <c r="H1096">
        <v>0.38544618006574999</v>
      </c>
      <c r="I1096">
        <v>0.31586270110979497</v>
      </c>
      <c r="J1096">
        <v>0.40247319224804601</v>
      </c>
      <c r="K1096">
        <v>0.14995748995181701</v>
      </c>
      <c r="L1096">
        <v>952.47982466400595</v>
      </c>
      <c r="M1096">
        <v>18.621766121220499</v>
      </c>
      <c r="N1096">
        <v>53.385251048593098</v>
      </c>
      <c r="O1096">
        <v>50.569833174158298</v>
      </c>
      <c r="P1096">
        <v>-6.7130176496894206E-2</v>
      </c>
      <c r="Q1096">
        <v>0.27082849002114401</v>
      </c>
      <c r="R1096">
        <v>0.96163995980343897</v>
      </c>
      <c r="S1096" t="s">
        <v>6679</v>
      </c>
      <c r="T1096" t="s">
        <v>11164</v>
      </c>
      <c r="U1096" t="s">
        <v>11164</v>
      </c>
      <c r="V1096" t="s">
        <v>11164</v>
      </c>
      <c r="W1096" t="s">
        <v>12238</v>
      </c>
      <c r="X1096">
        <v>7</v>
      </c>
      <c r="Y1096" t="s">
        <v>17768</v>
      </c>
      <c r="Z1096" t="s">
        <v>23246</v>
      </c>
      <c r="AA1096">
        <v>0.62541942992035149</v>
      </c>
      <c r="AB1096" t="str">
        <f>HYPERLINK("Melting_Curves/meltCurve_K7EIU8_SMAD4.pdf", "Melting_Curves/meltCurve_K7EIU8_SMAD4.pdf")</f>
        <v>Melting_Curves/meltCurve_K7EIU8_SMAD4.pdf</v>
      </c>
    </row>
    <row r="1097" spans="1:28" x14ac:dyDescent="0.25">
      <c r="A1097" t="s">
        <v>1101</v>
      </c>
      <c r="B1097">
        <v>0.99796759195183404</v>
      </c>
      <c r="C1097">
        <v>0.86731881924625098</v>
      </c>
      <c r="D1097">
        <v>0.89977055393748395</v>
      </c>
      <c r="E1097">
        <v>0.94651773704513797</v>
      </c>
      <c r="F1097">
        <v>0.79384113581678295</v>
      </c>
      <c r="G1097">
        <v>0.294217271322125</v>
      </c>
      <c r="H1097">
        <v>0.15857967051131</v>
      </c>
      <c r="I1097">
        <v>0.17087640546225999</v>
      </c>
      <c r="J1097">
        <v>0.20505570672348999</v>
      </c>
      <c r="K1097">
        <v>0</v>
      </c>
      <c r="L1097">
        <v>1818.1435527902199</v>
      </c>
      <c r="M1097">
        <v>35.119987667181199</v>
      </c>
      <c r="N1097">
        <v>52.190430679305997</v>
      </c>
      <c r="O1097">
        <v>51.602494660486698</v>
      </c>
      <c r="P1097">
        <v>-0.14916061502863701</v>
      </c>
      <c r="Q1097">
        <v>0.12334446923884899</v>
      </c>
      <c r="R1097">
        <v>0.96279379454604497</v>
      </c>
      <c r="S1097" t="s">
        <v>6680</v>
      </c>
      <c r="T1097" t="s">
        <v>11164</v>
      </c>
      <c r="U1097" t="s">
        <v>11164</v>
      </c>
      <c r="V1097" t="s">
        <v>11164</v>
      </c>
      <c r="W1097" t="s">
        <v>12239</v>
      </c>
      <c r="X1097">
        <v>1</v>
      </c>
      <c r="Y1097" t="s">
        <v>17769</v>
      </c>
      <c r="Z1097" t="s">
        <v>23247</v>
      </c>
      <c r="AA1097">
        <v>0.55899090034458376</v>
      </c>
      <c r="AB1097" t="str">
        <f>HYPERLINK("Melting_Curves/meltCurve_K7EJ08_SEC14L1.pdf", "Melting_Curves/meltCurve_K7EJ08_SEC14L1.pdf")</f>
        <v>Melting_Curves/meltCurve_K7EJ08_SEC14L1.pdf</v>
      </c>
    </row>
    <row r="1098" spans="1:28" x14ac:dyDescent="0.25">
      <c r="A1098" t="s">
        <v>1102</v>
      </c>
      <c r="B1098">
        <v>0.99796759195183404</v>
      </c>
      <c r="C1098">
        <v>1.0744419540061001</v>
      </c>
      <c r="D1098">
        <v>1.17445062193855</v>
      </c>
      <c r="E1098">
        <v>1.0127486855249199</v>
      </c>
      <c r="F1098">
        <v>0.80319668882892403</v>
      </c>
      <c r="G1098">
        <v>0.61609967234126295</v>
      </c>
      <c r="H1098">
        <v>1.4427434127352401</v>
      </c>
      <c r="I1098">
        <v>1.4522917606922601</v>
      </c>
      <c r="J1098">
        <v>0.66487236530737104</v>
      </c>
      <c r="K1098">
        <v>0.55130943110696595</v>
      </c>
      <c r="L1098">
        <v>15000</v>
      </c>
      <c r="M1098">
        <v>235.09065551579101</v>
      </c>
      <c r="O1098">
        <v>63.800555883117298</v>
      </c>
      <c r="P1098">
        <v>-0.41336127060347899</v>
      </c>
      <c r="Q1098">
        <v>0.55127644286673805</v>
      </c>
      <c r="R1098">
        <v>0.33175668027395</v>
      </c>
      <c r="S1098" t="s">
        <v>6681</v>
      </c>
      <c r="T1098" t="s">
        <v>11164</v>
      </c>
      <c r="U1098" t="s">
        <v>11164</v>
      </c>
      <c r="V1098" t="s">
        <v>11164</v>
      </c>
      <c r="W1098" t="s">
        <v>12240</v>
      </c>
      <c r="X1098">
        <v>1</v>
      </c>
      <c r="Y1098" t="s">
        <v>17770</v>
      </c>
      <c r="Z1098" t="s">
        <v>23248</v>
      </c>
      <c r="AA1098">
        <v>0.95227029485332215</v>
      </c>
      <c r="AB1098" t="str">
        <f>HYPERLINK("Melting_Curves/meltCurve_K7EJ78_RPS15.pdf", "Melting_Curves/meltCurve_K7EJ78_RPS15.pdf")</f>
        <v>Melting_Curves/meltCurve_K7EJ78_RPS15.pdf</v>
      </c>
    </row>
    <row r="1099" spans="1:28" x14ac:dyDescent="0.25">
      <c r="A1099" t="s">
        <v>1103</v>
      </c>
      <c r="B1099">
        <v>0.99796759195183404</v>
      </c>
      <c r="C1099">
        <v>1.05009689083909</v>
      </c>
      <c r="D1099">
        <v>0.98853060060612197</v>
      </c>
      <c r="E1099">
        <v>0.98414580629311199</v>
      </c>
      <c r="F1099">
        <v>0.83450323347072797</v>
      </c>
      <c r="G1099">
        <v>0.44053087658828299</v>
      </c>
      <c r="H1099">
        <v>0.34311372748682101</v>
      </c>
      <c r="I1099">
        <v>0.20061210597346099</v>
      </c>
      <c r="J1099">
        <v>0.166142257660892</v>
      </c>
      <c r="K1099">
        <v>0.1238729284403</v>
      </c>
      <c r="L1099">
        <v>1190.1501937737</v>
      </c>
      <c r="M1099">
        <v>22.486667056557501</v>
      </c>
      <c r="N1099">
        <v>53.790546924412098</v>
      </c>
      <c r="O1099">
        <v>52.5136814987479</v>
      </c>
      <c r="P1099">
        <v>-9.0833078050867697E-2</v>
      </c>
      <c r="Q1099">
        <v>0.15151825479960401</v>
      </c>
      <c r="R1099">
        <v>0.99056253494874402</v>
      </c>
      <c r="S1099" t="s">
        <v>6682</v>
      </c>
      <c r="T1099" t="s">
        <v>11164</v>
      </c>
      <c r="U1099" t="s">
        <v>11164</v>
      </c>
      <c r="V1099" t="s">
        <v>11164</v>
      </c>
      <c r="W1099" t="s">
        <v>12241</v>
      </c>
      <c r="X1099">
        <v>7</v>
      </c>
      <c r="Y1099" t="s">
        <v>17771</v>
      </c>
      <c r="Z1099" t="s">
        <v>23249</v>
      </c>
      <c r="AA1099">
        <v>0.6109270410736154</v>
      </c>
      <c r="AB1099" t="str">
        <f>HYPERLINK("Melting_Curves/meltCurve_K7EJH0_SPC24.pdf", "Melting_Curves/meltCurve_K7EJH0_SPC24.pdf")</f>
        <v>Melting_Curves/meltCurve_K7EJH0_SPC24.pdf</v>
      </c>
    </row>
    <row r="1100" spans="1:28" x14ac:dyDescent="0.25">
      <c r="A1100" t="s">
        <v>1104</v>
      </c>
      <c r="B1100">
        <v>0.99796759195183404</v>
      </c>
      <c r="C1100">
        <v>1.0597517309256099</v>
      </c>
      <c r="D1100">
        <v>0.99668076091989299</v>
      </c>
      <c r="E1100">
        <v>0.94413918858601198</v>
      </c>
      <c r="F1100">
        <v>0.80056293783093802</v>
      </c>
      <c r="G1100">
        <v>0.700886351829763</v>
      </c>
      <c r="H1100">
        <v>0.52892596829785499</v>
      </c>
      <c r="I1100">
        <v>0.44803913454606697</v>
      </c>
      <c r="J1100">
        <v>0.132810514926363</v>
      </c>
      <c r="K1100">
        <v>9.10174407838725E-2</v>
      </c>
      <c r="L1100">
        <v>719.64061834660902</v>
      </c>
      <c r="M1100">
        <v>12.4962412408535</v>
      </c>
      <c r="N1100">
        <v>57.588566527040399</v>
      </c>
      <c r="O1100">
        <v>56.173465918076403</v>
      </c>
      <c r="P1100">
        <v>-5.5625995172130099E-2</v>
      </c>
      <c r="Q1100">
        <v>0</v>
      </c>
      <c r="R1100">
        <v>0.97171814053716299</v>
      </c>
      <c r="S1100" t="s">
        <v>6683</v>
      </c>
      <c r="T1100" t="s">
        <v>11164</v>
      </c>
      <c r="U1100" t="s">
        <v>11164</v>
      </c>
      <c r="V1100" t="s">
        <v>11164</v>
      </c>
      <c r="W1100" t="s">
        <v>12242</v>
      </c>
      <c r="X1100">
        <v>9</v>
      </c>
      <c r="Y1100" t="s">
        <v>17772</v>
      </c>
      <c r="Z1100" t="s">
        <v>23250</v>
      </c>
      <c r="AA1100">
        <v>0.68862395277572852</v>
      </c>
      <c r="AB1100" t="str">
        <f>HYPERLINK("Melting_Curves/meltCurve_K7EJL1_AP1M1.pdf", "Melting_Curves/meltCurve_K7EJL1_AP1M1.pdf")</f>
        <v>Melting_Curves/meltCurve_K7EJL1_AP1M1.pdf</v>
      </c>
    </row>
    <row r="1101" spans="1:28" x14ac:dyDescent="0.25">
      <c r="A1101" t="s">
        <v>1105</v>
      </c>
      <c r="B1101">
        <v>0.99796759195183404</v>
      </c>
      <c r="C1101">
        <v>1.1588440098349799</v>
      </c>
      <c r="D1101">
        <v>0.99632117760488703</v>
      </c>
      <c r="E1101">
        <v>0.95675577731800499</v>
      </c>
      <c r="F1101">
        <v>1.0518103696372001</v>
      </c>
      <c r="G1101">
        <v>0.56360089030987204</v>
      </c>
      <c r="H1101">
        <v>0.371209999185029</v>
      </c>
      <c r="I1101">
        <v>0.441464415175917</v>
      </c>
      <c r="J1101">
        <v>0.25889794939718902</v>
      </c>
      <c r="K1101">
        <v>0.28988184176508303</v>
      </c>
      <c r="L1101">
        <v>11928.5494343886</v>
      </c>
      <c r="M1101">
        <v>222.39057006043399</v>
      </c>
      <c r="N1101">
        <v>53.914648934386001</v>
      </c>
      <c r="O1101">
        <v>53.633502884467603</v>
      </c>
      <c r="P1101">
        <v>-0.68379345816075898</v>
      </c>
      <c r="Q1101">
        <v>0.34036345360043102</v>
      </c>
      <c r="R1101">
        <v>0.95570293279396601</v>
      </c>
      <c r="S1101" t="s">
        <v>6684</v>
      </c>
      <c r="T1101" t="s">
        <v>11164</v>
      </c>
      <c r="U1101" t="s">
        <v>11164</v>
      </c>
      <c r="V1101" t="s">
        <v>11164</v>
      </c>
      <c r="W1101" t="s">
        <v>12243</v>
      </c>
      <c r="X1101">
        <v>2</v>
      </c>
      <c r="Y1101" t="s">
        <v>17773</v>
      </c>
      <c r="Z1101" t="s">
        <v>23251</v>
      </c>
      <c r="AA1101">
        <v>0.70627279989045877</v>
      </c>
      <c r="AB1101" t="str">
        <f>HYPERLINK("Melting_Curves/meltCurve_K7EJQ7_SEC11C.pdf", "Melting_Curves/meltCurve_K7EJQ7_SEC11C.pdf")</f>
        <v>Melting_Curves/meltCurve_K7EJQ7_SEC11C.pdf</v>
      </c>
    </row>
    <row r="1102" spans="1:28" x14ac:dyDescent="0.25">
      <c r="A1102" t="s">
        <v>1106</v>
      </c>
      <c r="B1102">
        <v>0.99796759195183404</v>
      </c>
      <c r="C1102">
        <v>0.99680996055983295</v>
      </c>
      <c r="D1102">
        <v>0.96676909607871997</v>
      </c>
      <c r="E1102">
        <v>0.858035475142229</v>
      </c>
      <c r="F1102">
        <v>0.56949481428772397</v>
      </c>
      <c r="G1102">
        <v>0.28712757896711899</v>
      </c>
      <c r="H1102">
        <v>0.201480201311455</v>
      </c>
      <c r="I1102">
        <v>0.17308949317493899</v>
      </c>
      <c r="J1102">
        <v>0.206352750578953</v>
      </c>
      <c r="K1102">
        <v>0.158854993697189</v>
      </c>
      <c r="L1102">
        <v>1158.7325923108599</v>
      </c>
      <c r="M1102">
        <v>23.219067402986401</v>
      </c>
      <c r="N1102">
        <v>50.809639362143102</v>
      </c>
      <c r="O1102">
        <v>49.538609089052898</v>
      </c>
      <c r="P1102">
        <v>-9.7328691336311807E-2</v>
      </c>
      <c r="Q1102">
        <v>0.169399721869787</v>
      </c>
      <c r="R1102">
        <v>0.99851793014719303</v>
      </c>
      <c r="S1102" t="s">
        <v>6685</v>
      </c>
      <c r="T1102" t="s">
        <v>11164</v>
      </c>
      <c r="U1102" t="s">
        <v>11164</v>
      </c>
      <c r="V1102" t="s">
        <v>11164</v>
      </c>
      <c r="W1102" t="s">
        <v>12244</v>
      </c>
      <c r="X1102">
        <v>8</v>
      </c>
      <c r="Y1102" t="s">
        <v>17774</v>
      </c>
      <c r="Z1102" t="s">
        <v>23252</v>
      </c>
      <c r="AA1102">
        <v>0.53502222387228549</v>
      </c>
      <c r="AB1102" t="str">
        <f>HYPERLINK("Melting_Curves/meltCurve_K7EK07_H3F3B.pdf", "Melting_Curves/meltCurve_K7EK07_H3F3B.pdf")</f>
        <v>Melting_Curves/meltCurve_K7EK07_H3F3B.pdf</v>
      </c>
    </row>
    <row r="1103" spans="1:28" x14ac:dyDescent="0.25">
      <c r="A1103" t="s">
        <v>1107</v>
      </c>
      <c r="B1103">
        <v>0.99796759195183404</v>
      </c>
      <c r="C1103">
        <v>0.91114398801712604</v>
      </c>
      <c r="D1103">
        <v>0.92610397443454295</v>
      </c>
      <c r="E1103">
        <v>0.88697182638232897</v>
      </c>
      <c r="F1103">
        <v>0.729208113729235</v>
      </c>
      <c r="G1103">
        <v>0.70427408350116005</v>
      </c>
      <c r="H1103">
        <v>0.60966032765997302</v>
      </c>
      <c r="I1103">
        <v>0.33387681121000801</v>
      </c>
      <c r="J1103">
        <v>0.13845320424117299</v>
      </c>
      <c r="K1103">
        <v>0.102931765490439</v>
      </c>
      <c r="L1103">
        <v>638.71371006229401</v>
      </c>
      <c r="M1103">
        <v>11.1887297877868</v>
      </c>
      <c r="N1103">
        <v>57.085453198197399</v>
      </c>
      <c r="O1103">
        <v>55.352998177059902</v>
      </c>
      <c r="P1103">
        <v>-5.0549498289119303E-2</v>
      </c>
      <c r="Q1103">
        <v>0</v>
      </c>
      <c r="R1103">
        <v>0.95201168245673895</v>
      </c>
      <c r="S1103" t="s">
        <v>6686</v>
      </c>
      <c r="T1103" t="s">
        <v>11164</v>
      </c>
      <c r="U1103" t="s">
        <v>11164</v>
      </c>
      <c r="V1103" t="s">
        <v>11164</v>
      </c>
      <c r="W1103" t="s">
        <v>12245</v>
      </c>
      <c r="X1103">
        <v>30</v>
      </c>
      <c r="Y1103" t="s">
        <v>17775</v>
      </c>
      <c r="Z1103" t="s">
        <v>23253</v>
      </c>
      <c r="AA1103">
        <v>0.67181622523045148</v>
      </c>
      <c r="AB1103" t="str">
        <f>HYPERLINK("Melting_Curves/meltCurve_K7EKE6_LONP1.pdf", "Melting_Curves/meltCurve_K7EKE6_LONP1.pdf")</f>
        <v>Melting_Curves/meltCurve_K7EKE6_LONP1.pdf</v>
      </c>
    </row>
    <row r="1104" spans="1:28" x14ac:dyDescent="0.25">
      <c r="A1104" t="s">
        <v>1108</v>
      </c>
      <c r="B1104">
        <v>0.99796759195183404</v>
      </c>
      <c r="C1104">
        <v>0.97973705030093405</v>
      </c>
      <c r="D1104">
        <v>0.96143524592632601</v>
      </c>
      <c r="E1104">
        <v>0.95627488253422399</v>
      </c>
      <c r="F1104">
        <v>0.89984950315958301</v>
      </c>
      <c r="G1104">
        <v>1.0524565332804501</v>
      </c>
      <c r="H1104">
        <v>1.26501138038806</v>
      </c>
      <c r="I1104">
        <v>0.64042481147998698</v>
      </c>
      <c r="J1104">
        <v>0.517733197527532</v>
      </c>
      <c r="K1104">
        <v>0.49652578446620299</v>
      </c>
      <c r="L1104">
        <v>15000</v>
      </c>
      <c r="M1104">
        <v>246.89398004117101</v>
      </c>
      <c r="O1104">
        <v>60.7508211638334</v>
      </c>
      <c r="P1104">
        <v>-0.50076256717733603</v>
      </c>
      <c r="Q1104">
        <v>0.50712860964409501</v>
      </c>
      <c r="R1104">
        <v>0.84179964674137198</v>
      </c>
      <c r="S1104" t="s">
        <v>6687</v>
      </c>
      <c r="T1104" t="s">
        <v>11164</v>
      </c>
      <c r="U1104" t="s">
        <v>11164</v>
      </c>
      <c r="V1104" t="s">
        <v>11164</v>
      </c>
      <c r="W1104" t="s">
        <v>12246</v>
      </c>
      <c r="X1104">
        <v>3</v>
      </c>
      <c r="Y1104" t="s">
        <v>17776</v>
      </c>
      <c r="Z1104" t="s">
        <v>23254</v>
      </c>
      <c r="AA1104">
        <v>0.89745157649577345</v>
      </c>
      <c r="AB1104" t="str">
        <f>HYPERLINK("Melting_Curves/meltCurve_K7EKI4_MRPL4.pdf", "Melting_Curves/meltCurve_K7EKI4_MRPL4.pdf")</f>
        <v>Melting_Curves/meltCurve_K7EKI4_MRPL4.pdf</v>
      </c>
    </row>
    <row r="1105" spans="1:28" x14ac:dyDescent="0.25">
      <c r="A1105" t="s">
        <v>1109</v>
      </c>
      <c r="B1105">
        <v>0.99796759195183404</v>
      </c>
      <c r="C1105">
        <v>0.95793805325556403</v>
      </c>
      <c r="D1105">
        <v>0.92324254787268201</v>
      </c>
      <c r="E1105">
        <v>0.96842160718625203</v>
      </c>
      <c r="F1105">
        <v>0.68161095078258505</v>
      </c>
      <c r="G1105">
        <v>0.46108492001770102</v>
      </c>
      <c r="H1105">
        <v>0.34911846078507802</v>
      </c>
      <c r="I1105">
        <v>0.27969863022921998</v>
      </c>
      <c r="J1105">
        <v>0.31388760817938699</v>
      </c>
      <c r="K1105">
        <v>0.206687115406084</v>
      </c>
      <c r="L1105">
        <v>1027.58581760321</v>
      </c>
      <c r="M1105">
        <v>20.037026014895002</v>
      </c>
      <c r="N1105">
        <v>53.157100848009001</v>
      </c>
      <c r="O1105">
        <v>50.781700235897297</v>
      </c>
      <c r="P1105">
        <v>-7.36716911097752E-2</v>
      </c>
      <c r="Q1105">
        <v>0.25317169066009898</v>
      </c>
      <c r="R1105">
        <v>0.98479212542343397</v>
      </c>
      <c r="S1105" t="s">
        <v>6688</v>
      </c>
      <c r="T1105" t="s">
        <v>11164</v>
      </c>
      <c r="U1105" t="s">
        <v>11164</v>
      </c>
      <c r="V1105" t="s">
        <v>11164</v>
      </c>
      <c r="W1105" t="s">
        <v>11429</v>
      </c>
      <c r="X1105">
        <v>3</v>
      </c>
      <c r="Y1105" t="s">
        <v>17777</v>
      </c>
      <c r="Z1105" t="s">
        <v>23255</v>
      </c>
      <c r="AA1105">
        <v>0.6184896330600842</v>
      </c>
      <c r="AB1105" t="str">
        <f>HYPERLINK("Melting_Curves/meltCurve_K7EKS3_POLRMT.pdf", "Melting_Curves/meltCurve_K7EKS3_POLRMT.pdf")</f>
        <v>Melting_Curves/meltCurve_K7EKS3_POLRMT.pdf</v>
      </c>
    </row>
    <row r="1106" spans="1:28" x14ac:dyDescent="0.25">
      <c r="A1106" t="s">
        <v>1110</v>
      </c>
      <c r="B1106">
        <v>0.99796759195183404</v>
      </c>
      <c r="C1106">
        <v>1.0895541138103499</v>
      </c>
      <c r="D1106">
        <v>0.97373486057926995</v>
      </c>
      <c r="E1106">
        <v>1.0346635987761501</v>
      </c>
      <c r="F1106">
        <v>0.89187226848087797</v>
      </c>
      <c r="G1106">
        <v>0.73479294722786803</v>
      </c>
      <c r="H1106">
        <v>0.77865326056831796</v>
      </c>
      <c r="I1106">
        <v>0.73414672013729798</v>
      </c>
      <c r="J1106">
        <v>0.96411785900754499</v>
      </c>
      <c r="K1106">
        <v>1.00839815995889</v>
      </c>
      <c r="L1106">
        <v>12509.075331697401</v>
      </c>
      <c r="M1106">
        <v>250</v>
      </c>
      <c r="O1106">
        <v>50.033100341385797</v>
      </c>
      <c r="P1106">
        <v>-0.19484377790577501</v>
      </c>
      <c r="Q1106">
        <v>0.84402179066438998</v>
      </c>
      <c r="R1106">
        <v>0.46991594073792198</v>
      </c>
      <c r="S1106" t="s">
        <v>6689</v>
      </c>
      <c r="T1106" t="s">
        <v>11164</v>
      </c>
      <c r="U1106" t="s">
        <v>11164</v>
      </c>
      <c r="V1106" t="s">
        <v>11164</v>
      </c>
      <c r="W1106" t="s">
        <v>12247</v>
      </c>
      <c r="X1106">
        <v>4</v>
      </c>
      <c r="Y1106" t="s">
        <v>17778</v>
      </c>
      <c r="Z1106" t="s">
        <v>23256</v>
      </c>
      <c r="AA1106">
        <v>0.91181478547838446</v>
      </c>
      <c r="AB1106" t="str">
        <f>HYPERLINK("Melting_Curves/meltCurve_K7EKW3_TMUB2.pdf", "Melting_Curves/meltCurve_K7EKW3_TMUB2.pdf")</f>
        <v>Melting_Curves/meltCurve_K7EKW3_TMUB2.pdf</v>
      </c>
    </row>
    <row r="1107" spans="1:28" x14ac:dyDescent="0.25">
      <c r="A1107" t="s">
        <v>1111</v>
      </c>
      <c r="B1107">
        <v>0.99796759195183404</v>
      </c>
      <c r="C1107">
        <v>1.0347889192256401</v>
      </c>
      <c r="D1107">
        <v>0.96399556831751299</v>
      </c>
      <c r="E1107">
        <v>0.89239540053796695</v>
      </c>
      <c r="F1107">
        <v>0.886228264395575</v>
      </c>
      <c r="G1107">
        <v>0.51316260136659597</v>
      </c>
      <c r="H1107">
        <v>0.56120330627012605</v>
      </c>
      <c r="I1107">
        <v>0.55471693549207302</v>
      </c>
      <c r="J1107">
        <v>0.28671439368936302</v>
      </c>
      <c r="K1107">
        <v>0.13637628867034399</v>
      </c>
      <c r="L1107">
        <v>528.47017035567296</v>
      </c>
      <c r="M1107">
        <v>9.07953124193096</v>
      </c>
      <c r="N1107">
        <v>58.204547123610503</v>
      </c>
      <c r="O1107">
        <v>55.589414337217598</v>
      </c>
      <c r="P1107">
        <v>-4.0861674594796303E-2</v>
      </c>
      <c r="Q1107">
        <v>0</v>
      </c>
      <c r="R1107">
        <v>0.92158169170050597</v>
      </c>
      <c r="S1107" t="s">
        <v>6690</v>
      </c>
      <c r="T1107" t="s">
        <v>11164</v>
      </c>
      <c r="U1107" t="s">
        <v>11164</v>
      </c>
      <c r="V1107" t="s">
        <v>11164</v>
      </c>
      <c r="W1107" t="s">
        <v>12248</v>
      </c>
      <c r="X1107">
        <v>1</v>
      </c>
      <c r="Y1107" t="s">
        <v>17779</v>
      </c>
      <c r="Z1107" t="s">
        <v>23257</v>
      </c>
      <c r="AA1107">
        <v>0.69148030445566377</v>
      </c>
      <c r="AB1107" t="str">
        <f>HYPERLINK("Melting_Curves/meltCurve_K7EKZ9_LINC00493.pdf", "Melting_Curves/meltCurve_K7EKZ9_LINC00493.pdf")</f>
        <v>Melting_Curves/meltCurve_K7EKZ9_LINC00493.pdf</v>
      </c>
    </row>
    <row r="1108" spans="1:28" x14ac:dyDescent="0.25">
      <c r="A1108" t="s">
        <v>1112</v>
      </c>
      <c r="B1108">
        <v>0.99796759195183404</v>
      </c>
      <c r="C1108">
        <v>0.85271751185719802</v>
      </c>
      <c r="D1108">
        <v>0.79900275197936199</v>
      </c>
      <c r="E1108">
        <v>0.85361398308184799</v>
      </c>
      <c r="F1108">
        <v>0.76060325381802796</v>
      </c>
      <c r="G1108">
        <v>0.80457313720396795</v>
      </c>
      <c r="H1108">
        <v>0.50468746974864098</v>
      </c>
      <c r="I1108">
        <v>0.28009804548078798</v>
      </c>
      <c r="J1108">
        <v>0.21421071400217101</v>
      </c>
      <c r="K1108">
        <v>0.10084477889815199</v>
      </c>
      <c r="L1108">
        <v>618.59189492736198</v>
      </c>
      <c r="M1108">
        <v>10.861335700807301</v>
      </c>
      <c r="N1108">
        <v>56.953574802749699</v>
      </c>
      <c r="O1108">
        <v>55.124920750979001</v>
      </c>
      <c r="P1108">
        <v>-4.9275279472097498E-2</v>
      </c>
      <c r="Q1108">
        <v>0</v>
      </c>
      <c r="R1108">
        <v>0.90536009848573995</v>
      </c>
      <c r="S1108" t="s">
        <v>6691</v>
      </c>
      <c r="T1108" t="s">
        <v>11164</v>
      </c>
      <c r="U1108" t="s">
        <v>11164</v>
      </c>
      <c r="V1108" t="s">
        <v>11164</v>
      </c>
      <c r="W1108" t="s">
        <v>12249</v>
      </c>
      <c r="X1108">
        <v>13</v>
      </c>
      <c r="Y1108" t="s">
        <v>17780</v>
      </c>
      <c r="Z1108" t="s">
        <v>23258</v>
      </c>
      <c r="AA1108">
        <v>0.66737598380984764</v>
      </c>
      <c r="AB1108" t="str">
        <f>HYPERLINK("Melting_Curves/meltCurve_K7EL68_CDC37.pdf", "Melting_Curves/meltCurve_K7EL68_CDC37.pdf")</f>
        <v>Melting_Curves/meltCurve_K7EL68_CDC37.pdf</v>
      </c>
    </row>
    <row r="1109" spans="1:28" x14ac:dyDescent="0.25">
      <c r="A1109" t="s">
        <v>1113</v>
      </c>
      <c r="B1109">
        <v>0.99796759195183404</v>
      </c>
      <c r="C1109">
        <v>0.96593225169462305</v>
      </c>
      <c r="D1109">
        <v>0.85460572384867695</v>
      </c>
      <c r="E1109">
        <v>0.86989107724070303</v>
      </c>
      <c r="F1109">
        <v>0.85849420177710101</v>
      </c>
      <c r="G1109">
        <v>0.26892067401311998</v>
      </c>
      <c r="H1109">
        <v>0.27069948437647101</v>
      </c>
      <c r="I1109">
        <v>0.132163119948985</v>
      </c>
      <c r="J1109">
        <v>0.187517596013172</v>
      </c>
      <c r="K1109">
        <v>0.21243785633991699</v>
      </c>
      <c r="L1109">
        <v>2722.4347100760901</v>
      </c>
      <c r="M1109">
        <v>52.757440718441899</v>
      </c>
      <c r="N1109">
        <v>52.098191115177201</v>
      </c>
      <c r="O1109">
        <v>51.528875533812503</v>
      </c>
      <c r="P1109">
        <v>-0.20547833953408701</v>
      </c>
      <c r="Q1109">
        <v>0.197227131031083</v>
      </c>
      <c r="R1109">
        <v>0.96115527292504299</v>
      </c>
      <c r="S1109" t="s">
        <v>6692</v>
      </c>
      <c r="T1109" t="s">
        <v>11164</v>
      </c>
      <c r="U1109" t="s">
        <v>11164</v>
      </c>
      <c r="V1109" t="s">
        <v>11164</v>
      </c>
      <c r="W1109" t="s">
        <v>12250</v>
      </c>
      <c r="X1109">
        <v>2</v>
      </c>
      <c r="Y1109" t="s">
        <v>17781</v>
      </c>
      <c r="Z1109" t="s">
        <v>23259</v>
      </c>
      <c r="AA1109">
        <v>0.58962647743180119</v>
      </c>
      <c r="AB1109" t="str">
        <f>HYPERLINK("Melting_Curves/meltCurve_K7EL81_PPP1R12C.pdf", "Melting_Curves/meltCurve_K7EL81_PPP1R12C.pdf")</f>
        <v>Melting_Curves/meltCurve_K7EL81_PPP1R12C.pdf</v>
      </c>
    </row>
    <row r="1110" spans="1:28" x14ac:dyDescent="0.25">
      <c r="A1110" t="s">
        <v>1114</v>
      </c>
      <c r="B1110">
        <v>0.99796759195183404</v>
      </c>
      <c r="C1110">
        <v>1.04232714936712</v>
      </c>
      <c r="D1110">
        <v>0.99075433204362395</v>
      </c>
      <c r="E1110">
        <v>0.91911576664961103</v>
      </c>
      <c r="F1110">
        <v>0.91842737882585401</v>
      </c>
      <c r="G1110">
        <v>0.82560557955347402</v>
      </c>
      <c r="H1110">
        <v>0.66040362790102902</v>
      </c>
      <c r="I1110">
        <v>0.51972854740137298</v>
      </c>
      <c r="J1110">
        <v>0.61054444212235104</v>
      </c>
      <c r="K1110">
        <v>0.49761807914490203</v>
      </c>
      <c r="L1110">
        <v>903.91188051735003</v>
      </c>
      <c r="M1110">
        <v>16.404235090163102</v>
      </c>
      <c r="O1110">
        <v>54.303013625955103</v>
      </c>
      <c r="P1110">
        <v>-3.8262400775978998E-2</v>
      </c>
      <c r="Q1110">
        <v>0.49339523061888702</v>
      </c>
      <c r="R1110">
        <v>0.961081010380472</v>
      </c>
      <c r="S1110" t="s">
        <v>6693</v>
      </c>
      <c r="T1110" t="s">
        <v>11164</v>
      </c>
      <c r="U1110" t="s">
        <v>11164</v>
      </c>
      <c r="V1110" t="s">
        <v>11164</v>
      </c>
      <c r="W1110" t="s">
        <v>12251</v>
      </c>
      <c r="X1110">
        <v>25</v>
      </c>
      <c r="Y1110" t="s">
        <v>17782</v>
      </c>
      <c r="Z1110" t="s">
        <v>23260</v>
      </c>
      <c r="AA1110">
        <v>0.80581582790187134</v>
      </c>
      <c r="AB1110" t="str">
        <f>HYPERLINK("Melting_Curves/meltCurve_K7ELL7_PRKCSH.pdf", "Melting_Curves/meltCurve_K7ELL7_PRKCSH.pdf")</f>
        <v>Melting_Curves/meltCurve_K7ELL7_PRKCSH.pdf</v>
      </c>
    </row>
    <row r="1111" spans="1:28" x14ac:dyDescent="0.25">
      <c r="A1111" t="s">
        <v>1115</v>
      </c>
      <c r="B1111">
        <v>0.99796759195183404</v>
      </c>
      <c r="C1111">
        <v>0.88693742332961001</v>
      </c>
      <c r="D1111">
        <v>0.89810792159891495</v>
      </c>
      <c r="E1111">
        <v>0.69076967691847602</v>
      </c>
      <c r="F1111">
        <v>0.79673932341166998</v>
      </c>
      <c r="G1111">
        <v>0.54983168088715195</v>
      </c>
      <c r="H1111">
        <v>0.47771799710731799</v>
      </c>
      <c r="I1111">
        <v>0.318641735341814</v>
      </c>
      <c r="J1111">
        <v>0.17978861331564699</v>
      </c>
      <c r="K1111">
        <v>0.20003872160453001</v>
      </c>
      <c r="L1111">
        <v>424.69666281923998</v>
      </c>
      <c r="M1111">
        <v>7.6939847034538502</v>
      </c>
      <c r="N1111">
        <v>55.198534159388799</v>
      </c>
      <c r="O1111">
        <v>51.840900853041497</v>
      </c>
      <c r="P1111">
        <v>-3.7152365995492598E-2</v>
      </c>
      <c r="Q1111">
        <v>0</v>
      </c>
      <c r="R1111">
        <v>0.95187802584826497</v>
      </c>
      <c r="S1111" t="s">
        <v>6694</v>
      </c>
      <c r="T1111" t="s">
        <v>11164</v>
      </c>
      <c r="U1111" t="s">
        <v>11164</v>
      </c>
      <c r="V1111" t="s">
        <v>11164</v>
      </c>
      <c r="W1111" t="s">
        <v>12252</v>
      </c>
      <c r="X1111">
        <v>2</v>
      </c>
      <c r="Y1111" t="s">
        <v>17783</v>
      </c>
      <c r="Z1111" t="s">
        <v>23261</v>
      </c>
      <c r="AA1111">
        <v>0.61040108000197435</v>
      </c>
      <c r="AB1111" t="str">
        <f>HYPERLINK("Melting_Curves/meltCurve_K7ELY2_STX10.pdf", "Melting_Curves/meltCurve_K7ELY2_STX10.pdf")</f>
        <v>Melting_Curves/meltCurve_K7ELY2_STX10.pdf</v>
      </c>
    </row>
    <row r="1112" spans="1:28" x14ac:dyDescent="0.25">
      <c r="A1112" t="s">
        <v>1116</v>
      </c>
      <c r="B1112">
        <v>0.99796759195183404</v>
      </c>
      <c r="C1112">
        <v>0.98427390919553004</v>
      </c>
      <c r="D1112">
        <v>1.03860467115564</v>
      </c>
      <c r="E1112">
        <v>1.3646652142254601</v>
      </c>
      <c r="F1112">
        <v>1.3963726518417501</v>
      </c>
      <c r="G1112">
        <v>1.6618735429549101</v>
      </c>
      <c r="H1112">
        <v>1.2954880788963301</v>
      </c>
      <c r="I1112">
        <v>1.28269953234209</v>
      </c>
      <c r="J1112">
        <v>0.70532342473198095</v>
      </c>
      <c r="K1112">
        <v>0.36560589180664299</v>
      </c>
      <c r="L1112">
        <v>15000</v>
      </c>
      <c r="M1112">
        <v>233.86699131502399</v>
      </c>
      <c r="N1112">
        <v>64.501314820150796</v>
      </c>
      <c r="O1112">
        <v>64.134330329204403</v>
      </c>
      <c r="P1112">
        <v>-0.57836032252639802</v>
      </c>
      <c r="Q1112">
        <v>0.36557523916657902</v>
      </c>
      <c r="R1112">
        <v>0.29191156235409499</v>
      </c>
      <c r="S1112" t="s">
        <v>6695</v>
      </c>
      <c r="T1112" t="s">
        <v>11164</v>
      </c>
      <c r="U1112" t="s">
        <v>11164</v>
      </c>
      <c r="V1112" t="s">
        <v>11164</v>
      </c>
      <c r="W1112" t="s">
        <v>12253</v>
      </c>
      <c r="X1112">
        <v>1</v>
      </c>
      <c r="Y1112" t="s">
        <v>17784</v>
      </c>
      <c r="Z1112" t="s">
        <v>23262</v>
      </c>
      <c r="AA1112">
        <v>0.93957879531366262</v>
      </c>
      <c r="AB1112" t="str">
        <f>HYPERLINK("Melting_Curves/meltCurve_K7EM02_KATNAL2.pdf", "Melting_Curves/meltCurve_K7EM02_KATNAL2.pdf")</f>
        <v>Melting_Curves/meltCurve_K7EM02_KATNAL2.pdf</v>
      </c>
    </row>
    <row r="1113" spans="1:28" x14ac:dyDescent="0.25">
      <c r="A1113" t="s">
        <v>1117</v>
      </c>
      <c r="B1113">
        <v>0.99796759195183404</v>
      </c>
      <c r="C1113">
        <v>0.99174940574584702</v>
      </c>
      <c r="D1113">
        <v>0.93372959496980001</v>
      </c>
      <c r="E1113">
        <v>0.869300332636184</v>
      </c>
      <c r="F1113">
        <v>0.87615797715475996</v>
      </c>
      <c r="G1113">
        <v>0.60100589666500703</v>
      </c>
      <c r="H1113">
        <v>0.48390354061427299</v>
      </c>
      <c r="I1113">
        <v>0.469094381408032</v>
      </c>
      <c r="J1113">
        <v>0.48924239330907698</v>
      </c>
      <c r="K1113">
        <v>0.408293599063212</v>
      </c>
      <c r="L1113">
        <v>884.080475640332</v>
      </c>
      <c r="M1113">
        <v>16.9844533876947</v>
      </c>
      <c r="N1113">
        <v>58.284703060649598</v>
      </c>
      <c r="O1113">
        <v>51.346817553681603</v>
      </c>
      <c r="P1113">
        <v>-4.80755989385592E-2</v>
      </c>
      <c r="Q1113">
        <v>0.41867404236044797</v>
      </c>
      <c r="R1113">
        <v>0.96707268660969803</v>
      </c>
      <c r="S1113" t="s">
        <v>6696</v>
      </c>
      <c r="T1113" t="s">
        <v>11164</v>
      </c>
      <c r="U1113" t="s">
        <v>11164</v>
      </c>
      <c r="V1113" t="s">
        <v>11164</v>
      </c>
      <c r="W1113" t="s">
        <v>12254</v>
      </c>
      <c r="X1113">
        <v>2</v>
      </c>
      <c r="Y1113" t="s">
        <v>17785</v>
      </c>
      <c r="Z1113" t="s">
        <v>23263</v>
      </c>
      <c r="AA1113">
        <v>0.71985724630775672</v>
      </c>
      <c r="AB1113" t="str">
        <f>HYPERLINK("Melting_Curves/meltCurve_K7EM09_TMEM205.pdf", "Melting_Curves/meltCurve_K7EM09_TMEM205.pdf")</f>
        <v>Melting_Curves/meltCurve_K7EM09_TMEM205.pdf</v>
      </c>
    </row>
    <row r="1114" spans="1:28" x14ac:dyDescent="0.25">
      <c r="A1114" t="s">
        <v>1118</v>
      </c>
      <c r="B1114">
        <v>0.99796759195183404</v>
      </c>
      <c r="C1114">
        <v>0.86521801463230896</v>
      </c>
      <c r="D1114">
        <v>0.95129420792609098</v>
      </c>
      <c r="E1114">
        <v>0.91923291411206998</v>
      </c>
      <c r="F1114">
        <v>0.70733703815618598</v>
      </c>
      <c r="G1114">
        <v>0.64791215309759398</v>
      </c>
      <c r="H1114">
        <v>0.51561080446058305</v>
      </c>
      <c r="I1114">
        <v>0.40923125341055</v>
      </c>
      <c r="J1114">
        <v>0.55759906622320099</v>
      </c>
      <c r="K1114">
        <v>0.63913260411177997</v>
      </c>
      <c r="L1114">
        <v>1022.01999542826</v>
      </c>
      <c r="M1114">
        <v>20.690533150057799</v>
      </c>
      <c r="O1114">
        <v>48.941040864993802</v>
      </c>
      <c r="P1114">
        <v>-4.9767619629102998E-2</v>
      </c>
      <c r="Q1114">
        <v>0.529135208865671</v>
      </c>
      <c r="R1114">
        <v>0.86027966485418605</v>
      </c>
      <c r="S1114" t="s">
        <v>6697</v>
      </c>
      <c r="T1114" t="s">
        <v>11164</v>
      </c>
      <c r="U1114" t="s">
        <v>11164</v>
      </c>
      <c r="V1114" t="s">
        <v>11164</v>
      </c>
      <c r="W1114" t="s">
        <v>12255</v>
      </c>
      <c r="X1114">
        <v>13</v>
      </c>
      <c r="Y1114" t="s">
        <v>17786</v>
      </c>
      <c r="Z1114" t="s">
        <v>23264</v>
      </c>
      <c r="AA1114">
        <v>0.72952534459079321</v>
      </c>
      <c r="AB1114" t="str">
        <f>HYPERLINK("Melting_Curves/meltCurve_K7EM38_ACTG1.pdf", "Melting_Curves/meltCurve_K7EM38_ACTG1.pdf")</f>
        <v>Melting_Curves/meltCurve_K7EM38_ACTG1.pdf</v>
      </c>
    </row>
    <row r="1115" spans="1:28" x14ac:dyDescent="0.25">
      <c r="A1115" t="s">
        <v>1119</v>
      </c>
      <c r="B1115">
        <v>0.99796759195183404</v>
      </c>
      <c r="C1115">
        <v>1.0621763186505999</v>
      </c>
      <c r="D1115">
        <v>1.10501345523961</v>
      </c>
      <c r="E1115">
        <v>0.97748774591517096</v>
      </c>
      <c r="F1115">
        <v>0.77427584910613501</v>
      </c>
      <c r="G1115">
        <v>0.61947699350224195</v>
      </c>
      <c r="H1115">
        <v>0.41658048415100302</v>
      </c>
      <c r="I1115">
        <v>0.34882855778843702</v>
      </c>
      <c r="J1115">
        <v>0.34135475914526398</v>
      </c>
      <c r="K1115">
        <v>0.21676326558973</v>
      </c>
      <c r="L1115">
        <v>939.00589790768402</v>
      </c>
      <c r="M1115">
        <v>17.571143043823199</v>
      </c>
      <c r="N1115">
        <v>55.694027406809298</v>
      </c>
      <c r="O1115">
        <v>52.762461811436999</v>
      </c>
      <c r="P1115">
        <v>-6.2075770871260399E-2</v>
      </c>
      <c r="Q1115">
        <v>0.25443830639311699</v>
      </c>
      <c r="R1115">
        <v>0.97426204124091598</v>
      </c>
      <c r="S1115" t="s">
        <v>6698</v>
      </c>
      <c r="T1115" t="s">
        <v>11164</v>
      </c>
      <c r="U1115" t="s">
        <v>11164</v>
      </c>
      <c r="V1115" t="s">
        <v>11164</v>
      </c>
      <c r="W1115" t="s">
        <v>12256</v>
      </c>
      <c r="X1115">
        <v>1</v>
      </c>
      <c r="Y1115" t="s">
        <v>17787</v>
      </c>
      <c r="Z1115" t="s">
        <v>23265</v>
      </c>
      <c r="AA1115">
        <v>0.67391384017409317</v>
      </c>
      <c r="AB1115" t="str">
        <f>HYPERLINK("Melting_Curves/meltCurve_K7EN05_ELOF1.pdf", "Melting_Curves/meltCurve_K7EN05_ELOF1.pdf")</f>
        <v>Melting_Curves/meltCurve_K7EN05_ELOF1.pdf</v>
      </c>
    </row>
    <row r="1116" spans="1:28" x14ac:dyDescent="0.25">
      <c r="A1116" t="s">
        <v>1120</v>
      </c>
      <c r="B1116">
        <v>0.99796759195183404</v>
      </c>
      <c r="C1116">
        <v>1.0633765378928499</v>
      </c>
      <c r="D1116">
        <v>0.95016056115651304</v>
      </c>
      <c r="E1116">
        <v>0.84212475593182101</v>
      </c>
      <c r="F1116">
        <v>0.65147125365458602</v>
      </c>
      <c r="G1116">
        <v>0.38182565178296901</v>
      </c>
      <c r="H1116">
        <v>0.37057869949940497</v>
      </c>
      <c r="I1116">
        <v>0.26456161181670201</v>
      </c>
      <c r="J1116">
        <v>0.29786448557992001</v>
      </c>
      <c r="K1116">
        <v>0.28575194082287803</v>
      </c>
      <c r="L1116">
        <v>973.64072344058002</v>
      </c>
      <c r="M1116">
        <v>19.482040060586399</v>
      </c>
      <c r="N1116">
        <v>52.133420069774097</v>
      </c>
      <c r="O1116">
        <v>49.4587036402351</v>
      </c>
      <c r="P1116">
        <v>-7.1230347904114699E-2</v>
      </c>
      <c r="Q1116">
        <v>0.27670136836453901</v>
      </c>
      <c r="R1116">
        <v>0.98891743815628197</v>
      </c>
      <c r="S1116" t="s">
        <v>6699</v>
      </c>
      <c r="T1116" t="s">
        <v>11164</v>
      </c>
      <c r="U1116" t="s">
        <v>11164</v>
      </c>
      <c r="V1116" t="s">
        <v>11164</v>
      </c>
      <c r="W1116" t="s">
        <v>12257</v>
      </c>
      <c r="X1116">
        <v>2</v>
      </c>
      <c r="Y1116" t="s">
        <v>17788</v>
      </c>
      <c r="Z1116" t="s">
        <v>23266</v>
      </c>
      <c r="AA1116">
        <v>0.5995307539742385</v>
      </c>
      <c r="AB1116" t="str">
        <f>HYPERLINK("Melting_Curves/meltCurve_K7EN78_R3HDM4.pdf", "Melting_Curves/meltCurve_K7EN78_R3HDM4.pdf")</f>
        <v>Melting_Curves/meltCurve_K7EN78_R3HDM4.pdf</v>
      </c>
    </row>
    <row r="1117" spans="1:28" x14ac:dyDescent="0.25">
      <c r="A1117" t="s">
        <v>1121</v>
      </c>
      <c r="B1117">
        <v>0.99796759195183404</v>
      </c>
      <c r="C1117">
        <v>1.07305119139556</v>
      </c>
      <c r="D1117">
        <v>0.97931105818473796</v>
      </c>
      <c r="E1117">
        <v>0.94654902560421195</v>
      </c>
      <c r="F1117">
        <v>0.93829707062374801</v>
      </c>
      <c r="G1117">
        <v>0.76183722344149596</v>
      </c>
      <c r="H1117">
        <v>0.222700574037169</v>
      </c>
      <c r="I1117">
        <v>0.18612906590087899</v>
      </c>
      <c r="J1117">
        <v>0.16858528325637101</v>
      </c>
      <c r="K1117">
        <v>8.0376253592876895E-2</v>
      </c>
      <c r="L1117">
        <v>2517.6948068278898</v>
      </c>
      <c r="M1117">
        <v>45.886660696473299</v>
      </c>
      <c r="N1117">
        <v>55.255489972190198</v>
      </c>
      <c r="O1117">
        <v>54.763788319672599</v>
      </c>
      <c r="P1117">
        <v>-0.18063727760582901</v>
      </c>
      <c r="Q1117">
        <v>0.137669361924983</v>
      </c>
      <c r="R1117">
        <v>0.98886314388056695</v>
      </c>
      <c r="S1117" t="s">
        <v>6700</v>
      </c>
      <c r="T1117" t="s">
        <v>11164</v>
      </c>
      <c r="U1117" t="s">
        <v>11164</v>
      </c>
      <c r="V1117" t="s">
        <v>11164</v>
      </c>
      <c r="W1117" t="s">
        <v>12258</v>
      </c>
      <c r="X1117">
        <v>2</v>
      </c>
      <c r="Y1117" t="s">
        <v>17789</v>
      </c>
      <c r="Z1117" t="s">
        <v>23267</v>
      </c>
      <c r="AA1117">
        <v>0.65373167095635776</v>
      </c>
      <c r="AB1117" t="str">
        <f>HYPERLINK("Melting_Curves/meltCurve_K7EN88_hCG_2039718.pdf", "Melting_Curves/meltCurve_K7EN88_hCG_2039718.pdf")</f>
        <v>Melting_Curves/meltCurve_K7EN88_hCG_2039718.pdf</v>
      </c>
    </row>
    <row r="1118" spans="1:28" x14ac:dyDescent="0.25">
      <c r="A1118" t="s">
        <v>1122</v>
      </c>
      <c r="B1118">
        <v>0.99796759195183404</v>
      </c>
      <c r="C1118">
        <v>1.1151631153213699</v>
      </c>
      <c r="D1118">
        <v>1.1165912533822699</v>
      </c>
      <c r="E1118">
        <v>1.0325497731570501</v>
      </c>
      <c r="F1118">
        <v>1.0234835450712201</v>
      </c>
      <c r="G1118">
        <v>0.692497737961833</v>
      </c>
      <c r="H1118">
        <v>0.53036761619860695</v>
      </c>
      <c r="I1118">
        <v>0.58243352435032103</v>
      </c>
      <c r="J1118">
        <v>0.65966375046726899</v>
      </c>
      <c r="K1118">
        <v>0.66347753216683802</v>
      </c>
      <c r="L1118">
        <v>13379.8722022442</v>
      </c>
      <c r="M1118">
        <v>250</v>
      </c>
      <c r="O1118">
        <v>53.516063951599598</v>
      </c>
      <c r="P1118">
        <v>-0.45665540334624599</v>
      </c>
      <c r="Q1118">
        <v>0.60898560440432004</v>
      </c>
      <c r="R1118">
        <v>0.91747526661949796</v>
      </c>
      <c r="S1118" t="s">
        <v>6701</v>
      </c>
      <c r="T1118" t="s">
        <v>11164</v>
      </c>
      <c r="U1118" t="s">
        <v>11164</v>
      </c>
      <c r="V1118" t="s">
        <v>11164</v>
      </c>
      <c r="W1118" t="s">
        <v>12259</v>
      </c>
      <c r="X1118">
        <v>1</v>
      </c>
      <c r="Y1118" t="s">
        <v>17790</v>
      </c>
      <c r="Z1118" t="s">
        <v>23268</v>
      </c>
      <c r="AA1118">
        <v>0.8243342618446301</v>
      </c>
      <c r="AB1118" t="str">
        <f>HYPERLINK("Melting_Curves/meltCurve_K7ENF0_NARS.pdf", "Melting_Curves/meltCurve_K7ENF0_NARS.pdf")</f>
        <v>Melting_Curves/meltCurve_K7ENF0_NARS.pdf</v>
      </c>
    </row>
    <row r="1119" spans="1:28" x14ac:dyDescent="0.25">
      <c r="A1119" t="s">
        <v>1123</v>
      </c>
      <c r="B1119">
        <v>0.99796759195183404</v>
      </c>
      <c r="C1119">
        <v>1.0403521133770699</v>
      </c>
      <c r="D1119">
        <v>1.0277775080612701</v>
      </c>
      <c r="E1119">
        <v>0.94375483617107103</v>
      </c>
      <c r="F1119">
        <v>0.85000029343140904</v>
      </c>
      <c r="G1119">
        <v>0.696712981236288</v>
      </c>
      <c r="H1119">
        <v>0.25145895623405501</v>
      </c>
      <c r="I1119">
        <v>0.175132563982274</v>
      </c>
      <c r="J1119">
        <v>0.16222693565431601</v>
      </c>
      <c r="K1119">
        <v>2.92425041044302E-2</v>
      </c>
      <c r="L1119">
        <v>1219.43337179987</v>
      </c>
      <c r="M1119">
        <v>22.2247820391033</v>
      </c>
      <c r="N1119">
        <v>55.203547000639396</v>
      </c>
      <c r="O1119">
        <v>54.429756539963698</v>
      </c>
      <c r="P1119">
        <v>-9.5635723835429898E-2</v>
      </c>
      <c r="Q1119">
        <v>6.3150753674280594E-2</v>
      </c>
      <c r="R1119">
        <v>0.98608247301861995</v>
      </c>
      <c r="S1119" t="s">
        <v>6702</v>
      </c>
      <c r="T1119" t="s">
        <v>11164</v>
      </c>
      <c r="U1119" t="s">
        <v>11164</v>
      </c>
      <c r="V1119" t="s">
        <v>11164</v>
      </c>
      <c r="W1119" t="s">
        <v>12260</v>
      </c>
      <c r="X1119">
        <v>3</v>
      </c>
      <c r="Y1119" t="s">
        <v>17791</v>
      </c>
      <c r="Z1119" t="s">
        <v>23269</v>
      </c>
      <c r="AA1119">
        <v>0.63058863519500297</v>
      </c>
      <c r="AB1119" t="str">
        <f>HYPERLINK("Melting_Curves/meltCurve_K7ENL9_C18orf8.pdf", "Melting_Curves/meltCurve_K7ENL9_C18orf8.pdf")</f>
        <v>Melting_Curves/meltCurve_K7ENL9_C18orf8.pdf</v>
      </c>
    </row>
    <row r="1120" spans="1:28" x14ac:dyDescent="0.25">
      <c r="A1120" t="s">
        <v>1124</v>
      </c>
      <c r="B1120">
        <v>0.99796759195183404</v>
      </c>
      <c r="C1120">
        <v>1.1896828363940199</v>
      </c>
      <c r="D1120">
        <v>1.06769162953865</v>
      </c>
      <c r="E1120">
        <v>0.83433890852234305</v>
      </c>
      <c r="F1120">
        <v>0.53551410816754297</v>
      </c>
      <c r="G1120">
        <v>7.2392356918217299E-2</v>
      </c>
      <c r="H1120">
        <v>0.29299099539518098</v>
      </c>
      <c r="I1120">
        <v>0.142309464372395</v>
      </c>
      <c r="J1120">
        <v>0.19091685973193301</v>
      </c>
      <c r="K1120">
        <v>5.8887020943224601E-2</v>
      </c>
      <c r="L1120">
        <v>1577.9383244327801</v>
      </c>
      <c r="M1120">
        <v>31.869023570040898</v>
      </c>
      <c r="N1120">
        <v>50.043409896412001</v>
      </c>
      <c r="O1120">
        <v>49.319497131339403</v>
      </c>
      <c r="P1120">
        <v>-0.13839982777107299</v>
      </c>
      <c r="Q1120">
        <v>0.143271528010956</v>
      </c>
      <c r="R1120">
        <v>0.94669530388670997</v>
      </c>
      <c r="S1120" t="s">
        <v>6703</v>
      </c>
      <c r="T1120" t="s">
        <v>11164</v>
      </c>
      <c r="U1120" t="s">
        <v>11164</v>
      </c>
      <c r="V1120" t="s">
        <v>11164</v>
      </c>
      <c r="W1120" t="s">
        <v>12261</v>
      </c>
      <c r="X1120">
        <v>3</v>
      </c>
      <c r="Y1120" t="s">
        <v>17792</v>
      </c>
      <c r="Z1120" t="s">
        <v>23270</v>
      </c>
      <c r="AA1120">
        <v>0.50524282694823042</v>
      </c>
      <c r="AB1120" t="str">
        <f>HYPERLINK("Melting_Curves/meltCurve_K7EP31_ATP5SL.pdf", "Melting_Curves/meltCurve_K7EP31_ATP5SL.pdf")</f>
        <v>Melting_Curves/meltCurve_K7EP31_ATP5SL.pdf</v>
      </c>
    </row>
    <row r="1121" spans="1:28" x14ac:dyDescent="0.25">
      <c r="A1121" t="s">
        <v>1125</v>
      </c>
      <c r="B1121">
        <v>0.99796759195183404</v>
      </c>
      <c r="C1121">
        <v>0.97930581053946797</v>
      </c>
      <c r="D1121">
        <v>0.98657339549872103</v>
      </c>
      <c r="E1121">
        <v>0.77646888825279703</v>
      </c>
      <c r="F1121">
        <v>0.42978793386877201</v>
      </c>
      <c r="G1121">
        <v>0.29999930230541699</v>
      </c>
      <c r="H1121">
        <v>0.246786536327712</v>
      </c>
      <c r="I1121">
        <v>0.21489276970821</v>
      </c>
      <c r="J1121">
        <v>0.197223066289791</v>
      </c>
      <c r="K1121">
        <v>0.181122099172775</v>
      </c>
      <c r="L1121">
        <v>1140.1359147030701</v>
      </c>
      <c r="M1121">
        <v>23.536425252724001</v>
      </c>
      <c r="N1121">
        <v>49.555545297212802</v>
      </c>
      <c r="O1121">
        <v>48.095711003358801</v>
      </c>
      <c r="P1121">
        <v>-9.7206807964147698E-2</v>
      </c>
      <c r="Q1121">
        <v>0.20546124679787101</v>
      </c>
      <c r="R1121">
        <v>0.99737103688758899</v>
      </c>
      <c r="S1121" t="s">
        <v>6704</v>
      </c>
      <c r="T1121" t="s">
        <v>11164</v>
      </c>
      <c r="U1121" t="s">
        <v>11164</v>
      </c>
      <c r="V1121" t="s">
        <v>11164</v>
      </c>
      <c r="W1121" t="s">
        <v>12262</v>
      </c>
      <c r="X1121">
        <v>4</v>
      </c>
      <c r="Y1121" t="s">
        <v>17793</v>
      </c>
      <c r="Z1121" t="s">
        <v>23271</v>
      </c>
      <c r="AA1121">
        <v>0.51614668742523417</v>
      </c>
      <c r="AB1121" t="str">
        <f>HYPERLINK("Melting_Curves/meltCurve_K7EP32_UBXN6.pdf", "Melting_Curves/meltCurve_K7EP32_UBXN6.pdf")</f>
        <v>Melting_Curves/meltCurve_K7EP32_UBXN6.pdf</v>
      </c>
    </row>
    <row r="1122" spans="1:28" x14ac:dyDescent="0.25">
      <c r="A1122" t="s">
        <v>1126</v>
      </c>
      <c r="B1122">
        <v>0.99796759195183404</v>
      </c>
      <c r="C1122">
        <v>0.85670228237307</v>
      </c>
      <c r="D1122">
        <v>0.81989925647692696</v>
      </c>
      <c r="E1122">
        <v>0.85960056465215995</v>
      </c>
      <c r="F1122">
        <v>0.86929679842070395</v>
      </c>
      <c r="G1122">
        <v>0.39787511537820702</v>
      </c>
      <c r="H1122">
        <v>0.26583420449369499</v>
      </c>
      <c r="I1122">
        <v>0.22166446955358099</v>
      </c>
      <c r="J1122">
        <v>0.184585054753103</v>
      </c>
      <c r="K1122">
        <v>4.0493780241432402E-2</v>
      </c>
      <c r="L1122">
        <v>650.67878436619696</v>
      </c>
      <c r="M1122">
        <v>12.1113603002037</v>
      </c>
      <c r="N1122">
        <v>53.724664193703397</v>
      </c>
      <c r="O1122">
        <v>52.322888901921999</v>
      </c>
      <c r="P1122">
        <v>-5.7881798160061303E-2</v>
      </c>
      <c r="Q1122">
        <v>0</v>
      </c>
      <c r="R1122">
        <v>0.93046844173398302</v>
      </c>
      <c r="S1122" t="s">
        <v>6705</v>
      </c>
      <c r="T1122" t="s">
        <v>11164</v>
      </c>
      <c r="U1122" t="s">
        <v>11164</v>
      </c>
      <c r="V1122" t="s">
        <v>11164</v>
      </c>
      <c r="W1122" t="s">
        <v>12263</v>
      </c>
      <c r="X1122">
        <v>2</v>
      </c>
      <c r="Y1122" t="s">
        <v>17794</v>
      </c>
      <c r="Z1122" t="s">
        <v>23272</v>
      </c>
      <c r="AA1122">
        <v>0.57627846183937881</v>
      </c>
      <c r="AB1122" t="str">
        <f>HYPERLINK("Melting_Curves/meltCurve_K7EQ34_TMEM161A.pdf", "Melting_Curves/meltCurve_K7EQ34_TMEM161A.pdf")</f>
        <v>Melting_Curves/meltCurve_K7EQ34_TMEM161A.pdf</v>
      </c>
    </row>
    <row r="1123" spans="1:28" x14ac:dyDescent="0.25">
      <c r="A1123" t="s">
        <v>1127</v>
      </c>
      <c r="B1123">
        <v>0.99796759195183404</v>
      </c>
      <c r="C1123">
        <v>1.0517927105062299</v>
      </c>
      <c r="D1123">
        <v>0.922226054679813</v>
      </c>
      <c r="E1123">
        <v>0.84528147735397696</v>
      </c>
      <c r="F1123">
        <v>0.820668822818443</v>
      </c>
      <c r="G1123">
        <v>0.54171028190047998</v>
      </c>
      <c r="H1123">
        <v>0.55632288034157495</v>
      </c>
      <c r="I1123">
        <v>0.51964762291793798</v>
      </c>
      <c r="J1123">
        <v>0.60719701702652695</v>
      </c>
      <c r="K1123">
        <v>0.48514444694619702</v>
      </c>
      <c r="L1123">
        <v>845.438141972989</v>
      </c>
      <c r="M1123">
        <v>17.024628303322</v>
      </c>
      <c r="O1123">
        <v>48.989725368157202</v>
      </c>
      <c r="P1123">
        <v>-4.2074829614826802E-2</v>
      </c>
      <c r="Q1123">
        <v>0.51573504925289104</v>
      </c>
      <c r="R1123">
        <v>0.93277545113118898</v>
      </c>
      <c r="S1123" t="s">
        <v>6706</v>
      </c>
      <c r="T1123" t="s">
        <v>11164</v>
      </c>
      <c r="U1123" t="s">
        <v>11164</v>
      </c>
      <c r="V1123" t="s">
        <v>11164</v>
      </c>
      <c r="W1123" t="s">
        <v>12264</v>
      </c>
      <c r="X1123">
        <v>4</v>
      </c>
      <c r="Y1123" t="s">
        <v>17795</v>
      </c>
      <c r="Z1123" t="s">
        <v>23273</v>
      </c>
      <c r="AA1123">
        <v>0.72848755756045991</v>
      </c>
      <c r="AB1123" t="str">
        <f>HYPERLINK("Melting_Curves/meltCurve_K7EQ77_NDUFA11.pdf", "Melting_Curves/meltCurve_K7EQ77_NDUFA11.pdf")</f>
        <v>Melting_Curves/meltCurve_K7EQ77_NDUFA11.pdf</v>
      </c>
    </row>
    <row r="1124" spans="1:28" x14ac:dyDescent="0.25">
      <c r="A1124" t="s">
        <v>1128</v>
      </c>
      <c r="B1124">
        <v>0.99796759195183404</v>
      </c>
      <c r="C1124">
        <v>1.05322966072479</v>
      </c>
      <c r="D1124">
        <v>0.95766623819262797</v>
      </c>
      <c r="E1124">
        <v>0.97975434349558099</v>
      </c>
      <c r="F1124">
        <v>0.775049279794644</v>
      </c>
      <c r="G1124">
        <v>0.55481743884391399</v>
      </c>
      <c r="H1124">
        <v>0.40735648083943798</v>
      </c>
      <c r="I1124">
        <v>0.25995742519106202</v>
      </c>
      <c r="J1124">
        <v>0.137455491264486</v>
      </c>
      <c r="K1124">
        <v>0.103910356051823</v>
      </c>
      <c r="L1124">
        <v>745.89014777666102</v>
      </c>
      <c r="M1124">
        <v>13.558084598502999</v>
      </c>
      <c r="N1124">
        <v>55.282711430611201</v>
      </c>
      <c r="O1124">
        <v>53.858973367474697</v>
      </c>
      <c r="P1124">
        <v>-6.0938590125568202E-2</v>
      </c>
      <c r="Q1124">
        <v>3.1840324048204798E-2</v>
      </c>
      <c r="R1124">
        <v>0.99196200777642796</v>
      </c>
      <c r="S1124" t="s">
        <v>6707</v>
      </c>
      <c r="T1124" t="s">
        <v>11164</v>
      </c>
      <c r="U1124" t="s">
        <v>11164</v>
      </c>
      <c r="V1124" t="s">
        <v>11164</v>
      </c>
      <c r="W1124" t="s">
        <v>12265</v>
      </c>
      <c r="X1124">
        <v>2</v>
      </c>
      <c r="Y1124" t="s">
        <v>17796</v>
      </c>
      <c r="Z1124" t="s">
        <v>23274</v>
      </c>
      <c r="AA1124">
        <v>0.62713857594826361</v>
      </c>
      <c r="AB1124" t="str">
        <f>HYPERLINK("Melting_Curves/meltCurve_K7EQG1_QPCTL.pdf", "Melting_Curves/meltCurve_K7EQG1_QPCTL.pdf")</f>
        <v>Melting_Curves/meltCurve_K7EQG1_QPCTL.pdf</v>
      </c>
    </row>
    <row r="1125" spans="1:28" x14ac:dyDescent="0.25">
      <c r="A1125" t="s">
        <v>1129</v>
      </c>
      <c r="B1125">
        <v>0.99796759195183404</v>
      </c>
      <c r="C1125">
        <v>1.0127780481503399</v>
      </c>
      <c r="D1125">
        <v>0.949077594565924</v>
      </c>
      <c r="E1125">
        <v>0.82195683689673404</v>
      </c>
      <c r="F1125">
        <v>0.65250600466103303</v>
      </c>
      <c r="G1125">
        <v>0.47909587290435701</v>
      </c>
      <c r="H1125">
        <v>0.31874575761866403</v>
      </c>
      <c r="I1125">
        <v>0.187883711508844</v>
      </c>
      <c r="J1125">
        <v>0.136974632146875</v>
      </c>
      <c r="K1125">
        <v>8.3104696212115095E-2</v>
      </c>
      <c r="L1125">
        <v>599.01907307954195</v>
      </c>
      <c r="M1125">
        <v>11.2436797282518</v>
      </c>
      <c r="N1125">
        <v>53.276070750832297</v>
      </c>
      <c r="O1125">
        <v>51.6742264631932</v>
      </c>
      <c r="P1125">
        <v>-5.4413824879394397E-2</v>
      </c>
      <c r="Q1125">
        <v>0</v>
      </c>
      <c r="R1125">
        <v>0.99834828810503295</v>
      </c>
      <c r="S1125" t="s">
        <v>6708</v>
      </c>
      <c r="T1125" t="s">
        <v>11164</v>
      </c>
      <c r="U1125" t="s">
        <v>11164</v>
      </c>
      <c r="V1125" t="s">
        <v>11164</v>
      </c>
      <c r="W1125" t="s">
        <v>12266</v>
      </c>
      <c r="X1125">
        <v>2</v>
      </c>
      <c r="Y1125" t="s">
        <v>17797</v>
      </c>
      <c r="Z1125" t="s">
        <v>23275</v>
      </c>
      <c r="AA1125">
        <v>0.56327905431089798</v>
      </c>
      <c r="AB1125" t="str">
        <f>HYPERLINK("Melting_Curves/meltCurve_K7EQH5_AES.pdf", "Melting_Curves/meltCurve_K7EQH5_AES.pdf")</f>
        <v>Melting_Curves/meltCurve_K7EQH5_AES.pdf</v>
      </c>
    </row>
    <row r="1126" spans="1:28" x14ac:dyDescent="0.25">
      <c r="A1126" t="s">
        <v>1130</v>
      </c>
      <c r="B1126">
        <v>0.99796759195183404</v>
      </c>
      <c r="C1126">
        <v>1.1115665776347401</v>
      </c>
      <c r="D1126">
        <v>0.94638197796762102</v>
      </c>
      <c r="E1126">
        <v>0.96435963391690405</v>
      </c>
      <c r="F1126">
        <v>0.67278890766199995</v>
      </c>
      <c r="G1126">
        <v>0.40371156703890398</v>
      </c>
      <c r="H1126">
        <v>0.31510153386121897</v>
      </c>
      <c r="I1126">
        <v>0.23928677465443601</v>
      </c>
      <c r="J1126">
        <v>0.22555753929397901</v>
      </c>
      <c r="K1126">
        <v>7.5346782056975203E-2</v>
      </c>
      <c r="L1126">
        <v>968.09028028902105</v>
      </c>
      <c r="M1126">
        <v>18.706807123549702</v>
      </c>
      <c r="N1126">
        <v>52.815491864775296</v>
      </c>
      <c r="O1126">
        <v>51.170198433916198</v>
      </c>
      <c r="P1126">
        <v>-7.7041198823202497E-2</v>
      </c>
      <c r="Q1126">
        <v>0.15708845788372</v>
      </c>
      <c r="R1126">
        <v>0.975139874400342</v>
      </c>
      <c r="S1126" t="s">
        <v>6709</v>
      </c>
      <c r="T1126" t="s">
        <v>11164</v>
      </c>
      <c r="U1126" t="s">
        <v>11164</v>
      </c>
      <c r="V1126" t="s">
        <v>11164</v>
      </c>
      <c r="W1126" t="s">
        <v>11384</v>
      </c>
      <c r="X1126">
        <v>2</v>
      </c>
      <c r="Y1126" t="s">
        <v>17798</v>
      </c>
      <c r="Z1126" t="s">
        <v>23276</v>
      </c>
      <c r="AA1126">
        <v>0.58366665148380437</v>
      </c>
      <c r="AB1126" t="str">
        <f>HYPERLINK("Melting_Curves/meltCurve_K7EQL6_USP32.pdf", "Melting_Curves/meltCurve_K7EQL6_USP32.pdf")</f>
        <v>Melting_Curves/meltCurve_K7EQL6_USP32.pdf</v>
      </c>
    </row>
    <row r="1127" spans="1:28" x14ac:dyDescent="0.25">
      <c r="A1127" t="s">
        <v>1131</v>
      </c>
      <c r="B1127">
        <v>0.99796759195183404</v>
      </c>
      <c r="C1127">
        <v>0.94643536801969796</v>
      </c>
      <c r="D1127">
        <v>0.90953508115024595</v>
      </c>
      <c r="E1127">
        <v>0.79994757895859203</v>
      </c>
      <c r="F1127">
        <v>1.00639568176017</v>
      </c>
      <c r="G1127">
        <v>0.85562986226968296</v>
      </c>
      <c r="H1127">
        <v>0.56513173412109796</v>
      </c>
      <c r="I1127">
        <v>0.39199439539965197</v>
      </c>
      <c r="J1127">
        <v>0.34089463433298101</v>
      </c>
      <c r="K1127">
        <v>0.29711585907981802</v>
      </c>
      <c r="L1127">
        <v>1468.7923945313</v>
      </c>
      <c r="M1127">
        <v>26.013148076387999</v>
      </c>
      <c r="N1127">
        <v>58.502482439139698</v>
      </c>
      <c r="O1127">
        <v>56.132948214108403</v>
      </c>
      <c r="P1127">
        <v>-8.13237105885736E-2</v>
      </c>
      <c r="Q1127">
        <v>0.29806463330509397</v>
      </c>
      <c r="R1127">
        <v>0.92894262269241301</v>
      </c>
      <c r="S1127" t="s">
        <v>6710</v>
      </c>
      <c r="T1127" t="s">
        <v>11164</v>
      </c>
      <c r="U1127" t="s">
        <v>11164</v>
      </c>
      <c r="V1127" t="s">
        <v>11164</v>
      </c>
      <c r="W1127" t="s">
        <v>12267</v>
      </c>
      <c r="X1127">
        <v>4</v>
      </c>
      <c r="Y1127" t="s">
        <v>17799</v>
      </c>
      <c r="Z1127" t="s">
        <v>23277</v>
      </c>
      <c r="AA1127">
        <v>0.75871525786677241</v>
      </c>
      <c r="AB1127" t="str">
        <f>HYPERLINK("Melting_Curves/meltCurve_K7EQW8_TPM4.pdf", "Melting_Curves/meltCurve_K7EQW8_TPM4.pdf")</f>
        <v>Melting_Curves/meltCurve_K7EQW8_TPM4.pdf</v>
      </c>
    </row>
    <row r="1128" spans="1:28" x14ac:dyDescent="0.25">
      <c r="A1128" t="s">
        <v>1132</v>
      </c>
      <c r="B1128">
        <v>0.99796759195183404</v>
      </c>
      <c r="C1128">
        <v>1.04896259046525</v>
      </c>
      <c r="D1128">
        <v>0.99730811779997197</v>
      </c>
      <c r="E1128">
        <v>0.71730635878702897</v>
      </c>
      <c r="F1128">
        <v>0.54206339755245103</v>
      </c>
      <c r="G1128">
        <v>0.320623199133871</v>
      </c>
      <c r="H1128">
        <v>0.28634259168418502</v>
      </c>
      <c r="I1128">
        <v>0.228349387790379</v>
      </c>
      <c r="J1128">
        <v>0.223131132907989</v>
      </c>
      <c r="K1128">
        <v>0.16540941725932901</v>
      </c>
      <c r="L1128">
        <v>871.94659659483204</v>
      </c>
      <c r="M1128">
        <v>17.788403946106801</v>
      </c>
      <c r="N1128">
        <v>50.456986550379199</v>
      </c>
      <c r="O1128">
        <v>48.410797062027399</v>
      </c>
      <c r="P1128">
        <v>-7.35873348284318E-2</v>
      </c>
      <c r="Q1128">
        <v>0.198975265790756</v>
      </c>
      <c r="R1128">
        <v>0.98787323638554603</v>
      </c>
      <c r="S1128" t="s">
        <v>6711</v>
      </c>
      <c r="T1128" t="s">
        <v>11164</v>
      </c>
      <c r="U1128" t="s">
        <v>11164</v>
      </c>
      <c r="V1128" t="s">
        <v>11164</v>
      </c>
      <c r="W1128" t="s">
        <v>12268</v>
      </c>
      <c r="X1128">
        <v>4</v>
      </c>
      <c r="Y1128" t="s">
        <v>17800</v>
      </c>
      <c r="Z1128" t="s">
        <v>23278</v>
      </c>
      <c r="AA1128">
        <v>0.53285580116107301</v>
      </c>
      <c r="AB1128" t="str">
        <f>HYPERLINK("Melting_Curves/meltCurve_K7ER00_FARSA.pdf", "Melting_Curves/meltCurve_K7ER00_FARSA.pdf")</f>
        <v>Melting_Curves/meltCurve_K7ER00_FARSA.pdf</v>
      </c>
    </row>
    <row r="1129" spans="1:28" x14ac:dyDescent="0.25">
      <c r="A1129" t="s">
        <v>1133</v>
      </c>
      <c r="B1129">
        <v>0.99796759195183404</v>
      </c>
      <c r="C1129">
        <v>1.02760403399986</v>
      </c>
      <c r="D1129">
        <v>0.98953060797540204</v>
      </c>
      <c r="E1129">
        <v>0.89411593249808197</v>
      </c>
      <c r="F1129">
        <v>0.74334001747032197</v>
      </c>
      <c r="G1129">
        <v>1.33885129898286</v>
      </c>
      <c r="H1129">
        <v>0.62947412807776804</v>
      </c>
      <c r="I1129">
        <v>0.25568229953782901</v>
      </c>
      <c r="J1129">
        <v>0.226612779814031</v>
      </c>
      <c r="K1129">
        <v>0.143279804206325</v>
      </c>
      <c r="L1129">
        <v>14350.211308435</v>
      </c>
      <c r="M1129">
        <v>249.87610421826801</v>
      </c>
      <c r="N1129">
        <v>57.553597213885901</v>
      </c>
      <c r="O1129">
        <v>57.425627922340297</v>
      </c>
      <c r="P1129">
        <v>-0.86098792902265298</v>
      </c>
      <c r="Q1129">
        <v>0.208523405125805</v>
      </c>
      <c r="R1129">
        <v>0.86310521147958996</v>
      </c>
      <c r="S1129" t="s">
        <v>6712</v>
      </c>
      <c r="T1129" t="s">
        <v>11164</v>
      </c>
      <c r="U1129" t="s">
        <v>11164</v>
      </c>
      <c r="V1129" t="s">
        <v>11164</v>
      </c>
      <c r="W1129" t="s">
        <v>12269</v>
      </c>
      <c r="X1129">
        <v>5</v>
      </c>
      <c r="Y1129" t="s">
        <v>17801</v>
      </c>
      <c r="Z1129" t="s">
        <v>23279</v>
      </c>
      <c r="AA1129">
        <v>0.74758051290268068</v>
      </c>
      <c r="AB1129" t="str">
        <f>HYPERLINK("Melting_Curves/meltCurve_K7ERF1_EIF3K.pdf", "Melting_Curves/meltCurve_K7ERF1_EIF3K.pdf")</f>
        <v>Melting_Curves/meltCurve_K7ERF1_EIF3K.pdf</v>
      </c>
    </row>
    <row r="1130" spans="1:28" x14ac:dyDescent="0.25">
      <c r="A1130" t="s">
        <v>1134</v>
      </c>
      <c r="B1130">
        <v>0.99796759195183404</v>
      </c>
      <c r="C1130">
        <v>1.18648543134999</v>
      </c>
      <c r="D1130">
        <v>0.93870802994741998</v>
      </c>
      <c r="E1130">
        <v>0.89039612937360002</v>
      </c>
      <c r="F1130">
        <v>1.2286600529860301</v>
      </c>
      <c r="G1130">
        <v>0.117386523927433</v>
      </c>
      <c r="H1130">
        <v>0.19830926030985499</v>
      </c>
      <c r="I1130">
        <v>9.6188580006496702E-2</v>
      </c>
      <c r="J1130">
        <v>9.7757004770529995E-2</v>
      </c>
      <c r="K1130">
        <v>0.103084446604347</v>
      </c>
      <c r="L1130">
        <v>13081.225993182001</v>
      </c>
      <c r="M1130">
        <v>250</v>
      </c>
      <c r="N1130">
        <v>52.383719126381202</v>
      </c>
      <c r="O1130">
        <v>52.321555701355301</v>
      </c>
      <c r="P1130">
        <v>-1.0483701968970101</v>
      </c>
      <c r="Q1130">
        <v>0.12236224952962101</v>
      </c>
      <c r="R1130">
        <v>0.950792970599873</v>
      </c>
      <c r="S1130" t="s">
        <v>6713</v>
      </c>
      <c r="T1130" t="s">
        <v>11164</v>
      </c>
      <c r="U1130" t="s">
        <v>11164</v>
      </c>
      <c r="V1130" t="s">
        <v>11164</v>
      </c>
      <c r="W1130" t="s">
        <v>12270</v>
      </c>
      <c r="X1130">
        <v>1</v>
      </c>
      <c r="Y1130" t="s">
        <v>17802</v>
      </c>
      <c r="Z1130" t="s">
        <v>23280</v>
      </c>
      <c r="AA1130">
        <v>0.57076665076406452</v>
      </c>
      <c r="AB1130" t="str">
        <f>HYPERLINK("Melting_Curves/meltCurve_K7ERH7_DTNA.pdf", "Melting_Curves/meltCurve_K7ERH7_DTNA.pdf")</f>
        <v>Melting_Curves/meltCurve_K7ERH7_DTNA.pdf</v>
      </c>
    </row>
    <row r="1131" spans="1:28" x14ac:dyDescent="0.25">
      <c r="A1131" t="s">
        <v>1135</v>
      </c>
      <c r="B1131">
        <v>0.99796759195183404</v>
      </c>
      <c r="C1131">
        <v>1.0191695331706301</v>
      </c>
      <c r="D1131">
        <v>1.0740993646074199</v>
      </c>
      <c r="E1131">
        <v>1.0057921107705801</v>
      </c>
      <c r="F1131">
        <v>0.954157674073011</v>
      </c>
      <c r="G1131">
        <v>0.55804574969503895</v>
      </c>
      <c r="H1131">
        <v>0.53755781842936501</v>
      </c>
      <c r="I1131">
        <v>0.57980772782777601</v>
      </c>
      <c r="J1131">
        <v>0.345217824987883</v>
      </c>
      <c r="K1131">
        <v>0.203888627153509</v>
      </c>
      <c r="L1131">
        <v>685.43819106256205</v>
      </c>
      <c r="M1131">
        <v>12.020066055172601</v>
      </c>
      <c r="N1131">
        <v>58.925069115864801</v>
      </c>
      <c r="O1131">
        <v>55.514946649364198</v>
      </c>
      <c r="P1131">
        <v>-4.5442614657914202E-2</v>
      </c>
      <c r="Q1131">
        <v>0.16069006297675001</v>
      </c>
      <c r="R1131">
        <v>0.91299038182463699</v>
      </c>
      <c r="S1131" t="s">
        <v>6714</v>
      </c>
      <c r="T1131" t="s">
        <v>11164</v>
      </c>
      <c r="U1131" t="s">
        <v>11164</v>
      </c>
      <c r="V1131" t="s">
        <v>11164</v>
      </c>
      <c r="W1131" t="s">
        <v>12271</v>
      </c>
      <c r="X1131">
        <v>2</v>
      </c>
      <c r="Y1131" t="s">
        <v>17803</v>
      </c>
      <c r="Z1131" t="s">
        <v>23281</v>
      </c>
      <c r="AA1131">
        <v>0.72473564101208254</v>
      </c>
      <c r="AB1131" t="str">
        <f>HYPERLINK("Melting_Curves/meltCurve_K7ERQ0_YIF1B.pdf", "Melting_Curves/meltCurve_K7ERQ0_YIF1B.pdf")</f>
        <v>Melting_Curves/meltCurve_K7ERQ0_YIF1B.pdf</v>
      </c>
    </row>
    <row r="1132" spans="1:28" x14ac:dyDescent="0.25">
      <c r="A1132" t="s">
        <v>1136</v>
      </c>
      <c r="B1132">
        <v>0.99796759195183404</v>
      </c>
      <c r="C1132">
        <v>1.0205370478536</v>
      </c>
      <c r="D1132">
        <v>1.0215077860369</v>
      </c>
      <c r="E1132">
        <v>1.2878554484298299</v>
      </c>
      <c r="F1132">
        <v>0.94396317733508395</v>
      </c>
      <c r="G1132">
        <v>0.59087843419105901</v>
      </c>
      <c r="H1132">
        <v>0.63521073914107995</v>
      </c>
      <c r="I1132">
        <v>0.57010571647133701</v>
      </c>
      <c r="J1132">
        <v>0.507448821296835</v>
      </c>
      <c r="K1132">
        <v>0.33258715909407299</v>
      </c>
      <c r="L1132">
        <v>2621.44912992836</v>
      </c>
      <c r="M1132">
        <v>50.143752595978299</v>
      </c>
      <c r="O1132">
        <v>52.195728185321101</v>
      </c>
      <c r="P1132">
        <v>-0.1183743516235</v>
      </c>
      <c r="Q1132">
        <v>0.50712658176455705</v>
      </c>
      <c r="R1132">
        <v>0.83718021033676104</v>
      </c>
      <c r="S1132" t="s">
        <v>6715</v>
      </c>
      <c r="T1132" t="s">
        <v>11164</v>
      </c>
      <c r="U1132" t="s">
        <v>11164</v>
      </c>
      <c r="V1132" t="s">
        <v>11164</v>
      </c>
      <c r="W1132" t="s">
        <v>12272</v>
      </c>
      <c r="X1132">
        <v>10</v>
      </c>
      <c r="Y1132" t="s">
        <v>17804</v>
      </c>
      <c r="Z1132" t="s">
        <v>23282</v>
      </c>
      <c r="AA1132">
        <v>0.75927128738339489</v>
      </c>
      <c r="AB1132" t="str">
        <f>HYPERLINK("Melting_Curves/meltCurve_K7ERV3_TK1.pdf", "Melting_Curves/meltCurve_K7ERV3_TK1.pdf")</f>
        <v>Melting_Curves/meltCurve_K7ERV3_TK1.pdf</v>
      </c>
    </row>
    <row r="1133" spans="1:28" x14ac:dyDescent="0.25">
      <c r="A1133" t="s">
        <v>1137</v>
      </c>
      <c r="B1133">
        <v>0.99796759195183404</v>
      </c>
      <c r="C1133">
        <v>1.1894936426832401</v>
      </c>
      <c r="D1133">
        <v>1.1303765752605901</v>
      </c>
      <c r="E1133">
        <v>1.2491617130627599</v>
      </c>
      <c r="F1133">
        <v>0.99176318110788997</v>
      </c>
      <c r="G1133">
        <v>1.09538493820227</v>
      </c>
      <c r="H1133">
        <v>0.48984151288573102</v>
      </c>
      <c r="I1133">
        <v>0.33317369923796297</v>
      </c>
      <c r="J1133">
        <v>0</v>
      </c>
      <c r="K1133">
        <v>0</v>
      </c>
      <c r="L1133">
        <v>1760.6293860680501</v>
      </c>
      <c r="M1133">
        <v>30.215735257113</v>
      </c>
      <c r="N1133">
        <v>58.268626280908798</v>
      </c>
      <c r="O1133">
        <v>58.015176767011702</v>
      </c>
      <c r="P1133">
        <v>-0.13020696650852501</v>
      </c>
      <c r="Q1133">
        <v>0</v>
      </c>
      <c r="R1133">
        <v>0.91805504715431696</v>
      </c>
      <c r="S1133" t="s">
        <v>6716</v>
      </c>
      <c r="T1133" t="s">
        <v>11164</v>
      </c>
      <c r="U1133" t="s">
        <v>11164</v>
      </c>
      <c r="V1133" t="s">
        <v>11164</v>
      </c>
      <c r="W1133" t="s">
        <v>12273</v>
      </c>
      <c r="X1133">
        <v>16</v>
      </c>
      <c r="Y1133" t="s">
        <v>17805</v>
      </c>
      <c r="Z1133" t="s">
        <v>23283</v>
      </c>
      <c r="AA1133">
        <v>0.71427949408755065</v>
      </c>
      <c r="AB1133" t="str">
        <f>HYPERLINK("Melting_Curves/meltCurve_K7ES11_UBE2O.pdf", "Melting_Curves/meltCurve_K7ES11_UBE2O.pdf")</f>
        <v>Melting_Curves/meltCurve_K7ES11_UBE2O.pdf</v>
      </c>
    </row>
    <row r="1134" spans="1:28" x14ac:dyDescent="0.25">
      <c r="A1134" t="s">
        <v>1138</v>
      </c>
      <c r="B1134">
        <v>0.99796759195183404</v>
      </c>
      <c r="C1134">
        <v>0.90818574406359598</v>
      </c>
      <c r="D1134">
        <v>0.91696277869027798</v>
      </c>
      <c r="E1134">
        <v>0.89726293200205398</v>
      </c>
      <c r="F1134">
        <v>0.865901506685405</v>
      </c>
      <c r="G1134">
        <v>0.57539397336853304</v>
      </c>
      <c r="H1134">
        <v>0.46969960338553302</v>
      </c>
      <c r="I1134">
        <v>0.31105290946521602</v>
      </c>
      <c r="J1134">
        <v>0.33976136186814798</v>
      </c>
      <c r="K1134">
        <v>0.24935156370355599</v>
      </c>
      <c r="L1134">
        <v>720.58535104276098</v>
      </c>
      <c r="M1134">
        <v>13.318124740283499</v>
      </c>
      <c r="N1134">
        <v>56.341728585206198</v>
      </c>
      <c r="O1134">
        <v>52.929420892773301</v>
      </c>
      <c r="P1134">
        <v>-5.0000128426559598E-2</v>
      </c>
      <c r="Q1134">
        <v>0.20527779305149199</v>
      </c>
      <c r="R1134">
        <v>0.97144378471695803</v>
      </c>
      <c r="S1134" t="s">
        <v>6717</v>
      </c>
      <c r="T1134" t="s">
        <v>11164</v>
      </c>
      <c r="U1134" t="s">
        <v>11164</v>
      </c>
      <c r="V1134" t="s">
        <v>11164</v>
      </c>
      <c r="W1134" t="s">
        <v>12274</v>
      </c>
      <c r="X1134">
        <v>2</v>
      </c>
      <c r="Y1134" t="s">
        <v>17806</v>
      </c>
      <c r="Z1134" t="s">
        <v>23284</v>
      </c>
      <c r="AA1134">
        <v>0.67198822234401778</v>
      </c>
      <c r="AB1134" t="str">
        <f>HYPERLINK("Melting_Curves/meltCurve_K7ESA4_ATF7.pdf", "Melting_Curves/meltCurve_K7ESA4_ATF7.pdf")</f>
        <v>Melting_Curves/meltCurve_K7ESA4_ATF7.pdf</v>
      </c>
    </row>
    <row r="1135" spans="1:28" x14ac:dyDescent="0.25">
      <c r="A1135" t="s">
        <v>1139</v>
      </c>
      <c r="B1135">
        <v>0.99796759195183404</v>
      </c>
      <c r="C1135">
        <v>0.93112224094401197</v>
      </c>
      <c r="D1135">
        <v>0.92723748592169297</v>
      </c>
      <c r="E1135">
        <v>0.88131143205358697</v>
      </c>
      <c r="F1135">
        <v>0.760851232261891</v>
      </c>
      <c r="G1135">
        <v>0.51071651499368897</v>
      </c>
      <c r="H1135">
        <v>0.54075427111517904</v>
      </c>
      <c r="I1135">
        <v>0.471230627172608</v>
      </c>
      <c r="J1135">
        <v>0.48642161016982</v>
      </c>
      <c r="K1135">
        <v>0.44444775107893603</v>
      </c>
      <c r="L1135">
        <v>801.99597342999004</v>
      </c>
      <c r="M1135">
        <v>16.033755495483401</v>
      </c>
      <c r="N1135">
        <v>58.210635398233499</v>
      </c>
      <c r="O1135">
        <v>49.2605565690953</v>
      </c>
      <c r="P1135">
        <v>-4.4951049740867798E-2</v>
      </c>
      <c r="Q1135">
        <v>0.44762997055527298</v>
      </c>
      <c r="R1135">
        <v>0.96963321116618995</v>
      </c>
      <c r="S1135" t="s">
        <v>6718</v>
      </c>
      <c r="T1135" t="s">
        <v>11164</v>
      </c>
      <c r="U1135" t="s">
        <v>11164</v>
      </c>
      <c r="V1135" t="s">
        <v>11164</v>
      </c>
      <c r="W1135" t="s">
        <v>12275</v>
      </c>
      <c r="X1135">
        <v>6</v>
      </c>
      <c r="Y1135" t="s">
        <v>17807</v>
      </c>
      <c r="Z1135" t="s">
        <v>23285</v>
      </c>
      <c r="AA1135">
        <v>0.69779706992665447</v>
      </c>
      <c r="AB1135" t="str">
        <f>HYPERLINK("Melting_Curves/meltCurve_K7ESE3_RAD23A.pdf", "Melting_Curves/meltCurve_K7ESE3_RAD23A.pdf")</f>
        <v>Melting_Curves/meltCurve_K7ESE3_RAD23A.pdf</v>
      </c>
    </row>
    <row r="1136" spans="1:28" x14ac:dyDescent="0.25">
      <c r="A1136" t="s">
        <v>1140</v>
      </c>
      <c r="B1136">
        <v>0.99796759195183404</v>
      </c>
      <c r="C1136">
        <v>0.89868186889028301</v>
      </c>
      <c r="D1136">
        <v>0.75548703787688398</v>
      </c>
      <c r="E1136">
        <v>0.77861458401302097</v>
      </c>
      <c r="F1136">
        <v>0.79969709485592999</v>
      </c>
      <c r="G1136">
        <v>0.57210822684295703</v>
      </c>
      <c r="H1136">
        <v>0.54719892068671405</v>
      </c>
      <c r="I1136">
        <v>0.40409751736453903</v>
      </c>
      <c r="J1136">
        <v>0.528727425633857</v>
      </c>
      <c r="K1136">
        <v>0.18642326034318599</v>
      </c>
      <c r="L1136">
        <v>305.78417034933</v>
      </c>
      <c r="M1136">
        <v>5.2538186148070896</v>
      </c>
      <c r="N1136">
        <v>58.202273393839299</v>
      </c>
      <c r="O1136">
        <v>51.367203257165301</v>
      </c>
      <c r="P1136">
        <v>-2.5702016652138102E-2</v>
      </c>
      <c r="Q1136">
        <v>0</v>
      </c>
      <c r="R1136">
        <v>0.867413497667887</v>
      </c>
      <c r="S1136" t="s">
        <v>6719</v>
      </c>
      <c r="T1136" t="s">
        <v>11164</v>
      </c>
      <c r="U1136" t="s">
        <v>11164</v>
      </c>
      <c r="V1136" t="s">
        <v>11164</v>
      </c>
      <c r="W1136" t="s">
        <v>12276</v>
      </c>
      <c r="X1136">
        <v>1</v>
      </c>
      <c r="Y1136" t="s">
        <v>17808</v>
      </c>
      <c r="Z1136" t="s">
        <v>23286</v>
      </c>
      <c r="AA1136">
        <v>0.65110271673428255</v>
      </c>
      <c r="AB1136" t="str">
        <f>HYPERLINK("Melting_Curves/meltCurve_K7ESE6_G6PC3.pdf", "Melting_Curves/meltCurve_K7ESE6_G6PC3.pdf")</f>
        <v>Melting_Curves/meltCurve_K7ESE6_G6PC3.pdf</v>
      </c>
    </row>
    <row r="1137" spans="1:28" x14ac:dyDescent="0.25">
      <c r="A1137" t="s">
        <v>1141</v>
      </c>
      <c r="B1137">
        <v>0.99796759195183404</v>
      </c>
      <c r="C1137">
        <v>1.04408371408509</v>
      </c>
      <c r="D1137">
        <v>1.06812517954603</v>
      </c>
      <c r="E1137">
        <v>0.96457807693465902</v>
      </c>
      <c r="F1137">
        <v>0.82632631485828401</v>
      </c>
      <c r="G1137">
        <v>0.78046257990269796</v>
      </c>
      <c r="H1137">
        <v>0.197263385816838</v>
      </c>
      <c r="I1137">
        <v>0.15755794337960399</v>
      </c>
      <c r="J1137">
        <v>0.132089990314982</v>
      </c>
      <c r="K1137">
        <v>0.11062558939209099</v>
      </c>
      <c r="L1137">
        <v>2591.3442110483802</v>
      </c>
      <c r="M1137">
        <v>47.198962174107201</v>
      </c>
      <c r="N1137">
        <v>55.235968834902998</v>
      </c>
      <c r="O1137">
        <v>54.804274480681897</v>
      </c>
      <c r="P1137">
        <v>-0.18861969561477299</v>
      </c>
      <c r="Q1137">
        <v>0.123950576925718</v>
      </c>
      <c r="R1137">
        <v>0.97715513083577599</v>
      </c>
      <c r="S1137" t="s">
        <v>6720</v>
      </c>
      <c r="T1137" t="s">
        <v>11164</v>
      </c>
      <c r="U1137" t="s">
        <v>11164</v>
      </c>
      <c r="V1137" t="s">
        <v>11164</v>
      </c>
      <c r="W1137" t="s">
        <v>12277</v>
      </c>
      <c r="X1137">
        <v>13</v>
      </c>
      <c r="Y1137" t="s">
        <v>17809</v>
      </c>
      <c r="Z1137" t="s">
        <v>23287</v>
      </c>
      <c r="AA1137">
        <v>0.64910693740784009</v>
      </c>
      <c r="AB1137" t="str">
        <f>HYPERLINK("Melting_Curves/meltCurve_K7ESI9_DNM2.pdf", "Melting_Curves/meltCurve_K7ESI9_DNM2.pdf")</f>
        <v>Melting_Curves/meltCurve_K7ESI9_DNM2.pdf</v>
      </c>
    </row>
    <row r="1138" spans="1:28" x14ac:dyDescent="0.25">
      <c r="A1138" t="s">
        <v>1142</v>
      </c>
      <c r="B1138">
        <v>0.99796759195183404</v>
      </c>
      <c r="C1138">
        <v>0.93840433476483698</v>
      </c>
      <c r="D1138">
        <v>0.89741068807076096</v>
      </c>
      <c r="E1138">
        <v>0.97485125034144504</v>
      </c>
      <c r="F1138">
        <v>1.1383189697965601</v>
      </c>
      <c r="G1138">
        <v>1.3281449833893499</v>
      </c>
      <c r="H1138">
        <v>1.1758417717023</v>
      </c>
      <c r="I1138">
        <v>0.35388370907257999</v>
      </c>
      <c r="J1138">
        <v>0.19474022847573</v>
      </c>
      <c r="K1138">
        <v>0.12395555215220699</v>
      </c>
      <c r="L1138">
        <v>15000</v>
      </c>
      <c r="M1138">
        <v>247.10198892403</v>
      </c>
      <c r="N1138">
        <v>60.798092558314302</v>
      </c>
      <c r="O1138">
        <v>60.699703490150902</v>
      </c>
      <c r="P1138">
        <v>-0.85555244888908</v>
      </c>
      <c r="Q1138">
        <v>0.159346630714814</v>
      </c>
      <c r="R1138">
        <v>0.89407540761610205</v>
      </c>
      <c r="S1138" t="s">
        <v>6721</v>
      </c>
      <c r="T1138" t="s">
        <v>11164</v>
      </c>
      <c r="U1138" t="s">
        <v>11164</v>
      </c>
      <c r="V1138" t="s">
        <v>11164</v>
      </c>
      <c r="W1138" t="s">
        <v>12278</v>
      </c>
      <c r="X1138">
        <v>2</v>
      </c>
      <c r="Y1138" t="s">
        <v>17810</v>
      </c>
      <c r="Z1138" t="s">
        <v>23288</v>
      </c>
      <c r="AA1138">
        <v>0.82365757710072462</v>
      </c>
      <c r="AB1138" t="str">
        <f>HYPERLINK("Melting_Curves/meltCurve_K7ESL1_TXNL4A.pdf", "Melting_Curves/meltCurve_K7ESL1_TXNL4A.pdf")</f>
        <v>Melting_Curves/meltCurve_K7ESL1_TXNL4A.pdf</v>
      </c>
    </row>
    <row r="1139" spans="1:28" x14ac:dyDescent="0.25">
      <c r="A1139" t="s">
        <v>1143</v>
      </c>
      <c r="B1139">
        <v>0.99796759195183404</v>
      </c>
      <c r="C1139">
        <v>0.876588174432954</v>
      </c>
      <c r="D1139">
        <v>0.75248208319437904</v>
      </c>
      <c r="E1139">
        <v>0.817607762426386</v>
      </c>
      <c r="F1139">
        <v>0.60035155885440405</v>
      </c>
      <c r="G1139">
        <v>0.52326968604383794</v>
      </c>
      <c r="H1139">
        <v>0.26519146317608699</v>
      </c>
      <c r="I1139">
        <v>0.24997202895277901</v>
      </c>
      <c r="J1139">
        <v>0.18484626852153599</v>
      </c>
      <c r="K1139">
        <v>0.13983445849548801</v>
      </c>
      <c r="L1139">
        <v>421.81778609313</v>
      </c>
      <c r="M1139">
        <v>8.02024079804821</v>
      </c>
      <c r="N1139">
        <v>52.594154792774702</v>
      </c>
      <c r="O1139">
        <v>49.626629045923004</v>
      </c>
      <c r="P1139">
        <v>-4.0448158771988603E-2</v>
      </c>
      <c r="Q1139">
        <v>0</v>
      </c>
      <c r="R1139">
        <v>0.96526067470934696</v>
      </c>
      <c r="S1139" t="s">
        <v>6722</v>
      </c>
      <c r="T1139" t="s">
        <v>11164</v>
      </c>
      <c r="U1139" t="s">
        <v>11164</v>
      </c>
      <c r="V1139" t="s">
        <v>11164</v>
      </c>
      <c r="W1139" t="s">
        <v>12279</v>
      </c>
      <c r="X1139">
        <v>5</v>
      </c>
      <c r="Y1139" t="s">
        <v>17811</v>
      </c>
      <c r="Z1139" t="s">
        <v>23289</v>
      </c>
      <c r="AA1139">
        <v>0.54443528079239578</v>
      </c>
      <c r="AB1139" t="str">
        <f>HYPERLINK("Melting_Curves/meltCurve_K7ESP4_DCAKD.pdf", "Melting_Curves/meltCurve_K7ESP4_DCAKD.pdf")</f>
        <v>Melting_Curves/meltCurve_K7ESP4_DCAKD.pdf</v>
      </c>
    </row>
    <row r="1140" spans="1:28" x14ac:dyDescent="0.25">
      <c r="A1140" t="s">
        <v>1144</v>
      </c>
      <c r="B1140">
        <v>0.99796759195183404</v>
      </c>
      <c r="C1140">
        <v>1.02417824590777</v>
      </c>
      <c r="D1140">
        <v>0.97134122725646299</v>
      </c>
      <c r="E1140">
        <v>0.92441078150839595</v>
      </c>
      <c r="F1140">
        <v>0.84115695775139498</v>
      </c>
      <c r="G1140">
        <v>0.49066847718956902</v>
      </c>
      <c r="H1140">
        <v>0.23062353680289999</v>
      </c>
      <c r="I1140">
        <v>0.14701424121221099</v>
      </c>
      <c r="J1140">
        <v>0.105964047136406</v>
      </c>
      <c r="K1140">
        <v>6.8413296832170206E-2</v>
      </c>
      <c r="L1140">
        <v>1168.9948410510799</v>
      </c>
      <c r="M1140">
        <v>21.891169006057499</v>
      </c>
      <c r="N1140">
        <v>53.791966044197402</v>
      </c>
      <c r="O1140">
        <v>52.960671934571401</v>
      </c>
      <c r="P1140">
        <v>-9.5726226238400394E-2</v>
      </c>
      <c r="Q1140">
        <v>7.3670322047424894E-2</v>
      </c>
      <c r="R1140">
        <v>0.99729126888522701</v>
      </c>
      <c r="S1140" t="s">
        <v>6723</v>
      </c>
      <c r="T1140" t="s">
        <v>11164</v>
      </c>
      <c r="U1140" t="s">
        <v>11164</v>
      </c>
      <c r="V1140" t="s">
        <v>11164</v>
      </c>
      <c r="W1140" t="s">
        <v>12280</v>
      </c>
      <c r="X1140">
        <v>13</v>
      </c>
      <c r="Y1140" t="s">
        <v>17812</v>
      </c>
      <c r="Z1140" t="s">
        <v>23290</v>
      </c>
      <c r="AA1140">
        <v>0.59016375195169191</v>
      </c>
      <c r="AB1140" t="str">
        <f>HYPERLINK("Melting_Curves/meltCurve_M0QWZ7_SARS2.pdf", "Melting_Curves/meltCurve_M0QWZ7_SARS2.pdf")</f>
        <v>Melting_Curves/meltCurve_M0QWZ7_SARS2.pdf</v>
      </c>
    </row>
    <row r="1141" spans="1:28" x14ac:dyDescent="0.25">
      <c r="A1141" t="s">
        <v>1145</v>
      </c>
      <c r="B1141">
        <v>0.99796759195183404</v>
      </c>
      <c r="C1141">
        <v>1.0095733896814001</v>
      </c>
      <c r="D1141">
        <v>1.00243771619918</v>
      </c>
      <c r="E1141">
        <v>0.91538958152400196</v>
      </c>
      <c r="F1141">
        <v>0.79950171447296203</v>
      </c>
      <c r="G1141">
        <v>1.1146673497328601</v>
      </c>
      <c r="H1141">
        <v>1.05856416307896</v>
      </c>
      <c r="I1141">
        <v>1.09247249423129</v>
      </c>
      <c r="J1141">
        <v>0.89464887864597797</v>
      </c>
      <c r="K1141">
        <v>0.43811986777742001</v>
      </c>
      <c r="L1141">
        <v>15000</v>
      </c>
      <c r="M1141">
        <v>232.542782727375</v>
      </c>
      <c r="N1141">
        <v>65.088669506549095</v>
      </c>
      <c r="O1141">
        <v>64.499488721818395</v>
      </c>
      <c r="P1141">
        <v>-0.50653030686352996</v>
      </c>
      <c r="Q1141">
        <v>0.43802262330393799</v>
      </c>
      <c r="R1141">
        <v>0.79471843127830799</v>
      </c>
      <c r="S1141" t="s">
        <v>6724</v>
      </c>
      <c r="T1141" t="s">
        <v>11164</v>
      </c>
      <c r="U1141" t="s">
        <v>11164</v>
      </c>
      <c r="V1141" t="s">
        <v>11164</v>
      </c>
      <c r="W1141" t="s">
        <v>12281</v>
      </c>
      <c r="X1141">
        <v>6</v>
      </c>
      <c r="Y1141" t="s">
        <v>17813</v>
      </c>
      <c r="Z1141" t="s">
        <v>23291</v>
      </c>
      <c r="AA1141">
        <v>0.95332089551359711</v>
      </c>
      <c r="AB1141" t="str">
        <f>HYPERLINK("Melting_Curves/meltCurve_M0QX07_BABAM1.pdf", "Melting_Curves/meltCurve_M0QX07_BABAM1.pdf")</f>
        <v>Melting_Curves/meltCurve_M0QX07_BABAM1.pdf</v>
      </c>
    </row>
    <row r="1142" spans="1:28" x14ac:dyDescent="0.25">
      <c r="A1142" t="s">
        <v>1146</v>
      </c>
      <c r="B1142">
        <v>0.99796759195183404</v>
      </c>
      <c r="C1142">
        <v>0.99784746856638495</v>
      </c>
      <c r="D1142">
        <v>1.00933061279658</v>
      </c>
      <c r="E1142">
        <v>0.91651293403650003</v>
      </c>
      <c r="F1142">
        <v>0.82911910157868096</v>
      </c>
      <c r="G1142">
        <v>0.76267857423709895</v>
      </c>
      <c r="H1142">
        <v>0.53821795969989294</v>
      </c>
      <c r="I1142">
        <v>0.41400885587387198</v>
      </c>
      <c r="J1142">
        <v>0.248213399660457</v>
      </c>
      <c r="K1142">
        <v>0.13390991220342899</v>
      </c>
      <c r="L1142">
        <v>689.90425096734998</v>
      </c>
      <c r="M1142">
        <v>11.829782760602701</v>
      </c>
      <c r="N1142">
        <v>58.319266366386103</v>
      </c>
      <c r="O1142">
        <v>56.727636563390803</v>
      </c>
      <c r="P1142">
        <v>-5.2147418587322199E-2</v>
      </c>
      <c r="Q1142">
        <v>0</v>
      </c>
      <c r="R1142">
        <v>0.99134371030347801</v>
      </c>
      <c r="S1142" t="s">
        <v>6725</v>
      </c>
      <c r="T1142" t="s">
        <v>11164</v>
      </c>
      <c r="U1142" t="s">
        <v>11164</v>
      </c>
      <c r="V1142" t="s">
        <v>11164</v>
      </c>
      <c r="W1142" t="s">
        <v>12282</v>
      </c>
      <c r="X1142">
        <v>4</v>
      </c>
      <c r="Y1142" t="s">
        <v>17814</v>
      </c>
      <c r="Z1142" t="s">
        <v>23292</v>
      </c>
      <c r="AA1142">
        <v>0.70667228720068709</v>
      </c>
      <c r="AB1142" t="str">
        <f>HYPERLINK("Melting_Curves/meltCurve_M0QXA7_WIZ.pdf", "Melting_Curves/meltCurve_M0QXA7_WIZ.pdf")</f>
        <v>Melting_Curves/meltCurve_M0QXA7_WIZ.pdf</v>
      </c>
    </row>
    <row r="1143" spans="1:28" x14ac:dyDescent="0.25">
      <c r="A1143" t="s">
        <v>1147</v>
      </c>
      <c r="B1143">
        <v>0.99796759195183404</v>
      </c>
      <c r="C1143">
        <v>0.90933139778176997</v>
      </c>
      <c r="D1143">
        <v>0.89899415204222999</v>
      </c>
      <c r="E1143">
        <v>0.84978371254545204</v>
      </c>
      <c r="F1143">
        <v>0.58930471462102596</v>
      </c>
      <c r="G1143">
        <v>0.50566052797189698</v>
      </c>
      <c r="H1143">
        <v>0.29674090759729799</v>
      </c>
      <c r="I1143">
        <v>0.20126723098926599</v>
      </c>
      <c r="J1143">
        <v>0.171403057094488</v>
      </c>
      <c r="K1143">
        <v>0.11362161400584</v>
      </c>
      <c r="L1143">
        <v>524.90037649131</v>
      </c>
      <c r="M1143">
        <v>9.9007715598933199</v>
      </c>
      <c r="N1143">
        <v>53.031044457858499</v>
      </c>
      <c r="O1143">
        <v>50.989234249287399</v>
      </c>
      <c r="P1143">
        <v>-4.8500315427745001E-2</v>
      </c>
      <c r="Q1143">
        <v>1.39296389443427E-3</v>
      </c>
      <c r="R1143">
        <v>0.98979048010583903</v>
      </c>
      <c r="S1143" t="s">
        <v>6726</v>
      </c>
      <c r="T1143" t="s">
        <v>11164</v>
      </c>
      <c r="U1143" t="s">
        <v>11164</v>
      </c>
      <c r="V1143" t="s">
        <v>11164</v>
      </c>
      <c r="W1143" t="s">
        <v>12283</v>
      </c>
      <c r="X1143">
        <v>9</v>
      </c>
      <c r="Y1143" t="s">
        <v>17815</v>
      </c>
      <c r="Z1143" t="s">
        <v>23293</v>
      </c>
      <c r="AA1143">
        <v>0.55683499979680307</v>
      </c>
      <c r="AB1143" t="str">
        <f>HYPERLINK("Melting_Curves/meltCurve_M0QXB4_COPE.pdf", "Melting_Curves/meltCurve_M0QXB4_COPE.pdf")</f>
        <v>Melting_Curves/meltCurve_M0QXB4_COPE.pdf</v>
      </c>
    </row>
    <row r="1144" spans="1:28" x14ac:dyDescent="0.25">
      <c r="A1144" t="s">
        <v>1148</v>
      </c>
      <c r="B1144">
        <v>0.99796759195183404</v>
      </c>
      <c r="C1144">
        <v>1.0526346644529501</v>
      </c>
      <c r="D1144">
        <v>1.00802547252195</v>
      </c>
      <c r="E1144">
        <v>0.93819162067813899</v>
      </c>
      <c r="F1144">
        <v>0.94147892416812795</v>
      </c>
      <c r="G1144">
        <v>0.782613007339789</v>
      </c>
      <c r="H1144">
        <v>0.65402507674057597</v>
      </c>
      <c r="I1144">
        <v>0.53838162093646702</v>
      </c>
      <c r="J1144">
        <v>0.61765577659669602</v>
      </c>
      <c r="K1144">
        <v>0.33224690552603398</v>
      </c>
      <c r="L1144">
        <v>572.45794222344398</v>
      </c>
      <c r="M1144">
        <v>9.4560560460140195</v>
      </c>
      <c r="N1144">
        <v>63.382642759885499</v>
      </c>
      <c r="O1144">
        <v>58.016631803884003</v>
      </c>
      <c r="P1144">
        <v>-3.3723129021545499E-2</v>
      </c>
      <c r="Q1144">
        <v>0.172879160237283</v>
      </c>
      <c r="R1144">
        <v>0.934762065727471</v>
      </c>
      <c r="S1144" t="s">
        <v>6727</v>
      </c>
      <c r="T1144" t="s">
        <v>11164</v>
      </c>
      <c r="U1144" t="s">
        <v>11164</v>
      </c>
      <c r="V1144" t="s">
        <v>11164</v>
      </c>
      <c r="W1144" t="s">
        <v>12284</v>
      </c>
      <c r="X1144">
        <v>5</v>
      </c>
      <c r="Y1144" t="s">
        <v>17816</v>
      </c>
      <c r="Z1144" t="s">
        <v>23294</v>
      </c>
      <c r="AA1144">
        <v>0.7916089041822294</v>
      </c>
      <c r="AB1144" t="str">
        <f>HYPERLINK("Melting_Curves/meltCurve_M0QXB5_ETHE1.pdf", "Melting_Curves/meltCurve_M0QXB5_ETHE1.pdf")</f>
        <v>Melting_Curves/meltCurve_M0QXB5_ETHE1.pdf</v>
      </c>
    </row>
    <row r="1145" spans="1:28" x14ac:dyDescent="0.25">
      <c r="A1145" t="s">
        <v>1149</v>
      </c>
      <c r="B1145">
        <v>0.99796759195183404</v>
      </c>
      <c r="C1145">
        <v>1.0991257441130799</v>
      </c>
      <c r="D1145">
        <v>1.0717939273298001</v>
      </c>
      <c r="E1145">
        <v>0.96116411490683895</v>
      </c>
      <c r="F1145">
        <v>0.87127776832534198</v>
      </c>
      <c r="G1145">
        <v>0.65085796012692299</v>
      </c>
      <c r="H1145">
        <v>0.48280466292461099</v>
      </c>
      <c r="I1145">
        <v>0.419920308868583</v>
      </c>
      <c r="J1145">
        <v>0.40849635343860402</v>
      </c>
      <c r="K1145">
        <v>0.334454099098701</v>
      </c>
      <c r="L1145">
        <v>1114.0368391919001</v>
      </c>
      <c r="M1145">
        <v>20.8505451999035</v>
      </c>
      <c r="N1145">
        <v>56.937507575147698</v>
      </c>
      <c r="O1145">
        <v>52.945444081240097</v>
      </c>
      <c r="P1145">
        <v>-6.28524922394844E-2</v>
      </c>
      <c r="Q1145">
        <v>0.36161651237296899</v>
      </c>
      <c r="R1145">
        <v>0.97793641858175895</v>
      </c>
      <c r="S1145" t="s">
        <v>6728</v>
      </c>
      <c r="T1145" t="s">
        <v>11164</v>
      </c>
      <c r="U1145" t="s">
        <v>11164</v>
      </c>
      <c r="V1145" t="s">
        <v>11164</v>
      </c>
      <c r="W1145" t="s">
        <v>12285</v>
      </c>
      <c r="X1145">
        <v>1</v>
      </c>
      <c r="Y1145" t="s">
        <v>17817</v>
      </c>
      <c r="Z1145" t="s">
        <v>23295</v>
      </c>
      <c r="AA1145">
        <v>0.71869747209435775</v>
      </c>
      <c r="AB1145" t="str">
        <f>HYPERLINK("Melting_Curves/meltCurve_M0QXD0_MCOLN1.pdf", "Melting_Curves/meltCurve_M0QXD0_MCOLN1.pdf")</f>
        <v>Melting_Curves/meltCurve_M0QXD0_MCOLN1.pdf</v>
      </c>
    </row>
    <row r="1146" spans="1:28" x14ac:dyDescent="0.25">
      <c r="A1146" t="s">
        <v>1150</v>
      </c>
      <c r="B1146">
        <v>0.99796759195183404</v>
      </c>
      <c r="C1146">
        <v>1.04872016871735</v>
      </c>
      <c r="D1146">
        <v>1.04420320369552</v>
      </c>
      <c r="E1146">
        <v>0.97808562465331195</v>
      </c>
      <c r="F1146">
        <v>0.85893352587091198</v>
      </c>
      <c r="G1146">
        <v>0.61796207852720497</v>
      </c>
      <c r="H1146">
        <v>0.44042792915736001</v>
      </c>
      <c r="I1146">
        <v>0.34127279242569197</v>
      </c>
      <c r="J1146">
        <v>0.38365599565826097</v>
      </c>
      <c r="K1146">
        <v>0.35521739185189599</v>
      </c>
      <c r="L1146">
        <v>1305.2757555486801</v>
      </c>
      <c r="M1146">
        <v>24.650470267895901</v>
      </c>
      <c r="N1146">
        <v>55.678050061175298</v>
      </c>
      <c r="O1146">
        <v>52.606563013931698</v>
      </c>
      <c r="P1146">
        <v>-7.6089041848266703E-2</v>
      </c>
      <c r="Q1146">
        <v>0.35048281592682701</v>
      </c>
      <c r="R1146">
        <v>0.99252186947070598</v>
      </c>
      <c r="S1146" t="s">
        <v>6729</v>
      </c>
      <c r="T1146" t="s">
        <v>11164</v>
      </c>
      <c r="U1146" t="s">
        <v>11164</v>
      </c>
      <c r="V1146" t="s">
        <v>11164</v>
      </c>
      <c r="W1146" t="s">
        <v>12286</v>
      </c>
      <c r="X1146">
        <v>4</v>
      </c>
      <c r="Y1146" t="s">
        <v>17818</v>
      </c>
      <c r="Z1146" t="s">
        <v>23296</v>
      </c>
      <c r="AA1146">
        <v>0.70172072014951248</v>
      </c>
      <c r="AB1146" t="str">
        <f>HYPERLINK("Melting_Curves/meltCurve_M0QXN5_NUP62.pdf", "Melting_Curves/meltCurve_M0QXN5_NUP62.pdf")</f>
        <v>Melting_Curves/meltCurve_M0QXN5_NUP62.pdf</v>
      </c>
    </row>
    <row r="1147" spans="1:28" x14ac:dyDescent="0.25">
      <c r="A1147" t="s">
        <v>1151</v>
      </c>
      <c r="B1147">
        <v>0.99796759195183404</v>
      </c>
      <c r="C1147">
        <v>0.941767314952352</v>
      </c>
      <c r="D1147">
        <v>0.81586606631569503</v>
      </c>
      <c r="E1147">
        <v>0.88214623791779001</v>
      </c>
      <c r="F1147">
        <v>0.89836571794545705</v>
      </c>
      <c r="G1147">
        <v>0.59528394188003497</v>
      </c>
      <c r="H1147">
        <v>0.47488689690867802</v>
      </c>
      <c r="I1147">
        <v>0.47202042761707702</v>
      </c>
      <c r="J1147">
        <v>0.31147147166854899</v>
      </c>
      <c r="K1147">
        <v>0.31389296995754801</v>
      </c>
      <c r="L1147">
        <v>422.417091921924</v>
      </c>
      <c r="M1147">
        <v>7.2595600733033097</v>
      </c>
      <c r="N1147">
        <v>58.439188910088902</v>
      </c>
      <c r="O1147">
        <v>54.259470102108601</v>
      </c>
      <c r="P1147">
        <v>-3.2987365747985803E-2</v>
      </c>
      <c r="Q1147">
        <v>1.53791271415206E-2</v>
      </c>
      <c r="R1147">
        <v>0.9334133007373</v>
      </c>
      <c r="S1147" t="s">
        <v>6730</v>
      </c>
      <c r="T1147" t="s">
        <v>11164</v>
      </c>
      <c r="U1147" t="s">
        <v>11164</v>
      </c>
      <c r="V1147" t="s">
        <v>11164</v>
      </c>
      <c r="W1147" t="s">
        <v>12287</v>
      </c>
      <c r="X1147">
        <v>2</v>
      </c>
      <c r="Y1147" t="s">
        <v>17819</v>
      </c>
      <c r="Z1147" t="s">
        <v>23297</v>
      </c>
      <c r="AA1147">
        <v>0.6816968778105621</v>
      </c>
      <c r="AB1147" t="str">
        <f>HYPERLINK("Melting_Curves/meltCurve_M0QXT0_USF2.pdf", "Melting_Curves/meltCurve_M0QXT0_USF2.pdf")</f>
        <v>Melting_Curves/meltCurve_M0QXT0_USF2.pdf</v>
      </c>
    </row>
    <row r="1148" spans="1:28" x14ac:dyDescent="0.25">
      <c r="A1148" t="s">
        <v>1152</v>
      </c>
      <c r="B1148">
        <v>0.99796759195183404</v>
      </c>
      <c r="C1148">
        <v>0.98066865598499697</v>
      </c>
      <c r="D1148">
        <v>1.00157255777478</v>
      </c>
      <c r="E1148">
        <v>1.0062615653970901</v>
      </c>
      <c r="F1148">
        <v>0.93104288004869795</v>
      </c>
      <c r="G1148">
        <v>0.64735516698527396</v>
      </c>
      <c r="H1148">
        <v>0.87801222807891499</v>
      </c>
      <c r="I1148">
        <v>0.92353715260743796</v>
      </c>
      <c r="J1148">
        <v>1.3378895887094899</v>
      </c>
      <c r="K1148">
        <v>1.1994825621491501</v>
      </c>
      <c r="L1148">
        <v>2217.3167801327199</v>
      </c>
      <c r="M1148">
        <v>35.056388485406202</v>
      </c>
      <c r="O1148">
        <v>63.045252960549902</v>
      </c>
      <c r="P1148">
        <v>4.1773782976517702E-2</v>
      </c>
      <c r="Q1148">
        <v>1.30050206951536</v>
      </c>
      <c r="R1148">
        <v>0.358813882848949</v>
      </c>
      <c r="S1148" t="s">
        <v>6731</v>
      </c>
      <c r="T1148" t="s">
        <v>11164</v>
      </c>
      <c r="U1148" t="s">
        <v>11164</v>
      </c>
      <c r="V1148" t="s">
        <v>11164</v>
      </c>
      <c r="W1148" t="s">
        <v>12288</v>
      </c>
      <c r="X1148">
        <v>7</v>
      </c>
      <c r="Y1148" t="s">
        <v>17820</v>
      </c>
      <c r="Z1148" t="s">
        <v>23298</v>
      </c>
      <c r="AA1148">
        <v>1.03869835820023</v>
      </c>
      <c r="AB1148" t="str">
        <f>HYPERLINK("Melting_Curves/meltCurve_M0QXZ5_ZNF428.pdf", "Melting_Curves/meltCurve_M0QXZ5_ZNF428.pdf")</f>
        <v>Melting_Curves/meltCurve_M0QXZ5_ZNF428.pdf</v>
      </c>
    </row>
    <row r="1149" spans="1:28" x14ac:dyDescent="0.25">
      <c r="A1149" t="s">
        <v>1153</v>
      </c>
      <c r="B1149">
        <v>0.99796759195183404</v>
      </c>
      <c r="C1149">
        <v>0.96018170629878896</v>
      </c>
      <c r="D1149">
        <v>0.92514775752743295</v>
      </c>
      <c r="E1149">
        <v>0.84084086607373199</v>
      </c>
      <c r="F1149">
        <v>0.75562445818653201</v>
      </c>
      <c r="G1149">
        <v>0.656577303378993</v>
      </c>
      <c r="H1149">
        <v>0.61414996572370095</v>
      </c>
      <c r="I1149">
        <v>0.45313487552210902</v>
      </c>
      <c r="J1149">
        <v>0.317715137134016</v>
      </c>
      <c r="K1149">
        <v>0.23792277714782001</v>
      </c>
      <c r="L1149">
        <v>434.91643507037298</v>
      </c>
      <c r="M1149">
        <v>7.4184186916873598</v>
      </c>
      <c r="N1149">
        <v>58.626568329053697</v>
      </c>
      <c r="O1149">
        <v>54.818837150736599</v>
      </c>
      <c r="P1149">
        <v>-3.3882170556871302E-2</v>
      </c>
      <c r="Q1149">
        <v>0</v>
      </c>
      <c r="R1149">
        <v>0.98342026535414795</v>
      </c>
      <c r="S1149" t="s">
        <v>6732</v>
      </c>
      <c r="T1149" t="s">
        <v>11164</v>
      </c>
      <c r="U1149" t="s">
        <v>11164</v>
      </c>
      <c r="V1149" t="s">
        <v>11164</v>
      </c>
      <c r="W1149" t="s">
        <v>12289</v>
      </c>
      <c r="X1149">
        <v>4</v>
      </c>
      <c r="Y1149" t="s">
        <v>17821</v>
      </c>
      <c r="Z1149" t="s">
        <v>23299</v>
      </c>
      <c r="AA1149">
        <v>0.687863265018127</v>
      </c>
      <c r="AB1149" t="str">
        <f>HYPERLINK("Melting_Curves/meltCurve_M0QY77_KXD1.pdf", "Melting_Curves/meltCurve_M0QY77_KXD1.pdf")</f>
        <v>Melting_Curves/meltCurve_M0QY77_KXD1.pdf</v>
      </c>
    </row>
    <row r="1150" spans="1:28" x14ac:dyDescent="0.25">
      <c r="A1150" t="s">
        <v>1154</v>
      </c>
      <c r="B1150">
        <v>0.99796759195183404</v>
      </c>
      <c r="C1150">
        <v>1.0028700226018199</v>
      </c>
      <c r="D1150">
        <v>0.94256627739792598</v>
      </c>
      <c r="E1150">
        <v>0.83400272137646303</v>
      </c>
      <c r="F1150">
        <v>0.70634588400131304</v>
      </c>
      <c r="G1150">
        <v>0.58254669399565695</v>
      </c>
      <c r="H1150">
        <v>0.38278209741857899</v>
      </c>
      <c r="I1150">
        <v>0.305113736812476</v>
      </c>
      <c r="J1150">
        <v>0.27221571680119599</v>
      </c>
      <c r="K1150">
        <v>0.22316822045366499</v>
      </c>
      <c r="L1150">
        <v>587.48322337669799</v>
      </c>
      <c r="M1150">
        <v>11.0311448499302</v>
      </c>
      <c r="N1150">
        <v>54.944044385950797</v>
      </c>
      <c r="O1150">
        <v>51.596392042679703</v>
      </c>
      <c r="P1150">
        <v>-4.5785385545216203E-2</v>
      </c>
      <c r="Q1150">
        <v>0.14367097284779901</v>
      </c>
      <c r="R1150">
        <v>0.99642980282641902</v>
      </c>
      <c r="S1150" t="s">
        <v>6733</v>
      </c>
      <c r="T1150" t="s">
        <v>11164</v>
      </c>
      <c r="U1150" t="s">
        <v>11164</v>
      </c>
      <c r="V1150" t="s">
        <v>11164</v>
      </c>
      <c r="W1150" t="s">
        <v>12290</v>
      </c>
      <c r="X1150">
        <v>2</v>
      </c>
      <c r="Y1150" t="s">
        <v>17822</v>
      </c>
      <c r="Z1150" t="s">
        <v>23300</v>
      </c>
      <c r="AA1150">
        <v>0.62562586188229619</v>
      </c>
      <c r="AB1150" t="str">
        <f>HYPERLINK("Melting_Curves/meltCurve_M0QYA2_PIH1D1.pdf", "Melting_Curves/meltCurve_M0QYA2_PIH1D1.pdf")</f>
        <v>Melting_Curves/meltCurve_M0QYA2_PIH1D1.pdf</v>
      </c>
    </row>
    <row r="1151" spans="1:28" x14ac:dyDescent="0.25">
      <c r="A1151" t="s">
        <v>1155</v>
      </c>
      <c r="B1151">
        <v>0.99796759195183404</v>
      </c>
      <c r="C1151">
        <v>1.0488235858687101</v>
      </c>
      <c r="D1151">
        <v>1.0223191216360199</v>
      </c>
      <c r="E1151">
        <v>0.87024179211098696</v>
      </c>
      <c r="F1151">
        <v>0.81895616590692799</v>
      </c>
      <c r="G1151">
        <v>0.38275656174704797</v>
      </c>
      <c r="H1151">
        <v>0.27334575922601101</v>
      </c>
      <c r="I1151">
        <v>0.26534482010972299</v>
      </c>
      <c r="J1151">
        <v>0.198813824994823</v>
      </c>
      <c r="K1151">
        <v>0.16106405358314699</v>
      </c>
      <c r="L1151">
        <v>1375.26815096781</v>
      </c>
      <c r="M1151">
        <v>26.5006805721154</v>
      </c>
      <c r="N1151">
        <v>52.909878324803998</v>
      </c>
      <c r="O1151">
        <v>51.602784452833397</v>
      </c>
      <c r="P1151">
        <v>-0.102819386135093</v>
      </c>
      <c r="Q1151">
        <v>0.19915885051933699</v>
      </c>
      <c r="R1151">
        <v>0.98401552542463</v>
      </c>
      <c r="S1151" t="s">
        <v>6734</v>
      </c>
      <c r="T1151" t="s">
        <v>11164</v>
      </c>
      <c r="U1151" t="s">
        <v>11164</v>
      </c>
      <c r="V1151" t="s">
        <v>11164</v>
      </c>
      <c r="W1151" t="s">
        <v>12291</v>
      </c>
      <c r="X1151">
        <v>3</v>
      </c>
      <c r="Y1151" t="s">
        <v>17823</v>
      </c>
      <c r="Z1151" t="s">
        <v>23301</v>
      </c>
      <c r="AA1151">
        <v>0.60316913919081472</v>
      </c>
      <c r="AB1151" t="str">
        <f>HYPERLINK("Melting_Curves/meltCurve_M0QYH2_PNKP.pdf", "Melting_Curves/meltCurve_M0QYH2_PNKP.pdf")</f>
        <v>Melting_Curves/meltCurve_M0QYH2_PNKP.pdf</v>
      </c>
    </row>
    <row r="1152" spans="1:28" x14ac:dyDescent="0.25">
      <c r="A1152" t="s">
        <v>1156</v>
      </c>
      <c r="B1152">
        <v>0.99796759195183404</v>
      </c>
      <c r="C1152">
        <v>0.95797055063900705</v>
      </c>
      <c r="D1152">
        <v>0.94065979353269202</v>
      </c>
      <c r="E1152">
        <v>0.87418249137160697</v>
      </c>
      <c r="F1152">
        <v>0.80807886195016398</v>
      </c>
      <c r="G1152">
        <v>0.85383834739924802</v>
      </c>
      <c r="H1152">
        <v>0.74375301014331596</v>
      </c>
      <c r="I1152">
        <v>0.757503794473113</v>
      </c>
      <c r="J1152">
        <v>0.31938558660383698</v>
      </c>
      <c r="K1152">
        <v>0.189638103752441</v>
      </c>
      <c r="L1152">
        <v>865.32460251487896</v>
      </c>
      <c r="M1152">
        <v>13.921613294435</v>
      </c>
      <c r="N1152">
        <v>62.156919992195597</v>
      </c>
      <c r="O1152">
        <v>60.916536327747401</v>
      </c>
      <c r="P1152">
        <v>-5.7141695440557701E-2</v>
      </c>
      <c r="Q1152">
        <v>0</v>
      </c>
      <c r="R1152">
        <v>0.85956935868731299</v>
      </c>
      <c r="S1152" t="s">
        <v>6735</v>
      </c>
      <c r="T1152" t="s">
        <v>11164</v>
      </c>
      <c r="U1152" t="s">
        <v>11164</v>
      </c>
      <c r="V1152" t="s">
        <v>11164</v>
      </c>
      <c r="W1152" t="s">
        <v>12292</v>
      </c>
      <c r="X1152">
        <v>9</v>
      </c>
      <c r="Y1152" t="s">
        <v>17824</v>
      </c>
      <c r="Z1152" t="s">
        <v>23302</v>
      </c>
      <c r="AA1152">
        <v>0.81051054560606939</v>
      </c>
      <c r="AB1152" t="str">
        <f>HYPERLINK("Melting_Curves/meltCurve_M0QYM7_TUBB4A.pdf", "Melting_Curves/meltCurve_M0QYM7_TUBB4A.pdf")</f>
        <v>Melting_Curves/meltCurve_M0QYM7_TUBB4A.pdf</v>
      </c>
    </row>
    <row r="1153" spans="1:28" x14ac:dyDescent="0.25">
      <c r="A1153" t="s">
        <v>1157</v>
      </c>
      <c r="B1153">
        <v>0.99796759195183404</v>
      </c>
      <c r="C1153">
        <v>1.0058576704512601</v>
      </c>
      <c r="D1153">
        <v>1.01156017233791</v>
      </c>
      <c r="E1153">
        <v>1.0827534502292999</v>
      </c>
      <c r="F1153">
        <v>0.99195370964530405</v>
      </c>
      <c r="G1153">
        <v>0.61735553609514005</v>
      </c>
      <c r="H1153">
        <v>0.45777241643504202</v>
      </c>
      <c r="I1153">
        <v>0.483402302184674</v>
      </c>
      <c r="J1153">
        <v>0.26159089134742503</v>
      </c>
      <c r="K1153">
        <v>0.17791309758989199</v>
      </c>
      <c r="L1153">
        <v>1080.9027451806701</v>
      </c>
      <c r="M1153">
        <v>19.5916949306148</v>
      </c>
      <c r="N1153">
        <v>56.998329540353502</v>
      </c>
      <c r="O1153">
        <v>54.606316628909902</v>
      </c>
      <c r="P1153">
        <v>-6.8784888375746395E-2</v>
      </c>
      <c r="Q1153">
        <v>0.23315327832796101</v>
      </c>
      <c r="R1153">
        <v>0.94836991909164103</v>
      </c>
      <c r="S1153" t="s">
        <v>6736</v>
      </c>
      <c r="T1153" t="s">
        <v>11164</v>
      </c>
      <c r="U1153" t="s">
        <v>11164</v>
      </c>
      <c r="V1153" t="s">
        <v>11164</v>
      </c>
      <c r="W1153" t="s">
        <v>12293</v>
      </c>
      <c r="X1153">
        <v>2</v>
      </c>
      <c r="Y1153" t="s">
        <v>17825</v>
      </c>
      <c r="Z1153" t="s">
        <v>23303</v>
      </c>
      <c r="AA1153">
        <v>0.7064058792993152</v>
      </c>
      <c r="AB1153" t="str">
        <f>HYPERLINK("Melting_Curves/meltCurve_M0QYS1_RPL13A.pdf", "Melting_Curves/meltCurve_M0QYS1_RPL13A.pdf")</f>
        <v>Melting_Curves/meltCurve_M0QYS1_RPL13A.pdf</v>
      </c>
    </row>
    <row r="1154" spans="1:28" x14ac:dyDescent="0.25">
      <c r="A1154" t="s">
        <v>1158</v>
      </c>
      <c r="B1154">
        <v>0.99796759195183404</v>
      </c>
      <c r="C1154">
        <v>0.95082304917248905</v>
      </c>
      <c r="D1154">
        <v>0.96818147336121196</v>
      </c>
      <c r="E1154">
        <v>1.0987295571695701</v>
      </c>
      <c r="F1154">
        <v>0.68127687812340698</v>
      </c>
      <c r="G1154">
        <v>0.28853508333919098</v>
      </c>
      <c r="H1154">
        <v>0.296737950716355</v>
      </c>
      <c r="I1154">
        <v>0.20742662055145</v>
      </c>
      <c r="J1154">
        <v>0.136436983385298</v>
      </c>
      <c r="K1154">
        <v>0.11852702229810599</v>
      </c>
      <c r="L1154">
        <v>2008.1584692947799</v>
      </c>
      <c r="M1154">
        <v>39.446961296635301</v>
      </c>
      <c r="N1154">
        <v>51.525563297684499</v>
      </c>
      <c r="O1154">
        <v>50.777507681769002</v>
      </c>
      <c r="P1154">
        <v>-0.15762203997917301</v>
      </c>
      <c r="Q1154">
        <v>0.18841539755134901</v>
      </c>
      <c r="R1154">
        <v>0.975202798022893</v>
      </c>
      <c r="S1154" t="s">
        <v>6737</v>
      </c>
      <c r="T1154" t="s">
        <v>11164</v>
      </c>
      <c r="U1154" t="s">
        <v>11164</v>
      </c>
      <c r="V1154" t="s">
        <v>11164</v>
      </c>
      <c r="W1154" t="s">
        <v>12008</v>
      </c>
      <c r="X1154">
        <v>7</v>
      </c>
      <c r="Z1154" t="s">
        <v>23304</v>
      </c>
      <c r="AA1154">
        <v>0.56759404208175035</v>
      </c>
      <c r="AB1154" t="str">
        <f>HYPERLINK("Melting_Curves/meltCurve_M0QYT0_.pdf", "Melting_Curves/meltCurve_M0QYT0_.pdf")</f>
        <v>Melting_Curves/meltCurve_M0QYT0_.pdf</v>
      </c>
    </row>
    <row r="1155" spans="1:28" x14ac:dyDescent="0.25">
      <c r="A1155" t="s">
        <v>1159</v>
      </c>
      <c r="B1155">
        <v>0.99796759195183404</v>
      </c>
      <c r="C1155">
        <v>0.999162537944984</v>
      </c>
      <c r="D1155">
        <v>0.94745673249526297</v>
      </c>
      <c r="E1155">
        <v>1.1019503590791699</v>
      </c>
      <c r="F1155">
        <v>0.92065168005956499</v>
      </c>
      <c r="G1155">
        <v>0.44363227445446202</v>
      </c>
      <c r="H1155">
        <v>0.54324870918002899</v>
      </c>
      <c r="I1155">
        <v>0.44512501131276999</v>
      </c>
      <c r="J1155">
        <v>0.73055329449626905</v>
      </c>
      <c r="K1155">
        <v>0.465667268663781</v>
      </c>
      <c r="L1155">
        <v>12630.5736425333</v>
      </c>
      <c r="M1155">
        <v>250</v>
      </c>
      <c r="O1155">
        <v>50.519061428812002</v>
      </c>
      <c r="P1155">
        <v>-0.58685114302964403</v>
      </c>
      <c r="Q1155">
        <v>0.52564529698197104</v>
      </c>
      <c r="R1155">
        <v>0.88445553481463302</v>
      </c>
      <c r="S1155" t="s">
        <v>6738</v>
      </c>
      <c r="T1155" t="s">
        <v>11164</v>
      </c>
      <c r="U1155" t="s">
        <v>11164</v>
      </c>
      <c r="V1155" t="s">
        <v>11164</v>
      </c>
      <c r="W1155" t="s">
        <v>12294</v>
      </c>
      <c r="X1155">
        <v>2</v>
      </c>
      <c r="Y1155" t="s">
        <v>17826</v>
      </c>
      <c r="Z1155" t="s">
        <v>23305</v>
      </c>
      <c r="AA1155">
        <v>0.73949949020508443</v>
      </c>
      <c r="AB1155" t="str">
        <f>HYPERLINK("Melting_Curves/meltCurve_M0QYT5_USE1.pdf", "Melting_Curves/meltCurve_M0QYT5_USE1.pdf")</f>
        <v>Melting_Curves/meltCurve_M0QYT5_USE1.pdf</v>
      </c>
    </row>
    <row r="1156" spans="1:28" x14ac:dyDescent="0.25">
      <c r="A1156" t="s">
        <v>1160</v>
      </c>
      <c r="B1156">
        <v>0.99796759195183404</v>
      </c>
      <c r="C1156">
        <v>1.14072089696975</v>
      </c>
      <c r="D1156">
        <v>1.0923824699090601</v>
      </c>
      <c r="E1156">
        <v>0.96086326799062005</v>
      </c>
      <c r="F1156">
        <v>0.66155527042755902</v>
      </c>
      <c r="G1156">
        <v>0.29154543969010599</v>
      </c>
      <c r="H1156">
        <v>0.17823696626494601</v>
      </c>
      <c r="I1156">
        <v>0.10709387384911501</v>
      </c>
      <c r="J1156">
        <v>0.130377598035259</v>
      </c>
      <c r="K1156">
        <v>4.6243857139011302E-2</v>
      </c>
      <c r="L1156">
        <v>1390.71521833421</v>
      </c>
      <c r="M1156">
        <v>27.1337663889243</v>
      </c>
      <c r="N1156">
        <v>51.669277278833199</v>
      </c>
      <c r="O1156">
        <v>50.978073907691602</v>
      </c>
      <c r="P1156">
        <v>-0.120031812595545</v>
      </c>
      <c r="Q1156">
        <v>9.7960644180680401E-2</v>
      </c>
      <c r="R1156">
        <v>0.98133943502171495</v>
      </c>
      <c r="S1156" t="s">
        <v>6739</v>
      </c>
      <c r="T1156" t="s">
        <v>11164</v>
      </c>
      <c r="U1156" t="s">
        <v>11164</v>
      </c>
      <c r="V1156" t="s">
        <v>11164</v>
      </c>
      <c r="W1156" t="s">
        <v>12295</v>
      </c>
      <c r="X1156">
        <v>5</v>
      </c>
      <c r="Y1156" t="s">
        <v>17827</v>
      </c>
      <c r="Z1156" t="s">
        <v>23306</v>
      </c>
      <c r="AA1156">
        <v>0.53338959015413367</v>
      </c>
      <c r="AB1156" t="str">
        <f>HYPERLINK("Melting_Curves/meltCurve_M0QZ12_GRAMD1A.pdf", "Melting_Curves/meltCurve_M0QZ12_GRAMD1A.pdf")</f>
        <v>Melting_Curves/meltCurve_M0QZ12_GRAMD1A.pdf</v>
      </c>
    </row>
    <row r="1157" spans="1:28" x14ac:dyDescent="0.25">
      <c r="A1157" t="s">
        <v>1161</v>
      </c>
      <c r="B1157">
        <v>0.99796759195183404</v>
      </c>
      <c r="C1157">
        <v>1.1088515683681901</v>
      </c>
      <c r="D1157">
        <v>0.94499135897383801</v>
      </c>
      <c r="E1157">
        <v>0.78602368694156299</v>
      </c>
      <c r="F1157">
        <v>0.54612690042143297</v>
      </c>
      <c r="G1157">
        <v>0.40665724881166099</v>
      </c>
      <c r="H1157">
        <v>0.40298042500341402</v>
      </c>
      <c r="I1157">
        <v>0.145995966708342</v>
      </c>
      <c r="J1157">
        <v>0.15157802339533599</v>
      </c>
      <c r="K1157">
        <v>0.15409252047199101</v>
      </c>
      <c r="L1157">
        <v>662.91026473406396</v>
      </c>
      <c r="M1157">
        <v>13.011761540289699</v>
      </c>
      <c r="N1157">
        <v>51.9937599169374</v>
      </c>
      <c r="O1157">
        <v>49.7886705022079</v>
      </c>
      <c r="P1157">
        <v>-5.7816697564647503E-2</v>
      </c>
      <c r="Q1157">
        <v>0.115228024967012</v>
      </c>
      <c r="R1157">
        <v>0.96786139866028198</v>
      </c>
      <c r="S1157" t="s">
        <v>6740</v>
      </c>
      <c r="T1157" t="s">
        <v>11164</v>
      </c>
      <c r="U1157" t="s">
        <v>11164</v>
      </c>
      <c r="V1157" t="s">
        <v>11164</v>
      </c>
      <c r="W1157" t="s">
        <v>12296</v>
      </c>
      <c r="X1157">
        <v>1</v>
      </c>
      <c r="Y1157" t="s">
        <v>17828</v>
      </c>
      <c r="Z1157" t="s">
        <v>23307</v>
      </c>
      <c r="AA1157">
        <v>0.54778754110215155</v>
      </c>
      <c r="AB1157" t="str">
        <f>HYPERLINK("Melting_Curves/meltCurve_M0QZ23_C19orf44.pdf", "Melting_Curves/meltCurve_M0QZ23_C19orf44.pdf")</f>
        <v>Melting_Curves/meltCurve_M0QZ23_C19orf44.pdf</v>
      </c>
    </row>
    <row r="1158" spans="1:28" x14ac:dyDescent="0.25">
      <c r="A1158" t="s">
        <v>1162</v>
      </c>
      <c r="B1158">
        <v>0.99796759195183404</v>
      </c>
      <c r="C1158">
        <v>0.9586141177227</v>
      </c>
      <c r="D1158">
        <v>1.0159348509777699</v>
      </c>
      <c r="E1158">
        <v>1.0121223125960199</v>
      </c>
      <c r="F1158">
        <v>0.839222393211002</v>
      </c>
      <c r="G1158">
        <v>0.52096223130582398</v>
      </c>
      <c r="H1158">
        <v>0.27699332167993901</v>
      </c>
      <c r="I1158">
        <v>0.22354228620341801</v>
      </c>
      <c r="J1158">
        <v>0.13924812642086301</v>
      </c>
      <c r="K1158">
        <v>0.124377862982434</v>
      </c>
      <c r="L1158">
        <v>1259.9673974454399</v>
      </c>
      <c r="M1158">
        <v>23.6008898314894</v>
      </c>
      <c r="N1158">
        <v>54.128569248615896</v>
      </c>
      <c r="O1158">
        <v>53.007575232981097</v>
      </c>
      <c r="P1158">
        <v>-9.5925135053390703E-2</v>
      </c>
      <c r="Q1158">
        <v>0.13822347950202701</v>
      </c>
      <c r="R1158">
        <v>0.99555413848830598</v>
      </c>
      <c r="S1158" t="s">
        <v>6741</v>
      </c>
      <c r="T1158" t="s">
        <v>11164</v>
      </c>
      <c r="U1158" t="s">
        <v>11164</v>
      </c>
      <c r="V1158" t="s">
        <v>11164</v>
      </c>
      <c r="W1158" t="s">
        <v>12297</v>
      </c>
      <c r="X1158">
        <v>1</v>
      </c>
      <c r="Y1158" t="s">
        <v>17829</v>
      </c>
      <c r="Z1158" t="s">
        <v>23308</v>
      </c>
      <c r="AA1158">
        <v>0.61728480280244125</v>
      </c>
      <c r="AB1158" t="str">
        <f>HYPERLINK("Melting_Curves/meltCurve_M0QZL8_JOSD2.pdf", "Melting_Curves/meltCurve_M0QZL8_JOSD2.pdf")</f>
        <v>Melting_Curves/meltCurve_M0QZL8_JOSD2.pdf</v>
      </c>
    </row>
    <row r="1159" spans="1:28" x14ac:dyDescent="0.25">
      <c r="A1159" t="s">
        <v>1163</v>
      </c>
      <c r="B1159">
        <v>0.99796759195183404</v>
      </c>
      <c r="C1159">
        <v>1.05958743924582</v>
      </c>
      <c r="D1159">
        <v>1.1513786302168401</v>
      </c>
      <c r="E1159">
        <v>0.99370964521891603</v>
      </c>
      <c r="F1159">
        <v>0.72231859130431997</v>
      </c>
      <c r="G1159">
        <v>0.31234213426340601</v>
      </c>
      <c r="H1159">
        <v>0.210508217952354</v>
      </c>
      <c r="I1159">
        <v>0.24564636173764301</v>
      </c>
      <c r="J1159">
        <v>0.154687692250977</v>
      </c>
      <c r="K1159">
        <v>0.19915926865479899</v>
      </c>
      <c r="L1159">
        <v>1900.49227167456</v>
      </c>
      <c r="M1159">
        <v>37.194440125777703</v>
      </c>
      <c r="N1159">
        <v>51.805302425686698</v>
      </c>
      <c r="O1159">
        <v>50.949111137728799</v>
      </c>
      <c r="P1159">
        <v>-0.146098123082924</v>
      </c>
      <c r="Q1159">
        <v>0.199498791648512</v>
      </c>
      <c r="R1159">
        <v>0.98015754450737003</v>
      </c>
      <c r="S1159" t="s">
        <v>6742</v>
      </c>
      <c r="T1159" t="s">
        <v>11164</v>
      </c>
      <c r="U1159" t="s">
        <v>11164</v>
      </c>
      <c r="V1159" t="s">
        <v>11164</v>
      </c>
      <c r="W1159" t="s">
        <v>12298</v>
      </c>
      <c r="X1159">
        <v>19</v>
      </c>
      <c r="Y1159" t="s">
        <v>17830</v>
      </c>
      <c r="Z1159" t="s">
        <v>23309</v>
      </c>
      <c r="AA1159">
        <v>0.57889681147061978</v>
      </c>
      <c r="AB1159" t="str">
        <f>HYPERLINK("Melting_Curves/meltCurve_M0QZM1_HNRNPM.pdf", "Melting_Curves/meltCurve_M0QZM1_HNRNPM.pdf")</f>
        <v>Melting_Curves/meltCurve_M0QZM1_HNRNPM.pdf</v>
      </c>
    </row>
    <row r="1160" spans="1:28" x14ac:dyDescent="0.25">
      <c r="A1160" t="s">
        <v>1164</v>
      </c>
      <c r="B1160">
        <v>0.99796759195183404</v>
      </c>
      <c r="C1160">
        <v>1.0504377064050601</v>
      </c>
      <c r="D1160">
        <v>1.05889956818881</v>
      </c>
      <c r="E1160">
        <v>0.94462253914283401</v>
      </c>
      <c r="F1160">
        <v>0.86322640595996702</v>
      </c>
      <c r="G1160">
        <v>0.48770334193230402</v>
      </c>
      <c r="H1160">
        <v>0.14975383600122599</v>
      </c>
      <c r="I1160">
        <v>0.141294901392577</v>
      </c>
      <c r="J1160">
        <v>8.4708665045228906E-2</v>
      </c>
      <c r="K1160">
        <v>4.5233837151581399E-2</v>
      </c>
      <c r="L1160">
        <v>1497.2609648627199</v>
      </c>
      <c r="M1160">
        <v>28.079398090559302</v>
      </c>
      <c r="N1160">
        <v>53.610354653084897</v>
      </c>
      <c r="O1160">
        <v>53.054150982007201</v>
      </c>
      <c r="P1160">
        <v>-0.123053959571538</v>
      </c>
      <c r="Q1160">
        <v>6.9998866269807294E-2</v>
      </c>
      <c r="R1160">
        <v>0.99336328638391103</v>
      </c>
      <c r="S1160" t="s">
        <v>6743</v>
      </c>
      <c r="T1160" t="s">
        <v>11164</v>
      </c>
      <c r="U1160" t="s">
        <v>11164</v>
      </c>
      <c r="V1160" t="s">
        <v>11164</v>
      </c>
      <c r="W1160" t="s">
        <v>12299</v>
      </c>
      <c r="X1160">
        <v>1</v>
      </c>
      <c r="Y1160" t="s">
        <v>17831</v>
      </c>
      <c r="Z1160" t="s">
        <v>23310</v>
      </c>
      <c r="AA1160">
        <v>0.58268532259300254</v>
      </c>
      <c r="AB1160" t="str">
        <f>HYPERLINK("Melting_Curves/meltCurve_M0QZS4_ZNF737.pdf", "Melting_Curves/meltCurve_M0QZS4_ZNF737.pdf")</f>
        <v>Melting_Curves/meltCurve_M0QZS4_ZNF737.pdf</v>
      </c>
    </row>
    <row r="1161" spans="1:28" x14ac:dyDescent="0.25">
      <c r="A1161" t="s">
        <v>1165</v>
      </c>
      <c r="B1161">
        <v>0.99796759195183404</v>
      </c>
      <c r="C1161">
        <v>1.3231332575527199</v>
      </c>
      <c r="D1161">
        <v>1.2624980261586001</v>
      </c>
      <c r="E1161">
        <v>1.03433757209785</v>
      </c>
      <c r="F1161">
        <v>0.82976715640126497</v>
      </c>
      <c r="G1161">
        <v>0.21090704367135901</v>
      </c>
      <c r="H1161">
        <v>0.21418844162223399</v>
      </c>
      <c r="I1161">
        <v>0.169762685403435</v>
      </c>
      <c r="J1161">
        <v>8.71289972486846E-2</v>
      </c>
      <c r="K1161">
        <v>9.6702223874214704E-2</v>
      </c>
      <c r="L1161">
        <v>2812.84772898029</v>
      </c>
      <c r="M1161">
        <v>54.631555719846503</v>
      </c>
      <c r="N1161">
        <v>51.799388720957701</v>
      </c>
      <c r="O1161">
        <v>51.4187548065158</v>
      </c>
      <c r="P1161">
        <v>-0.22840253684226899</v>
      </c>
      <c r="Q1161">
        <v>0.14011850163687301</v>
      </c>
      <c r="R1161">
        <v>0.92140982823636497</v>
      </c>
      <c r="S1161" t="s">
        <v>6744</v>
      </c>
      <c r="T1161" t="s">
        <v>11164</v>
      </c>
      <c r="U1161" t="s">
        <v>11164</v>
      </c>
      <c r="V1161" t="s">
        <v>11164</v>
      </c>
      <c r="W1161" t="s">
        <v>12300</v>
      </c>
      <c r="X1161">
        <v>3</v>
      </c>
      <c r="Y1161" t="s">
        <v>17832</v>
      </c>
      <c r="Z1161" t="s">
        <v>23311</v>
      </c>
      <c r="AA1161">
        <v>0.55700666761704865</v>
      </c>
      <c r="AB1161" t="str">
        <f>HYPERLINK("Melting_Curves/meltCurve_M0QZW1_PRKD2.pdf", "Melting_Curves/meltCurve_M0QZW1_PRKD2.pdf")</f>
        <v>Melting_Curves/meltCurve_M0QZW1_PRKD2.pdf</v>
      </c>
    </row>
    <row r="1162" spans="1:28" x14ac:dyDescent="0.25">
      <c r="A1162" t="s">
        <v>1166</v>
      </c>
      <c r="B1162">
        <v>0.99796759195183404</v>
      </c>
      <c r="C1162">
        <v>0.98410872261496596</v>
      </c>
      <c r="D1162">
        <v>0.810430865455953</v>
      </c>
      <c r="E1162">
        <v>0.78333641761366801</v>
      </c>
      <c r="F1162">
        <v>0.73201225147245397</v>
      </c>
      <c r="G1162">
        <v>0.52800112595224902</v>
      </c>
      <c r="H1162">
        <v>0.66212715415193202</v>
      </c>
      <c r="I1162">
        <v>0.71302060125223699</v>
      </c>
      <c r="J1162">
        <v>0.22605389159488401</v>
      </c>
      <c r="K1162">
        <v>4.2010224991547801E-2</v>
      </c>
      <c r="L1162">
        <v>393.263666498487</v>
      </c>
      <c r="M1162">
        <v>6.8055974990445103</v>
      </c>
      <c r="N1162">
        <v>57.785325468169603</v>
      </c>
      <c r="O1162">
        <v>53.411869276142397</v>
      </c>
      <c r="P1162">
        <v>-3.1919795366417397E-2</v>
      </c>
      <c r="Q1162">
        <v>0</v>
      </c>
      <c r="R1162">
        <v>0.75639038405736203</v>
      </c>
      <c r="S1162" t="s">
        <v>6745</v>
      </c>
      <c r="T1162" t="s">
        <v>11164</v>
      </c>
      <c r="U1162" t="s">
        <v>11164</v>
      </c>
      <c r="V1162" t="s">
        <v>11164</v>
      </c>
      <c r="W1162" t="s">
        <v>12292</v>
      </c>
      <c r="X1162">
        <v>7</v>
      </c>
      <c r="Y1162" t="s">
        <v>17824</v>
      </c>
      <c r="Z1162" t="s">
        <v>23312</v>
      </c>
      <c r="AA1162">
        <v>0.66338071874281279</v>
      </c>
      <c r="AB1162" t="str">
        <f>HYPERLINK("Melting_Curves/meltCurve_M0R042_TUBB4A.pdf", "Melting_Curves/meltCurve_M0R042_TUBB4A.pdf")</f>
        <v>Melting_Curves/meltCurve_M0R042_TUBB4A.pdf</v>
      </c>
    </row>
    <row r="1163" spans="1:28" x14ac:dyDescent="0.25">
      <c r="A1163" t="s">
        <v>1167</v>
      </c>
      <c r="B1163">
        <v>0.99796759195183404</v>
      </c>
      <c r="C1163">
        <v>0.84288498565856196</v>
      </c>
      <c r="D1163">
        <v>0.80869356816539495</v>
      </c>
      <c r="E1163">
        <v>0.87841646383680505</v>
      </c>
      <c r="F1163">
        <v>0.63741219914965996</v>
      </c>
      <c r="G1163">
        <v>0.58829816311578798</v>
      </c>
      <c r="H1163">
        <v>0.14810893116138901</v>
      </c>
      <c r="I1163">
        <v>0.37901245520405602</v>
      </c>
      <c r="J1163">
        <v>6.4977240399701194E-2</v>
      </c>
      <c r="K1163">
        <v>0</v>
      </c>
      <c r="L1163">
        <v>566.06252933410406</v>
      </c>
      <c r="M1163">
        <v>10.651516426167699</v>
      </c>
      <c r="N1163">
        <v>53.1438526353162</v>
      </c>
      <c r="O1163">
        <v>51.373333139059199</v>
      </c>
      <c r="P1163">
        <v>-5.1853671931053398E-2</v>
      </c>
      <c r="Q1163">
        <v>0</v>
      </c>
      <c r="R1163">
        <v>0.89777790144963299</v>
      </c>
      <c r="S1163" t="s">
        <v>6746</v>
      </c>
      <c r="T1163" t="s">
        <v>11164</v>
      </c>
      <c r="U1163" t="s">
        <v>11164</v>
      </c>
      <c r="V1163" t="s">
        <v>11164</v>
      </c>
      <c r="W1163" t="s">
        <v>12301</v>
      </c>
      <c r="X1163">
        <v>2</v>
      </c>
      <c r="Y1163" t="s">
        <v>17833</v>
      </c>
      <c r="Z1163" t="s">
        <v>23313</v>
      </c>
      <c r="AA1163">
        <v>0.55966323937742901</v>
      </c>
      <c r="AB1163" t="str">
        <f>HYPERLINK("Melting_Curves/meltCurve_M0R0E9_SPHK2.pdf", "Melting_Curves/meltCurve_M0R0E9_SPHK2.pdf")</f>
        <v>Melting_Curves/meltCurve_M0R0E9_SPHK2.pdf</v>
      </c>
    </row>
    <row r="1164" spans="1:28" x14ac:dyDescent="0.25">
      <c r="A1164" t="s">
        <v>1168</v>
      </c>
      <c r="B1164">
        <v>0.99796759195183404</v>
      </c>
      <c r="C1164">
        <v>1.0045707366522201</v>
      </c>
      <c r="D1164">
        <v>1.0619377859285799</v>
      </c>
      <c r="E1164">
        <v>1.0441400020384899</v>
      </c>
      <c r="F1164">
        <v>0.76102475511872303</v>
      </c>
      <c r="G1164">
        <v>0.60412420288977597</v>
      </c>
      <c r="H1164">
        <v>0.60740898067928895</v>
      </c>
      <c r="I1164">
        <v>0.49224384755595302</v>
      </c>
      <c r="J1164">
        <v>0.37849255940069099</v>
      </c>
      <c r="K1164">
        <v>0.30619438845906699</v>
      </c>
      <c r="L1164">
        <v>714.987969007777</v>
      </c>
      <c r="M1164">
        <v>13.098869471959601</v>
      </c>
      <c r="N1164">
        <v>58.610469959251297</v>
      </c>
      <c r="O1164">
        <v>53.358776445012801</v>
      </c>
      <c r="P1164">
        <v>-4.3170541496648E-2</v>
      </c>
      <c r="Q1164">
        <v>0.29669282783789902</v>
      </c>
      <c r="R1164">
        <v>0.94655332655616797</v>
      </c>
      <c r="S1164" t="s">
        <v>6747</v>
      </c>
      <c r="T1164" t="s">
        <v>11164</v>
      </c>
      <c r="U1164" t="s">
        <v>11164</v>
      </c>
      <c r="V1164" t="s">
        <v>11164</v>
      </c>
      <c r="W1164" t="s">
        <v>12302</v>
      </c>
      <c r="X1164">
        <v>6</v>
      </c>
      <c r="Y1164" t="s">
        <v>17834</v>
      </c>
      <c r="Z1164" t="s">
        <v>23314</v>
      </c>
      <c r="AA1164">
        <v>0.72001970499540235</v>
      </c>
      <c r="AB1164" t="str">
        <f>HYPERLINK("Melting_Curves/meltCurve_M0R0F0_RPS5.pdf", "Melting_Curves/meltCurve_M0R0F0_RPS5.pdf")</f>
        <v>Melting_Curves/meltCurve_M0R0F0_RPS5.pdf</v>
      </c>
    </row>
    <row r="1165" spans="1:28" x14ac:dyDescent="0.25">
      <c r="A1165" t="s">
        <v>1169</v>
      </c>
      <c r="B1165">
        <v>0.99796759195183404</v>
      </c>
      <c r="C1165">
        <v>1.0291398729975101</v>
      </c>
      <c r="D1165">
        <v>0.91775464569871301</v>
      </c>
      <c r="E1165">
        <v>0.79973350967610402</v>
      </c>
      <c r="F1165">
        <v>0.70402289027223497</v>
      </c>
      <c r="G1165">
        <v>0.69995274280407005</v>
      </c>
      <c r="H1165">
        <v>0.83413168540909299</v>
      </c>
      <c r="I1165">
        <v>1.05428491424825</v>
      </c>
      <c r="J1165">
        <v>0.25224449818774602</v>
      </c>
      <c r="K1165">
        <v>0.132382758172959</v>
      </c>
      <c r="L1165">
        <v>15000</v>
      </c>
      <c r="M1165">
        <v>235.83974222169999</v>
      </c>
      <c r="N1165">
        <v>63.685550743541697</v>
      </c>
      <c r="O1165">
        <v>63.597939885323399</v>
      </c>
      <c r="P1165">
        <v>-0.80436312596899695</v>
      </c>
      <c r="Q1165">
        <v>0.13236274882612001</v>
      </c>
      <c r="R1165">
        <v>0.71667215923034999</v>
      </c>
      <c r="S1165" t="s">
        <v>6748</v>
      </c>
      <c r="T1165" t="s">
        <v>11164</v>
      </c>
      <c r="U1165" t="s">
        <v>11164</v>
      </c>
      <c r="V1165" t="s">
        <v>11164</v>
      </c>
      <c r="W1165" t="s">
        <v>12303</v>
      </c>
      <c r="X1165">
        <v>1</v>
      </c>
      <c r="Y1165" t="s">
        <v>17835</v>
      </c>
      <c r="Z1165" t="s">
        <v>23315</v>
      </c>
      <c r="AA1165">
        <v>0.90184919695340027</v>
      </c>
      <c r="AB1165" t="str">
        <f>HYPERLINK("Melting_Curves/meltCurve_M0R0V1_PLEKHA4.pdf", "Melting_Curves/meltCurve_M0R0V1_PLEKHA4.pdf")</f>
        <v>Melting_Curves/meltCurve_M0R0V1_PLEKHA4.pdf</v>
      </c>
    </row>
    <row r="1166" spans="1:28" x14ac:dyDescent="0.25">
      <c r="A1166" t="s">
        <v>1170</v>
      </c>
      <c r="B1166">
        <v>0.99796759195183404</v>
      </c>
      <c r="C1166">
        <v>1.0510168097833701</v>
      </c>
      <c r="D1166">
        <v>1.7127160221778399</v>
      </c>
      <c r="E1166">
        <v>2.4973549453594202</v>
      </c>
      <c r="F1166">
        <v>3.5693816980517998</v>
      </c>
      <c r="G1166">
        <v>19.972094547605199</v>
      </c>
      <c r="H1166">
        <v>1.4826005901941499</v>
      </c>
      <c r="I1166">
        <v>4.5471231130750098</v>
      </c>
      <c r="J1166">
        <v>2.6646076128731502</v>
      </c>
      <c r="K1166">
        <v>4.0300484348193102</v>
      </c>
      <c r="S1166" t="s">
        <v>6749</v>
      </c>
      <c r="T1166" t="s">
        <v>11164</v>
      </c>
      <c r="U1166" t="s">
        <v>11165</v>
      </c>
      <c r="V1166" t="s">
        <v>11164</v>
      </c>
      <c r="W1166" t="s">
        <v>12304</v>
      </c>
      <c r="X1166">
        <v>2</v>
      </c>
      <c r="Y1166" t="s">
        <v>17836</v>
      </c>
      <c r="Z1166" t="s">
        <v>23316</v>
      </c>
      <c r="AB1166" t="str">
        <f>HYPERLINK("Melting_Curves/meltCurve_M0R117_RPL18A.pdf", "Melting_Curves/meltCurve_M0R117_RPL18A.pdf")</f>
        <v>Melting_Curves/meltCurve_M0R117_RPL18A.pdf</v>
      </c>
    </row>
    <row r="1167" spans="1:28" x14ac:dyDescent="0.25">
      <c r="A1167" t="s">
        <v>1171</v>
      </c>
      <c r="B1167">
        <v>0.99796759195183404</v>
      </c>
      <c r="C1167">
        <v>1.0340434740653699</v>
      </c>
      <c r="D1167">
        <v>1.00404943728408</v>
      </c>
      <c r="E1167">
        <v>0.89060540993981296</v>
      </c>
      <c r="F1167">
        <v>0.68996555365387802</v>
      </c>
      <c r="G1167">
        <v>0.393290288139584</v>
      </c>
      <c r="H1167">
        <v>0.29223426444242201</v>
      </c>
      <c r="I1167">
        <v>0.242992789096103</v>
      </c>
      <c r="J1167">
        <v>0.209584526525704</v>
      </c>
      <c r="K1167">
        <v>0.141136606200545</v>
      </c>
      <c r="L1167">
        <v>990.58776631959404</v>
      </c>
      <c r="M1167">
        <v>19.286805914514101</v>
      </c>
      <c r="N1167">
        <v>52.553167663055603</v>
      </c>
      <c r="O1167">
        <v>50.818305369118903</v>
      </c>
      <c r="P1167">
        <v>-7.80717868842533E-2</v>
      </c>
      <c r="Q1167">
        <v>0.177193602832316</v>
      </c>
      <c r="R1167">
        <v>0.99491985449336395</v>
      </c>
      <c r="S1167" t="s">
        <v>6750</v>
      </c>
      <c r="T1167" t="s">
        <v>11164</v>
      </c>
      <c r="U1167" t="s">
        <v>11164</v>
      </c>
      <c r="V1167" t="s">
        <v>11164</v>
      </c>
      <c r="W1167" t="s">
        <v>12008</v>
      </c>
      <c r="X1167">
        <v>16</v>
      </c>
      <c r="Z1167" t="s">
        <v>23317</v>
      </c>
      <c r="AA1167">
        <v>0.58244572631787883</v>
      </c>
      <c r="AB1167" t="str">
        <f>HYPERLINK("Melting_Curves/meltCurve_M0R150_.pdf", "Melting_Curves/meltCurve_M0R150_.pdf")</f>
        <v>Melting_Curves/meltCurve_M0R150_.pdf</v>
      </c>
    </row>
    <row r="1168" spans="1:28" x14ac:dyDescent="0.25">
      <c r="A1168" t="s">
        <v>1172</v>
      </c>
      <c r="B1168">
        <v>0.99796759195183404</v>
      </c>
      <c r="C1168">
        <v>1.05246264196674</v>
      </c>
      <c r="D1168">
        <v>0.92576225543401702</v>
      </c>
      <c r="E1168">
        <v>0.97810830630821499</v>
      </c>
      <c r="F1168">
        <v>1.07054223939994</v>
      </c>
      <c r="G1168">
        <v>1.09360772967213</v>
      </c>
      <c r="H1168">
        <v>2.5764383474073602</v>
      </c>
      <c r="I1168">
        <v>1.7110312129304299</v>
      </c>
      <c r="J1168">
        <v>2.3154151830171199</v>
      </c>
      <c r="K1168">
        <v>2.0988818994081502</v>
      </c>
      <c r="L1168">
        <v>13528.986598313801</v>
      </c>
      <c r="M1168">
        <v>250</v>
      </c>
      <c r="O1168">
        <v>54.112478131642398</v>
      </c>
      <c r="P1168">
        <v>0.57750075598241302</v>
      </c>
      <c r="Q1168">
        <v>1.5</v>
      </c>
      <c r="R1168">
        <v>0.382366306422672</v>
      </c>
      <c r="S1168" t="s">
        <v>6751</v>
      </c>
      <c r="T1168" t="s">
        <v>11164</v>
      </c>
      <c r="U1168" t="s">
        <v>11164</v>
      </c>
      <c r="V1168" t="s">
        <v>11164</v>
      </c>
      <c r="W1168" t="s">
        <v>12305</v>
      </c>
      <c r="X1168">
        <v>2</v>
      </c>
      <c r="Y1168" t="s">
        <v>17837</v>
      </c>
      <c r="Z1168" t="s">
        <v>23318</v>
      </c>
      <c r="AA1168">
        <v>1.214686740457235</v>
      </c>
      <c r="AB1168" t="str">
        <f>HYPERLINK("Melting_Curves/meltCurve_M0R226_MRPL34.pdf", "Melting_Curves/meltCurve_M0R226_MRPL34.pdf")</f>
        <v>Melting_Curves/meltCurve_M0R226_MRPL34.pdf</v>
      </c>
    </row>
    <row r="1169" spans="1:28" x14ac:dyDescent="0.25">
      <c r="A1169" t="s">
        <v>1173</v>
      </c>
      <c r="B1169">
        <v>0.99796759195183404</v>
      </c>
      <c r="C1169">
        <v>0.96916701917271497</v>
      </c>
      <c r="D1169">
        <v>0.97233510546104296</v>
      </c>
      <c r="E1169">
        <v>0.74064802287238496</v>
      </c>
      <c r="F1169">
        <v>0.432196962583279</v>
      </c>
      <c r="G1169">
        <v>0.58872260293394796</v>
      </c>
      <c r="H1169">
        <v>0.226215743964546</v>
      </c>
      <c r="I1169">
        <v>0.167585570662098</v>
      </c>
      <c r="J1169">
        <v>8.2980829522074195E-2</v>
      </c>
      <c r="K1169">
        <v>5.15257816945279E-2</v>
      </c>
      <c r="L1169">
        <v>550.82399802551697</v>
      </c>
      <c r="M1169">
        <v>10.641185316112001</v>
      </c>
      <c r="N1169">
        <v>51.7634061606758</v>
      </c>
      <c r="O1169">
        <v>50.035718169891403</v>
      </c>
      <c r="P1169">
        <v>-5.3188324115531302E-2</v>
      </c>
      <c r="Q1169">
        <v>0</v>
      </c>
      <c r="R1169">
        <v>0.948869430578271</v>
      </c>
      <c r="S1169" t="s">
        <v>6752</v>
      </c>
      <c r="T1169" t="s">
        <v>11164</v>
      </c>
      <c r="U1169" t="s">
        <v>11164</v>
      </c>
      <c r="V1169" t="s">
        <v>11164</v>
      </c>
      <c r="W1169" t="s">
        <v>12306</v>
      </c>
      <c r="X1169">
        <v>4</v>
      </c>
      <c r="Y1169" t="s">
        <v>17838</v>
      </c>
      <c r="Z1169" t="s">
        <v>23319</v>
      </c>
      <c r="AA1169">
        <v>0.51870868411617244</v>
      </c>
      <c r="AB1169" t="str">
        <f>HYPERLINK("Melting_Curves/meltCurve_M0R299_FBL.pdf", "Melting_Curves/meltCurve_M0R299_FBL.pdf")</f>
        <v>Melting_Curves/meltCurve_M0R299_FBL.pdf</v>
      </c>
    </row>
    <row r="1170" spans="1:28" x14ac:dyDescent="0.25">
      <c r="A1170" t="s">
        <v>1174</v>
      </c>
      <c r="B1170">
        <v>0.99796759195183404</v>
      </c>
      <c r="C1170">
        <v>1.01166721814572</v>
      </c>
      <c r="D1170">
        <v>0.97364960679891299</v>
      </c>
      <c r="E1170">
        <v>0.851572682782609</v>
      </c>
      <c r="F1170">
        <v>0.69502076866084095</v>
      </c>
      <c r="G1170">
        <v>0.40044313090624101</v>
      </c>
      <c r="H1170">
        <v>0.31812428677538701</v>
      </c>
      <c r="I1170">
        <v>0.249376828598353</v>
      </c>
      <c r="J1170">
        <v>0.13747554281222599</v>
      </c>
      <c r="K1170">
        <v>0.11863493606018</v>
      </c>
      <c r="L1170">
        <v>748.62398367930302</v>
      </c>
      <c r="M1170">
        <v>14.3675199023714</v>
      </c>
      <c r="N1170">
        <v>52.957726828209204</v>
      </c>
      <c r="O1170">
        <v>51.127083628766499</v>
      </c>
      <c r="P1170">
        <v>-6.3008856586533601E-2</v>
      </c>
      <c r="Q1170">
        <v>0.103234656324318</v>
      </c>
      <c r="R1170">
        <v>0.99348749180169504</v>
      </c>
      <c r="S1170" t="s">
        <v>6753</v>
      </c>
      <c r="T1170" t="s">
        <v>11164</v>
      </c>
      <c r="U1170" t="s">
        <v>11164</v>
      </c>
      <c r="V1170" t="s">
        <v>11164</v>
      </c>
      <c r="W1170" t="s">
        <v>11217</v>
      </c>
      <c r="X1170">
        <v>20</v>
      </c>
      <c r="Y1170" t="s">
        <v>17839</v>
      </c>
      <c r="Z1170" t="s">
        <v>23320</v>
      </c>
      <c r="AA1170">
        <v>0.57264296825685079</v>
      </c>
      <c r="AB1170" t="str">
        <f>HYPERLINK("Melting_Curves/meltCurve_M0R2B7_POLD1.pdf", "Melting_Curves/meltCurve_M0R2B7_POLD1.pdf")</f>
        <v>Melting_Curves/meltCurve_M0R2B7_POLD1.pdf</v>
      </c>
    </row>
    <row r="1171" spans="1:28" x14ac:dyDescent="0.25">
      <c r="A1171" t="s">
        <v>1175</v>
      </c>
      <c r="B1171">
        <v>0.99796759195183404</v>
      </c>
      <c r="C1171">
        <v>1.0031676867246999</v>
      </c>
      <c r="D1171">
        <v>0.98500143440011201</v>
      </c>
      <c r="E1171">
        <v>1.03950536590108</v>
      </c>
      <c r="F1171">
        <v>0.82383845401524003</v>
      </c>
      <c r="G1171">
        <v>0.77934634504140898</v>
      </c>
      <c r="H1171">
        <v>0.63868595830085895</v>
      </c>
      <c r="I1171">
        <v>0.43839374668600001</v>
      </c>
      <c r="J1171">
        <v>0.24667065046849099</v>
      </c>
      <c r="K1171">
        <v>0.10224438086988601</v>
      </c>
      <c r="L1171">
        <v>812.19616887305801</v>
      </c>
      <c r="M1171">
        <v>13.7364315744816</v>
      </c>
      <c r="N1171">
        <v>59.127158646754502</v>
      </c>
      <c r="O1171">
        <v>57.916299354709501</v>
      </c>
      <c r="P1171">
        <v>-5.9302786536374399E-2</v>
      </c>
      <c r="Q1171">
        <v>0</v>
      </c>
      <c r="R1171">
        <v>0.97967656051714902</v>
      </c>
      <c r="S1171" t="s">
        <v>6754</v>
      </c>
      <c r="T1171" t="s">
        <v>11164</v>
      </c>
      <c r="U1171" t="s">
        <v>11164</v>
      </c>
      <c r="V1171" t="s">
        <v>11164</v>
      </c>
      <c r="W1171" t="s">
        <v>12292</v>
      </c>
      <c r="X1171">
        <v>10</v>
      </c>
      <c r="Y1171" t="s">
        <v>17824</v>
      </c>
      <c r="Z1171" t="s">
        <v>23321</v>
      </c>
      <c r="AA1171">
        <v>0.73346705441357041</v>
      </c>
      <c r="AB1171" t="str">
        <f>HYPERLINK("Melting_Curves/meltCurve_M0R2D3_TUBB4A.pdf", "Melting_Curves/meltCurve_M0R2D3_TUBB4A.pdf")</f>
        <v>Melting_Curves/meltCurve_M0R2D3_TUBB4A.pdf</v>
      </c>
    </row>
    <row r="1172" spans="1:28" x14ac:dyDescent="0.25">
      <c r="A1172" t="s">
        <v>1176</v>
      </c>
      <c r="B1172">
        <v>0.99796759195183404</v>
      </c>
      <c r="C1172">
        <v>0.910772901751015</v>
      </c>
      <c r="D1172">
        <v>0.88312926511705303</v>
      </c>
      <c r="E1172">
        <v>0.92975422477171299</v>
      </c>
      <c r="F1172">
        <v>0.73284885383688703</v>
      </c>
      <c r="G1172">
        <v>0.80071532258737899</v>
      </c>
      <c r="H1172">
        <v>0.50152377716479501</v>
      </c>
      <c r="I1172">
        <v>0.24138466967300301</v>
      </c>
      <c r="J1172">
        <v>0.15448611465773601</v>
      </c>
      <c r="K1172">
        <v>6.9746343612508394E-2</v>
      </c>
      <c r="L1172">
        <v>786.18132260313303</v>
      </c>
      <c r="M1172">
        <v>13.8249303038123</v>
      </c>
      <c r="N1172">
        <v>56.866928744149199</v>
      </c>
      <c r="O1172">
        <v>55.716712185089101</v>
      </c>
      <c r="P1172">
        <v>-6.2040863639624903E-2</v>
      </c>
      <c r="Q1172">
        <v>0</v>
      </c>
      <c r="R1172">
        <v>0.95194458390619796</v>
      </c>
      <c r="S1172" t="s">
        <v>6755</v>
      </c>
      <c r="T1172" t="s">
        <v>11164</v>
      </c>
      <c r="U1172" t="s">
        <v>11164</v>
      </c>
      <c r="V1172" t="s">
        <v>11164</v>
      </c>
      <c r="W1172" t="s">
        <v>12307</v>
      </c>
      <c r="X1172">
        <v>1</v>
      </c>
      <c r="Y1172" t="s">
        <v>17840</v>
      </c>
      <c r="Z1172" t="s">
        <v>23322</v>
      </c>
      <c r="AA1172">
        <v>0.67006294923047705</v>
      </c>
      <c r="AB1172" t="str">
        <f>HYPERLINK("Melting_Curves/meltCurve_M0R2G0_LRRC4B.pdf", "Melting_Curves/meltCurve_M0R2G0_LRRC4B.pdf")</f>
        <v>Melting_Curves/meltCurve_M0R2G0_LRRC4B.pdf</v>
      </c>
    </row>
    <row r="1173" spans="1:28" x14ac:dyDescent="0.25">
      <c r="A1173" t="s">
        <v>1177</v>
      </c>
      <c r="B1173">
        <v>0.99796759195183404</v>
      </c>
      <c r="C1173">
        <v>0.99692586046245202</v>
      </c>
      <c r="D1173">
        <v>1.0320180256314699</v>
      </c>
      <c r="E1173">
        <v>0.99455917705112795</v>
      </c>
      <c r="F1173">
        <v>0.90542859691701505</v>
      </c>
      <c r="G1173">
        <v>0.58337799946379398</v>
      </c>
      <c r="H1173">
        <v>0.67801463162415698</v>
      </c>
      <c r="I1173">
        <v>0.68882514121143201</v>
      </c>
      <c r="J1173">
        <v>0.85115218249388203</v>
      </c>
      <c r="K1173">
        <v>0.677764004066437</v>
      </c>
      <c r="L1173">
        <v>12589.9518493715</v>
      </c>
      <c r="M1173">
        <v>250</v>
      </c>
      <c r="O1173">
        <v>50.356584814598598</v>
      </c>
      <c r="P1173">
        <v>-0.37752412519788198</v>
      </c>
      <c r="Q1173">
        <v>0.69582679094417899</v>
      </c>
      <c r="R1173">
        <v>0.849491202804736</v>
      </c>
      <c r="S1173" t="s">
        <v>6756</v>
      </c>
      <c r="T1173" t="s">
        <v>11164</v>
      </c>
      <c r="U1173" t="s">
        <v>11164</v>
      </c>
      <c r="V1173" t="s">
        <v>11164</v>
      </c>
      <c r="W1173" t="s">
        <v>12308</v>
      </c>
      <c r="X1173">
        <v>3</v>
      </c>
      <c r="Y1173" t="s">
        <v>17841</v>
      </c>
      <c r="Z1173" t="s">
        <v>23323</v>
      </c>
      <c r="AA1173">
        <v>0.83131019026072095</v>
      </c>
      <c r="AB1173" t="str">
        <f>HYPERLINK("Melting_Curves/meltCurve_M0R3D4_RABAC1.pdf", "Melting_Curves/meltCurve_M0R3D4_RABAC1.pdf")</f>
        <v>Melting_Curves/meltCurve_M0R3D4_RABAC1.pdf</v>
      </c>
    </row>
    <row r="1174" spans="1:28" x14ac:dyDescent="0.25">
      <c r="A1174" t="s">
        <v>1178</v>
      </c>
      <c r="B1174">
        <v>0.99796759195183404</v>
      </c>
      <c r="C1174">
        <v>0.98052172320481501</v>
      </c>
      <c r="D1174">
        <v>0.96262785387776795</v>
      </c>
      <c r="E1174">
        <v>0.94020696879858001</v>
      </c>
      <c r="F1174">
        <v>0.83686337337464201</v>
      </c>
      <c r="G1174">
        <v>0.672852353073497</v>
      </c>
      <c r="H1174">
        <v>0.339188194097714</v>
      </c>
      <c r="I1174">
        <v>0.190860808923667</v>
      </c>
      <c r="J1174">
        <v>0.13556113759389199</v>
      </c>
      <c r="K1174">
        <v>9.3518743300324003E-2</v>
      </c>
      <c r="L1174">
        <v>966.05891067861103</v>
      </c>
      <c r="M1174">
        <v>17.508439837458301</v>
      </c>
      <c r="N1174">
        <v>55.498936823688602</v>
      </c>
      <c r="O1174">
        <v>54.4720504904164</v>
      </c>
      <c r="P1174">
        <v>-7.6476452213684404E-2</v>
      </c>
      <c r="Q1174">
        <v>4.8321845068957002E-2</v>
      </c>
      <c r="R1174">
        <v>0.99602390113073103</v>
      </c>
      <c r="S1174" t="s">
        <v>6757</v>
      </c>
      <c r="T1174" t="s">
        <v>11164</v>
      </c>
      <c r="U1174" t="s">
        <v>11164</v>
      </c>
      <c r="V1174" t="s">
        <v>11164</v>
      </c>
      <c r="W1174" t="s">
        <v>12309</v>
      </c>
      <c r="X1174">
        <v>17</v>
      </c>
      <c r="Y1174" t="s">
        <v>17842</v>
      </c>
      <c r="Z1174" t="s">
        <v>23324</v>
      </c>
      <c r="AA1174">
        <v>0.63692204046121503</v>
      </c>
      <c r="AB1174" t="str">
        <f>HYPERLINK("Melting_Curves/meltCurve_O00116_AGPS.pdf", "Melting_Curves/meltCurve_O00116_AGPS.pdf")</f>
        <v>Melting_Curves/meltCurve_O00116_AGPS.pdf</v>
      </c>
    </row>
    <row r="1175" spans="1:28" x14ac:dyDescent="0.25">
      <c r="A1175" t="s">
        <v>1179</v>
      </c>
      <c r="B1175">
        <v>0.99796759195183404</v>
      </c>
      <c r="C1175">
        <v>0.98738881283554003</v>
      </c>
      <c r="D1175">
        <v>1.0301020176745299</v>
      </c>
      <c r="E1175">
        <v>0.99805017948945696</v>
      </c>
      <c r="F1175">
        <v>0.66068977570033205</v>
      </c>
      <c r="G1175">
        <v>0.20852617999789599</v>
      </c>
      <c r="H1175">
        <v>9.6072865932146603E-2</v>
      </c>
      <c r="I1175">
        <v>0.104262288740388</v>
      </c>
      <c r="J1175">
        <v>7.7278776074096098E-2</v>
      </c>
      <c r="K1175">
        <v>6.2795933805985304E-2</v>
      </c>
      <c r="L1175">
        <v>1862.07541145562</v>
      </c>
      <c r="M1175">
        <v>36.5223195665166</v>
      </c>
      <c r="N1175">
        <v>51.235458934938997</v>
      </c>
      <c r="O1175">
        <v>50.832448931875298</v>
      </c>
      <c r="P1175">
        <v>-0.16491416732290501</v>
      </c>
      <c r="Q1175">
        <v>8.1880078182740595E-2</v>
      </c>
      <c r="R1175">
        <v>0.99846624154900199</v>
      </c>
      <c r="S1175" t="s">
        <v>6758</v>
      </c>
      <c r="T1175" t="s">
        <v>11164</v>
      </c>
      <c r="U1175" t="s">
        <v>11164</v>
      </c>
      <c r="V1175" t="s">
        <v>11164</v>
      </c>
      <c r="W1175" t="s">
        <v>12310</v>
      </c>
      <c r="X1175">
        <v>2</v>
      </c>
      <c r="Y1175" t="s">
        <v>17843</v>
      </c>
      <c r="Z1175" t="s">
        <v>23325</v>
      </c>
      <c r="AA1175">
        <v>0.51374072786606573</v>
      </c>
      <c r="AB1175" t="str">
        <f>HYPERLINK("Melting_Curves/meltCurve_O00124_3_UBXN8.pdf", "Melting_Curves/meltCurve_O00124_3_UBXN8.pdf")</f>
        <v>Melting_Curves/meltCurve_O00124_3_UBXN8.pdf</v>
      </c>
    </row>
    <row r="1176" spans="1:28" x14ac:dyDescent="0.25">
      <c r="A1176" t="s">
        <v>1180</v>
      </c>
      <c r="B1176">
        <v>0.99796759195183404</v>
      </c>
      <c r="C1176">
        <v>1.0348928947432701</v>
      </c>
      <c r="D1176">
        <v>0.97623925965634895</v>
      </c>
      <c r="E1176">
        <v>0.87455188510558202</v>
      </c>
      <c r="F1176">
        <v>0.799362775847411</v>
      </c>
      <c r="G1176">
        <v>0.35256243524819703</v>
      </c>
      <c r="H1176">
        <v>0.176083378964661</v>
      </c>
      <c r="I1176">
        <v>0.16134841738488701</v>
      </c>
      <c r="J1176">
        <v>0.122952327305256</v>
      </c>
      <c r="K1176">
        <v>0.13961615002347499</v>
      </c>
      <c r="L1176">
        <v>1457.6968826817499</v>
      </c>
      <c r="M1176">
        <v>28.057874602726301</v>
      </c>
      <c r="N1176">
        <v>52.5146260795035</v>
      </c>
      <c r="O1176">
        <v>51.691456907589803</v>
      </c>
      <c r="P1176">
        <v>-0.118116806844601</v>
      </c>
      <c r="Q1176">
        <v>0.12957370813606101</v>
      </c>
      <c r="R1176">
        <v>0.991480360079393</v>
      </c>
      <c r="S1176" t="s">
        <v>6759</v>
      </c>
      <c r="T1176" t="s">
        <v>11164</v>
      </c>
      <c r="U1176" t="s">
        <v>11164</v>
      </c>
      <c r="V1176" t="s">
        <v>11164</v>
      </c>
      <c r="W1176" t="s">
        <v>12311</v>
      </c>
      <c r="X1176">
        <v>6</v>
      </c>
      <c r="Y1176" t="s">
        <v>17844</v>
      </c>
      <c r="Z1176" t="s">
        <v>23326</v>
      </c>
      <c r="AA1176">
        <v>0.56966306582644188</v>
      </c>
      <c r="AB1176" t="str">
        <f>HYPERLINK("Melting_Curves/meltCurve_O00139_2_KIF2A.pdf", "Melting_Curves/meltCurve_O00139_2_KIF2A.pdf")</f>
        <v>Melting_Curves/meltCurve_O00139_2_KIF2A.pdf</v>
      </c>
    </row>
    <row r="1177" spans="1:28" x14ac:dyDescent="0.25">
      <c r="A1177" t="s">
        <v>1181</v>
      </c>
      <c r="B1177">
        <v>0.99796759195183404</v>
      </c>
      <c r="C1177">
        <v>0.96598099998033204</v>
      </c>
      <c r="D1177">
        <v>0.94790743495511198</v>
      </c>
      <c r="E1177">
        <v>0.93971392422197098</v>
      </c>
      <c r="F1177">
        <v>0.68258731731566302</v>
      </c>
      <c r="G1177">
        <v>0.38965381000527799</v>
      </c>
      <c r="H1177">
        <v>0.26579263859959101</v>
      </c>
      <c r="I1177">
        <v>0.22172090031215699</v>
      </c>
      <c r="J1177">
        <v>0.18524819025699901</v>
      </c>
      <c r="K1177">
        <v>0.12947321349692401</v>
      </c>
      <c r="L1177">
        <v>1048.5410175444399</v>
      </c>
      <c r="M1177">
        <v>20.371637769302399</v>
      </c>
      <c r="N1177">
        <v>52.467783824275102</v>
      </c>
      <c r="O1177">
        <v>50.982333918708903</v>
      </c>
      <c r="P1177">
        <v>-8.3863803434344603E-2</v>
      </c>
      <c r="Q1177">
        <v>0.160510326488077</v>
      </c>
      <c r="R1177">
        <v>0.99503222363653998</v>
      </c>
      <c r="S1177" t="s">
        <v>6760</v>
      </c>
      <c r="T1177" t="s">
        <v>11164</v>
      </c>
      <c r="U1177" t="s">
        <v>11164</v>
      </c>
      <c r="V1177" t="s">
        <v>11164</v>
      </c>
      <c r="W1177" t="s">
        <v>12312</v>
      </c>
      <c r="X1177">
        <v>26</v>
      </c>
      <c r="Y1177" t="s">
        <v>17845</v>
      </c>
      <c r="Z1177" t="s">
        <v>23327</v>
      </c>
      <c r="AA1177">
        <v>0.57605142496492434</v>
      </c>
      <c r="AB1177" t="str">
        <f>HYPERLINK("Melting_Curves/meltCurve_O00148_DDX39A.pdf", "Melting_Curves/meltCurve_O00148_DDX39A.pdf")</f>
        <v>Melting_Curves/meltCurve_O00148_DDX39A.pdf</v>
      </c>
    </row>
    <row r="1178" spans="1:28" x14ac:dyDescent="0.25">
      <c r="A1178" t="s">
        <v>1182</v>
      </c>
      <c r="B1178">
        <v>0.99796759195183404</v>
      </c>
      <c r="C1178">
        <v>1.0224097233568299</v>
      </c>
      <c r="D1178">
        <v>1.0469231532488901</v>
      </c>
      <c r="E1178">
        <v>0.98543057241146303</v>
      </c>
      <c r="F1178">
        <v>0.85585636468915105</v>
      </c>
      <c r="G1178">
        <v>0.68837611245804098</v>
      </c>
      <c r="H1178">
        <v>0.68831853796383202</v>
      </c>
      <c r="I1178">
        <v>0.580137601573951</v>
      </c>
      <c r="J1178">
        <v>0.92607532157405903</v>
      </c>
      <c r="K1178">
        <v>0.98755497455708996</v>
      </c>
      <c r="L1178">
        <v>12521.537843853701</v>
      </c>
      <c r="M1178">
        <v>250</v>
      </c>
      <c r="O1178">
        <v>50.082959330965899</v>
      </c>
      <c r="P1178">
        <v>-0.28191668404998099</v>
      </c>
      <c r="Q1178">
        <v>0.77409251012706504</v>
      </c>
      <c r="R1178">
        <v>0.50591761793510204</v>
      </c>
      <c r="S1178" t="s">
        <v>6761</v>
      </c>
      <c r="T1178" t="s">
        <v>11164</v>
      </c>
      <c r="U1178" t="s">
        <v>11164</v>
      </c>
      <c r="V1178" t="s">
        <v>11164</v>
      </c>
      <c r="W1178" t="s">
        <v>12313</v>
      </c>
      <c r="X1178">
        <v>24</v>
      </c>
      <c r="Y1178" t="s">
        <v>17846</v>
      </c>
      <c r="Z1178" t="s">
        <v>23328</v>
      </c>
      <c r="AA1178">
        <v>0.87265435446667694</v>
      </c>
      <c r="AB1178" t="str">
        <f>HYPERLINK("Melting_Curves/meltCurve_O00151_PDLIM1.pdf", "Melting_Curves/meltCurve_O00151_PDLIM1.pdf")</f>
        <v>Melting_Curves/meltCurve_O00151_PDLIM1.pdf</v>
      </c>
    </row>
    <row r="1179" spans="1:28" x14ac:dyDescent="0.25">
      <c r="A1179" t="s">
        <v>1183</v>
      </c>
      <c r="B1179">
        <v>0.99796759195183404</v>
      </c>
      <c r="C1179">
        <v>0.992899091551393</v>
      </c>
      <c r="D1179">
        <v>0.99684237992620905</v>
      </c>
      <c r="E1179">
        <v>0.93634937563340404</v>
      </c>
      <c r="F1179">
        <v>0.87016049789118899</v>
      </c>
      <c r="G1179">
        <v>0.89915177699858995</v>
      </c>
      <c r="H1179">
        <v>0.83167894063770897</v>
      </c>
      <c r="I1179">
        <v>0.72923915213286705</v>
      </c>
      <c r="J1179">
        <v>0.84818228970159704</v>
      </c>
      <c r="K1179">
        <v>0.37012428800827102</v>
      </c>
      <c r="L1179">
        <v>623.060808347288</v>
      </c>
      <c r="M1179">
        <v>9.1685851669558396</v>
      </c>
      <c r="O1179">
        <v>64.957557049503507</v>
      </c>
      <c r="P1179">
        <v>-3.5310715388886797E-2</v>
      </c>
      <c r="Q1179">
        <v>0</v>
      </c>
      <c r="R1179">
        <v>0.73808577761048899</v>
      </c>
      <c r="S1179" t="s">
        <v>6762</v>
      </c>
      <c r="T1179" t="s">
        <v>11164</v>
      </c>
      <c r="U1179" t="s">
        <v>11164</v>
      </c>
      <c r="V1179" t="s">
        <v>11164</v>
      </c>
      <c r="W1179" t="s">
        <v>12314</v>
      </c>
      <c r="X1179">
        <v>20</v>
      </c>
      <c r="Y1179" t="s">
        <v>17847</v>
      </c>
      <c r="Z1179" t="s">
        <v>23329</v>
      </c>
      <c r="AA1179">
        <v>0.87739935456423768</v>
      </c>
      <c r="AB1179" t="str">
        <f>HYPERLINK("Melting_Curves/meltCurve_O00154_4_ACOT7.pdf", "Melting_Curves/meltCurve_O00154_4_ACOT7.pdf")</f>
        <v>Melting_Curves/meltCurve_O00154_4_ACOT7.pdf</v>
      </c>
    </row>
    <row r="1180" spans="1:28" x14ac:dyDescent="0.25">
      <c r="A1180" t="s">
        <v>1184</v>
      </c>
      <c r="B1180">
        <v>0.99796759195183404</v>
      </c>
      <c r="C1180">
        <v>1.05019939783767</v>
      </c>
      <c r="D1180">
        <v>0.94084172056106996</v>
      </c>
      <c r="E1180">
        <v>0.84731255694046903</v>
      </c>
      <c r="F1180">
        <v>0.60366933888861296</v>
      </c>
      <c r="G1180">
        <v>0.24696067990519999</v>
      </c>
      <c r="H1180">
        <v>0.171644497634759</v>
      </c>
      <c r="I1180">
        <v>0.133848304400462</v>
      </c>
      <c r="J1180">
        <v>9.9831696872861295E-2</v>
      </c>
      <c r="K1180">
        <v>8.8779370242734204E-2</v>
      </c>
      <c r="L1180">
        <v>1060.2774982462799</v>
      </c>
      <c r="M1180">
        <v>21.012067365036501</v>
      </c>
      <c r="N1180">
        <v>50.955282578003597</v>
      </c>
      <c r="O1180">
        <v>50.010027602611302</v>
      </c>
      <c r="P1180">
        <v>-9.5347242979120797E-2</v>
      </c>
      <c r="Q1180">
        <v>9.2294812280220795E-2</v>
      </c>
      <c r="R1180">
        <v>0.99491939038792698</v>
      </c>
      <c r="S1180" t="s">
        <v>6763</v>
      </c>
      <c r="T1180" t="s">
        <v>11164</v>
      </c>
      <c r="U1180" t="s">
        <v>11164</v>
      </c>
      <c r="V1180" t="s">
        <v>11164</v>
      </c>
      <c r="W1180" t="s">
        <v>12315</v>
      </c>
      <c r="X1180">
        <v>28</v>
      </c>
      <c r="Y1180" t="s">
        <v>17848</v>
      </c>
      <c r="Z1180" t="s">
        <v>23330</v>
      </c>
      <c r="AA1180">
        <v>0.51051572500987463</v>
      </c>
      <c r="AB1180" t="str">
        <f>HYPERLINK("Melting_Curves/meltCurve_O00159_MYO1C.pdf", "Melting_Curves/meltCurve_O00159_MYO1C.pdf")</f>
        <v>Melting_Curves/meltCurve_O00159_MYO1C.pdf</v>
      </c>
    </row>
    <row r="1181" spans="1:28" x14ac:dyDescent="0.25">
      <c r="A1181" t="s">
        <v>1185</v>
      </c>
      <c r="B1181">
        <v>0.99796759195183404</v>
      </c>
      <c r="C1181">
        <v>1.01927018989698</v>
      </c>
      <c r="D1181">
        <v>0.98150149375910001</v>
      </c>
      <c r="E1181">
        <v>0.93167344510674499</v>
      </c>
      <c r="F1181">
        <v>0.82589621295327698</v>
      </c>
      <c r="G1181">
        <v>0.53019827770904304</v>
      </c>
      <c r="H1181">
        <v>0.55301740000355804</v>
      </c>
      <c r="I1181">
        <v>0.54588017267841604</v>
      </c>
      <c r="J1181">
        <v>0.59846619529353495</v>
      </c>
      <c r="K1181">
        <v>0.492684524431447</v>
      </c>
      <c r="L1181">
        <v>12574.1819618807</v>
      </c>
      <c r="M1181">
        <v>250</v>
      </c>
      <c r="O1181">
        <v>50.293509163798099</v>
      </c>
      <c r="P1181">
        <v>-0.56661224894255802</v>
      </c>
      <c r="Q1181">
        <v>0.544049306939688</v>
      </c>
      <c r="R1181">
        <v>0.97465094574773403</v>
      </c>
      <c r="S1181" t="s">
        <v>6764</v>
      </c>
      <c r="T1181" t="s">
        <v>11164</v>
      </c>
      <c r="U1181" t="s">
        <v>11164</v>
      </c>
      <c r="V1181" t="s">
        <v>11164</v>
      </c>
      <c r="W1181" t="s">
        <v>12316</v>
      </c>
      <c r="X1181">
        <v>16</v>
      </c>
      <c r="Y1181" t="s">
        <v>17849</v>
      </c>
      <c r="Z1181" t="s">
        <v>23331</v>
      </c>
      <c r="AA1181">
        <v>0.74617796294618721</v>
      </c>
      <c r="AB1181" t="str">
        <f>HYPERLINK("Melting_Curves/meltCurve_O00161_SNAP23.pdf", "Melting_Curves/meltCurve_O00161_SNAP23.pdf")</f>
        <v>Melting_Curves/meltCurve_O00161_SNAP23.pdf</v>
      </c>
    </row>
    <row r="1182" spans="1:28" x14ac:dyDescent="0.25">
      <c r="A1182" t="s">
        <v>1186</v>
      </c>
      <c r="B1182">
        <v>0.99796759195183404</v>
      </c>
      <c r="C1182">
        <v>0.92780464043202904</v>
      </c>
      <c r="D1182">
        <v>0.89848387475541303</v>
      </c>
      <c r="E1182">
        <v>0.774557054722807</v>
      </c>
      <c r="F1182">
        <v>0.43845946533667002</v>
      </c>
      <c r="G1182">
        <v>0.22652972271107399</v>
      </c>
      <c r="H1182">
        <v>0.171811483131453</v>
      </c>
      <c r="I1182">
        <v>0.13194058441138101</v>
      </c>
      <c r="J1182">
        <v>0.10203137418068201</v>
      </c>
      <c r="K1182">
        <v>9.1529349951279398E-2</v>
      </c>
      <c r="L1182">
        <v>861.32792434541398</v>
      </c>
      <c r="M1182">
        <v>17.582589492543502</v>
      </c>
      <c r="N1182">
        <v>49.555057259251399</v>
      </c>
      <c r="O1182">
        <v>48.367043348847503</v>
      </c>
      <c r="P1182">
        <v>-8.2598137871967597E-2</v>
      </c>
      <c r="Q1182">
        <v>9.1189254735955197E-2</v>
      </c>
      <c r="R1182">
        <v>0.99506476605078598</v>
      </c>
      <c r="S1182" t="s">
        <v>6765</v>
      </c>
      <c r="T1182" t="s">
        <v>11164</v>
      </c>
      <c r="U1182" t="s">
        <v>11164</v>
      </c>
      <c r="V1182" t="s">
        <v>11164</v>
      </c>
      <c r="W1182" t="s">
        <v>12317</v>
      </c>
      <c r="X1182">
        <v>4</v>
      </c>
      <c r="Y1182" t="s">
        <v>17850</v>
      </c>
      <c r="Z1182" t="s">
        <v>23332</v>
      </c>
      <c r="AA1182">
        <v>0.46938655260017398</v>
      </c>
      <c r="AB1182" t="str">
        <f>HYPERLINK("Melting_Curves/meltCurve_O00165_5_HAX1.pdf", "Melting_Curves/meltCurve_O00165_5_HAX1.pdf")</f>
        <v>Melting_Curves/meltCurve_O00165_5_HAX1.pdf</v>
      </c>
    </row>
    <row r="1183" spans="1:28" x14ac:dyDescent="0.25">
      <c r="A1183" t="s">
        <v>1187</v>
      </c>
      <c r="B1183">
        <v>0.99796759195183404</v>
      </c>
      <c r="C1183">
        <v>1.01212134741518</v>
      </c>
      <c r="D1183">
        <v>1.0059008679875701</v>
      </c>
      <c r="E1183">
        <v>0.92048813965085896</v>
      </c>
      <c r="F1183">
        <v>0.77852541481178705</v>
      </c>
      <c r="G1183">
        <v>0.37567013467239901</v>
      </c>
      <c r="H1183">
        <v>0.22237819722239599</v>
      </c>
      <c r="I1183">
        <v>0.15089945862229701</v>
      </c>
      <c r="J1183">
        <v>0.117766245597257</v>
      </c>
      <c r="K1183">
        <v>8.6165388750694599E-2</v>
      </c>
      <c r="L1183">
        <v>1231.45713357208</v>
      </c>
      <c r="M1183">
        <v>23.5761748142417</v>
      </c>
      <c r="N1183">
        <v>52.760715625445002</v>
      </c>
      <c r="O1183">
        <v>51.861694923300099</v>
      </c>
      <c r="P1183">
        <v>-0.10171640302953</v>
      </c>
      <c r="Q1183">
        <v>0.10501279348820899</v>
      </c>
      <c r="R1183">
        <v>0.99726160979172696</v>
      </c>
      <c r="S1183" t="s">
        <v>6766</v>
      </c>
      <c r="T1183" t="s">
        <v>11164</v>
      </c>
      <c r="U1183" t="s">
        <v>11164</v>
      </c>
      <c r="V1183" t="s">
        <v>11164</v>
      </c>
      <c r="W1183" t="s">
        <v>12318</v>
      </c>
      <c r="X1183">
        <v>20</v>
      </c>
      <c r="Y1183" t="s">
        <v>17851</v>
      </c>
      <c r="Z1183" t="s">
        <v>23333</v>
      </c>
      <c r="AA1183">
        <v>0.56824970870596236</v>
      </c>
      <c r="AB1183" t="str">
        <f>HYPERLINK("Melting_Curves/meltCurve_O00170_AIP.pdf", "Melting_Curves/meltCurve_O00170_AIP.pdf")</f>
        <v>Melting_Curves/meltCurve_O00170_AIP.pdf</v>
      </c>
    </row>
    <row r="1184" spans="1:28" x14ac:dyDescent="0.25">
      <c r="A1184" t="s">
        <v>1188</v>
      </c>
      <c r="B1184">
        <v>0.99796759195183404</v>
      </c>
      <c r="C1184">
        <v>0.99984137100155601</v>
      </c>
      <c r="D1184">
        <v>0.98615340579961297</v>
      </c>
      <c r="E1184">
        <v>0.90367908783647799</v>
      </c>
      <c r="F1184">
        <v>0.74970702927203403</v>
      </c>
      <c r="G1184">
        <v>0.40316858143103901</v>
      </c>
      <c r="H1184">
        <v>0.15949405764320199</v>
      </c>
      <c r="I1184">
        <v>0.11004913456455601</v>
      </c>
      <c r="J1184">
        <v>8.8246109581530105E-2</v>
      </c>
      <c r="K1184">
        <v>7.4261658664743393E-2</v>
      </c>
      <c r="L1184">
        <v>1136.6774162157201</v>
      </c>
      <c r="M1184">
        <v>21.718842968283301</v>
      </c>
      <c r="N1184">
        <v>52.665976412774903</v>
      </c>
      <c r="O1184">
        <v>51.898385489379997</v>
      </c>
      <c r="P1184">
        <v>-9.7969016134494005E-2</v>
      </c>
      <c r="Q1184">
        <v>6.3612505241013195E-2</v>
      </c>
      <c r="R1184">
        <v>0.99853967390044196</v>
      </c>
      <c r="S1184" t="s">
        <v>6767</v>
      </c>
      <c r="T1184" t="s">
        <v>11164</v>
      </c>
      <c r="U1184" t="s">
        <v>11164</v>
      </c>
      <c r="V1184" t="s">
        <v>11164</v>
      </c>
      <c r="W1184" t="s">
        <v>12319</v>
      </c>
      <c r="X1184">
        <v>15</v>
      </c>
      <c r="Y1184" t="s">
        <v>17852</v>
      </c>
      <c r="Z1184" t="s">
        <v>23334</v>
      </c>
      <c r="AA1184">
        <v>0.55283738359874968</v>
      </c>
      <c r="AB1184" t="str">
        <f>HYPERLINK("Melting_Curves/meltCurve_O00178_GTPBP1.pdf", "Melting_Curves/meltCurve_O00178_GTPBP1.pdf")</f>
        <v>Melting_Curves/meltCurve_O00178_GTPBP1.pdf</v>
      </c>
    </row>
    <row r="1185" spans="1:28" x14ac:dyDescent="0.25">
      <c r="A1185" t="s">
        <v>1189</v>
      </c>
      <c r="B1185">
        <v>0.99796759195183404</v>
      </c>
      <c r="C1185">
        <v>1.13746689258526</v>
      </c>
      <c r="D1185">
        <v>1.05203955693231</v>
      </c>
      <c r="E1185">
        <v>0.97554969644196199</v>
      </c>
      <c r="F1185">
        <v>0.86717537013707702</v>
      </c>
      <c r="G1185">
        <v>0.240437382451891</v>
      </c>
      <c r="H1185">
        <v>0.16993470823710699</v>
      </c>
      <c r="I1185">
        <v>0.14432759541944101</v>
      </c>
      <c r="J1185">
        <v>9.1778623452193495E-2</v>
      </c>
      <c r="K1185">
        <v>6.8608961715053499E-2</v>
      </c>
      <c r="L1185">
        <v>2579.5256361868301</v>
      </c>
      <c r="M1185">
        <v>49.686496867693997</v>
      </c>
      <c r="N1185">
        <v>52.1910644627688</v>
      </c>
      <c r="O1185">
        <v>51.832139158087699</v>
      </c>
      <c r="P1185">
        <v>-0.212049003866183</v>
      </c>
      <c r="Q1185">
        <v>0.11517659709410399</v>
      </c>
      <c r="R1185">
        <v>0.98547145688997895</v>
      </c>
      <c r="S1185" t="s">
        <v>6768</v>
      </c>
      <c r="T1185" t="s">
        <v>11164</v>
      </c>
      <c r="U1185" t="s">
        <v>11164</v>
      </c>
      <c r="V1185" t="s">
        <v>11164</v>
      </c>
      <c r="W1185" t="s">
        <v>12320</v>
      </c>
      <c r="X1185">
        <v>15</v>
      </c>
      <c r="Y1185" t="s">
        <v>17853</v>
      </c>
      <c r="Z1185" t="s">
        <v>23335</v>
      </c>
      <c r="AA1185">
        <v>0.55716298835980527</v>
      </c>
      <c r="AB1185" t="str">
        <f>HYPERLINK("Melting_Curves/meltCurve_O00186_STXBP3.pdf", "Melting_Curves/meltCurve_O00186_STXBP3.pdf")</f>
        <v>Melting_Curves/meltCurve_O00186_STXBP3.pdf</v>
      </c>
    </row>
    <row r="1186" spans="1:28" x14ac:dyDescent="0.25">
      <c r="A1186" t="s">
        <v>1190</v>
      </c>
      <c r="B1186">
        <v>0.99796759195183404</v>
      </c>
      <c r="C1186">
        <v>1.2179017605457001</v>
      </c>
      <c r="D1186">
        <v>1.1011506240444799</v>
      </c>
      <c r="E1186">
        <v>1.04531186067336</v>
      </c>
      <c r="F1186">
        <v>1.0188339461865299</v>
      </c>
      <c r="G1186">
        <v>0.81160527219684997</v>
      </c>
      <c r="H1186">
        <v>0.98445324221865704</v>
      </c>
      <c r="I1186">
        <v>0.89270053960360796</v>
      </c>
      <c r="J1186">
        <v>1.3307286839075201</v>
      </c>
      <c r="K1186">
        <v>1.0423642724897599</v>
      </c>
      <c r="L1186">
        <v>15000</v>
      </c>
      <c r="M1186">
        <v>240.10319081433701</v>
      </c>
      <c r="O1186">
        <v>62.468804763316299</v>
      </c>
      <c r="P1186">
        <v>0.179139561990343</v>
      </c>
      <c r="Q1186">
        <v>1.1864304137995101</v>
      </c>
      <c r="R1186">
        <v>0.24999818667044801</v>
      </c>
      <c r="S1186" t="s">
        <v>6769</v>
      </c>
      <c r="T1186" t="s">
        <v>11164</v>
      </c>
      <c r="U1186" t="s">
        <v>11164</v>
      </c>
      <c r="V1186" t="s">
        <v>11164</v>
      </c>
      <c r="W1186" t="s">
        <v>12321</v>
      </c>
      <c r="X1186">
        <v>13</v>
      </c>
      <c r="Y1186" t="s">
        <v>17854</v>
      </c>
      <c r="Z1186" t="s">
        <v>23336</v>
      </c>
      <c r="AA1186">
        <v>1.0281093258835869</v>
      </c>
      <c r="AB1186" t="str">
        <f>HYPERLINK("Melting_Curves/meltCurve_O00193_SMAP.pdf", "Melting_Curves/meltCurve_O00193_SMAP.pdf")</f>
        <v>Melting_Curves/meltCurve_O00193_SMAP.pdf</v>
      </c>
    </row>
    <row r="1187" spans="1:28" x14ac:dyDescent="0.25">
      <c r="A1187" t="s">
        <v>1191</v>
      </c>
      <c r="B1187">
        <v>0.99796759195183404</v>
      </c>
      <c r="C1187">
        <v>1.1370354797917299</v>
      </c>
      <c r="D1187">
        <v>1.11241226731481</v>
      </c>
      <c r="E1187">
        <v>1.04833553078413</v>
      </c>
      <c r="F1187">
        <v>0.76646904547800299</v>
      </c>
      <c r="G1187">
        <v>0.38217452256599499</v>
      </c>
      <c r="H1187">
        <v>0.28078200454352398</v>
      </c>
      <c r="I1187">
        <v>0.209223454422344</v>
      </c>
      <c r="J1187">
        <v>0.187591548845645</v>
      </c>
      <c r="K1187">
        <v>0.13645577494320499</v>
      </c>
      <c r="L1187">
        <v>1580.3300029821901</v>
      </c>
      <c r="M1187">
        <v>30.468704222427899</v>
      </c>
      <c r="N1187">
        <v>52.679901478739303</v>
      </c>
      <c r="O1187">
        <v>51.645427196292403</v>
      </c>
      <c r="P1187">
        <v>-0.119837468004606</v>
      </c>
      <c r="Q1187">
        <v>0.18749162886766199</v>
      </c>
      <c r="R1187">
        <v>0.97332522120266896</v>
      </c>
      <c r="S1187" t="s">
        <v>6770</v>
      </c>
      <c r="T1187" t="s">
        <v>11164</v>
      </c>
      <c r="U1187" t="s">
        <v>11164</v>
      </c>
      <c r="V1187" t="s">
        <v>11164</v>
      </c>
      <c r="W1187" t="s">
        <v>12322</v>
      </c>
      <c r="X1187">
        <v>5</v>
      </c>
      <c r="Y1187" t="s">
        <v>17855</v>
      </c>
      <c r="Z1187" t="s">
        <v>23337</v>
      </c>
      <c r="AA1187">
        <v>0.59512072810261496</v>
      </c>
      <c r="AB1187" t="str">
        <f>HYPERLINK("Melting_Curves/meltCurve_O00213_2_APBB1.pdf", "Melting_Curves/meltCurve_O00213_2_APBB1.pdf")</f>
        <v>Melting_Curves/meltCurve_O00213_2_APBB1.pdf</v>
      </c>
    </row>
    <row r="1188" spans="1:28" x14ac:dyDescent="0.25">
      <c r="A1188" t="s">
        <v>1192</v>
      </c>
      <c r="B1188">
        <v>0.99796759195183404</v>
      </c>
      <c r="C1188">
        <v>1.0565672516606699</v>
      </c>
      <c r="D1188">
        <v>1.02972695001132</v>
      </c>
      <c r="E1188">
        <v>0.97430814730007498</v>
      </c>
      <c r="F1188">
        <v>0.92477667263261498</v>
      </c>
      <c r="G1188">
        <v>0.88923779241308498</v>
      </c>
      <c r="H1188">
        <v>0.63367468916484604</v>
      </c>
      <c r="I1188">
        <v>0.376584835480821</v>
      </c>
      <c r="J1188">
        <v>0.31720382508080802</v>
      </c>
      <c r="K1188">
        <v>0.25045709560816098</v>
      </c>
      <c r="L1188">
        <v>1299.6541805755301</v>
      </c>
      <c r="M1188">
        <v>22.5564964356814</v>
      </c>
      <c r="N1188">
        <v>59.186524185253603</v>
      </c>
      <c r="O1188">
        <v>57.170615031884701</v>
      </c>
      <c r="P1188">
        <v>-7.6443879056481201E-2</v>
      </c>
      <c r="Q1188">
        <v>0.22501181952393901</v>
      </c>
      <c r="R1188">
        <v>0.99108296327166201</v>
      </c>
      <c r="S1188" t="s">
        <v>6771</v>
      </c>
      <c r="T1188" t="s">
        <v>11164</v>
      </c>
      <c r="U1188" t="s">
        <v>11164</v>
      </c>
      <c r="V1188" t="s">
        <v>11164</v>
      </c>
      <c r="W1188" t="s">
        <v>12323</v>
      </c>
      <c r="X1188">
        <v>8</v>
      </c>
      <c r="Y1188" t="s">
        <v>17856</v>
      </c>
      <c r="Z1188" t="s">
        <v>23338</v>
      </c>
      <c r="AA1188">
        <v>0.76335598843106289</v>
      </c>
      <c r="AB1188" t="str">
        <f>HYPERLINK("Melting_Curves/meltCurve_O00217_NDUFS8.pdf", "Melting_Curves/meltCurve_O00217_NDUFS8.pdf")</f>
        <v>Melting_Curves/meltCurve_O00217_NDUFS8.pdf</v>
      </c>
    </row>
    <row r="1189" spans="1:28" x14ac:dyDescent="0.25">
      <c r="A1189" t="s">
        <v>1193</v>
      </c>
      <c r="B1189">
        <v>0.99796759195183404</v>
      </c>
      <c r="C1189">
        <v>1.0505899369784899</v>
      </c>
      <c r="D1189">
        <v>0.90788332195875798</v>
      </c>
      <c r="E1189">
        <v>0.95364094240810804</v>
      </c>
      <c r="F1189">
        <v>0.80839665859375198</v>
      </c>
      <c r="G1189">
        <v>0.389297517278829</v>
      </c>
      <c r="H1189">
        <v>0.17662337458966501</v>
      </c>
      <c r="I1189">
        <v>0.14223665886033099</v>
      </c>
      <c r="J1189">
        <v>0.11672532941782</v>
      </c>
      <c r="K1189">
        <v>8.05820602472236E-2</v>
      </c>
      <c r="L1189">
        <v>1442.1526879661501</v>
      </c>
      <c r="M1189">
        <v>27.5150371586343</v>
      </c>
      <c r="N1189">
        <v>52.854388445136998</v>
      </c>
      <c r="O1189">
        <v>52.138757690278702</v>
      </c>
      <c r="P1189">
        <v>-0.118397726610999</v>
      </c>
      <c r="Q1189">
        <v>0.102592196690952</v>
      </c>
      <c r="R1189">
        <v>0.99198456837712801</v>
      </c>
      <c r="S1189" t="s">
        <v>6772</v>
      </c>
      <c r="T1189" t="s">
        <v>11164</v>
      </c>
      <c r="U1189" t="s">
        <v>11164</v>
      </c>
      <c r="V1189" t="s">
        <v>11164</v>
      </c>
      <c r="W1189" t="s">
        <v>12324</v>
      </c>
      <c r="X1189">
        <v>3</v>
      </c>
      <c r="Y1189" t="s">
        <v>17857</v>
      </c>
      <c r="Z1189" t="s">
        <v>23339</v>
      </c>
      <c r="AA1189">
        <v>0.57034327435621357</v>
      </c>
      <c r="AB1189" t="str">
        <f>HYPERLINK("Melting_Curves/meltCurve_O00221_NFKBIE.pdf", "Melting_Curves/meltCurve_O00221_NFKBIE.pdf")</f>
        <v>Melting_Curves/meltCurve_O00221_NFKBIE.pdf</v>
      </c>
    </row>
    <row r="1190" spans="1:28" x14ac:dyDescent="0.25">
      <c r="A1190" t="s">
        <v>1194</v>
      </c>
      <c r="B1190">
        <v>0.99796759195183404</v>
      </c>
      <c r="C1190">
        <v>0.93575976153954499</v>
      </c>
      <c r="D1190">
        <v>0.84795336960199297</v>
      </c>
      <c r="E1190">
        <v>0.79843776447061399</v>
      </c>
      <c r="F1190">
        <v>0.59746296474898497</v>
      </c>
      <c r="G1190">
        <v>0.81339858042524704</v>
      </c>
      <c r="H1190">
        <v>0.40945710182428002</v>
      </c>
      <c r="I1190">
        <v>0.245137537703467</v>
      </c>
      <c r="J1190">
        <v>8.7564394212607005E-2</v>
      </c>
      <c r="K1190">
        <v>7.0958836226946501E-2</v>
      </c>
      <c r="L1190">
        <v>556.25362376888597</v>
      </c>
      <c r="M1190">
        <v>10.119791073106001</v>
      </c>
      <c r="N1190">
        <v>54.966905539799797</v>
      </c>
      <c r="O1190">
        <v>52.95003096184</v>
      </c>
      <c r="P1190">
        <v>-4.7802115213678602E-2</v>
      </c>
      <c r="Q1190">
        <v>0</v>
      </c>
      <c r="R1190">
        <v>0.89818475718455904</v>
      </c>
      <c r="S1190" t="s">
        <v>6773</v>
      </c>
      <c r="T1190" t="s">
        <v>11164</v>
      </c>
      <c r="U1190" t="s">
        <v>11164</v>
      </c>
      <c r="V1190" t="s">
        <v>11164</v>
      </c>
      <c r="W1190" t="s">
        <v>12325</v>
      </c>
      <c r="X1190">
        <v>11</v>
      </c>
      <c r="Y1190" t="s">
        <v>17858</v>
      </c>
      <c r="Z1190" t="s">
        <v>23340</v>
      </c>
      <c r="AA1190">
        <v>0.61144938265385607</v>
      </c>
      <c r="AB1190" t="str">
        <f>HYPERLINK("Melting_Curves/meltCurve_O00231_PSMD11.pdf", "Melting_Curves/meltCurve_O00231_PSMD11.pdf")</f>
        <v>Melting_Curves/meltCurve_O00231_PSMD11.pdf</v>
      </c>
    </row>
    <row r="1191" spans="1:28" x14ac:dyDescent="0.25">
      <c r="A1191" t="s">
        <v>1195</v>
      </c>
      <c r="B1191">
        <v>0.99796759195183404</v>
      </c>
      <c r="C1191">
        <v>0.89990104861832398</v>
      </c>
      <c r="D1191">
        <v>0.96768773807244102</v>
      </c>
      <c r="E1191">
        <v>0.94065946506960496</v>
      </c>
      <c r="F1191">
        <v>0.72713957051483502</v>
      </c>
      <c r="G1191">
        <v>0.76770931589706803</v>
      </c>
      <c r="H1191">
        <v>0.53650532996256095</v>
      </c>
      <c r="I1191">
        <v>0.34104248296287298</v>
      </c>
      <c r="J1191">
        <v>0.17405679328391599</v>
      </c>
      <c r="K1191">
        <v>6.3361094493587899E-2</v>
      </c>
      <c r="L1191">
        <v>722.24120116248798</v>
      </c>
      <c r="M1191">
        <v>12.606081536014001</v>
      </c>
      <c r="N1191">
        <v>57.293077239393497</v>
      </c>
      <c r="O1191">
        <v>55.9086773337362</v>
      </c>
      <c r="P1191">
        <v>-5.6380301680161997E-2</v>
      </c>
      <c r="Q1191">
        <v>0</v>
      </c>
      <c r="R1191">
        <v>0.96181759917661402</v>
      </c>
      <c r="S1191" t="s">
        <v>6774</v>
      </c>
      <c r="T1191" t="s">
        <v>11164</v>
      </c>
      <c r="U1191" t="s">
        <v>11164</v>
      </c>
      <c r="V1191" t="s">
        <v>11164</v>
      </c>
      <c r="W1191" t="s">
        <v>12326</v>
      </c>
      <c r="X1191">
        <v>3</v>
      </c>
      <c r="Y1191" t="s">
        <v>17859</v>
      </c>
      <c r="Z1191" t="s">
        <v>23341</v>
      </c>
      <c r="AA1191">
        <v>0.68061833258513849</v>
      </c>
      <c r="AB1191" t="str">
        <f>HYPERLINK("Melting_Curves/meltCurve_O00232_PSMD12.pdf", "Melting_Curves/meltCurve_O00232_PSMD12.pdf")</f>
        <v>Melting_Curves/meltCurve_O00232_PSMD12.pdf</v>
      </c>
    </row>
    <row r="1192" spans="1:28" x14ac:dyDescent="0.25">
      <c r="A1192" t="s">
        <v>1196</v>
      </c>
      <c r="B1192">
        <v>0.99796759195183404</v>
      </c>
      <c r="C1192">
        <v>1.04863990003467</v>
      </c>
      <c r="D1192">
        <v>0.93552323663869896</v>
      </c>
      <c r="E1192">
        <v>0.92314313173714901</v>
      </c>
      <c r="F1192">
        <v>0.82987947419743802</v>
      </c>
      <c r="G1192">
        <v>0.64077057939505799</v>
      </c>
      <c r="H1192">
        <v>0.546961188224102</v>
      </c>
      <c r="I1192">
        <v>0.49264364144406197</v>
      </c>
      <c r="J1192">
        <v>0.548411036481808</v>
      </c>
      <c r="K1192">
        <v>0.52816664411473402</v>
      </c>
      <c r="L1192">
        <v>1043.80824265566</v>
      </c>
      <c r="M1192">
        <v>20.3703237537757</v>
      </c>
      <c r="O1192">
        <v>50.7554388136912</v>
      </c>
      <c r="P1192">
        <v>-4.9128757727444697E-2</v>
      </c>
      <c r="Q1192">
        <v>0.51037072082480495</v>
      </c>
      <c r="R1192">
        <v>0.97901591919376596</v>
      </c>
      <c r="S1192" t="s">
        <v>6775</v>
      </c>
      <c r="T1192" t="s">
        <v>11164</v>
      </c>
      <c r="U1192" t="s">
        <v>11164</v>
      </c>
      <c r="V1192" t="s">
        <v>11164</v>
      </c>
      <c r="W1192" t="s">
        <v>12327</v>
      </c>
      <c r="X1192">
        <v>7</v>
      </c>
      <c r="Y1192" t="s">
        <v>17860</v>
      </c>
      <c r="Z1192" t="s">
        <v>23342</v>
      </c>
      <c r="AA1192">
        <v>0.74901136399863644</v>
      </c>
      <c r="AB1192" t="str">
        <f>HYPERLINK("Melting_Curves/meltCurve_O00244_ATOX1.pdf", "Melting_Curves/meltCurve_O00244_ATOX1.pdf")</f>
        <v>Melting_Curves/meltCurve_O00244_ATOX1.pdf</v>
      </c>
    </row>
    <row r="1193" spans="1:28" x14ac:dyDescent="0.25">
      <c r="A1193" t="s">
        <v>1197</v>
      </c>
      <c r="B1193">
        <v>0.99796759195183404</v>
      </c>
      <c r="C1193">
        <v>0.96298276845546305</v>
      </c>
      <c r="D1193">
        <v>0.91297646315276004</v>
      </c>
      <c r="E1193">
        <v>0.88083020015382796</v>
      </c>
      <c r="F1193">
        <v>0.78085318456228603</v>
      </c>
      <c r="G1193">
        <v>0.64170911828455801</v>
      </c>
      <c r="H1193">
        <v>0.50151860435210305</v>
      </c>
      <c r="I1193">
        <v>0.46739867237718402</v>
      </c>
      <c r="J1193">
        <v>0.464420471284476</v>
      </c>
      <c r="K1193">
        <v>0.54086344987119095</v>
      </c>
      <c r="L1193">
        <v>721.901493976609</v>
      </c>
      <c r="M1193">
        <v>14.220785780978501</v>
      </c>
      <c r="N1193">
        <v>61.333474854389202</v>
      </c>
      <c r="O1193">
        <v>49.791639990480697</v>
      </c>
      <c r="P1193">
        <v>-3.8784227034625703E-2</v>
      </c>
      <c r="Q1193">
        <v>0.45688235173966601</v>
      </c>
      <c r="R1193">
        <v>0.97071736014426502</v>
      </c>
      <c r="S1193" t="s">
        <v>6776</v>
      </c>
      <c r="T1193" t="s">
        <v>11164</v>
      </c>
      <c r="U1193" t="s">
        <v>11164</v>
      </c>
      <c r="V1193" t="s">
        <v>11164</v>
      </c>
      <c r="W1193" t="s">
        <v>12328</v>
      </c>
      <c r="X1193">
        <v>15</v>
      </c>
      <c r="Y1193" t="s">
        <v>17861</v>
      </c>
      <c r="Z1193" t="s">
        <v>23343</v>
      </c>
      <c r="AA1193">
        <v>0.71790182679661663</v>
      </c>
      <c r="AB1193" t="str">
        <f>HYPERLINK("Melting_Curves/meltCurve_O00264_PGRMC1.pdf", "Melting_Curves/meltCurve_O00264_PGRMC1.pdf")</f>
        <v>Melting_Curves/meltCurve_O00264_PGRMC1.pdf</v>
      </c>
    </row>
    <row r="1194" spans="1:28" x14ac:dyDescent="0.25">
      <c r="A1194" t="s">
        <v>1198</v>
      </c>
      <c r="B1194">
        <v>0.99796759195183404</v>
      </c>
      <c r="C1194">
        <v>1.1051218134612599</v>
      </c>
      <c r="D1194">
        <v>1.06560214039051</v>
      </c>
      <c r="E1194">
        <v>0.97987930986828498</v>
      </c>
      <c r="F1194">
        <v>0.83767616507777998</v>
      </c>
      <c r="G1194">
        <v>0.55448220407555004</v>
      </c>
      <c r="H1194">
        <v>0.23940957150490999</v>
      </c>
      <c r="I1194">
        <v>0.215397738996885</v>
      </c>
      <c r="J1194">
        <v>0.14379206951252901</v>
      </c>
      <c r="K1194">
        <v>0.10973139223348601</v>
      </c>
      <c r="L1194">
        <v>1277.3015484798</v>
      </c>
      <c r="M1194">
        <v>23.857084347078999</v>
      </c>
      <c r="N1194">
        <v>54.198393196282801</v>
      </c>
      <c r="O1194">
        <v>53.167788261383997</v>
      </c>
      <c r="P1194">
        <v>-9.8062835838324799E-2</v>
      </c>
      <c r="Q1194">
        <v>0.12584451593236301</v>
      </c>
      <c r="R1194">
        <v>0.98721825447155998</v>
      </c>
      <c r="S1194" t="s">
        <v>6777</v>
      </c>
      <c r="T1194" t="s">
        <v>11164</v>
      </c>
      <c r="U1194" t="s">
        <v>11164</v>
      </c>
      <c r="V1194" t="s">
        <v>11164</v>
      </c>
      <c r="W1194" t="s">
        <v>12329</v>
      </c>
      <c r="X1194">
        <v>23</v>
      </c>
      <c r="Y1194" t="s">
        <v>17862</v>
      </c>
      <c r="Z1194" t="s">
        <v>23344</v>
      </c>
      <c r="AA1194">
        <v>0.6160856496732634</v>
      </c>
      <c r="AB1194" t="str">
        <f>HYPERLINK("Melting_Curves/meltCurve_O00267_2_SUPT5H.pdf", "Melting_Curves/meltCurve_O00267_2_SUPT5H.pdf")</f>
        <v>Melting_Curves/meltCurve_O00267_2_SUPT5H.pdf</v>
      </c>
    </row>
    <row r="1195" spans="1:28" x14ac:dyDescent="0.25">
      <c r="A1195" t="s">
        <v>1199</v>
      </c>
      <c r="B1195">
        <v>0.99796759195183404</v>
      </c>
      <c r="C1195">
        <v>0.97678006551593299</v>
      </c>
      <c r="D1195">
        <v>0.985073060546935</v>
      </c>
      <c r="E1195">
        <v>0.981537969047652</v>
      </c>
      <c r="F1195">
        <v>0.85488362215570401</v>
      </c>
      <c r="G1195">
        <v>0.59347312271430996</v>
      </c>
      <c r="H1195">
        <v>0.65447956442969202</v>
      </c>
      <c r="I1195">
        <v>0.57837273485427698</v>
      </c>
      <c r="J1195">
        <v>0.64553512503029398</v>
      </c>
      <c r="K1195">
        <v>0.61104487616374803</v>
      </c>
      <c r="L1195">
        <v>12574.8994479717</v>
      </c>
      <c r="M1195">
        <v>250</v>
      </c>
      <c r="O1195">
        <v>50.296378923758198</v>
      </c>
      <c r="P1195">
        <v>-0.47644945995083099</v>
      </c>
      <c r="Q1195">
        <v>0.61658107902846804</v>
      </c>
      <c r="R1195">
        <v>0.98265686241392602</v>
      </c>
      <c r="S1195" t="s">
        <v>6778</v>
      </c>
      <c r="T1195" t="s">
        <v>11164</v>
      </c>
      <c r="U1195" t="s">
        <v>11164</v>
      </c>
      <c r="V1195" t="s">
        <v>11164</v>
      </c>
      <c r="W1195" t="s">
        <v>12330</v>
      </c>
      <c r="X1195">
        <v>24</v>
      </c>
      <c r="Y1195" t="s">
        <v>17863</v>
      </c>
      <c r="Z1195" t="s">
        <v>23345</v>
      </c>
      <c r="AA1195">
        <v>0.7865921731620652</v>
      </c>
      <c r="AB1195" t="str">
        <f>HYPERLINK("Melting_Curves/meltCurve_O00273_DFFA.pdf", "Melting_Curves/meltCurve_O00273_DFFA.pdf")</f>
        <v>Melting_Curves/meltCurve_O00273_DFFA.pdf</v>
      </c>
    </row>
    <row r="1196" spans="1:28" x14ac:dyDescent="0.25">
      <c r="A1196" t="s">
        <v>1200</v>
      </c>
      <c r="B1196">
        <v>0.99796759195183404</v>
      </c>
      <c r="C1196">
        <v>0.99432154436348696</v>
      </c>
      <c r="D1196">
        <v>1.0136673653989801</v>
      </c>
      <c r="E1196">
        <v>0.880299301746996</v>
      </c>
      <c r="F1196">
        <v>0.89815330260818604</v>
      </c>
      <c r="G1196">
        <v>0.71849441986805995</v>
      </c>
      <c r="H1196">
        <v>0.59736580179792398</v>
      </c>
      <c r="I1196">
        <v>0.52910945876201698</v>
      </c>
      <c r="J1196">
        <v>0.67534457875727705</v>
      </c>
      <c r="K1196">
        <v>0.56723614592567895</v>
      </c>
      <c r="L1196">
        <v>1041.50194855367</v>
      </c>
      <c r="M1196">
        <v>20.091074152968101</v>
      </c>
      <c r="O1196">
        <v>51.333663864433298</v>
      </c>
      <c r="P1196">
        <v>-4.1604697706288801E-2</v>
      </c>
      <c r="Q1196">
        <v>0.57480556588986798</v>
      </c>
      <c r="R1196">
        <v>0.93154743627171699</v>
      </c>
      <c r="S1196" t="s">
        <v>6779</v>
      </c>
      <c r="T1196" t="s">
        <v>11164</v>
      </c>
      <c r="U1196" t="s">
        <v>11164</v>
      </c>
      <c r="V1196" t="s">
        <v>11164</v>
      </c>
      <c r="W1196" t="s">
        <v>12331</v>
      </c>
      <c r="X1196">
        <v>20</v>
      </c>
      <c r="Y1196" t="s">
        <v>17863</v>
      </c>
      <c r="Z1196" t="s">
        <v>23346</v>
      </c>
      <c r="AA1196">
        <v>0.79058873408746444</v>
      </c>
      <c r="AB1196" t="str">
        <f>HYPERLINK("Melting_Curves/meltCurve_O00273_2_DFFA.pdf", "Melting_Curves/meltCurve_O00273_2_DFFA.pdf")</f>
        <v>Melting_Curves/meltCurve_O00273_2_DFFA.pdf</v>
      </c>
    </row>
    <row r="1197" spans="1:28" x14ac:dyDescent="0.25">
      <c r="A1197" t="s">
        <v>1201</v>
      </c>
      <c r="B1197">
        <v>0.99796759195183404</v>
      </c>
      <c r="C1197">
        <v>0.76096064098861904</v>
      </c>
      <c r="D1197">
        <v>0.82391503382214604</v>
      </c>
      <c r="E1197">
        <v>0.78394524200107996</v>
      </c>
      <c r="F1197">
        <v>0.64447041463863297</v>
      </c>
      <c r="G1197">
        <v>0.47307657946722198</v>
      </c>
      <c r="H1197">
        <v>0.70324355010308104</v>
      </c>
      <c r="I1197">
        <v>0.66067024182869205</v>
      </c>
      <c r="J1197">
        <v>0.95375369582742497</v>
      </c>
      <c r="K1197">
        <v>0.80395324844080696</v>
      </c>
      <c r="L1197">
        <v>3113.2839646020402</v>
      </c>
      <c r="M1197">
        <v>80.065901341795495</v>
      </c>
      <c r="O1197">
        <v>38.859802965867701</v>
      </c>
      <c r="P1197">
        <v>-0.13867844467655799</v>
      </c>
      <c r="Q1197">
        <v>0.73077111797057104</v>
      </c>
      <c r="R1197">
        <v>0.30273104225253999</v>
      </c>
      <c r="S1197" t="s">
        <v>6780</v>
      </c>
      <c r="T1197" t="s">
        <v>11164</v>
      </c>
      <c r="U1197" t="s">
        <v>11164</v>
      </c>
      <c r="V1197" t="s">
        <v>11164</v>
      </c>
      <c r="W1197" t="s">
        <v>12332</v>
      </c>
      <c r="X1197">
        <v>2</v>
      </c>
      <c r="Y1197" t="s">
        <v>17864</v>
      </c>
      <c r="Z1197" t="s">
        <v>23347</v>
      </c>
      <c r="AA1197">
        <v>0.74792316262467318</v>
      </c>
      <c r="AB1197" t="str">
        <f>HYPERLINK("Melting_Curves/meltCurve_O00287_RFXAP.pdf", "Melting_Curves/meltCurve_O00287_RFXAP.pdf")</f>
        <v>Melting_Curves/meltCurve_O00287_RFXAP.pdf</v>
      </c>
    </row>
    <row r="1198" spans="1:28" x14ac:dyDescent="0.25">
      <c r="A1198" t="s">
        <v>1202</v>
      </c>
      <c r="B1198">
        <v>0.99796759195183404</v>
      </c>
      <c r="C1198">
        <v>1.0007713305200701</v>
      </c>
      <c r="D1198">
        <v>0.96653406129257202</v>
      </c>
      <c r="E1198">
        <v>0.896897041725782</v>
      </c>
      <c r="F1198">
        <v>0.752626350874537</v>
      </c>
      <c r="G1198">
        <v>0.54262339086773204</v>
      </c>
      <c r="H1198">
        <v>0.22744018662180501</v>
      </c>
      <c r="I1198">
        <v>0.197764195693269</v>
      </c>
      <c r="J1198">
        <v>0.13631716298440499</v>
      </c>
      <c r="K1198">
        <v>8.9850627990692294E-2</v>
      </c>
      <c r="L1198">
        <v>869.556601287886</v>
      </c>
      <c r="M1198">
        <v>16.2998405313581</v>
      </c>
      <c r="N1198">
        <v>53.810840393077903</v>
      </c>
      <c r="O1198">
        <v>52.563968728776302</v>
      </c>
      <c r="P1198">
        <v>-7.2453987629134201E-2</v>
      </c>
      <c r="Q1198">
        <v>6.54653135161338E-2</v>
      </c>
      <c r="R1198">
        <v>0.99452702688219097</v>
      </c>
      <c r="S1198" t="s">
        <v>6781</v>
      </c>
      <c r="T1198" t="s">
        <v>11164</v>
      </c>
      <c r="U1198" t="s">
        <v>11164</v>
      </c>
      <c r="V1198" t="s">
        <v>11164</v>
      </c>
      <c r="W1198" t="s">
        <v>12333</v>
      </c>
      <c r="X1198">
        <v>13</v>
      </c>
      <c r="Y1198" t="s">
        <v>17865</v>
      </c>
      <c r="Z1198" t="s">
        <v>23348</v>
      </c>
      <c r="AA1198">
        <v>0.58964935399150764</v>
      </c>
      <c r="AB1198" t="str">
        <f>HYPERLINK("Melting_Curves/meltCurve_O00291_HIP1.pdf", "Melting_Curves/meltCurve_O00291_HIP1.pdf")</f>
        <v>Melting_Curves/meltCurve_O00291_HIP1.pdf</v>
      </c>
    </row>
    <row r="1199" spans="1:28" x14ac:dyDescent="0.25">
      <c r="A1199" t="s">
        <v>1203</v>
      </c>
      <c r="B1199">
        <v>0.99796759195183404</v>
      </c>
      <c r="C1199">
        <v>0.97841564426425598</v>
      </c>
      <c r="D1199">
        <v>0.95259322904073995</v>
      </c>
      <c r="E1199">
        <v>0.87901645648896098</v>
      </c>
      <c r="F1199">
        <v>0.71866535730640102</v>
      </c>
      <c r="G1199">
        <v>0.50741419829079604</v>
      </c>
      <c r="H1199">
        <v>0.26087486379320302</v>
      </c>
      <c r="I1199">
        <v>0.110125687046535</v>
      </c>
      <c r="J1199">
        <v>8.2528189210371597E-2</v>
      </c>
      <c r="K1199">
        <v>5.9023115382392903E-2</v>
      </c>
      <c r="L1199">
        <v>780.76279885377005</v>
      </c>
      <c r="M1199">
        <v>14.6031412984421</v>
      </c>
      <c r="N1199">
        <v>53.465422816635602</v>
      </c>
      <c r="O1199">
        <v>52.492803533352799</v>
      </c>
      <c r="P1199">
        <v>-6.9556103989913104E-2</v>
      </c>
      <c r="Q1199">
        <v>0</v>
      </c>
      <c r="R1199">
        <v>0.99794549161760104</v>
      </c>
      <c r="S1199" t="s">
        <v>6782</v>
      </c>
      <c r="T1199" t="s">
        <v>11164</v>
      </c>
      <c r="U1199" t="s">
        <v>11164</v>
      </c>
      <c r="V1199" t="s">
        <v>11164</v>
      </c>
      <c r="W1199" t="s">
        <v>12334</v>
      </c>
      <c r="X1199">
        <v>25</v>
      </c>
      <c r="Y1199" t="s">
        <v>17866</v>
      </c>
      <c r="Z1199" t="s">
        <v>23349</v>
      </c>
      <c r="AA1199">
        <v>0.56636152521533478</v>
      </c>
      <c r="AB1199" t="str">
        <f>HYPERLINK("Melting_Curves/meltCurve_O00299_CLIC1.pdf", "Melting_Curves/meltCurve_O00299_CLIC1.pdf")</f>
        <v>Melting_Curves/meltCurve_O00299_CLIC1.pdf</v>
      </c>
    </row>
    <row r="1200" spans="1:28" x14ac:dyDescent="0.25">
      <c r="A1200" t="s">
        <v>1204</v>
      </c>
      <c r="B1200">
        <v>0.99796759195183404</v>
      </c>
      <c r="C1200">
        <v>0.95832718012010398</v>
      </c>
      <c r="D1200">
        <v>0.91705014758776504</v>
      </c>
      <c r="E1200">
        <v>0.89211641959249399</v>
      </c>
      <c r="F1200">
        <v>0.75134302304822898</v>
      </c>
      <c r="G1200">
        <v>0.68537225299993598</v>
      </c>
      <c r="H1200">
        <v>0.55975928180898504</v>
      </c>
      <c r="I1200">
        <v>0.37038068475203501</v>
      </c>
      <c r="J1200">
        <v>0.179733209676185</v>
      </c>
      <c r="K1200">
        <v>0.106950628268543</v>
      </c>
      <c r="L1200">
        <v>607.06898076461903</v>
      </c>
      <c r="M1200">
        <v>10.6341468388131</v>
      </c>
      <c r="N1200">
        <v>57.086759309468597</v>
      </c>
      <c r="O1200">
        <v>55.179010897053303</v>
      </c>
      <c r="P1200">
        <v>-4.81987309707992E-2</v>
      </c>
      <c r="Q1200">
        <v>0</v>
      </c>
      <c r="R1200">
        <v>0.97589387961416096</v>
      </c>
      <c r="S1200" t="s">
        <v>6783</v>
      </c>
      <c r="T1200" t="s">
        <v>11164</v>
      </c>
      <c r="U1200" t="s">
        <v>11164</v>
      </c>
      <c r="V1200" t="s">
        <v>11164</v>
      </c>
      <c r="W1200" t="s">
        <v>12335</v>
      </c>
      <c r="X1200">
        <v>10</v>
      </c>
      <c r="Y1200" t="s">
        <v>17867</v>
      </c>
      <c r="Z1200" t="s">
        <v>23350</v>
      </c>
      <c r="AA1200">
        <v>0.67026504436528755</v>
      </c>
      <c r="AB1200" t="str">
        <f>HYPERLINK("Melting_Curves/meltCurve_O00330_PDHX.pdf", "Melting_Curves/meltCurve_O00330_PDHX.pdf")</f>
        <v>Melting_Curves/meltCurve_O00330_PDHX.pdf</v>
      </c>
    </row>
    <row r="1201" spans="1:28" x14ac:dyDescent="0.25">
      <c r="A1201" t="s">
        <v>1205</v>
      </c>
      <c r="B1201">
        <v>0.99796759195183404</v>
      </c>
      <c r="C1201">
        <v>0.88023141727208598</v>
      </c>
      <c r="D1201">
        <v>0.911171122147582</v>
      </c>
      <c r="E1201">
        <v>0.96757724926795596</v>
      </c>
      <c r="F1201">
        <v>0.81899009347318696</v>
      </c>
      <c r="G1201">
        <v>0.68096279165919904</v>
      </c>
      <c r="H1201">
        <v>0.69143475579635105</v>
      </c>
      <c r="I1201">
        <v>0.56542777083361995</v>
      </c>
      <c r="J1201">
        <v>0.71154254368737901</v>
      </c>
      <c r="K1201">
        <v>0.73657869551903898</v>
      </c>
      <c r="L1201">
        <v>1622.57956387377</v>
      </c>
      <c r="M1201">
        <v>32.620038015493002</v>
      </c>
      <c r="O1201">
        <v>49.555980936520598</v>
      </c>
      <c r="P1201">
        <v>-5.3981066748319401E-2</v>
      </c>
      <c r="Q1201">
        <v>0.67197190900898496</v>
      </c>
      <c r="R1201">
        <v>0.77849896277312902</v>
      </c>
      <c r="S1201" t="s">
        <v>6784</v>
      </c>
      <c r="T1201" t="s">
        <v>11164</v>
      </c>
      <c r="U1201" t="s">
        <v>11164</v>
      </c>
      <c r="V1201" t="s">
        <v>11164</v>
      </c>
      <c r="W1201" t="s">
        <v>12336</v>
      </c>
      <c r="X1201">
        <v>2</v>
      </c>
      <c r="Y1201" t="s">
        <v>17868</v>
      </c>
      <c r="Z1201" t="s">
        <v>23351</v>
      </c>
      <c r="AA1201">
        <v>0.81299103391794769</v>
      </c>
      <c r="AB1201" t="str">
        <f>HYPERLINK("Melting_Curves/meltCurve_O00399_DCTN6.pdf", "Melting_Curves/meltCurve_O00399_DCTN6.pdf")</f>
        <v>Melting_Curves/meltCurve_O00399_DCTN6.pdf</v>
      </c>
    </row>
    <row r="1202" spans="1:28" x14ac:dyDescent="0.25">
      <c r="A1202" t="s">
        <v>1206</v>
      </c>
      <c r="B1202">
        <v>0.99796759195183404</v>
      </c>
      <c r="C1202">
        <v>0.98424030012258501</v>
      </c>
      <c r="D1202">
        <v>0.96628744516710896</v>
      </c>
      <c r="E1202">
        <v>0.95356986680253697</v>
      </c>
      <c r="F1202">
        <v>0.80543983841017097</v>
      </c>
      <c r="G1202">
        <v>0.58809229392994899</v>
      </c>
      <c r="H1202">
        <v>0.72432088758958302</v>
      </c>
      <c r="I1202">
        <v>0.58533908659169398</v>
      </c>
      <c r="J1202">
        <v>0.66009276061057998</v>
      </c>
      <c r="K1202">
        <v>0.239517268266943</v>
      </c>
      <c r="L1202">
        <v>388.998966855638</v>
      </c>
      <c r="M1202">
        <v>6.1549498866599803</v>
      </c>
      <c r="N1202">
        <v>63.200996579592697</v>
      </c>
      <c r="O1202">
        <v>57.506203016716803</v>
      </c>
      <c r="P1202">
        <v>-2.68368642323717E-2</v>
      </c>
      <c r="Q1202">
        <v>0</v>
      </c>
      <c r="R1202">
        <v>0.81401900949175998</v>
      </c>
      <c r="S1202" t="s">
        <v>6785</v>
      </c>
      <c r="T1202" t="s">
        <v>11164</v>
      </c>
      <c r="U1202" t="s">
        <v>11164</v>
      </c>
      <c r="V1202" t="s">
        <v>11164</v>
      </c>
      <c r="W1202" t="s">
        <v>12337</v>
      </c>
      <c r="X1202">
        <v>5</v>
      </c>
      <c r="Y1202" t="s">
        <v>17869</v>
      </c>
      <c r="Z1202" t="s">
        <v>23352</v>
      </c>
      <c r="AA1202">
        <v>0.75654881188958167</v>
      </c>
      <c r="AB1202" t="str">
        <f>HYPERLINK("Melting_Curves/meltCurve_O00400_SLC33A1.pdf", "Melting_Curves/meltCurve_O00400_SLC33A1.pdf")</f>
        <v>Melting_Curves/meltCurve_O00400_SLC33A1.pdf</v>
      </c>
    </row>
    <row r="1203" spans="1:28" x14ac:dyDescent="0.25">
      <c r="A1203" t="s">
        <v>1207</v>
      </c>
      <c r="B1203">
        <v>0.99796759195183404</v>
      </c>
      <c r="C1203">
        <v>0.93175920552795599</v>
      </c>
      <c r="D1203">
        <v>0.98505231035054597</v>
      </c>
      <c r="E1203">
        <v>0.95200432973712501</v>
      </c>
      <c r="F1203">
        <v>0.78262628105427301</v>
      </c>
      <c r="G1203">
        <v>0.52226727256030103</v>
      </c>
      <c r="H1203">
        <v>0.26814913135315699</v>
      </c>
      <c r="I1203">
        <v>0.16900473125646601</v>
      </c>
      <c r="J1203">
        <v>0.120319375344662</v>
      </c>
      <c r="K1203">
        <v>9.3756817913690907E-2</v>
      </c>
      <c r="L1203">
        <v>989.23213920998899</v>
      </c>
      <c r="M1203">
        <v>18.4920205301928</v>
      </c>
      <c r="N1203">
        <v>53.974436814503498</v>
      </c>
      <c r="O1203">
        <v>52.881257114251497</v>
      </c>
      <c r="P1203">
        <v>-8.0805740182808894E-2</v>
      </c>
      <c r="Q1203">
        <v>7.5726840525490904E-2</v>
      </c>
      <c r="R1203">
        <v>0.99642972343979297</v>
      </c>
      <c r="S1203" t="s">
        <v>6786</v>
      </c>
      <c r="T1203" t="s">
        <v>11164</v>
      </c>
      <c r="U1203" t="s">
        <v>11164</v>
      </c>
      <c r="V1203" t="s">
        <v>11164</v>
      </c>
      <c r="W1203" t="s">
        <v>12338</v>
      </c>
      <c r="X1203">
        <v>11</v>
      </c>
      <c r="Y1203" t="s">
        <v>17870</v>
      </c>
      <c r="Z1203" t="s">
        <v>23353</v>
      </c>
      <c r="AA1203">
        <v>0.59659598933266145</v>
      </c>
      <c r="AB1203" t="str">
        <f>HYPERLINK("Melting_Curves/meltCurve_O00401_WASL.pdf", "Melting_Curves/meltCurve_O00401_WASL.pdf")</f>
        <v>Melting_Curves/meltCurve_O00401_WASL.pdf</v>
      </c>
    </row>
    <row r="1204" spans="1:28" x14ac:dyDescent="0.25">
      <c r="A1204" t="s">
        <v>1208</v>
      </c>
      <c r="B1204">
        <v>0.99796759195183404</v>
      </c>
      <c r="C1204">
        <v>1.00413662788958</v>
      </c>
      <c r="D1204">
        <v>0.97890734987690098</v>
      </c>
      <c r="E1204">
        <v>0.92432757900362394</v>
      </c>
      <c r="F1204">
        <v>0.79278762020815696</v>
      </c>
      <c r="G1204">
        <v>0.89578537167636796</v>
      </c>
      <c r="H1204">
        <v>0.63110390123051896</v>
      </c>
      <c r="I1204">
        <v>0.262778127917909</v>
      </c>
      <c r="J1204">
        <v>0.115085199819567</v>
      </c>
      <c r="K1204">
        <v>8.45140822415551E-2</v>
      </c>
      <c r="L1204">
        <v>1204.57007269049</v>
      </c>
      <c r="M1204">
        <v>20.614701965367701</v>
      </c>
      <c r="N1204">
        <v>58.432587491445801</v>
      </c>
      <c r="O1204">
        <v>57.891049458758502</v>
      </c>
      <c r="P1204">
        <v>-8.9026270989320297E-2</v>
      </c>
      <c r="Q1204">
        <v>0</v>
      </c>
      <c r="R1204">
        <v>0.96757628268269602</v>
      </c>
      <c r="S1204" t="s">
        <v>6787</v>
      </c>
      <c r="T1204" t="s">
        <v>11164</v>
      </c>
      <c r="U1204" t="s">
        <v>11164</v>
      </c>
      <c r="V1204" t="s">
        <v>11164</v>
      </c>
      <c r="W1204" t="s">
        <v>12339</v>
      </c>
      <c r="X1204">
        <v>32</v>
      </c>
      <c r="Y1204" t="s">
        <v>17871</v>
      </c>
      <c r="Z1204" t="s">
        <v>23354</v>
      </c>
      <c r="AA1204">
        <v>0.72024564662211743</v>
      </c>
      <c r="AB1204" t="str">
        <f>HYPERLINK("Melting_Curves/meltCurve_O00410_IPO5.pdf", "Melting_Curves/meltCurve_O00410_IPO5.pdf")</f>
        <v>Melting_Curves/meltCurve_O00410_IPO5.pdf</v>
      </c>
    </row>
    <row r="1205" spans="1:28" x14ac:dyDescent="0.25">
      <c r="A1205" t="s">
        <v>1209</v>
      </c>
      <c r="B1205">
        <v>0.99796759195183404</v>
      </c>
      <c r="C1205">
        <v>0.97803147369501597</v>
      </c>
      <c r="D1205">
        <v>0.96032126811931895</v>
      </c>
      <c r="E1205">
        <v>0.94434243737677703</v>
      </c>
      <c r="F1205">
        <v>0.61605255968690398</v>
      </c>
      <c r="G1205">
        <v>0.42040024338964499</v>
      </c>
      <c r="H1205">
        <v>0.359632512764543</v>
      </c>
      <c r="I1205">
        <v>0.27370615348872102</v>
      </c>
      <c r="J1205">
        <v>0.242477510837108</v>
      </c>
      <c r="K1205">
        <v>0.17996515614609601</v>
      </c>
      <c r="L1205">
        <v>949.20661740502703</v>
      </c>
      <c r="M1205">
        <v>18.652052827006202</v>
      </c>
      <c r="N1205">
        <v>52.547905452084002</v>
      </c>
      <c r="O1205">
        <v>50.316041437306403</v>
      </c>
      <c r="P1205">
        <v>-7.2067199262653897E-2</v>
      </c>
      <c r="Q1205">
        <v>0.22239520205267899</v>
      </c>
      <c r="R1205">
        <v>0.988231328414377</v>
      </c>
      <c r="S1205" t="s">
        <v>6788</v>
      </c>
      <c r="T1205" t="s">
        <v>11164</v>
      </c>
      <c r="U1205" t="s">
        <v>11164</v>
      </c>
      <c r="V1205" t="s">
        <v>11164</v>
      </c>
      <c r="W1205" t="s">
        <v>12340</v>
      </c>
      <c r="X1205">
        <v>4</v>
      </c>
      <c r="Y1205" t="s">
        <v>17872</v>
      </c>
      <c r="Z1205" t="s">
        <v>23355</v>
      </c>
      <c r="AA1205">
        <v>0.59385645515078744</v>
      </c>
      <c r="AB1205" t="str">
        <f>HYPERLINK("Melting_Curves/meltCurve_O00418_EEF2K.pdf", "Melting_Curves/meltCurve_O00418_EEF2K.pdf")</f>
        <v>Melting_Curves/meltCurve_O00418_EEF2K.pdf</v>
      </c>
    </row>
    <row r="1206" spans="1:28" x14ac:dyDescent="0.25">
      <c r="A1206" t="s">
        <v>1210</v>
      </c>
      <c r="B1206">
        <v>0.99796759195183404</v>
      </c>
      <c r="C1206">
        <v>0.76438094172160298</v>
      </c>
      <c r="D1206">
        <v>0.98552236236316104</v>
      </c>
      <c r="E1206">
        <v>0.76661220696772003</v>
      </c>
      <c r="F1206">
        <v>0.69851412677884805</v>
      </c>
      <c r="G1206">
        <v>0.223852526808901</v>
      </c>
      <c r="H1206">
        <v>0.14699964634000701</v>
      </c>
      <c r="I1206">
        <v>0.15379206196040501</v>
      </c>
      <c r="J1206">
        <v>0.10391969635385299</v>
      </c>
      <c r="K1206">
        <v>0.11616800948452501</v>
      </c>
      <c r="L1206">
        <v>949.67434889912397</v>
      </c>
      <c r="M1206">
        <v>18.762938727889399</v>
      </c>
      <c r="N1206">
        <v>51.129324541505603</v>
      </c>
      <c r="O1206">
        <v>50.049948174834</v>
      </c>
      <c r="P1206">
        <v>-8.5655807102026693E-2</v>
      </c>
      <c r="Q1206">
        <v>8.6094374900289095E-2</v>
      </c>
      <c r="R1206">
        <v>0.93455362679453302</v>
      </c>
      <c r="S1206" t="s">
        <v>6789</v>
      </c>
      <c r="T1206" t="s">
        <v>11164</v>
      </c>
      <c r="U1206" t="s">
        <v>11164</v>
      </c>
      <c r="V1206" t="s">
        <v>11164</v>
      </c>
      <c r="W1206" t="s">
        <v>12341</v>
      </c>
      <c r="X1206">
        <v>3</v>
      </c>
      <c r="Y1206" t="s">
        <v>17873</v>
      </c>
      <c r="Z1206" t="s">
        <v>23356</v>
      </c>
      <c r="AA1206">
        <v>0.51418615902282405</v>
      </c>
      <c r="AB1206" t="str">
        <f>HYPERLINK("Melting_Curves/meltCurve_O00425_IGF2BP3.pdf", "Melting_Curves/meltCurve_O00425_IGF2BP3.pdf")</f>
        <v>Melting_Curves/meltCurve_O00425_IGF2BP3.pdf</v>
      </c>
    </row>
    <row r="1207" spans="1:28" x14ac:dyDescent="0.25">
      <c r="A1207" t="s">
        <v>1211</v>
      </c>
      <c r="B1207">
        <v>0.99796759195183404</v>
      </c>
      <c r="C1207">
        <v>1.11679316183271</v>
      </c>
      <c r="D1207">
        <v>0.89093187026336096</v>
      </c>
      <c r="E1207">
        <v>0.96566816217962403</v>
      </c>
      <c r="F1207">
        <v>0.85305721878321905</v>
      </c>
      <c r="G1207">
        <v>0.578972913404045</v>
      </c>
      <c r="H1207">
        <v>7.7385661919643106E-2</v>
      </c>
      <c r="I1207">
        <v>1.6212454074540202E-2</v>
      </c>
      <c r="J1207">
        <v>0</v>
      </c>
      <c r="K1207">
        <v>2.20002692916072E-2</v>
      </c>
      <c r="L1207">
        <v>1752.51203883169</v>
      </c>
      <c r="M1207">
        <v>32.438188258637297</v>
      </c>
      <c r="N1207">
        <v>54.026199814693797</v>
      </c>
      <c r="O1207">
        <v>53.822114891990601</v>
      </c>
      <c r="P1207">
        <v>-0.15067385965369101</v>
      </c>
      <c r="Q1207">
        <v>0</v>
      </c>
      <c r="R1207">
        <v>0.981781453169007</v>
      </c>
      <c r="S1207" t="s">
        <v>6790</v>
      </c>
      <c r="T1207" t="s">
        <v>11164</v>
      </c>
      <c r="U1207" t="s">
        <v>11164</v>
      </c>
      <c r="V1207" t="s">
        <v>11164</v>
      </c>
      <c r="W1207" t="s">
        <v>12342</v>
      </c>
      <c r="X1207">
        <v>35</v>
      </c>
      <c r="Y1207" t="s">
        <v>17874</v>
      </c>
      <c r="Z1207" t="s">
        <v>23357</v>
      </c>
      <c r="AA1207">
        <v>0.57307330355738806</v>
      </c>
      <c r="AB1207" t="str">
        <f>HYPERLINK("Melting_Curves/meltCurve_O00429_3_DNM1L.pdf", "Melting_Curves/meltCurve_O00429_3_DNM1L.pdf")</f>
        <v>Melting_Curves/meltCurve_O00429_3_DNM1L.pdf</v>
      </c>
    </row>
    <row r="1208" spans="1:28" x14ac:dyDescent="0.25">
      <c r="A1208" t="s">
        <v>1212</v>
      </c>
      <c r="B1208">
        <v>0.99796759195183404</v>
      </c>
      <c r="C1208">
        <v>1.0214288387102901</v>
      </c>
      <c r="D1208">
        <v>0.97749317459866303</v>
      </c>
      <c r="E1208">
        <v>0.95244908188130495</v>
      </c>
      <c r="F1208">
        <v>0.83638606688481698</v>
      </c>
      <c r="G1208">
        <v>0.66373863573125402</v>
      </c>
      <c r="H1208">
        <v>0.19686732520182201</v>
      </c>
      <c r="I1208">
        <v>0.157711380690786</v>
      </c>
      <c r="J1208">
        <v>0.126935453175823</v>
      </c>
      <c r="K1208">
        <v>0.101940771706995</v>
      </c>
      <c r="L1208">
        <v>1427.7633984041199</v>
      </c>
      <c r="M1208">
        <v>26.318623141381</v>
      </c>
      <c r="N1208">
        <v>54.682868062397397</v>
      </c>
      <c r="O1208">
        <v>53.938888861643399</v>
      </c>
      <c r="P1208">
        <v>-0.110494248623174</v>
      </c>
      <c r="Q1208">
        <v>9.4197294353194003E-2</v>
      </c>
      <c r="R1208">
        <v>0.98883124967188096</v>
      </c>
      <c r="S1208" t="s">
        <v>6791</v>
      </c>
      <c r="T1208" t="s">
        <v>11164</v>
      </c>
      <c r="U1208" t="s">
        <v>11164</v>
      </c>
      <c r="V1208" t="s">
        <v>11164</v>
      </c>
      <c r="W1208" t="s">
        <v>12343</v>
      </c>
      <c r="X1208">
        <v>35</v>
      </c>
      <c r="Y1208" t="s">
        <v>17874</v>
      </c>
      <c r="Z1208" t="s">
        <v>23358</v>
      </c>
      <c r="AA1208">
        <v>0.62224944322007159</v>
      </c>
      <c r="AB1208" t="str">
        <f>HYPERLINK("Melting_Curves/meltCurve_O00429_4_DNM1L.pdf", "Melting_Curves/meltCurve_O00429_4_DNM1L.pdf")</f>
        <v>Melting_Curves/meltCurve_O00429_4_DNM1L.pdf</v>
      </c>
    </row>
    <row r="1209" spans="1:28" x14ac:dyDescent="0.25">
      <c r="A1209" t="s">
        <v>1213</v>
      </c>
      <c r="B1209">
        <v>0.99796759195183404</v>
      </c>
      <c r="C1209">
        <v>1.1419703325475401</v>
      </c>
      <c r="D1209">
        <v>1.1146275066878899</v>
      </c>
      <c r="E1209">
        <v>1.0601762282824401</v>
      </c>
      <c r="F1209">
        <v>0.86897770587807399</v>
      </c>
      <c r="G1209">
        <v>0.66740388814677098</v>
      </c>
      <c r="H1209">
        <v>0.427686325064009</v>
      </c>
      <c r="I1209">
        <v>0.218397469058601</v>
      </c>
      <c r="J1209">
        <v>0.13524032612272999</v>
      </c>
      <c r="K1209">
        <v>0.11385944981456</v>
      </c>
      <c r="L1209">
        <v>1072.6673900703399</v>
      </c>
      <c r="M1209">
        <v>19.284124233814001</v>
      </c>
      <c r="N1209">
        <v>56.116087028841001</v>
      </c>
      <c r="O1209">
        <v>55.036593911281301</v>
      </c>
      <c r="P1209">
        <v>-8.07908015021606E-2</v>
      </c>
      <c r="Q1209">
        <v>7.77321333661945E-2</v>
      </c>
      <c r="R1209">
        <v>0.97301218399644296</v>
      </c>
      <c r="S1209" t="s">
        <v>6792</v>
      </c>
      <c r="T1209" t="s">
        <v>11164</v>
      </c>
      <c r="U1209" t="s">
        <v>11164</v>
      </c>
      <c r="V1209" t="s">
        <v>11164</v>
      </c>
      <c r="W1209" t="s">
        <v>12344</v>
      </c>
      <c r="X1209">
        <v>11</v>
      </c>
      <c r="Y1209" t="s">
        <v>17875</v>
      </c>
      <c r="Z1209" t="s">
        <v>23359</v>
      </c>
      <c r="AA1209">
        <v>0.66049765698840379</v>
      </c>
      <c r="AB1209" t="str">
        <f>HYPERLINK("Melting_Curves/meltCurve_O00442_RTCA.pdf", "Melting_Curves/meltCurve_O00442_RTCA.pdf")</f>
        <v>Melting_Curves/meltCurve_O00442_RTCA.pdf</v>
      </c>
    </row>
    <row r="1210" spans="1:28" x14ac:dyDescent="0.25">
      <c r="A1210" t="s">
        <v>1214</v>
      </c>
      <c r="B1210">
        <v>0.99796759195183404</v>
      </c>
      <c r="C1210">
        <v>1.1299148428871499</v>
      </c>
      <c r="D1210">
        <v>1.02243567609879</v>
      </c>
      <c r="E1210">
        <v>1.08390326961991</v>
      </c>
      <c r="F1210">
        <v>0.92941541663227001</v>
      </c>
      <c r="G1210">
        <v>0.77690113621883805</v>
      </c>
      <c r="H1210">
        <v>0.92613070687176002</v>
      </c>
      <c r="I1210">
        <v>0.71939521056935496</v>
      </c>
      <c r="J1210">
        <v>0.73298706942349201</v>
      </c>
      <c r="K1210">
        <v>0.47913986408728998</v>
      </c>
      <c r="L1210">
        <v>616.88290620554199</v>
      </c>
      <c r="M1210">
        <v>9.0350410464564401</v>
      </c>
      <c r="O1210">
        <v>65.180986443160904</v>
      </c>
      <c r="P1210">
        <v>-3.4678466295211603E-2</v>
      </c>
      <c r="Q1210">
        <v>0</v>
      </c>
      <c r="R1210">
        <v>0.811224650717566</v>
      </c>
      <c r="S1210" t="s">
        <v>6793</v>
      </c>
      <c r="T1210" t="s">
        <v>11164</v>
      </c>
      <c r="U1210" t="s">
        <v>11164</v>
      </c>
      <c r="V1210" t="s">
        <v>11164</v>
      </c>
      <c r="W1210" t="s">
        <v>12345</v>
      </c>
      <c r="X1210">
        <v>6</v>
      </c>
      <c r="Y1210" t="s">
        <v>17876</v>
      </c>
      <c r="Z1210" t="s">
        <v>23360</v>
      </c>
      <c r="AA1210">
        <v>0.88003261894873719</v>
      </c>
      <c r="AB1210" t="str">
        <f>HYPERLINK("Melting_Curves/meltCurve_O00451_GFRA2.pdf", "Melting_Curves/meltCurve_O00451_GFRA2.pdf")</f>
        <v>Melting_Curves/meltCurve_O00451_GFRA2.pdf</v>
      </c>
    </row>
    <row r="1211" spans="1:28" x14ac:dyDescent="0.25">
      <c r="A1211" t="s">
        <v>1215</v>
      </c>
      <c r="B1211">
        <v>0.99796759195183404</v>
      </c>
      <c r="C1211">
        <v>0.87940539192813305</v>
      </c>
      <c r="D1211">
        <v>1.0199976473555299</v>
      </c>
      <c r="E1211">
        <v>0.84779746923840105</v>
      </c>
      <c r="F1211">
        <v>0.82968870598482203</v>
      </c>
      <c r="G1211">
        <v>0.58537912948147597</v>
      </c>
      <c r="H1211">
        <v>0.36418268275346899</v>
      </c>
      <c r="I1211">
        <v>0.152895648977426</v>
      </c>
      <c r="J1211">
        <v>0.14602345492065499</v>
      </c>
      <c r="K1211">
        <v>0.130007321192151</v>
      </c>
      <c r="L1211">
        <v>805.81989695093603</v>
      </c>
      <c r="M1211">
        <v>14.7641515933155</v>
      </c>
      <c r="N1211">
        <v>54.9141181254926</v>
      </c>
      <c r="O1211">
        <v>53.6075402746904</v>
      </c>
      <c r="P1211">
        <v>-6.5898040559624699E-2</v>
      </c>
      <c r="Q1211">
        <v>4.3019385104718401E-2</v>
      </c>
      <c r="R1211">
        <v>0.97740045393571895</v>
      </c>
      <c r="S1211" t="s">
        <v>6794</v>
      </c>
      <c r="T1211" t="s">
        <v>11164</v>
      </c>
      <c r="U1211" t="s">
        <v>11164</v>
      </c>
      <c r="V1211" t="s">
        <v>11164</v>
      </c>
      <c r="W1211" t="s">
        <v>12346</v>
      </c>
      <c r="X1211">
        <v>3</v>
      </c>
      <c r="Y1211" t="s">
        <v>17877</v>
      </c>
      <c r="Z1211" t="s">
        <v>23361</v>
      </c>
      <c r="AA1211">
        <v>0.61830864996053314</v>
      </c>
      <c r="AB1211" t="str">
        <f>HYPERLINK("Melting_Curves/meltCurve_O00459_PIK3R2.pdf", "Melting_Curves/meltCurve_O00459_PIK3R2.pdf")</f>
        <v>Melting_Curves/meltCurve_O00459_PIK3R2.pdf</v>
      </c>
    </row>
    <row r="1212" spans="1:28" x14ac:dyDescent="0.25">
      <c r="A1212" t="s">
        <v>1216</v>
      </c>
      <c r="B1212">
        <v>0.99796759195183404</v>
      </c>
      <c r="C1212">
        <v>1.0026317037205601</v>
      </c>
      <c r="D1212">
        <v>1.00563744212616</v>
      </c>
      <c r="E1212">
        <v>0.94560044050094105</v>
      </c>
      <c r="F1212">
        <v>0.83902286438590001</v>
      </c>
      <c r="G1212">
        <v>0.61321114581356195</v>
      </c>
      <c r="H1212">
        <v>0.38436397560513802</v>
      </c>
      <c r="I1212">
        <v>0.31560049230661402</v>
      </c>
      <c r="J1212">
        <v>0.394678815531947</v>
      </c>
      <c r="K1212">
        <v>0.618265730704328</v>
      </c>
      <c r="L1212">
        <v>1598.1699645997801</v>
      </c>
      <c r="M1212">
        <v>30.7894773224515</v>
      </c>
      <c r="N1212">
        <v>55.3646334693669</v>
      </c>
      <c r="O1212">
        <v>51.6888808620023</v>
      </c>
      <c r="P1212">
        <v>-8.5340265024024697E-2</v>
      </c>
      <c r="Q1212">
        <v>0.42693189590674002</v>
      </c>
      <c r="R1212">
        <v>0.91561030015870004</v>
      </c>
      <c r="S1212" t="s">
        <v>6795</v>
      </c>
      <c r="T1212" t="s">
        <v>11164</v>
      </c>
      <c r="U1212" t="s">
        <v>11164</v>
      </c>
      <c r="V1212" t="s">
        <v>11164</v>
      </c>
      <c r="W1212" t="s">
        <v>12347</v>
      </c>
      <c r="X1212">
        <v>13</v>
      </c>
      <c r="Y1212" t="s">
        <v>17878</v>
      </c>
      <c r="Z1212" t="s">
        <v>23362</v>
      </c>
      <c r="AA1212">
        <v>0.71511315182642887</v>
      </c>
      <c r="AB1212" t="str">
        <f>HYPERLINK("Melting_Curves/meltCurve_O00461_GOLIM4.pdf", "Melting_Curves/meltCurve_O00461_GOLIM4.pdf")</f>
        <v>Melting_Curves/meltCurve_O00461_GOLIM4.pdf</v>
      </c>
    </row>
    <row r="1213" spans="1:28" x14ac:dyDescent="0.25">
      <c r="A1213" t="s">
        <v>1217</v>
      </c>
      <c r="B1213">
        <v>0.99796759195183404</v>
      </c>
      <c r="C1213">
        <v>0.97935860818426601</v>
      </c>
      <c r="D1213">
        <v>0.93477653379622105</v>
      </c>
      <c r="E1213">
        <v>1.03775045011064</v>
      </c>
      <c r="F1213">
        <v>0.88459716191745597</v>
      </c>
      <c r="G1213">
        <v>0.59961063483689403</v>
      </c>
      <c r="H1213">
        <v>0.63911270409249998</v>
      </c>
      <c r="I1213">
        <v>0.464624320416754</v>
      </c>
      <c r="J1213">
        <v>0.49825382795289602</v>
      </c>
      <c r="K1213">
        <v>0.34902758592002198</v>
      </c>
      <c r="L1213">
        <v>871.47519858684495</v>
      </c>
      <c r="M1213">
        <v>16.174207741064901</v>
      </c>
      <c r="N1213">
        <v>59.633034774869898</v>
      </c>
      <c r="O1213">
        <v>53.077096716751697</v>
      </c>
      <c r="P1213">
        <v>-4.6097215742803503E-2</v>
      </c>
      <c r="Q1213">
        <v>0.39495703349571698</v>
      </c>
      <c r="R1213">
        <v>0.93812054449993398</v>
      </c>
      <c r="S1213" t="s">
        <v>6796</v>
      </c>
      <c r="T1213" t="s">
        <v>11164</v>
      </c>
      <c r="U1213" t="s">
        <v>11164</v>
      </c>
      <c r="V1213" t="s">
        <v>11164</v>
      </c>
      <c r="W1213" t="s">
        <v>12348</v>
      </c>
      <c r="X1213">
        <v>2</v>
      </c>
      <c r="Y1213" t="s">
        <v>17879</v>
      </c>
      <c r="Z1213" t="s">
        <v>23363</v>
      </c>
      <c r="AA1213">
        <v>0.74473427360549516</v>
      </c>
      <c r="AB1213" t="str">
        <f>HYPERLINK("Melting_Curves/meltCurve_O00479_HMGN4.pdf", "Melting_Curves/meltCurve_O00479_HMGN4.pdf")</f>
        <v>Melting_Curves/meltCurve_O00479_HMGN4.pdf</v>
      </c>
    </row>
    <row r="1214" spans="1:28" x14ac:dyDescent="0.25">
      <c r="A1214" t="s">
        <v>1218</v>
      </c>
      <c r="B1214">
        <v>0.99796759195183404</v>
      </c>
      <c r="C1214">
        <v>0.99212152401183196</v>
      </c>
      <c r="D1214">
        <v>1.01451403398402</v>
      </c>
      <c r="E1214">
        <v>0.95839867721397398</v>
      </c>
      <c r="F1214">
        <v>0.74006772902807405</v>
      </c>
      <c r="G1214">
        <v>0.45098545566463899</v>
      </c>
      <c r="H1214">
        <v>0.40633713185277598</v>
      </c>
      <c r="I1214">
        <v>0.41062600752672701</v>
      </c>
      <c r="J1214">
        <v>0.50022473798800604</v>
      </c>
      <c r="K1214">
        <v>0.44306364328681203</v>
      </c>
      <c r="L1214">
        <v>2359.9340401336399</v>
      </c>
      <c r="M1214">
        <v>46.894227037548497</v>
      </c>
      <c r="N1214">
        <v>52.653305257228503</v>
      </c>
      <c r="O1214">
        <v>50.233364604243803</v>
      </c>
      <c r="P1214">
        <v>-0.131357361964035</v>
      </c>
      <c r="Q1214">
        <v>0.437157680207438</v>
      </c>
      <c r="R1214">
        <v>0.98959979400541298</v>
      </c>
      <c r="S1214" t="s">
        <v>6797</v>
      </c>
      <c r="T1214" t="s">
        <v>11164</v>
      </c>
      <c r="U1214" t="s">
        <v>11164</v>
      </c>
      <c r="V1214" t="s">
        <v>11164</v>
      </c>
      <c r="W1214" t="s">
        <v>12349</v>
      </c>
      <c r="X1214">
        <v>7</v>
      </c>
      <c r="Y1214" t="s">
        <v>17880</v>
      </c>
      <c r="Z1214" t="s">
        <v>23364</v>
      </c>
      <c r="AA1214">
        <v>0.68856747409534713</v>
      </c>
      <c r="AB1214" t="str">
        <f>HYPERLINK("Melting_Curves/meltCurve_O00483_NDUFA4.pdf", "Melting_Curves/meltCurve_O00483_NDUFA4.pdf")</f>
        <v>Melting_Curves/meltCurve_O00483_NDUFA4.pdf</v>
      </c>
    </row>
    <row r="1215" spans="1:28" x14ac:dyDescent="0.25">
      <c r="A1215" t="s">
        <v>1219</v>
      </c>
      <c r="B1215">
        <v>0.99796759195183404</v>
      </c>
      <c r="C1215">
        <v>1.10744950756991</v>
      </c>
      <c r="D1215">
        <v>1.0267121108189401</v>
      </c>
      <c r="E1215">
        <v>0.92704707151348398</v>
      </c>
      <c r="F1215">
        <v>0.84745755124026401</v>
      </c>
      <c r="G1215">
        <v>0.81534222130448697</v>
      </c>
      <c r="H1215">
        <v>0.56061682969575899</v>
      </c>
      <c r="I1215">
        <v>0.44809191145573102</v>
      </c>
      <c r="J1215">
        <v>0.247447519708656</v>
      </c>
      <c r="K1215">
        <v>0.20819910304690301</v>
      </c>
      <c r="L1215">
        <v>705.03819339299605</v>
      </c>
      <c r="M1215">
        <v>11.919801479440199</v>
      </c>
      <c r="N1215">
        <v>59.148484576366002</v>
      </c>
      <c r="O1215">
        <v>57.557425090917597</v>
      </c>
      <c r="P1215">
        <v>-5.1786324598884499E-2</v>
      </c>
      <c r="Q1215">
        <v>0</v>
      </c>
      <c r="R1215">
        <v>0.97623580866373505</v>
      </c>
      <c r="S1215" t="s">
        <v>6798</v>
      </c>
      <c r="T1215" t="s">
        <v>11164</v>
      </c>
      <c r="U1215" t="s">
        <v>11164</v>
      </c>
      <c r="V1215" t="s">
        <v>11164</v>
      </c>
      <c r="W1215" t="s">
        <v>12350</v>
      </c>
      <c r="X1215">
        <v>2</v>
      </c>
      <c r="Y1215" t="s">
        <v>17881</v>
      </c>
      <c r="Z1215" t="s">
        <v>23365</v>
      </c>
      <c r="AA1215">
        <v>0.72858615856870612</v>
      </c>
      <c r="AB1215" t="str">
        <f>HYPERLINK("Melting_Curves/meltCurve_O00487_PSMD14.pdf", "Melting_Curves/meltCurve_O00487_PSMD14.pdf")</f>
        <v>Melting_Curves/meltCurve_O00487_PSMD14.pdf</v>
      </c>
    </row>
    <row r="1216" spans="1:28" x14ac:dyDescent="0.25">
      <c r="A1216" t="s">
        <v>1220</v>
      </c>
      <c r="B1216">
        <v>0.99796759195183404</v>
      </c>
      <c r="C1216">
        <v>1.15722266681979</v>
      </c>
      <c r="D1216">
        <v>1.1917771598954801</v>
      </c>
      <c r="E1216">
        <v>1.1624682766413299</v>
      </c>
      <c r="F1216">
        <v>1.1398492874192701</v>
      </c>
      <c r="G1216">
        <v>0.69016569457235399</v>
      </c>
      <c r="H1216">
        <v>0.63127345544280999</v>
      </c>
      <c r="I1216">
        <v>0.19096851653806499</v>
      </c>
      <c r="J1216">
        <v>0.16790467418049099</v>
      </c>
      <c r="K1216">
        <v>0.19794968249598399</v>
      </c>
      <c r="L1216">
        <v>1433.86902485627</v>
      </c>
      <c r="M1216">
        <v>25.186010246771801</v>
      </c>
      <c r="N1216">
        <v>57.6483678102705</v>
      </c>
      <c r="O1216">
        <v>56.575900209577398</v>
      </c>
      <c r="P1216">
        <v>-9.6325580078554504E-2</v>
      </c>
      <c r="Q1216">
        <v>0.13449804942827601</v>
      </c>
      <c r="R1216">
        <v>0.90720957865181795</v>
      </c>
      <c r="S1216" t="s">
        <v>6799</v>
      </c>
      <c r="T1216" t="s">
        <v>11164</v>
      </c>
      <c r="U1216" t="s">
        <v>11164</v>
      </c>
      <c r="V1216" t="s">
        <v>11164</v>
      </c>
      <c r="W1216" t="s">
        <v>12351</v>
      </c>
      <c r="X1216">
        <v>4</v>
      </c>
      <c r="Y1216" t="s">
        <v>17882</v>
      </c>
      <c r="Z1216" t="s">
        <v>23366</v>
      </c>
      <c r="AA1216">
        <v>0.71597537310002579</v>
      </c>
      <c r="AB1216" t="str">
        <f>HYPERLINK("Melting_Curves/meltCurve_O00505_KPNA3.pdf", "Melting_Curves/meltCurve_O00505_KPNA3.pdf")</f>
        <v>Melting_Curves/meltCurve_O00505_KPNA3.pdf</v>
      </c>
    </row>
    <row r="1217" spans="1:28" x14ac:dyDescent="0.25">
      <c r="A1217" t="s">
        <v>1221</v>
      </c>
      <c r="B1217">
        <v>0.99796759195183404</v>
      </c>
      <c r="C1217">
        <v>0.97344464229757099</v>
      </c>
      <c r="D1217">
        <v>0.93112186626610505</v>
      </c>
      <c r="E1217">
        <v>0.86673032763027202</v>
      </c>
      <c r="F1217">
        <v>0.74511929565846502</v>
      </c>
      <c r="G1217">
        <v>0.39600948183342199</v>
      </c>
      <c r="H1217">
        <v>0.140345310160016</v>
      </c>
      <c r="I1217">
        <v>0.101829211493279</v>
      </c>
      <c r="J1217">
        <v>8.3342765100286903E-2</v>
      </c>
      <c r="K1217">
        <v>5.6101888744683401E-2</v>
      </c>
      <c r="L1217">
        <v>1017.45296855538</v>
      </c>
      <c r="M1217">
        <v>19.4559415394213</v>
      </c>
      <c r="N1217">
        <v>52.515588032094399</v>
      </c>
      <c r="O1217">
        <v>51.752179081712399</v>
      </c>
      <c r="P1217">
        <v>-9.0305295192925697E-2</v>
      </c>
      <c r="Q1217">
        <v>3.9198459696227698E-2</v>
      </c>
      <c r="R1217">
        <v>0.99326020111061097</v>
      </c>
      <c r="S1217" t="s">
        <v>6800</v>
      </c>
      <c r="T1217" t="s">
        <v>11164</v>
      </c>
      <c r="U1217" t="s">
        <v>11164</v>
      </c>
      <c r="V1217" t="s">
        <v>11164</v>
      </c>
      <c r="W1217" t="s">
        <v>12352</v>
      </c>
      <c r="X1217">
        <v>6</v>
      </c>
      <c r="Y1217" t="s">
        <v>17883</v>
      </c>
      <c r="Z1217" t="s">
        <v>23367</v>
      </c>
      <c r="AA1217">
        <v>0.54191387892481013</v>
      </c>
      <c r="AB1217" t="str">
        <f>HYPERLINK("Melting_Curves/meltCurve_O00506_STK25.pdf", "Melting_Curves/meltCurve_O00506_STK25.pdf")</f>
        <v>Melting_Curves/meltCurve_O00506_STK25.pdf</v>
      </c>
    </row>
    <row r="1218" spans="1:28" x14ac:dyDescent="0.25">
      <c r="A1218" t="s">
        <v>1222</v>
      </c>
      <c r="B1218">
        <v>0.99796759195183404</v>
      </c>
      <c r="C1218">
        <v>1.06565956075294</v>
      </c>
      <c r="D1218">
        <v>0.99451082247780198</v>
      </c>
      <c r="E1218">
        <v>0.95254323789269102</v>
      </c>
      <c r="F1218">
        <v>0.88819099977440297</v>
      </c>
      <c r="G1218">
        <v>0.66298100228836498</v>
      </c>
      <c r="H1218">
        <v>0.65762585460774203</v>
      </c>
      <c r="I1218">
        <v>0.46733972332360602</v>
      </c>
      <c r="J1218">
        <v>0.50240978870320296</v>
      </c>
      <c r="K1218">
        <v>0.41115295837695398</v>
      </c>
      <c r="L1218">
        <v>783.77779892201795</v>
      </c>
      <c r="M1218">
        <v>14.398173991804001</v>
      </c>
      <c r="N1218">
        <v>61.319415283488098</v>
      </c>
      <c r="O1218">
        <v>53.418148200752803</v>
      </c>
      <c r="P1218">
        <v>-4.0389365512804101E-2</v>
      </c>
      <c r="Q1218">
        <v>0.40068253667221898</v>
      </c>
      <c r="R1218">
        <v>0.96868595487903697</v>
      </c>
      <c r="S1218" t="s">
        <v>6801</v>
      </c>
      <c r="T1218" t="s">
        <v>11164</v>
      </c>
      <c r="U1218" t="s">
        <v>11164</v>
      </c>
      <c r="V1218" t="s">
        <v>11164</v>
      </c>
      <c r="W1218" t="s">
        <v>12353</v>
      </c>
      <c r="X1218">
        <v>6</v>
      </c>
      <c r="Y1218" t="s">
        <v>17884</v>
      </c>
      <c r="Z1218" t="s">
        <v>23368</v>
      </c>
      <c r="AA1218">
        <v>0.75840439165346174</v>
      </c>
      <c r="AB1218" t="str">
        <f>HYPERLINK("Melting_Curves/meltCurve_O00512_BCL9.pdf", "Melting_Curves/meltCurve_O00512_BCL9.pdf")</f>
        <v>Melting_Curves/meltCurve_O00512_BCL9.pdf</v>
      </c>
    </row>
    <row r="1219" spans="1:28" x14ac:dyDescent="0.25">
      <c r="A1219" t="s">
        <v>1223</v>
      </c>
      <c r="B1219">
        <v>0.99796759195183404</v>
      </c>
      <c r="C1219">
        <v>0.97187156516642903</v>
      </c>
      <c r="D1219">
        <v>0.91270646454566695</v>
      </c>
      <c r="E1219">
        <v>0.88893927262877204</v>
      </c>
      <c r="F1219">
        <v>0.76233323884989301</v>
      </c>
      <c r="G1219">
        <v>0.52382322882418497</v>
      </c>
      <c r="H1219">
        <v>0.35916307076578002</v>
      </c>
      <c r="I1219">
        <v>0.23783903344983801</v>
      </c>
      <c r="J1219">
        <v>0.19239859787251901</v>
      </c>
      <c r="K1219">
        <v>0.13981452234838401</v>
      </c>
      <c r="L1219">
        <v>667.07399432046498</v>
      </c>
      <c r="M1219">
        <v>12.3744428960085</v>
      </c>
      <c r="N1219">
        <v>54.524038253190703</v>
      </c>
      <c r="O1219">
        <v>52.557608778822797</v>
      </c>
      <c r="P1219">
        <v>-5.5029524854572097E-2</v>
      </c>
      <c r="Q1219">
        <v>6.5298864217808603E-2</v>
      </c>
      <c r="R1219">
        <v>0.99629631642487804</v>
      </c>
      <c r="S1219" t="s">
        <v>6802</v>
      </c>
      <c r="T1219" t="s">
        <v>11164</v>
      </c>
      <c r="U1219" t="s">
        <v>11164</v>
      </c>
      <c r="V1219" t="s">
        <v>11164</v>
      </c>
      <c r="W1219" t="s">
        <v>12354</v>
      </c>
      <c r="X1219">
        <v>3</v>
      </c>
      <c r="Y1219" t="s">
        <v>17885</v>
      </c>
      <c r="Z1219" t="s">
        <v>23369</v>
      </c>
      <c r="AA1219">
        <v>0.60899030404624799</v>
      </c>
      <c r="AB1219" t="str">
        <f>HYPERLINK("Melting_Curves/meltCurve_O00560_3_SDCBP.pdf", "Melting_Curves/meltCurve_O00560_3_SDCBP.pdf")</f>
        <v>Melting_Curves/meltCurve_O00560_3_SDCBP.pdf</v>
      </c>
    </row>
    <row r="1220" spans="1:28" x14ac:dyDescent="0.25">
      <c r="A1220" t="s">
        <v>1224</v>
      </c>
      <c r="B1220">
        <v>0.99796759195183404</v>
      </c>
      <c r="C1220">
        <v>0.97507974854525803</v>
      </c>
      <c r="D1220">
        <v>0.94532721178340295</v>
      </c>
      <c r="E1220">
        <v>0.76891545573098297</v>
      </c>
      <c r="F1220">
        <v>1.0045830473981201</v>
      </c>
      <c r="G1220">
        <v>0.65666395912483599</v>
      </c>
      <c r="H1220">
        <v>0.52997564563043897</v>
      </c>
      <c r="I1220">
        <v>0.329949015721616</v>
      </c>
      <c r="J1220">
        <v>0.29245945471132001</v>
      </c>
      <c r="K1220">
        <v>0.18683694895359401</v>
      </c>
      <c r="L1220">
        <v>619.65966392129496</v>
      </c>
      <c r="M1220">
        <v>10.693960109150799</v>
      </c>
      <c r="N1220">
        <v>57.944826610323801</v>
      </c>
      <c r="O1220">
        <v>56.028833638983699</v>
      </c>
      <c r="P1220">
        <v>-4.7734269959945598E-2</v>
      </c>
      <c r="Q1220">
        <v>0</v>
      </c>
      <c r="R1220">
        <v>0.93525834350631798</v>
      </c>
      <c r="S1220" t="s">
        <v>6803</v>
      </c>
      <c r="T1220" t="s">
        <v>11164</v>
      </c>
      <c r="U1220" t="s">
        <v>11164</v>
      </c>
      <c r="V1220" t="s">
        <v>11164</v>
      </c>
      <c r="W1220" t="s">
        <v>12355</v>
      </c>
      <c r="X1220">
        <v>1</v>
      </c>
      <c r="Y1220" t="s">
        <v>17886</v>
      </c>
      <c r="Z1220" t="s">
        <v>23370</v>
      </c>
      <c r="AA1220">
        <v>0.69296000593326501</v>
      </c>
      <c r="AB1220" t="str">
        <f>HYPERLINK("Melting_Curves/meltCurve_O00566_MPHOSPH10.pdf", "Melting_Curves/meltCurve_O00566_MPHOSPH10.pdf")</f>
        <v>Melting_Curves/meltCurve_O00566_MPHOSPH10.pdf</v>
      </c>
    </row>
    <row r="1221" spans="1:28" x14ac:dyDescent="0.25">
      <c r="A1221" t="s">
        <v>1225</v>
      </c>
      <c r="B1221">
        <v>0.99796759195183404</v>
      </c>
      <c r="C1221">
        <v>1.01478438266808</v>
      </c>
      <c r="D1221">
        <v>0.95261003497545704</v>
      </c>
      <c r="E1221">
        <v>1.2270078117214001</v>
      </c>
      <c r="F1221">
        <v>0.84325146112418703</v>
      </c>
      <c r="G1221">
        <v>0.63782671916102596</v>
      </c>
      <c r="H1221">
        <v>0.630455284074389</v>
      </c>
      <c r="I1221">
        <v>0.35837519589732297</v>
      </c>
      <c r="J1221">
        <v>0.159899297194876</v>
      </c>
      <c r="K1221">
        <v>0.16131106774197701</v>
      </c>
      <c r="L1221">
        <v>806.21932044719904</v>
      </c>
      <c r="M1221">
        <v>13.8826303046579</v>
      </c>
      <c r="N1221">
        <v>58.105686249840097</v>
      </c>
      <c r="O1221">
        <v>56.908770802315502</v>
      </c>
      <c r="P1221">
        <v>-6.0764404279189499E-2</v>
      </c>
      <c r="Q1221">
        <v>3.7756539296540199E-3</v>
      </c>
      <c r="R1221">
        <v>0.92326290357516505</v>
      </c>
      <c r="S1221" t="s">
        <v>6804</v>
      </c>
      <c r="T1221" t="s">
        <v>11164</v>
      </c>
      <c r="U1221" t="s">
        <v>11164</v>
      </c>
      <c r="V1221" t="s">
        <v>11164</v>
      </c>
      <c r="W1221" t="s">
        <v>12356</v>
      </c>
      <c r="X1221">
        <v>2</v>
      </c>
      <c r="Y1221" t="s">
        <v>17887</v>
      </c>
      <c r="Z1221" t="s">
        <v>23371</v>
      </c>
      <c r="AA1221">
        <v>0.70583562198031813</v>
      </c>
      <c r="AB1221" t="str">
        <f>HYPERLINK("Melting_Curves/meltCurve_O00567_NOP56.pdf", "Melting_Curves/meltCurve_O00567_NOP56.pdf")</f>
        <v>Melting_Curves/meltCurve_O00567_NOP56.pdf</v>
      </c>
    </row>
    <row r="1222" spans="1:28" x14ac:dyDescent="0.25">
      <c r="A1222" t="s">
        <v>1226</v>
      </c>
      <c r="B1222">
        <v>0.99796759195183404</v>
      </c>
      <c r="C1222">
        <v>0.99299185199998097</v>
      </c>
      <c r="D1222">
        <v>0.94373894651169199</v>
      </c>
      <c r="E1222">
        <v>0.92430489875029498</v>
      </c>
      <c r="F1222">
        <v>0.54374803838708397</v>
      </c>
      <c r="G1222">
        <v>0.22209020034840299</v>
      </c>
      <c r="H1222">
        <v>0.181249397830301</v>
      </c>
      <c r="I1222">
        <v>0.14011282467777</v>
      </c>
      <c r="J1222">
        <v>0.108631995816071</v>
      </c>
      <c r="K1222">
        <v>8.2679437670961295E-2</v>
      </c>
      <c r="L1222">
        <v>1395.1995378686199</v>
      </c>
      <c r="M1222">
        <v>27.831972482095399</v>
      </c>
      <c r="N1222">
        <v>50.613396996738999</v>
      </c>
      <c r="O1222">
        <v>49.872726804400401</v>
      </c>
      <c r="P1222">
        <v>-0.123215082391798</v>
      </c>
      <c r="Q1222">
        <v>0.11684043273542701</v>
      </c>
      <c r="R1222">
        <v>0.99601421755536501</v>
      </c>
      <c r="S1222" t="s">
        <v>6805</v>
      </c>
      <c r="T1222" t="s">
        <v>11164</v>
      </c>
      <c r="U1222" t="s">
        <v>11164</v>
      </c>
      <c r="V1222" t="s">
        <v>11164</v>
      </c>
      <c r="W1222" t="s">
        <v>12357</v>
      </c>
      <c r="X1222">
        <v>28</v>
      </c>
      <c r="Y1222" t="s">
        <v>17888</v>
      </c>
      <c r="Z1222" t="s">
        <v>23372</v>
      </c>
      <c r="AA1222">
        <v>0.50964202974182515</v>
      </c>
      <c r="AB1222" t="str">
        <f>HYPERLINK("Melting_Curves/meltCurve_O00571_DDX3X.pdf", "Melting_Curves/meltCurve_O00571_DDX3X.pdf")</f>
        <v>Melting_Curves/meltCurve_O00571_DDX3X.pdf</v>
      </c>
    </row>
    <row r="1223" spans="1:28" x14ac:dyDescent="0.25">
      <c r="A1223" t="s">
        <v>1227</v>
      </c>
      <c r="B1223">
        <v>0.99796759195183404</v>
      </c>
      <c r="C1223">
        <v>1.14673264342926</v>
      </c>
      <c r="D1223">
        <v>1.02250922456816</v>
      </c>
      <c r="E1223">
        <v>0.971716199526799</v>
      </c>
      <c r="F1223">
        <v>0.86894345945482199</v>
      </c>
      <c r="G1223">
        <v>0.577623278417845</v>
      </c>
      <c r="H1223">
        <v>0.49558139202887402</v>
      </c>
      <c r="I1223">
        <v>0.32515170831973</v>
      </c>
      <c r="J1223">
        <v>0.23212717325063301</v>
      </c>
      <c r="K1223">
        <v>0.15079745376964199</v>
      </c>
      <c r="L1223">
        <v>800.46846857658397</v>
      </c>
      <c r="M1223">
        <v>14.411729683953601</v>
      </c>
      <c r="N1223">
        <v>56.523320033464302</v>
      </c>
      <c r="O1223">
        <v>54.506272069940799</v>
      </c>
      <c r="P1223">
        <v>-5.8797642471952502E-2</v>
      </c>
      <c r="Q1223">
        <v>0.11059621256805199</v>
      </c>
      <c r="R1223">
        <v>0.97136493707050098</v>
      </c>
      <c r="S1223" t="s">
        <v>6806</v>
      </c>
      <c r="T1223" t="s">
        <v>11164</v>
      </c>
      <c r="U1223" t="s">
        <v>11164</v>
      </c>
      <c r="V1223" t="s">
        <v>11164</v>
      </c>
      <c r="W1223" t="s">
        <v>12358</v>
      </c>
      <c r="X1223">
        <v>3</v>
      </c>
      <c r="Y1223" t="s">
        <v>17889</v>
      </c>
      <c r="Z1223" t="s">
        <v>23373</v>
      </c>
      <c r="AA1223">
        <v>0.67170000908969929</v>
      </c>
      <c r="AB1223" t="str">
        <f>HYPERLINK("Melting_Curves/meltCurve_O00625_PIR.pdf", "Melting_Curves/meltCurve_O00625_PIR.pdf")</f>
        <v>Melting_Curves/meltCurve_O00625_PIR.pdf</v>
      </c>
    </row>
    <row r="1224" spans="1:28" x14ac:dyDescent="0.25">
      <c r="A1224" t="s">
        <v>1228</v>
      </c>
      <c r="B1224">
        <v>0.99796759195183404</v>
      </c>
      <c r="C1224">
        <v>1.0629429711015099</v>
      </c>
      <c r="D1224">
        <v>0.98823439787534895</v>
      </c>
      <c r="E1224">
        <v>0.99952813618450398</v>
      </c>
      <c r="F1224">
        <v>0.92509977738455096</v>
      </c>
      <c r="G1224">
        <v>0.93215181013801096</v>
      </c>
      <c r="H1224">
        <v>0.74306901557351701</v>
      </c>
      <c r="I1224">
        <v>0.30413175538457399</v>
      </c>
      <c r="J1224">
        <v>0.124464423449988</v>
      </c>
      <c r="K1224">
        <v>8.1837983891592705E-2</v>
      </c>
      <c r="L1224">
        <v>1815.74166890065</v>
      </c>
      <c r="M1224">
        <v>30.724649543941599</v>
      </c>
      <c r="N1224">
        <v>59.299144058838401</v>
      </c>
      <c r="O1224">
        <v>58.848573178374799</v>
      </c>
      <c r="P1224">
        <v>-0.124042393010329</v>
      </c>
      <c r="Q1224">
        <v>4.9665377340576002E-2</v>
      </c>
      <c r="R1224">
        <v>0.99261070279670005</v>
      </c>
      <c r="S1224" t="s">
        <v>6807</v>
      </c>
      <c r="T1224" t="s">
        <v>11164</v>
      </c>
      <c r="U1224" t="s">
        <v>11164</v>
      </c>
      <c r="V1224" t="s">
        <v>11164</v>
      </c>
      <c r="W1224" t="s">
        <v>12359</v>
      </c>
      <c r="X1224">
        <v>9</v>
      </c>
      <c r="Y1224" t="s">
        <v>17890</v>
      </c>
      <c r="Z1224" t="s">
        <v>23374</v>
      </c>
      <c r="AA1224">
        <v>0.75404552445345052</v>
      </c>
      <c r="AB1224" t="str">
        <f>HYPERLINK("Melting_Curves/meltCurve_O00629_KPNA4.pdf", "Melting_Curves/meltCurve_O00629_KPNA4.pdf")</f>
        <v>Melting_Curves/meltCurve_O00629_KPNA4.pdf</v>
      </c>
    </row>
    <row r="1225" spans="1:28" x14ac:dyDescent="0.25">
      <c r="A1225" t="s">
        <v>1229</v>
      </c>
      <c r="B1225">
        <v>0.99796759195183404</v>
      </c>
      <c r="C1225">
        <v>1.1689529734139199</v>
      </c>
      <c r="D1225">
        <v>0.87759717419404704</v>
      </c>
      <c r="E1225">
        <v>0.91060184196699301</v>
      </c>
      <c r="F1225">
        <v>0.56664729905304601</v>
      </c>
      <c r="G1225">
        <v>0.41313161238462898</v>
      </c>
      <c r="H1225">
        <v>0.24670586979157499</v>
      </c>
      <c r="I1225">
        <v>0.246801913442632</v>
      </c>
      <c r="J1225">
        <v>0.17039218715155799</v>
      </c>
      <c r="K1225">
        <v>0.18507399409431599</v>
      </c>
      <c r="L1225">
        <v>937.55340941702696</v>
      </c>
      <c r="M1225">
        <v>18.569916748019899</v>
      </c>
      <c r="N1225">
        <v>51.743909972072501</v>
      </c>
      <c r="O1225">
        <v>49.913208641402498</v>
      </c>
      <c r="P1225">
        <v>-7.6138064312274295E-2</v>
      </c>
      <c r="Q1225">
        <v>0.181444175632338</v>
      </c>
      <c r="R1225">
        <v>0.96357406151168701</v>
      </c>
      <c r="S1225" t="s">
        <v>6808</v>
      </c>
      <c r="T1225" t="s">
        <v>11164</v>
      </c>
      <c r="U1225" t="s">
        <v>11164</v>
      </c>
      <c r="V1225" t="s">
        <v>11164</v>
      </c>
      <c r="W1225" t="s">
        <v>12360</v>
      </c>
      <c r="X1225">
        <v>2</v>
      </c>
      <c r="Y1225" t="s">
        <v>17891</v>
      </c>
      <c r="Z1225" t="s">
        <v>23375</v>
      </c>
      <c r="AA1225">
        <v>0.56164030116316055</v>
      </c>
      <c r="AB1225" t="str">
        <f>HYPERLINK("Melting_Curves/meltCurve_O00635_TRIM38.pdf", "Melting_Curves/meltCurve_O00635_TRIM38.pdf")</f>
        <v>Melting_Curves/meltCurve_O00635_TRIM38.pdf</v>
      </c>
    </row>
    <row r="1226" spans="1:28" x14ac:dyDescent="0.25">
      <c r="A1226" t="s">
        <v>1230</v>
      </c>
      <c r="B1226">
        <v>0.99796759195183404</v>
      </c>
      <c r="C1226">
        <v>1.0807797156815599</v>
      </c>
      <c r="D1226">
        <v>1.0444922677356601</v>
      </c>
      <c r="E1226">
        <v>0.94388289875780895</v>
      </c>
      <c r="F1226">
        <v>0.80002525129842905</v>
      </c>
      <c r="G1226">
        <v>0.53358921637835599</v>
      </c>
      <c r="H1226">
        <v>0.48569519802912098</v>
      </c>
      <c r="I1226">
        <v>0.43059347463777298</v>
      </c>
      <c r="J1226">
        <v>0.41122437711329102</v>
      </c>
      <c r="K1226">
        <v>0.27685631521680598</v>
      </c>
      <c r="L1226">
        <v>1021.93138172767</v>
      </c>
      <c r="M1226">
        <v>19.632915222986199</v>
      </c>
      <c r="N1226">
        <v>55.580424427539803</v>
      </c>
      <c r="O1226">
        <v>51.520938550851596</v>
      </c>
      <c r="P1226">
        <v>-6.1332040564560202E-2</v>
      </c>
      <c r="Q1226">
        <v>0.35622937327332599</v>
      </c>
      <c r="R1226">
        <v>0.97067938173741397</v>
      </c>
      <c r="S1226" t="s">
        <v>6809</v>
      </c>
      <c r="T1226" t="s">
        <v>11164</v>
      </c>
      <c r="U1226" t="s">
        <v>11164</v>
      </c>
      <c r="V1226" t="s">
        <v>11164</v>
      </c>
      <c r="W1226" t="s">
        <v>12361</v>
      </c>
      <c r="X1226">
        <v>1</v>
      </c>
      <c r="Y1226" t="s">
        <v>17892</v>
      </c>
      <c r="Z1226" t="s">
        <v>23376</v>
      </c>
      <c r="AA1226">
        <v>0.68777654726581083</v>
      </c>
      <c r="AB1226" t="str">
        <f>HYPERLINK("Melting_Curves/meltCurve_O00716_E2F3.pdf", "Melting_Curves/meltCurve_O00716_E2F3.pdf")</f>
        <v>Melting_Curves/meltCurve_O00716_E2F3.pdf</v>
      </c>
    </row>
    <row r="1227" spans="1:28" x14ac:dyDescent="0.25">
      <c r="A1227" t="s">
        <v>1231</v>
      </c>
      <c r="B1227">
        <v>0.99796759195183404</v>
      </c>
      <c r="C1227">
        <v>0.98336955369966295</v>
      </c>
      <c r="D1227">
        <v>0.97058376007273295</v>
      </c>
      <c r="E1227">
        <v>0.96570266788960202</v>
      </c>
      <c r="F1227">
        <v>0.82313622816090004</v>
      </c>
      <c r="G1227">
        <v>1.3932094403746</v>
      </c>
      <c r="H1227">
        <v>1.5690736629626001</v>
      </c>
      <c r="I1227">
        <v>1.33869195005589</v>
      </c>
      <c r="J1227">
        <v>1.44136310994606</v>
      </c>
      <c r="K1227">
        <v>0.65428867123074297</v>
      </c>
      <c r="L1227">
        <v>2581.28715936551</v>
      </c>
      <c r="M1227">
        <v>49.566426386047702</v>
      </c>
      <c r="O1227">
        <v>51.992772401688903</v>
      </c>
      <c r="P1227">
        <v>6.6115884501386599E-2</v>
      </c>
      <c r="Q1227">
        <v>1.27740915159213</v>
      </c>
      <c r="R1227">
        <v>0.28481494854178602</v>
      </c>
      <c r="S1227" t="s">
        <v>6810</v>
      </c>
      <c r="T1227" t="s">
        <v>11164</v>
      </c>
      <c r="U1227" t="s">
        <v>11164</v>
      </c>
      <c r="V1227" t="s">
        <v>11164</v>
      </c>
      <c r="W1227" t="s">
        <v>12362</v>
      </c>
      <c r="X1227">
        <v>10</v>
      </c>
      <c r="Y1227" t="s">
        <v>17893</v>
      </c>
      <c r="Z1227" t="s">
        <v>23377</v>
      </c>
      <c r="AA1227">
        <v>1.137341264092347</v>
      </c>
      <c r="AB1227" t="str">
        <f>HYPERLINK("Melting_Curves/meltCurve_O00743_PPP6C.pdf", "Melting_Curves/meltCurve_O00743_PPP6C.pdf")</f>
        <v>Melting_Curves/meltCurve_O00743_PPP6C.pdf</v>
      </c>
    </row>
    <row r="1228" spans="1:28" x14ac:dyDescent="0.25">
      <c r="A1228" t="s">
        <v>1232</v>
      </c>
      <c r="B1228">
        <v>0.99796759195183404</v>
      </c>
      <c r="C1228">
        <v>1.0419265518990399</v>
      </c>
      <c r="D1228">
        <v>0.97907668905254797</v>
      </c>
      <c r="E1228">
        <v>0.71816026707353198</v>
      </c>
      <c r="F1228">
        <v>0.75528252629512305</v>
      </c>
      <c r="G1228">
        <v>0.53974936182109301</v>
      </c>
      <c r="H1228">
        <v>0.33971164323679598</v>
      </c>
      <c r="I1228">
        <v>0.42371134430095397</v>
      </c>
      <c r="J1228">
        <v>0.551544900651597</v>
      </c>
      <c r="K1228">
        <v>0.32291051635197698</v>
      </c>
      <c r="L1228">
        <v>735.68321908331995</v>
      </c>
      <c r="M1228">
        <v>14.8718736733156</v>
      </c>
      <c r="N1228">
        <v>54.955795629510703</v>
      </c>
      <c r="O1228">
        <v>48.599504943394898</v>
      </c>
      <c r="P1228">
        <v>-4.6919474461674202E-2</v>
      </c>
      <c r="Q1228">
        <v>0.38675514233282399</v>
      </c>
      <c r="R1228">
        <v>0.90208810041371001</v>
      </c>
      <c r="S1228" t="s">
        <v>6811</v>
      </c>
      <c r="T1228" t="s">
        <v>11164</v>
      </c>
      <c r="U1228" t="s">
        <v>11164</v>
      </c>
      <c r="V1228" t="s">
        <v>11164</v>
      </c>
      <c r="W1228" t="s">
        <v>12363</v>
      </c>
      <c r="X1228">
        <v>5</v>
      </c>
      <c r="Y1228" t="s">
        <v>17894</v>
      </c>
      <c r="Z1228" t="s">
        <v>23378</v>
      </c>
      <c r="AA1228">
        <v>0.65481850531740338</v>
      </c>
      <c r="AB1228" t="str">
        <f>HYPERLINK("Melting_Curves/meltCurve_O00754_2_MAN2B1.pdf", "Melting_Curves/meltCurve_O00754_2_MAN2B1.pdf")</f>
        <v>Melting_Curves/meltCurve_O00754_2_MAN2B1.pdf</v>
      </c>
    </row>
    <row r="1229" spans="1:28" x14ac:dyDescent="0.25">
      <c r="A1229" t="s">
        <v>1233</v>
      </c>
      <c r="B1229">
        <v>0.99796759195183404</v>
      </c>
      <c r="C1229">
        <v>1.0583815797209799</v>
      </c>
      <c r="D1229">
        <v>1.0668626413034601</v>
      </c>
      <c r="E1229">
        <v>1.0074206636377601</v>
      </c>
      <c r="F1229">
        <v>0.71022216345804001</v>
      </c>
      <c r="G1229">
        <v>0.45257699628913001</v>
      </c>
      <c r="H1229">
        <v>0.29761022238526702</v>
      </c>
      <c r="I1229">
        <v>0.22947835771279901</v>
      </c>
      <c r="J1229">
        <v>0.186780590102962</v>
      </c>
      <c r="K1229">
        <v>0.13402190185857599</v>
      </c>
      <c r="L1229">
        <v>1136.26440777314</v>
      </c>
      <c r="M1229">
        <v>21.787021254450799</v>
      </c>
      <c r="N1229">
        <v>53.173388993302702</v>
      </c>
      <c r="O1229">
        <v>51.719850984752</v>
      </c>
      <c r="P1229">
        <v>-8.7326022521000898E-2</v>
      </c>
      <c r="Q1229">
        <v>0.170811901493479</v>
      </c>
      <c r="R1229">
        <v>0.98694936574072401</v>
      </c>
      <c r="S1229" t="s">
        <v>6812</v>
      </c>
      <c r="T1229" t="s">
        <v>11164</v>
      </c>
      <c r="U1229" t="s">
        <v>11164</v>
      </c>
      <c r="V1229" t="s">
        <v>11164</v>
      </c>
      <c r="W1229" t="s">
        <v>12364</v>
      </c>
      <c r="X1229">
        <v>6</v>
      </c>
      <c r="Y1229" t="s">
        <v>17895</v>
      </c>
      <c r="Z1229" t="s">
        <v>23379</v>
      </c>
      <c r="AA1229">
        <v>0.59895206445268478</v>
      </c>
      <c r="AB1229" t="str">
        <f>HYPERLINK("Melting_Curves/meltCurve_O00762_UBE2C.pdf", "Melting_Curves/meltCurve_O00762_UBE2C.pdf")</f>
        <v>Melting_Curves/meltCurve_O00762_UBE2C.pdf</v>
      </c>
    </row>
    <row r="1230" spans="1:28" x14ac:dyDescent="0.25">
      <c r="A1230" t="s">
        <v>1234</v>
      </c>
      <c r="B1230">
        <v>0.99796759195183404</v>
      </c>
      <c r="C1230">
        <v>1.0133155690723199</v>
      </c>
      <c r="D1230">
        <v>0.98103393467816002</v>
      </c>
      <c r="E1230">
        <v>0.90894261585001002</v>
      </c>
      <c r="F1230">
        <v>0.84620738806378804</v>
      </c>
      <c r="G1230">
        <v>0.65877423154124504</v>
      </c>
      <c r="H1230">
        <v>0.54909514539229598</v>
      </c>
      <c r="I1230">
        <v>0.237155640125883</v>
      </c>
      <c r="J1230">
        <v>0.105971610033879</v>
      </c>
      <c r="K1230">
        <v>6.1172319008123401E-2</v>
      </c>
      <c r="L1230">
        <v>837.09932343230605</v>
      </c>
      <c r="M1230">
        <v>14.772417272591101</v>
      </c>
      <c r="N1230">
        <v>56.666374463190103</v>
      </c>
      <c r="O1230">
        <v>55.658347009857103</v>
      </c>
      <c r="P1230">
        <v>-6.6360224326959594E-2</v>
      </c>
      <c r="Q1230">
        <v>0</v>
      </c>
      <c r="R1230">
        <v>0.986575344102531</v>
      </c>
      <c r="S1230" t="s">
        <v>6813</v>
      </c>
      <c r="T1230" t="s">
        <v>11164</v>
      </c>
      <c r="U1230" t="s">
        <v>11164</v>
      </c>
      <c r="V1230" t="s">
        <v>11164</v>
      </c>
      <c r="W1230" t="s">
        <v>12365</v>
      </c>
      <c r="X1230">
        <v>12</v>
      </c>
      <c r="Y1230" t="s">
        <v>17896</v>
      </c>
      <c r="Z1230" t="s">
        <v>23380</v>
      </c>
      <c r="AA1230">
        <v>0.66480515460303014</v>
      </c>
      <c r="AB1230" t="str">
        <f>HYPERLINK("Melting_Curves/meltCurve_O00764_PDXK.pdf", "Melting_Curves/meltCurve_O00764_PDXK.pdf")</f>
        <v>Melting_Curves/meltCurve_O00764_PDXK.pdf</v>
      </c>
    </row>
    <row r="1231" spans="1:28" x14ac:dyDescent="0.25">
      <c r="A1231" t="s">
        <v>1235</v>
      </c>
      <c r="B1231">
        <v>0.99796759195183404</v>
      </c>
      <c r="C1231">
        <v>1.1356747261735001</v>
      </c>
      <c r="D1231">
        <v>1.1533609637653299</v>
      </c>
      <c r="E1231">
        <v>1.0093734086114099</v>
      </c>
      <c r="F1231">
        <v>0.79735506901031505</v>
      </c>
      <c r="G1231">
        <v>0.731838041203135</v>
      </c>
      <c r="H1231">
        <v>0.43255968795056399</v>
      </c>
      <c r="I1231">
        <v>0.36143682840258401</v>
      </c>
      <c r="J1231">
        <v>0.28181954543413301</v>
      </c>
      <c r="K1231">
        <v>0.185878710048759</v>
      </c>
      <c r="L1231">
        <v>908.49572445401895</v>
      </c>
      <c r="M1231">
        <v>16.393270820569501</v>
      </c>
      <c r="N1231">
        <v>56.923163501800403</v>
      </c>
      <c r="O1231">
        <v>54.613844273437103</v>
      </c>
      <c r="P1231">
        <v>-6.1854111296068298E-2</v>
      </c>
      <c r="Q1231">
        <v>0.17579596868378899</v>
      </c>
      <c r="R1231">
        <v>0.95128521315318104</v>
      </c>
      <c r="S1231" t="s">
        <v>6814</v>
      </c>
      <c r="T1231" t="s">
        <v>11164</v>
      </c>
      <c r="U1231" t="s">
        <v>11164</v>
      </c>
      <c r="V1231" t="s">
        <v>11164</v>
      </c>
      <c r="W1231" t="s">
        <v>12366</v>
      </c>
      <c r="X1231">
        <v>2</v>
      </c>
      <c r="Y1231" t="s">
        <v>17897</v>
      </c>
      <c r="Z1231" t="s">
        <v>23381</v>
      </c>
      <c r="AA1231">
        <v>0.69227238927292389</v>
      </c>
      <c r="AB1231" t="str">
        <f>HYPERLINK("Melting_Curves/meltCurve_O00767_SCD.pdf", "Melting_Curves/meltCurve_O00767_SCD.pdf")</f>
        <v>Melting_Curves/meltCurve_O00767_SCD.pdf</v>
      </c>
    </row>
    <row r="1232" spans="1:28" x14ac:dyDescent="0.25">
      <c r="A1232" t="s">
        <v>1236</v>
      </c>
      <c r="B1232">
        <v>0.99796759195183404</v>
      </c>
      <c r="C1232">
        <v>0.91690668590700897</v>
      </c>
      <c r="D1232">
        <v>0.92632911590533995</v>
      </c>
      <c r="E1232">
        <v>0.88919589032430202</v>
      </c>
      <c r="F1232">
        <v>0.79179739572867303</v>
      </c>
      <c r="G1232">
        <v>0.43335231636087501</v>
      </c>
      <c r="H1232">
        <v>0.36265817428250102</v>
      </c>
      <c r="I1232">
        <v>0.30582030414165501</v>
      </c>
      <c r="J1232">
        <v>0.23083711519373101</v>
      </c>
      <c r="K1232">
        <v>0.15123160218953299</v>
      </c>
      <c r="L1232">
        <v>746.70550109138503</v>
      </c>
      <c r="M1232">
        <v>14.1641959527217</v>
      </c>
      <c r="N1232">
        <v>54.089078093988597</v>
      </c>
      <c r="O1232">
        <v>51.700365335116203</v>
      </c>
      <c r="P1232">
        <v>-5.8167550369471202E-2</v>
      </c>
      <c r="Q1232">
        <v>0.15084355139059899</v>
      </c>
      <c r="R1232">
        <v>0.97679945624039799</v>
      </c>
      <c r="S1232" t="s">
        <v>6815</v>
      </c>
      <c r="T1232" t="s">
        <v>11164</v>
      </c>
      <c r="U1232" t="s">
        <v>11164</v>
      </c>
      <c r="V1232" t="s">
        <v>11164</v>
      </c>
      <c r="W1232" t="s">
        <v>12367</v>
      </c>
      <c r="X1232">
        <v>5</v>
      </c>
      <c r="Y1232" t="s">
        <v>17898</v>
      </c>
      <c r="Z1232" t="s">
        <v>23382</v>
      </c>
      <c r="AA1232">
        <v>0.61211620410650647</v>
      </c>
      <c r="AB1232" t="str">
        <f>HYPERLINK("Melting_Curves/meltCurve_O14497_2_ARID1A.pdf", "Melting_Curves/meltCurve_O14497_2_ARID1A.pdf")</f>
        <v>Melting_Curves/meltCurve_O14497_2_ARID1A.pdf</v>
      </c>
    </row>
    <row r="1233" spans="1:28" x14ac:dyDescent="0.25">
      <c r="A1233" t="s">
        <v>1237</v>
      </c>
      <c r="B1233">
        <v>0.99796759195183404</v>
      </c>
      <c r="C1233">
        <v>0.84063160631858602</v>
      </c>
      <c r="D1233">
        <v>0.726474190505766</v>
      </c>
      <c r="E1233">
        <v>0.88480383995584799</v>
      </c>
      <c r="F1233">
        <v>0.94065678807370101</v>
      </c>
      <c r="G1233">
        <v>1.0646794521001399</v>
      </c>
      <c r="H1233">
        <v>1.4373784106524401</v>
      </c>
      <c r="I1233">
        <v>1.28071547104548</v>
      </c>
      <c r="J1233">
        <v>1.4002277579425899</v>
      </c>
      <c r="K1233">
        <v>1.6329268564798001</v>
      </c>
      <c r="L1233">
        <v>9516.4240926904404</v>
      </c>
      <c r="M1233">
        <v>175.13267819543699</v>
      </c>
      <c r="O1233">
        <v>54.331268548836398</v>
      </c>
      <c r="P1233">
        <v>0.352821100360863</v>
      </c>
      <c r="Q1233">
        <v>1.4378217365097401</v>
      </c>
      <c r="R1233">
        <v>0.77536484726837096</v>
      </c>
      <c r="S1233" t="s">
        <v>6816</v>
      </c>
      <c r="T1233" t="s">
        <v>11164</v>
      </c>
      <c r="U1233" t="s">
        <v>11164</v>
      </c>
      <c r="V1233" t="s">
        <v>11164</v>
      </c>
      <c r="W1233" t="s">
        <v>12368</v>
      </c>
      <c r="X1233">
        <v>5</v>
      </c>
      <c r="Y1233" t="s">
        <v>17899</v>
      </c>
      <c r="Z1233" t="s">
        <v>23383</v>
      </c>
      <c r="AA1233">
        <v>1.184699477004217</v>
      </c>
      <c r="AB1233" t="str">
        <f>HYPERLINK("Melting_Curves/meltCurve_O14519_2_CDK2AP1.pdf", "Melting_Curves/meltCurve_O14519_2_CDK2AP1.pdf")</f>
        <v>Melting_Curves/meltCurve_O14519_2_CDK2AP1.pdf</v>
      </c>
    </row>
    <row r="1234" spans="1:28" x14ac:dyDescent="0.25">
      <c r="A1234" t="s">
        <v>1238</v>
      </c>
      <c r="B1234">
        <v>0.99796759195183404</v>
      </c>
      <c r="C1234">
        <v>0.920176619754553</v>
      </c>
      <c r="D1234">
        <v>0.83198899725557196</v>
      </c>
      <c r="E1234">
        <v>0.813128800917164</v>
      </c>
      <c r="F1234">
        <v>0.78227772135856999</v>
      </c>
      <c r="G1234">
        <v>0.64421635725994697</v>
      </c>
      <c r="H1234">
        <v>0.51915035939233201</v>
      </c>
      <c r="I1234">
        <v>0.37297091867703602</v>
      </c>
      <c r="J1234">
        <v>0.30362481889994197</v>
      </c>
      <c r="K1234">
        <v>0.160138952339687</v>
      </c>
      <c r="L1234">
        <v>438.444066590131</v>
      </c>
      <c r="M1234">
        <v>7.7011640959836001</v>
      </c>
      <c r="N1234">
        <v>56.932180691998802</v>
      </c>
      <c r="O1234">
        <v>53.474907995329701</v>
      </c>
      <c r="P1234">
        <v>-3.6050559440511699E-2</v>
      </c>
      <c r="Q1234">
        <v>0</v>
      </c>
      <c r="R1234">
        <v>0.96912604797726598</v>
      </c>
      <c r="S1234" t="s">
        <v>6817</v>
      </c>
      <c r="T1234" t="s">
        <v>11164</v>
      </c>
      <c r="U1234" t="s">
        <v>11164</v>
      </c>
      <c r="V1234" t="s">
        <v>11164</v>
      </c>
      <c r="W1234" t="s">
        <v>12369</v>
      </c>
      <c r="X1234">
        <v>5</v>
      </c>
      <c r="Y1234" t="s">
        <v>17900</v>
      </c>
      <c r="Z1234" t="s">
        <v>23384</v>
      </c>
      <c r="AA1234">
        <v>0.65208244869246867</v>
      </c>
      <c r="AB1234" t="str">
        <f>HYPERLINK("Melting_Curves/meltCurve_O14523_C2CD2L.pdf", "Melting_Curves/meltCurve_O14523_C2CD2L.pdf")</f>
        <v>Melting_Curves/meltCurve_O14523_C2CD2L.pdf</v>
      </c>
    </row>
    <row r="1235" spans="1:28" x14ac:dyDescent="0.25">
      <c r="A1235" t="s">
        <v>1239</v>
      </c>
      <c r="B1235">
        <v>0.99796759195183404</v>
      </c>
      <c r="C1235">
        <v>0.966544284556758</v>
      </c>
      <c r="D1235">
        <v>1.0190765982871599</v>
      </c>
      <c r="E1235">
        <v>0.98244946109947795</v>
      </c>
      <c r="F1235">
        <v>0.91818094192636102</v>
      </c>
      <c r="G1235">
        <v>0.65724217198197699</v>
      </c>
      <c r="H1235">
        <v>0.50127225349191895</v>
      </c>
      <c r="I1235">
        <v>0.27978165451528197</v>
      </c>
      <c r="J1235">
        <v>0.21492443636735301</v>
      </c>
      <c r="K1235">
        <v>0.16077184298216801</v>
      </c>
      <c r="L1235">
        <v>939.93096859717696</v>
      </c>
      <c r="M1235">
        <v>16.7844958687106</v>
      </c>
      <c r="N1235">
        <v>56.871525185667203</v>
      </c>
      <c r="O1235">
        <v>55.2231740134877</v>
      </c>
      <c r="P1235">
        <v>-6.7372318536063097E-2</v>
      </c>
      <c r="Q1235">
        <v>0.113403198233549</v>
      </c>
      <c r="R1235">
        <v>0.99451262896123005</v>
      </c>
      <c r="S1235" t="s">
        <v>6818</v>
      </c>
      <c r="T1235" t="s">
        <v>11164</v>
      </c>
      <c r="U1235" t="s">
        <v>11164</v>
      </c>
      <c r="V1235" t="s">
        <v>11164</v>
      </c>
      <c r="W1235" t="s">
        <v>12370</v>
      </c>
      <c r="X1235">
        <v>6</v>
      </c>
      <c r="Y1235" t="s">
        <v>17901</v>
      </c>
      <c r="Z1235" t="s">
        <v>23385</v>
      </c>
      <c r="AA1235">
        <v>0.68497155289011047</v>
      </c>
      <c r="AB1235" t="str">
        <f>HYPERLINK("Melting_Curves/meltCurve_O14524_2_TMEM194A.pdf", "Melting_Curves/meltCurve_O14524_2_TMEM194A.pdf")</f>
        <v>Melting_Curves/meltCurve_O14524_2_TMEM194A.pdf</v>
      </c>
    </row>
    <row r="1236" spans="1:28" x14ac:dyDescent="0.25">
      <c r="A1236" t="s">
        <v>1240</v>
      </c>
      <c r="B1236">
        <v>0.99796759195183404</v>
      </c>
      <c r="C1236">
        <v>0.78225706305237797</v>
      </c>
      <c r="D1236">
        <v>0.86449501473144197</v>
      </c>
      <c r="E1236">
        <v>0.67016929214809196</v>
      </c>
      <c r="F1236">
        <v>0.73242366624967103</v>
      </c>
      <c r="G1236">
        <v>0.82978652183983503</v>
      </c>
      <c r="H1236">
        <v>0.37713183171706699</v>
      </c>
      <c r="I1236">
        <v>0.22798548982563399</v>
      </c>
      <c r="J1236">
        <v>8.7397599481341903E-2</v>
      </c>
      <c r="K1236">
        <v>9.6477326584986506E-2</v>
      </c>
      <c r="L1236">
        <v>523.62183982875104</v>
      </c>
      <c r="M1236">
        <v>9.5321199814490001</v>
      </c>
      <c r="N1236">
        <v>54.932359055887801</v>
      </c>
      <c r="O1236">
        <v>52.6777434647083</v>
      </c>
      <c r="P1236">
        <v>-4.5264309013726502E-2</v>
      </c>
      <c r="Q1236">
        <v>0</v>
      </c>
      <c r="R1236">
        <v>0.83421691579488899</v>
      </c>
      <c r="S1236" t="s">
        <v>6819</v>
      </c>
      <c r="T1236" t="s">
        <v>11164</v>
      </c>
      <c r="U1236" t="s">
        <v>11164</v>
      </c>
      <c r="V1236" t="s">
        <v>11164</v>
      </c>
      <c r="W1236" t="s">
        <v>12371</v>
      </c>
      <c r="X1236">
        <v>1</v>
      </c>
      <c r="Y1236" t="s">
        <v>17902</v>
      </c>
      <c r="Z1236" t="s">
        <v>23386</v>
      </c>
      <c r="AA1236">
        <v>0.60945183476405873</v>
      </c>
      <c r="AB1236" t="str">
        <f>HYPERLINK("Melting_Curves/meltCurve_O14531_DPYSL4.pdf", "Melting_Curves/meltCurve_O14531_DPYSL4.pdf")</f>
        <v>Melting_Curves/meltCurve_O14531_DPYSL4.pdf</v>
      </c>
    </row>
    <row r="1237" spans="1:28" x14ac:dyDescent="0.25">
      <c r="A1237" t="s">
        <v>1241</v>
      </c>
      <c r="B1237">
        <v>0.99796759195183404</v>
      </c>
      <c r="C1237">
        <v>1.0734420125971</v>
      </c>
      <c r="D1237">
        <v>1.0204881918314901</v>
      </c>
      <c r="E1237">
        <v>0.98652201251674299</v>
      </c>
      <c r="F1237">
        <v>0.86761666000129001</v>
      </c>
      <c r="G1237">
        <v>0.64111773458167098</v>
      </c>
      <c r="H1237">
        <v>0.65473885173683599</v>
      </c>
      <c r="I1237">
        <v>0.57263114819132299</v>
      </c>
      <c r="J1237">
        <v>0.64861252533383995</v>
      </c>
      <c r="K1237">
        <v>0.56778047538454801</v>
      </c>
      <c r="L1237">
        <v>2077.6694047727301</v>
      </c>
      <c r="M1237">
        <v>40.740169921708997</v>
      </c>
      <c r="O1237">
        <v>50.875639534752302</v>
      </c>
      <c r="P1237">
        <v>-7.8500285290955901E-2</v>
      </c>
      <c r="Q1237">
        <v>0.60788139291724397</v>
      </c>
      <c r="R1237">
        <v>0.96734916539841498</v>
      </c>
      <c r="S1237" t="s">
        <v>6820</v>
      </c>
      <c r="T1237" t="s">
        <v>11164</v>
      </c>
      <c r="U1237" t="s">
        <v>11164</v>
      </c>
      <c r="V1237" t="s">
        <v>11164</v>
      </c>
      <c r="W1237" t="s">
        <v>12372</v>
      </c>
      <c r="X1237">
        <v>19</v>
      </c>
      <c r="Y1237" t="s">
        <v>17903</v>
      </c>
      <c r="Z1237" t="s">
        <v>23387</v>
      </c>
      <c r="AA1237">
        <v>0.79217530548420523</v>
      </c>
      <c r="AB1237" t="str">
        <f>HYPERLINK("Melting_Curves/meltCurve_O14545_TRAFD1.pdf", "Melting_Curves/meltCurve_O14545_TRAFD1.pdf")</f>
        <v>Melting_Curves/meltCurve_O14545_TRAFD1.pdf</v>
      </c>
    </row>
    <row r="1238" spans="1:28" x14ac:dyDescent="0.25">
      <c r="A1238" t="s">
        <v>1242</v>
      </c>
      <c r="B1238">
        <v>0.99796759195183404</v>
      </c>
      <c r="C1238">
        <v>0.91350264612824705</v>
      </c>
      <c r="D1238">
        <v>0.90570292246330297</v>
      </c>
      <c r="E1238">
        <v>0.75693945430963505</v>
      </c>
      <c r="F1238">
        <v>0.78288199533219704</v>
      </c>
      <c r="G1238">
        <v>0.60560547899302397</v>
      </c>
      <c r="H1238">
        <v>1.4288679366788599</v>
      </c>
      <c r="I1238">
        <v>1.0772252897705401</v>
      </c>
      <c r="J1238">
        <v>1.12112146685614</v>
      </c>
      <c r="K1238">
        <v>1.0471229579316299</v>
      </c>
      <c r="L1238">
        <v>2503.85950414335</v>
      </c>
      <c r="M1238">
        <v>44.787782792102099</v>
      </c>
      <c r="O1238">
        <v>55.793850827700403</v>
      </c>
      <c r="P1238">
        <v>2.88517755431681E-2</v>
      </c>
      <c r="Q1238">
        <v>1.14376685972801</v>
      </c>
      <c r="R1238">
        <v>0.12777237011578399</v>
      </c>
      <c r="S1238" t="s">
        <v>6821</v>
      </c>
      <c r="T1238" t="s">
        <v>11164</v>
      </c>
      <c r="U1238" t="s">
        <v>11164</v>
      </c>
      <c r="V1238" t="s">
        <v>11164</v>
      </c>
      <c r="W1238" t="s">
        <v>12373</v>
      </c>
      <c r="X1238">
        <v>2</v>
      </c>
      <c r="Y1238" t="s">
        <v>17904</v>
      </c>
      <c r="Z1238" t="s">
        <v>23388</v>
      </c>
      <c r="AA1238">
        <v>1.0527329387017521</v>
      </c>
      <c r="AB1238" t="str">
        <f>HYPERLINK("Melting_Curves/meltCurve_O14548_COX7A2L.pdf", "Melting_Curves/meltCurve_O14548_COX7A2L.pdf")</f>
        <v>Melting_Curves/meltCurve_O14548_COX7A2L.pdf</v>
      </c>
    </row>
    <row r="1239" spans="1:28" x14ac:dyDescent="0.25">
      <c r="A1239" t="s">
        <v>1243</v>
      </c>
      <c r="B1239">
        <v>0.99796759195183404</v>
      </c>
      <c r="C1239">
        <v>0.90332025451051601</v>
      </c>
      <c r="D1239">
        <v>0.84488804956198604</v>
      </c>
      <c r="E1239">
        <v>0.89072112791679903</v>
      </c>
      <c r="F1239">
        <v>0.78159730969505603</v>
      </c>
      <c r="G1239">
        <v>0.78278967402948196</v>
      </c>
      <c r="H1239">
        <v>0.31777581373535801</v>
      </c>
      <c r="I1239">
        <v>0.26644870137944499</v>
      </c>
      <c r="J1239">
        <v>0.23142881651899799</v>
      </c>
      <c r="K1239">
        <v>0.16621559287014101</v>
      </c>
      <c r="L1239">
        <v>615.02556475594395</v>
      </c>
      <c r="M1239">
        <v>10.9406319323682</v>
      </c>
      <c r="N1239">
        <v>56.214811794579802</v>
      </c>
      <c r="O1239">
        <v>54.434599692322202</v>
      </c>
      <c r="P1239">
        <v>-5.0263996701828503E-2</v>
      </c>
      <c r="Q1239">
        <v>0</v>
      </c>
      <c r="R1239">
        <v>0.93156999608050794</v>
      </c>
      <c r="S1239" t="s">
        <v>6822</v>
      </c>
      <c r="T1239" t="s">
        <v>11164</v>
      </c>
      <c r="U1239" t="s">
        <v>11164</v>
      </c>
      <c r="V1239" t="s">
        <v>11164</v>
      </c>
      <c r="W1239" t="s">
        <v>12374</v>
      </c>
      <c r="X1239">
        <v>2</v>
      </c>
      <c r="Y1239" t="s">
        <v>17905</v>
      </c>
      <c r="Z1239" t="s">
        <v>23389</v>
      </c>
      <c r="AA1239">
        <v>0.64745751806626528</v>
      </c>
      <c r="AB1239" t="str">
        <f>HYPERLINK("Melting_Curves/meltCurve_O14578_CIT.pdf", "Melting_Curves/meltCurve_O14578_CIT.pdf")</f>
        <v>Melting_Curves/meltCurve_O14578_CIT.pdf</v>
      </c>
    </row>
    <row r="1240" spans="1:28" x14ac:dyDescent="0.25">
      <c r="A1240" t="s">
        <v>1244</v>
      </c>
      <c r="B1240">
        <v>0.99796759195183404</v>
      </c>
      <c r="C1240">
        <v>1.0875738663658701</v>
      </c>
      <c r="D1240">
        <v>1.0591564061477901</v>
      </c>
      <c r="E1240">
        <v>0.94854680195059204</v>
      </c>
      <c r="F1240">
        <v>0.70950935344283095</v>
      </c>
      <c r="G1240">
        <v>0.42505660173513499</v>
      </c>
      <c r="H1240">
        <v>0.31217033981171299</v>
      </c>
      <c r="I1240">
        <v>0.22947567814589701</v>
      </c>
      <c r="J1240">
        <v>0.268999048539312</v>
      </c>
      <c r="K1240">
        <v>0.29276966165275897</v>
      </c>
      <c r="L1240">
        <v>1369.1550080740001</v>
      </c>
      <c r="M1240">
        <v>26.798659198247201</v>
      </c>
      <c r="N1240">
        <v>52.565987778634302</v>
      </c>
      <c r="O1240">
        <v>50.808459371728802</v>
      </c>
      <c r="P1240">
        <v>-9.7004875543670599E-2</v>
      </c>
      <c r="Q1240">
        <v>0.264348223082569</v>
      </c>
      <c r="R1240">
        <v>0.98750285861391096</v>
      </c>
      <c r="S1240" t="s">
        <v>6823</v>
      </c>
      <c r="T1240" t="s">
        <v>11164</v>
      </c>
      <c r="U1240" t="s">
        <v>11164</v>
      </c>
      <c r="V1240" t="s">
        <v>11164</v>
      </c>
      <c r="W1240" t="s">
        <v>12375</v>
      </c>
      <c r="X1240">
        <v>2</v>
      </c>
      <c r="Y1240" t="s">
        <v>17906</v>
      </c>
      <c r="Z1240" t="s">
        <v>23390</v>
      </c>
      <c r="AA1240">
        <v>0.61557097344124379</v>
      </c>
      <c r="AB1240" t="str">
        <f>HYPERLINK("Melting_Curves/meltCurve_O14613_CDC42EP2.pdf", "Melting_Curves/meltCurve_O14613_CDC42EP2.pdf")</f>
        <v>Melting_Curves/meltCurve_O14613_CDC42EP2.pdf</v>
      </c>
    </row>
    <row r="1241" spans="1:28" x14ac:dyDescent="0.25">
      <c r="A1241" t="s">
        <v>1245</v>
      </c>
      <c r="B1241">
        <v>0.99796759195183404</v>
      </c>
      <c r="C1241">
        <v>1.0841687444678401</v>
      </c>
      <c r="D1241">
        <v>1.0041784392252699</v>
      </c>
      <c r="E1241">
        <v>1.0752630464786599</v>
      </c>
      <c r="F1241">
        <v>0.74767876471799299</v>
      </c>
      <c r="G1241">
        <v>1.0147575215100699</v>
      </c>
      <c r="H1241">
        <v>0.230039417754935</v>
      </c>
      <c r="I1241">
        <v>0.64468912860664396</v>
      </c>
      <c r="J1241">
        <v>0.54652813701001801</v>
      </c>
      <c r="K1241">
        <v>0.21088014595334201</v>
      </c>
      <c r="L1241">
        <v>13819.138392511701</v>
      </c>
      <c r="M1241">
        <v>250</v>
      </c>
      <c r="N1241">
        <v>55.653475920073902</v>
      </c>
      <c r="O1241">
        <v>55.273016952678702</v>
      </c>
      <c r="P1241">
        <v>-0.66937242987289403</v>
      </c>
      <c r="Q1241">
        <v>0.40802826973015399</v>
      </c>
      <c r="R1241">
        <v>0.78338413970478404</v>
      </c>
      <c r="S1241" t="s">
        <v>6824</v>
      </c>
      <c r="T1241" t="s">
        <v>11164</v>
      </c>
      <c r="U1241" t="s">
        <v>11164</v>
      </c>
      <c r="V1241" t="s">
        <v>11164</v>
      </c>
      <c r="W1241" t="s">
        <v>12376</v>
      </c>
      <c r="X1241">
        <v>5</v>
      </c>
      <c r="Y1241" t="s">
        <v>17907</v>
      </c>
      <c r="Z1241" t="s">
        <v>23391</v>
      </c>
      <c r="AA1241">
        <v>0.76872579794752971</v>
      </c>
      <c r="AB1241" t="str">
        <f>HYPERLINK("Melting_Curves/meltCurve_O14617_4_AP3D1.pdf", "Melting_Curves/meltCurve_O14617_4_AP3D1.pdf")</f>
        <v>Melting_Curves/meltCurve_O14617_4_AP3D1.pdf</v>
      </c>
    </row>
    <row r="1242" spans="1:28" x14ac:dyDescent="0.25">
      <c r="A1242" t="s">
        <v>1246</v>
      </c>
      <c r="B1242">
        <v>0.99796759195183404</v>
      </c>
      <c r="C1242">
        <v>0.97347199358835501</v>
      </c>
      <c r="D1242">
        <v>0.94951316597923996</v>
      </c>
      <c r="E1242">
        <v>0.88802481590587201</v>
      </c>
      <c r="F1242">
        <v>0.78633844375738904</v>
      </c>
      <c r="G1242">
        <v>0.590614815364502</v>
      </c>
      <c r="H1242">
        <v>0.34929674898232599</v>
      </c>
      <c r="I1242">
        <v>0.25298750457826902</v>
      </c>
      <c r="J1242">
        <v>0.207955163437295</v>
      </c>
      <c r="K1242">
        <v>0.14761417425196399</v>
      </c>
      <c r="L1242">
        <v>723.05232418967296</v>
      </c>
      <c r="M1242">
        <v>13.321203011755101</v>
      </c>
      <c r="N1242">
        <v>55.037836354477797</v>
      </c>
      <c r="O1242">
        <v>53.098887312927097</v>
      </c>
      <c r="P1242">
        <v>-5.7461979302546103E-2</v>
      </c>
      <c r="Q1242">
        <v>8.3963595859808907E-2</v>
      </c>
      <c r="R1242">
        <v>0.99663879316983195</v>
      </c>
      <c r="S1242" t="s">
        <v>6825</v>
      </c>
      <c r="T1242" t="s">
        <v>11164</v>
      </c>
      <c r="U1242" t="s">
        <v>11164</v>
      </c>
      <c r="V1242" t="s">
        <v>11164</v>
      </c>
      <c r="W1242" t="s">
        <v>12377</v>
      </c>
      <c r="X1242">
        <v>2</v>
      </c>
      <c r="Y1242" t="s">
        <v>17908</v>
      </c>
      <c r="Z1242" t="s">
        <v>23392</v>
      </c>
      <c r="AA1242">
        <v>0.62675689758319231</v>
      </c>
      <c r="AB1242" t="str">
        <f>HYPERLINK("Melting_Curves/meltCurve_O14656_TOR1A.pdf", "Melting_Curves/meltCurve_O14656_TOR1A.pdf")</f>
        <v>Melting_Curves/meltCurve_O14656_TOR1A.pdf</v>
      </c>
    </row>
    <row r="1243" spans="1:28" x14ac:dyDescent="0.25">
      <c r="A1243" t="s">
        <v>1247</v>
      </c>
      <c r="B1243">
        <v>0.99796759195183404</v>
      </c>
      <c r="C1243">
        <v>0.98895891148651305</v>
      </c>
      <c r="D1243">
        <v>0.94132187195982198</v>
      </c>
      <c r="E1243">
        <v>0.88550637716437297</v>
      </c>
      <c r="F1243">
        <v>0.78339800999521003</v>
      </c>
      <c r="G1243">
        <v>0.50196025004604505</v>
      </c>
      <c r="H1243">
        <v>0.30062377747908497</v>
      </c>
      <c r="I1243">
        <v>0.27320959684092</v>
      </c>
      <c r="J1243">
        <v>0.19361071217360401</v>
      </c>
      <c r="K1243">
        <v>0.13029421941643499</v>
      </c>
      <c r="L1243">
        <v>798.99254699312905</v>
      </c>
      <c r="M1243">
        <v>15.0366438844035</v>
      </c>
      <c r="N1243">
        <v>54.106767245491397</v>
      </c>
      <c r="O1243">
        <v>52.223124737326202</v>
      </c>
      <c r="P1243">
        <v>-6.3481480596322706E-2</v>
      </c>
      <c r="Q1243">
        <v>0.118189011818344</v>
      </c>
      <c r="R1243">
        <v>0.99333201323500697</v>
      </c>
      <c r="S1243" t="s">
        <v>6826</v>
      </c>
      <c r="T1243" t="s">
        <v>11164</v>
      </c>
      <c r="U1243" t="s">
        <v>11164</v>
      </c>
      <c r="V1243" t="s">
        <v>11164</v>
      </c>
      <c r="W1243" t="s">
        <v>12378</v>
      </c>
      <c r="X1243">
        <v>6</v>
      </c>
      <c r="Y1243" t="s">
        <v>17909</v>
      </c>
      <c r="Z1243" t="s">
        <v>23393</v>
      </c>
      <c r="AA1243">
        <v>0.60802151909042979</v>
      </c>
      <c r="AB1243" t="str">
        <f>HYPERLINK("Melting_Curves/meltCurve_O14657_TOR1B.pdf", "Melting_Curves/meltCurve_O14657_TOR1B.pdf")</f>
        <v>Melting_Curves/meltCurve_O14657_TOR1B.pdf</v>
      </c>
    </row>
    <row r="1244" spans="1:28" x14ac:dyDescent="0.25">
      <c r="A1244" t="s">
        <v>1248</v>
      </c>
      <c r="B1244">
        <v>0.99796759195183404</v>
      </c>
      <c r="C1244">
        <v>0.98114317976090204</v>
      </c>
      <c r="D1244">
        <v>1.0133155659792701</v>
      </c>
      <c r="E1244">
        <v>0.91307975142549103</v>
      </c>
      <c r="F1244">
        <v>0.87076195789811595</v>
      </c>
      <c r="G1244">
        <v>0.75474630691465805</v>
      </c>
      <c r="H1244">
        <v>0.60696734976349698</v>
      </c>
      <c r="I1244">
        <v>0.39542481237465099</v>
      </c>
      <c r="J1244">
        <v>0.22218144868502099</v>
      </c>
      <c r="K1244">
        <v>0.13135769153536</v>
      </c>
      <c r="L1244">
        <v>764.357429861882</v>
      </c>
      <c r="M1244">
        <v>13.0421440166048</v>
      </c>
      <c r="N1244">
        <v>58.606731354698198</v>
      </c>
      <c r="O1244">
        <v>57.280228829334497</v>
      </c>
      <c r="P1244">
        <v>-5.6932468308830898E-2</v>
      </c>
      <c r="Q1244">
        <v>0</v>
      </c>
      <c r="R1244">
        <v>0.99196246406463495</v>
      </c>
      <c r="S1244" t="s">
        <v>6827</v>
      </c>
      <c r="T1244" t="s">
        <v>11164</v>
      </c>
      <c r="U1244" t="s">
        <v>11164</v>
      </c>
      <c r="V1244" t="s">
        <v>11164</v>
      </c>
      <c r="W1244" t="s">
        <v>12379</v>
      </c>
      <c r="X1244">
        <v>8</v>
      </c>
      <c r="Y1244" t="s">
        <v>17910</v>
      </c>
      <c r="Z1244" t="s">
        <v>23394</v>
      </c>
      <c r="AA1244">
        <v>0.71771609929093338</v>
      </c>
      <c r="AB1244" t="str">
        <f>HYPERLINK("Melting_Curves/meltCurve_O14672_ADAM10.pdf", "Melting_Curves/meltCurve_O14672_ADAM10.pdf")</f>
        <v>Melting_Curves/meltCurve_O14672_ADAM10.pdf</v>
      </c>
    </row>
    <row r="1245" spans="1:28" x14ac:dyDescent="0.25">
      <c r="A1245" t="s">
        <v>1249</v>
      </c>
      <c r="B1245">
        <v>0.99796759195183404</v>
      </c>
      <c r="C1245">
        <v>1.29727324842473</v>
      </c>
      <c r="D1245">
        <v>0.90562203561766197</v>
      </c>
      <c r="E1245">
        <v>0.97320380148872099</v>
      </c>
      <c r="F1245">
        <v>0.69235474256830698</v>
      </c>
      <c r="G1245">
        <v>0.44881787827685199</v>
      </c>
      <c r="H1245">
        <v>0.547953207075218</v>
      </c>
      <c r="I1245">
        <v>0.537290831875055</v>
      </c>
      <c r="J1245">
        <v>0.48978650570014498</v>
      </c>
      <c r="K1245">
        <v>0.43456400259014899</v>
      </c>
      <c r="L1245">
        <v>12528.5508259326</v>
      </c>
      <c r="M1245">
        <v>250</v>
      </c>
      <c r="N1245">
        <v>50.949001195421701</v>
      </c>
      <c r="O1245">
        <v>50.1109970532356</v>
      </c>
      <c r="P1245">
        <v>-0.63398948755839502</v>
      </c>
      <c r="Q1245">
        <v>0.49168248247465801</v>
      </c>
      <c r="R1245">
        <v>0.86096014966039502</v>
      </c>
      <c r="S1245" t="s">
        <v>6828</v>
      </c>
      <c r="T1245" t="s">
        <v>11164</v>
      </c>
      <c r="U1245" t="s">
        <v>11164</v>
      </c>
      <c r="V1245" t="s">
        <v>11164</v>
      </c>
      <c r="W1245" t="s">
        <v>12380</v>
      </c>
      <c r="X1245">
        <v>5</v>
      </c>
      <c r="Y1245" t="s">
        <v>17911</v>
      </c>
      <c r="Z1245" t="s">
        <v>23395</v>
      </c>
      <c r="AA1245">
        <v>0.71393316440997401</v>
      </c>
      <c r="AB1245" t="str">
        <f>HYPERLINK("Melting_Curves/meltCurve_O14686_MLL2.pdf", "Melting_Curves/meltCurve_O14686_MLL2.pdf")</f>
        <v>Melting_Curves/meltCurve_O14686_MLL2.pdf</v>
      </c>
    </row>
    <row r="1246" spans="1:28" x14ac:dyDescent="0.25">
      <c r="A1246" t="s">
        <v>1250</v>
      </c>
      <c r="B1246">
        <v>0.99796759195183404</v>
      </c>
      <c r="C1246">
        <v>0.92959781662984997</v>
      </c>
      <c r="D1246">
        <v>0.95390151799197898</v>
      </c>
      <c r="E1246">
        <v>0.93464912567023095</v>
      </c>
      <c r="F1246">
        <v>0.83530497393110104</v>
      </c>
      <c r="G1246">
        <v>0.66204138044871097</v>
      </c>
      <c r="H1246">
        <v>0.71823342932510303</v>
      </c>
      <c r="I1246">
        <v>0.56186324325609505</v>
      </c>
      <c r="J1246">
        <v>0.62476632204313498</v>
      </c>
      <c r="K1246">
        <v>0.29775820441590001</v>
      </c>
      <c r="L1246">
        <v>389.54647611028099</v>
      </c>
      <c r="M1246">
        <v>6.1221729691717099</v>
      </c>
      <c r="N1246">
        <v>63.6287929132627</v>
      </c>
      <c r="O1246">
        <v>57.842805819208998</v>
      </c>
      <c r="P1246">
        <v>-2.65401211007666E-2</v>
      </c>
      <c r="Q1246">
        <v>0</v>
      </c>
      <c r="R1246">
        <v>0.88840515020905197</v>
      </c>
      <c r="S1246" t="s">
        <v>6829</v>
      </c>
      <c r="T1246" t="s">
        <v>11164</v>
      </c>
      <c r="U1246" t="s">
        <v>11164</v>
      </c>
      <c r="V1246" t="s">
        <v>11164</v>
      </c>
      <c r="W1246" t="s">
        <v>12381</v>
      </c>
      <c r="X1246">
        <v>3</v>
      </c>
      <c r="Y1246" t="s">
        <v>17912</v>
      </c>
      <c r="Z1246" t="s">
        <v>23396</v>
      </c>
      <c r="AA1246">
        <v>0.76292990334032063</v>
      </c>
      <c r="AB1246" t="str">
        <f>HYPERLINK("Melting_Curves/meltCurve_O14732_2_IMPA2.pdf", "Melting_Curves/meltCurve_O14732_2_IMPA2.pdf")</f>
        <v>Melting_Curves/meltCurve_O14732_2_IMPA2.pdf</v>
      </c>
    </row>
    <row r="1247" spans="1:28" x14ac:dyDescent="0.25">
      <c r="A1247" t="s">
        <v>1251</v>
      </c>
      <c r="B1247">
        <v>0.99796759195183404</v>
      </c>
      <c r="C1247">
        <v>1.01554617052131</v>
      </c>
      <c r="D1247">
        <v>0.96440088187742801</v>
      </c>
      <c r="E1247">
        <v>0.88687320125733704</v>
      </c>
      <c r="F1247">
        <v>0.70178406110262703</v>
      </c>
      <c r="G1247">
        <v>0.30166628931584899</v>
      </c>
      <c r="H1247">
        <v>0.14793508289396301</v>
      </c>
      <c r="I1247">
        <v>0.12593181064939299</v>
      </c>
      <c r="J1247">
        <v>0.101749746072494</v>
      </c>
      <c r="K1247">
        <v>7.56753162978787E-2</v>
      </c>
      <c r="L1247">
        <v>1212.86809828436</v>
      </c>
      <c r="M1247">
        <v>23.5879894212175</v>
      </c>
      <c r="N1247">
        <v>51.824903891067002</v>
      </c>
      <c r="O1247">
        <v>51.0536005823528</v>
      </c>
      <c r="P1247">
        <v>-0.105763428805821</v>
      </c>
      <c r="Q1247">
        <v>8.4362522796743999E-2</v>
      </c>
      <c r="R1247">
        <v>0.99695695203077295</v>
      </c>
      <c r="S1247" t="s">
        <v>6830</v>
      </c>
      <c r="T1247" t="s">
        <v>11164</v>
      </c>
      <c r="U1247" t="s">
        <v>11164</v>
      </c>
      <c r="V1247" t="s">
        <v>11164</v>
      </c>
      <c r="W1247" t="s">
        <v>12382</v>
      </c>
      <c r="X1247">
        <v>11</v>
      </c>
      <c r="Y1247" t="s">
        <v>17913</v>
      </c>
      <c r="Z1247" t="s">
        <v>23397</v>
      </c>
      <c r="AA1247">
        <v>0.53344218300990554</v>
      </c>
      <c r="AB1247" t="str">
        <f>HYPERLINK("Melting_Curves/meltCurve_O14733_MAP2K7.pdf", "Melting_Curves/meltCurve_O14733_MAP2K7.pdf")</f>
        <v>Melting_Curves/meltCurve_O14733_MAP2K7.pdf</v>
      </c>
    </row>
    <row r="1248" spans="1:28" x14ac:dyDescent="0.25">
      <c r="A1248" t="s">
        <v>1252</v>
      </c>
      <c r="B1248">
        <v>0.99796759195183404</v>
      </c>
      <c r="C1248">
        <v>0.86760757211047201</v>
      </c>
      <c r="D1248">
        <v>1.0452653135554699</v>
      </c>
      <c r="E1248">
        <v>1.0026456454639501</v>
      </c>
      <c r="F1248">
        <v>1.0074042505437399</v>
      </c>
      <c r="G1248">
        <v>0.59735199151047302</v>
      </c>
      <c r="H1248">
        <v>0.64482365452480295</v>
      </c>
      <c r="I1248">
        <v>0.55722197437254595</v>
      </c>
      <c r="J1248">
        <v>0.28520946310559597</v>
      </c>
      <c r="K1248">
        <v>0.18091461215086599</v>
      </c>
      <c r="L1248">
        <v>679.02022224221298</v>
      </c>
      <c r="M1248">
        <v>11.3566444922235</v>
      </c>
      <c r="N1248">
        <v>59.790567805193703</v>
      </c>
      <c r="O1248">
        <v>58.026686673312902</v>
      </c>
      <c r="P1248">
        <v>-4.8943127234750201E-2</v>
      </c>
      <c r="Q1248">
        <v>0</v>
      </c>
      <c r="R1248">
        <v>0.90622822587491303</v>
      </c>
      <c r="S1248" t="s">
        <v>6831</v>
      </c>
      <c r="T1248" t="s">
        <v>11164</v>
      </c>
      <c r="U1248" t="s">
        <v>11164</v>
      </c>
      <c r="V1248" t="s">
        <v>11164</v>
      </c>
      <c r="W1248" t="s">
        <v>12383</v>
      </c>
      <c r="X1248">
        <v>2</v>
      </c>
      <c r="Y1248" t="s">
        <v>17914</v>
      </c>
      <c r="Z1248" t="s">
        <v>23398</v>
      </c>
      <c r="AA1248">
        <v>0.74234228354687004</v>
      </c>
      <c r="AB1248" t="str">
        <f>HYPERLINK("Melting_Curves/meltCurve_O14734_ACOT8.pdf", "Melting_Curves/meltCurve_O14734_ACOT8.pdf")</f>
        <v>Melting_Curves/meltCurve_O14734_ACOT8.pdf</v>
      </c>
    </row>
    <row r="1249" spans="1:28" x14ac:dyDescent="0.25">
      <c r="A1249" t="s">
        <v>1253</v>
      </c>
      <c r="B1249">
        <v>0.99796759195183404</v>
      </c>
      <c r="C1249">
        <v>1.0790814656540999</v>
      </c>
      <c r="D1249">
        <v>0.97472188761956902</v>
      </c>
      <c r="E1249">
        <v>0.89027704308037003</v>
      </c>
      <c r="F1249">
        <v>0.91635674381630705</v>
      </c>
      <c r="G1249">
        <v>0.72359582709582904</v>
      </c>
      <c r="H1249">
        <v>0.89814257862764901</v>
      </c>
      <c r="I1249">
        <v>0.79620435838814696</v>
      </c>
      <c r="J1249">
        <v>1.3967280025859199</v>
      </c>
      <c r="K1249">
        <v>1.5180236324270899</v>
      </c>
      <c r="L1249">
        <v>15000</v>
      </c>
      <c r="M1249">
        <v>235.35486031503299</v>
      </c>
      <c r="O1249">
        <v>63.728958011804004</v>
      </c>
      <c r="P1249">
        <v>0.46163258454554301</v>
      </c>
      <c r="Q1249">
        <v>1.5</v>
      </c>
      <c r="R1249">
        <v>0.73180318055374804</v>
      </c>
      <c r="S1249" t="s">
        <v>6832</v>
      </c>
      <c r="T1249" t="s">
        <v>11164</v>
      </c>
      <c r="U1249" t="s">
        <v>11164</v>
      </c>
      <c r="V1249" t="s">
        <v>11164</v>
      </c>
      <c r="W1249" t="s">
        <v>12384</v>
      </c>
      <c r="X1249">
        <v>24</v>
      </c>
      <c r="Y1249" t="s">
        <v>17915</v>
      </c>
      <c r="Z1249" t="s">
        <v>23399</v>
      </c>
      <c r="AA1249">
        <v>1.054377835228653</v>
      </c>
      <c r="AB1249" t="str">
        <f>HYPERLINK("Melting_Curves/meltCurve_O14737_PDCD5.pdf", "Melting_Curves/meltCurve_O14737_PDCD5.pdf")</f>
        <v>Melting_Curves/meltCurve_O14737_PDCD5.pdf</v>
      </c>
    </row>
    <row r="1250" spans="1:28" x14ac:dyDescent="0.25">
      <c r="A1250" t="s">
        <v>1254</v>
      </c>
      <c r="B1250">
        <v>0.99796759195183404</v>
      </c>
      <c r="C1250">
        <v>0.964599757198497</v>
      </c>
      <c r="D1250">
        <v>0.91392589972848803</v>
      </c>
      <c r="E1250">
        <v>0.98806190619913503</v>
      </c>
      <c r="F1250">
        <v>0.84441895066764705</v>
      </c>
      <c r="G1250">
        <v>3.9910687152403002</v>
      </c>
      <c r="H1250">
        <v>3.4358268664947298</v>
      </c>
      <c r="I1250">
        <v>0.70131751391130004</v>
      </c>
      <c r="J1250">
        <v>0.213646698370522</v>
      </c>
      <c r="K1250">
        <v>0.15761917487697999</v>
      </c>
      <c r="L1250">
        <v>15000</v>
      </c>
      <c r="M1250">
        <v>245.355500862095</v>
      </c>
      <c r="N1250">
        <v>61.251622544061902</v>
      </c>
      <c r="O1250">
        <v>61.131721664783903</v>
      </c>
      <c r="P1250">
        <v>-0.81713203754823305</v>
      </c>
      <c r="Q1250">
        <v>0.18562762222392801</v>
      </c>
      <c r="R1250">
        <v>2.5239787941006502E-2</v>
      </c>
      <c r="S1250" t="s">
        <v>6833</v>
      </c>
      <c r="T1250" t="s">
        <v>11164</v>
      </c>
      <c r="U1250" t="s">
        <v>11164</v>
      </c>
      <c r="V1250" t="s">
        <v>11164</v>
      </c>
      <c r="W1250" t="s">
        <v>12385</v>
      </c>
      <c r="X1250">
        <v>5</v>
      </c>
      <c r="Y1250" t="s">
        <v>17916</v>
      </c>
      <c r="Z1250" t="s">
        <v>23400</v>
      </c>
      <c r="AA1250">
        <v>0.84090209838996965</v>
      </c>
      <c r="AB1250" t="str">
        <f>HYPERLINK("Melting_Curves/meltCurve_O14744_PRMT5.pdf", "Melting_Curves/meltCurve_O14744_PRMT5.pdf")</f>
        <v>Melting_Curves/meltCurve_O14744_PRMT5.pdf</v>
      </c>
    </row>
    <row r="1251" spans="1:28" x14ac:dyDescent="0.25">
      <c r="A1251" t="s">
        <v>1255</v>
      </c>
      <c r="B1251">
        <v>0.99796759195183404</v>
      </c>
      <c r="C1251">
        <v>0.989194331746303</v>
      </c>
      <c r="D1251">
        <v>0.96533279141200801</v>
      </c>
      <c r="E1251">
        <v>0.92836680105283798</v>
      </c>
      <c r="F1251">
        <v>0.83116419209373305</v>
      </c>
      <c r="G1251">
        <v>0.62559115460409198</v>
      </c>
      <c r="H1251">
        <v>0.581178908391911</v>
      </c>
      <c r="I1251">
        <v>0.488398627630237</v>
      </c>
      <c r="J1251">
        <v>0.53495256379024303</v>
      </c>
      <c r="K1251">
        <v>0.47053922663060499</v>
      </c>
      <c r="L1251">
        <v>922.04740675526705</v>
      </c>
      <c r="M1251">
        <v>17.83929558054</v>
      </c>
      <c r="N1251">
        <v>63.598572734081998</v>
      </c>
      <c r="O1251">
        <v>51.049946519076698</v>
      </c>
      <c r="P1251">
        <v>-4.5229096173277798E-2</v>
      </c>
      <c r="Q1251">
        <v>0.48230576839235201</v>
      </c>
      <c r="R1251">
        <v>0.98883478876042696</v>
      </c>
      <c r="S1251" t="s">
        <v>6834</v>
      </c>
      <c r="T1251" t="s">
        <v>11164</v>
      </c>
      <c r="U1251" t="s">
        <v>11164</v>
      </c>
      <c r="V1251" t="s">
        <v>11164</v>
      </c>
      <c r="W1251" t="s">
        <v>12386</v>
      </c>
      <c r="X1251">
        <v>22</v>
      </c>
      <c r="Y1251" t="s">
        <v>17917</v>
      </c>
      <c r="Z1251" t="s">
        <v>23401</v>
      </c>
      <c r="AA1251">
        <v>0.74374420778066197</v>
      </c>
      <c r="AB1251" t="str">
        <f>HYPERLINK("Melting_Curves/meltCurve_O14745_SLC9A3R1.pdf", "Melting_Curves/meltCurve_O14745_SLC9A3R1.pdf")</f>
        <v>Melting_Curves/meltCurve_O14745_SLC9A3R1.pdf</v>
      </c>
    </row>
    <row r="1252" spans="1:28" x14ac:dyDescent="0.25">
      <c r="A1252" t="s">
        <v>1256</v>
      </c>
      <c r="B1252">
        <v>0.99796759195183404</v>
      </c>
      <c r="C1252">
        <v>1.00465362130428</v>
      </c>
      <c r="D1252">
        <v>1.02316475756473</v>
      </c>
      <c r="E1252">
        <v>0.979980782547896</v>
      </c>
      <c r="F1252">
        <v>0.812709967216387</v>
      </c>
      <c r="G1252">
        <v>0.60022896227984301</v>
      </c>
      <c r="H1252">
        <v>0.30184624646029201</v>
      </c>
      <c r="I1252">
        <v>0.142811656180374</v>
      </c>
      <c r="J1252">
        <v>0.114791625723957</v>
      </c>
      <c r="K1252">
        <v>8.6449053937593501E-2</v>
      </c>
      <c r="L1252">
        <v>1053.59282063306</v>
      </c>
      <c r="M1252">
        <v>19.377292555505601</v>
      </c>
      <c r="N1252">
        <v>54.720603357566198</v>
      </c>
      <c r="O1252">
        <v>53.803401324636802</v>
      </c>
      <c r="P1252">
        <v>-8.4820347109527405E-2</v>
      </c>
      <c r="Q1252">
        <v>5.7978946168661102E-2</v>
      </c>
      <c r="R1252">
        <v>0.99798108900642502</v>
      </c>
      <c r="S1252" t="s">
        <v>6835</v>
      </c>
      <c r="T1252" t="s">
        <v>11164</v>
      </c>
      <c r="U1252" t="s">
        <v>11164</v>
      </c>
      <c r="V1252" t="s">
        <v>11164</v>
      </c>
      <c r="W1252" t="s">
        <v>12387</v>
      </c>
      <c r="X1252">
        <v>9</v>
      </c>
      <c r="Y1252" t="s">
        <v>17918</v>
      </c>
      <c r="Z1252" t="s">
        <v>23402</v>
      </c>
      <c r="AA1252">
        <v>0.61507676601234162</v>
      </c>
      <c r="AB1252" t="str">
        <f>HYPERLINK("Melting_Curves/meltCurve_O14757_CHEK1.pdf", "Melting_Curves/meltCurve_O14757_CHEK1.pdf")</f>
        <v>Melting_Curves/meltCurve_O14757_CHEK1.pdf</v>
      </c>
    </row>
    <row r="1253" spans="1:28" x14ac:dyDescent="0.25">
      <c r="A1253" t="s">
        <v>1257</v>
      </c>
      <c r="B1253">
        <v>0.99796759195183404</v>
      </c>
      <c r="C1253">
        <v>0.98287521394095201</v>
      </c>
      <c r="D1253">
        <v>0.99624367762573995</v>
      </c>
      <c r="E1253">
        <v>0.93626901112327598</v>
      </c>
      <c r="F1253">
        <v>0.840177594518138</v>
      </c>
      <c r="G1253">
        <v>0.62622386830766397</v>
      </c>
      <c r="H1253">
        <v>0.51170426137180003</v>
      </c>
      <c r="I1253">
        <v>0.444422427991226</v>
      </c>
      <c r="J1253">
        <v>0.44901140382672999</v>
      </c>
      <c r="K1253">
        <v>0.32494528718744098</v>
      </c>
      <c r="L1253">
        <v>835.57912936745402</v>
      </c>
      <c r="M1253">
        <v>15.6848932094369</v>
      </c>
      <c r="N1253">
        <v>57.8023621182734</v>
      </c>
      <c r="O1253">
        <v>52.429438888353602</v>
      </c>
      <c r="P1253">
        <v>-4.8339551542011201E-2</v>
      </c>
      <c r="Q1253">
        <v>0.35372173753017899</v>
      </c>
      <c r="R1253">
        <v>0.98880259870718301</v>
      </c>
      <c r="S1253" t="s">
        <v>6836</v>
      </c>
      <c r="T1253" t="s">
        <v>11164</v>
      </c>
      <c r="U1253" t="s">
        <v>11164</v>
      </c>
      <c r="V1253" t="s">
        <v>11164</v>
      </c>
      <c r="W1253" t="s">
        <v>12388</v>
      </c>
      <c r="X1253">
        <v>9</v>
      </c>
      <c r="Y1253" t="s">
        <v>17919</v>
      </c>
      <c r="Z1253" t="s">
        <v>23403</v>
      </c>
      <c r="AA1253">
        <v>0.71508555140080665</v>
      </c>
      <c r="AB1253" t="str">
        <f>HYPERLINK("Melting_Curves/meltCurve_O14763_2_TNFRSF10B.pdf", "Melting_Curves/meltCurve_O14763_2_TNFRSF10B.pdf")</f>
        <v>Melting_Curves/meltCurve_O14763_2_TNFRSF10B.pdf</v>
      </c>
    </row>
    <row r="1254" spans="1:28" x14ac:dyDescent="0.25">
      <c r="A1254" t="s">
        <v>1258</v>
      </c>
      <c r="B1254">
        <v>0.99796759195183404</v>
      </c>
      <c r="C1254">
        <v>1.01223403489931</v>
      </c>
      <c r="D1254">
        <v>0.97232730335724304</v>
      </c>
      <c r="E1254">
        <v>0.90933108274018803</v>
      </c>
      <c r="F1254">
        <v>0.88984004843922004</v>
      </c>
      <c r="G1254">
        <v>0.66548656093172498</v>
      </c>
      <c r="H1254">
        <v>0.383318159283703</v>
      </c>
      <c r="I1254">
        <v>0.319376184271913</v>
      </c>
      <c r="J1254">
        <v>0.18382704195607899</v>
      </c>
      <c r="K1254">
        <v>0.116922978446644</v>
      </c>
      <c r="L1254">
        <v>830.62953519360599</v>
      </c>
      <c r="M1254">
        <v>14.886872808518399</v>
      </c>
      <c r="N1254">
        <v>56.306649721187398</v>
      </c>
      <c r="O1254">
        <v>54.818344917659601</v>
      </c>
      <c r="P1254">
        <v>-6.3612188185007704E-2</v>
      </c>
      <c r="Q1254">
        <v>6.3134148144574395E-2</v>
      </c>
      <c r="R1254">
        <v>0.99170025343913704</v>
      </c>
      <c r="S1254" t="s">
        <v>6837</v>
      </c>
      <c r="T1254" t="s">
        <v>11164</v>
      </c>
      <c r="U1254" t="s">
        <v>11164</v>
      </c>
      <c r="V1254" t="s">
        <v>11164</v>
      </c>
      <c r="W1254" t="s">
        <v>12389</v>
      </c>
      <c r="X1254">
        <v>3</v>
      </c>
      <c r="Y1254" t="s">
        <v>17920</v>
      </c>
      <c r="Z1254" t="s">
        <v>23404</v>
      </c>
      <c r="AA1254">
        <v>0.6614065948595903</v>
      </c>
      <c r="AB1254" t="str">
        <f>HYPERLINK("Melting_Curves/meltCurve_O14772_FPGT.pdf", "Melting_Curves/meltCurve_O14772_FPGT.pdf")</f>
        <v>Melting_Curves/meltCurve_O14772_FPGT.pdf</v>
      </c>
    </row>
    <row r="1255" spans="1:28" x14ac:dyDescent="0.25">
      <c r="A1255" t="s">
        <v>1259</v>
      </c>
      <c r="B1255">
        <v>0.99796759195183404</v>
      </c>
      <c r="C1255">
        <v>0.82492827075983399</v>
      </c>
      <c r="D1255">
        <v>0.82099089743271003</v>
      </c>
      <c r="E1255">
        <v>0.78629579549054396</v>
      </c>
      <c r="F1255">
        <v>0.87113822028272203</v>
      </c>
      <c r="G1255">
        <v>0.64855255790493704</v>
      </c>
      <c r="H1255">
        <v>0.64360814341139305</v>
      </c>
      <c r="I1255">
        <v>0.54152342497115802</v>
      </c>
      <c r="J1255">
        <v>0.403679048048388</v>
      </c>
      <c r="K1255">
        <v>0.42209880866787602</v>
      </c>
      <c r="L1255">
        <v>271.60650163494802</v>
      </c>
      <c r="M1255">
        <v>4.3423745934362401</v>
      </c>
      <c r="N1255">
        <v>62.547920727661399</v>
      </c>
      <c r="O1255">
        <v>52.6342187703845</v>
      </c>
      <c r="P1255">
        <v>-2.0828239450865E-2</v>
      </c>
      <c r="Q1255">
        <v>0</v>
      </c>
      <c r="R1255">
        <v>0.88774541078967795</v>
      </c>
      <c r="S1255" t="s">
        <v>6838</v>
      </c>
      <c r="T1255" t="s">
        <v>11164</v>
      </c>
      <c r="U1255" t="s">
        <v>11164</v>
      </c>
      <c r="V1255" t="s">
        <v>11164</v>
      </c>
      <c r="W1255" t="s">
        <v>12390</v>
      </c>
      <c r="X1255">
        <v>3</v>
      </c>
      <c r="Y1255" t="s">
        <v>17921</v>
      </c>
      <c r="Z1255" t="s">
        <v>23405</v>
      </c>
      <c r="AA1255">
        <v>0.70245641057822716</v>
      </c>
      <c r="AB1255" t="str">
        <f>HYPERLINK("Melting_Curves/meltCurve_O14773_2_TPP1.pdf", "Melting_Curves/meltCurve_O14773_2_TPP1.pdf")</f>
        <v>Melting_Curves/meltCurve_O14773_2_TPP1.pdf</v>
      </c>
    </row>
    <row r="1256" spans="1:28" x14ac:dyDescent="0.25">
      <c r="A1256" t="s">
        <v>1260</v>
      </c>
      <c r="B1256">
        <v>0.99796759195183404</v>
      </c>
      <c r="C1256">
        <v>0.98468663386399102</v>
      </c>
      <c r="D1256">
        <v>0.98569493506054096</v>
      </c>
      <c r="E1256">
        <v>0.941350679932632</v>
      </c>
      <c r="F1256">
        <v>0.73731002964745496</v>
      </c>
      <c r="G1256">
        <v>0.249092720717112</v>
      </c>
      <c r="H1256">
        <v>0.19198142432694301</v>
      </c>
      <c r="I1256">
        <v>0.16835081879177499</v>
      </c>
      <c r="J1256">
        <v>0.108526157425457</v>
      </c>
      <c r="K1256">
        <v>8.4118679509969194E-2</v>
      </c>
      <c r="L1256">
        <v>1777.4701273683399</v>
      </c>
      <c r="M1256">
        <v>34.643595598179999</v>
      </c>
      <c r="N1256">
        <v>51.746131963660503</v>
      </c>
      <c r="O1256">
        <v>51.137267119943999</v>
      </c>
      <c r="P1256">
        <v>-0.14780893508953899</v>
      </c>
      <c r="Q1256">
        <v>0.12728259060283201</v>
      </c>
      <c r="R1256">
        <v>0.99491795531932004</v>
      </c>
      <c r="S1256" t="s">
        <v>6839</v>
      </c>
      <c r="T1256" t="s">
        <v>11164</v>
      </c>
      <c r="U1256" t="s">
        <v>11164</v>
      </c>
      <c r="V1256" t="s">
        <v>11164</v>
      </c>
      <c r="W1256" t="s">
        <v>12391</v>
      </c>
      <c r="X1256">
        <v>37</v>
      </c>
      <c r="Y1256" t="s">
        <v>17922</v>
      </c>
      <c r="Z1256" t="s">
        <v>23406</v>
      </c>
      <c r="AA1256">
        <v>0.54760678953621467</v>
      </c>
      <c r="AB1256" t="str">
        <f>HYPERLINK("Melting_Curves/meltCurve_O14776_2_TCERG1.pdf", "Melting_Curves/meltCurve_O14776_2_TCERG1.pdf")</f>
        <v>Melting_Curves/meltCurve_O14776_2_TCERG1.pdf</v>
      </c>
    </row>
    <row r="1257" spans="1:28" x14ac:dyDescent="0.25">
      <c r="A1257" t="s">
        <v>1261</v>
      </c>
      <c r="B1257">
        <v>0.99796759195183404</v>
      </c>
      <c r="C1257">
        <v>0.99420330950977098</v>
      </c>
      <c r="D1257">
        <v>1.00409422642014</v>
      </c>
      <c r="E1257">
        <v>0.95076876419141898</v>
      </c>
      <c r="F1257">
        <v>0.43238895747831702</v>
      </c>
      <c r="G1257">
        <v>0.22164027252391899</v>
      </c>
      <c r="H1257">
        <v>0.16317340763298499</v>
      </c>
      <c r="I1257">
        <v>0.12995616352159201</v>
      </c>
      <c r="J1257">
        <v>0.11453687817233001</v>
      </c>
      <c r="K1257">
        <v>7.9238002486145098E-2</v>
      </c>
      <c r="L1257">
        <v>1868.2766099916801</v>
      </c>
      <c r="M1257">
        <v>37.747862691887399</v>
      </c>
      <c r="N1257">
        <v>49.891457951223899</v>
      </c>
      <c r="O1257">
        <v>49.355281380364602</v>
      </c>
      <c r="P1257">
        <v>-0.16635317811978101</v>
      </c>
      <c r="Q1257">
        <v>0.12997602188388599</v>
      </c>
      <c r="R1257">
        <v>0.99535992332642498</v>
      </c>
      <c r="S1257" t="s">
        <v>6840</v>
      </c>
      <c r="T1257" t="s">
        <v>11164</v>
      </c>
      <c r="U1257" t="s">
        <v>11164</v>
      </c>
      <c r="V1257" t="s">
        <v>11164</v>
      </c>
      <c r="W1257" t="s">
        <v>12392</v>
      </c>
      <c r="X1257">
        <v>9</v>
      </c>
      <c r="Y1257" t="s">
        <v>17923</v>
      </c>
      <c r="Z1257" t="s">
        <v>23407</v>
      </c>
      <c r="AA1257">
        <v>0.49564264364892863</v>
      </c>
      <c r="AB1257" t="str">
        <f>HYPERLINK("Melting_Curves/meltCurve_O14777_NDC80.pdf", "Melting_Curves/meltCurve_O14777_NDC80.pdf")</f>
        <v>Melting_Curves/meltCurve_O14777_NDC80.pdf</v>
      </c>
    </row>
    <row r="1258" spans="1:28" x14ac:dyDescent="0.25">
      <c r="A1258" t="s">
        <v>1262</v>
      </c>
      <c r="B1258">
        <v>0.99796759195183404</v>
      </c>
      <c r="C1258">
        <v>1.02334196081012</v>
      </c>
      <c r="D1258">
        <v>0.95486057290493198</v>
      </c>
      <c r="E1258">
        <v>0.89675116861674997</v>
      </c>
      <c r="F1258">
        <v>0.85076359594064499</v>
      </c>
      <c r="G1258">
        <v>0.422141142279991</v>
      </c>
      <c r="H1258">
        <v>0.27421902150857502</v>
      </c>
      <c r="I1258">
        <v>0.22218450855369401</v>
      </c>
      <c r="J1258">
        <v>0.19649228759148701</v>
      </c>
      <c r="K1258">
        <v>0.122154226008051</v>
      </c>
      <c r="L1258">
        <v>1324.25019652796</v>
      </c>
      <c r="M1258">
        <v>25.223917174161699</v>
      </c>
      <c r="N1258">
        <v>53.368165075744798</v>
      </c>
      <c r="O1258">
        <v>52.173141254769099</v>
      </c>
      <c r="P1258">
        <v>-0.100523696263099</v>
      </c>
      <c r="Q1258">
        <v>0.168318084626185</v>
      </c>
      <c r="R1258">
        <v>0.98800167557921004</v>
      </c>
      <c r="S1258" t="s">
        <v>6841</v>
      </c>
      <c r="T1258" t="s">
        <v>11164</v>
      </c>
      <c r="U1258" t="s">
        <v>11164</v>
      </c>
      <c r="V1258" t="s">
        <v>11164</v>
      </c>
      <c r="W1258" t="s">
        <v>12393</v>
      </c>
      <c r="X1258">
        <v>8</v>
      </c>
      <c r="Y1258" t="s">
        <v>17924</v>
      </c>
      <c r="Z1258" t="s">
        <v>23408</v>
      </c>
      <c r="AA1258">
        <v>0.6052655256284204</v>
      </c>
      <c r="AB1258" t="str">
        <f>HYPERLINK("Melting_Curves/meltCurve_O14787_2_TNPO2.pdf", "Melting_Curves/meltCurve_O14787_2_TNPO2.pdf")</f>
        <v>Melting_Curves/meltCurve_O14787_2_TNPO2.pdf</v>
      </c>
    </row>
    <row r="1259" spans="1:28" x14ac:dyDescent="0.25">
      <c r="A1259" t="s">
        <v>1263</v>
      </c>
      <c r="B1259">
        <v>0.99796759195183404</v>
      </c>
      <c r="C1259">
        <v>1.0563750543300101</v>
      </c>
      <c r="D1259">
        <v>1.0585041351066899</v>
      </c>
      <c r="E1259">
        <v>0.92345784451910795</v>
      </c>
      <c r="F1259">
        <v>0.93457754559161399</v>
      </c>
      <c r="G1259">
        <v>0.63519492694049495</v>
      </c>
      <c r="H1259">
        <v>0.67803129746775403</v>
      </c>
      <c r="I1259">
        <v>0.577547371487797</v>
      </c>
      <c r="J1259">
        <v>0.71640516108852004</v>
      </c>
      <c r="K1259">
        <v>0.74446560693182395</v>
      </c>
      <c r="L1259">
        <v>12620.080420170199</v>
      </c>
      <c r="M1259">
        <v>250</v>
      </c>
      <c r="O1259">
        <v>50.477103668435397</v>
      </c>
      <c r="P1259">
        <v>-0.40819400578346299</v>
      </c>
      <c r="Q1259">
        <v>0.67032886267141401</v>
      </c>
      <c r="R1259">
        <v>0.89879762596178003</v>
      </c>
      <c r="S1259" t="s">
        <v>6842</v>
      </c>
      <c r="T1259" t="s">
        <v>11164</v>
      </c>
      <c r="U1259" t="s">
        <v>11164</v>
      </c>
      <c r="V1259" t="s">
        <v>11164</v>
      </c>
      <c r="W1259" t="s">
        <v>12394</v>
      </c>
      <c r="X1259">
        <v>4</v>
      </c>
      <c r="Y1259" t="s">
        <v>17925</v>
      </c>
      <c r="Z1259" t="s">
        <v>23409</v>
      </c>
      <c r="AA1259">
        <v>0.81849383495663219</v>
      </c>
      <c r="AB1259" t="str">
        <f>HYPERLINK("Melting_Curves/meltCurve_O14810_CPLX1.pdf", "Melting_Curves/meltCurve_O14810_CPLX1.pdf")</f>
        <v>Melting_Curves/meltCurve_O14810_CPLX1.pdf</v>
      </c>
    </row>
    <row r="1260" spans="1:28" x14ac:dyDescent="0.25">
      <c r="A1260" t="s">
        <v>1264</v>
      </c>
      <c r="B1260">
        <v>0.99796759195183404</v>
      </c>
      <c r="C1260">
        <v>1.00883590949683</v>
      </c>
      <c r="D1260">
        <v>0.99037252186241498</v>
      </c>
      <c r="E1260">
        <v>1.0181811391270299</v>
      </c>
      <c r="F1260">
        <v>0.88831206855511802</v>
      </c>
      <c r="G1260">
        <v>0.69582810551312102</v>
      </c>
      <c r="H1260">
        <v>0.62335610713918599</v>
      </c>
      <c r="I1260">
        <v>0.70420179308678699</v>
      </c>
      <c r="J1260">
        <v>0.55777375387219796</v>
      </c>
      <c r="K1260">
        <v>0.46982617968663998</v>
      </c>
      <c r="L1260">
        <v>1006.20461771609</v>
      </c>
      <c r="M1260">
        <v>19.014704673709101</v>
      </c>
      <c r="O1260">
        <v>52.3423193096204</v>
      </c>
      <c r="P1260">
        <v>-4.1130945270276803E-2</v>
      </c>
      <c r="Q1260">
        <v>0.54712868761440303</v>
      </c>
      <c r="R1260">
        <v>0.93104984980415395</v>
      </c>
      <c r="S1260" t="s">
        <v>6843</v>
      </c>
      <c r="T1260" t="s">
        <v>11164</v>
      </c>
      <c r="U1260" t="s">
        <v>11164</v>
      </c>
      <c r="V1260" t="s">
        <v>11164</v>
      </c>
      <c r="W1260" t="s">
        <v>12395</v>
      </c>
      <c r="X1260">
        <v>13</v>
      </c>
      <c r="Y1260" t="s">
        <v>17926</v>
      </c>
      <c r="Z1260" t="s">
        <v>23410</v>
      </c>
      <c r="AA1260">
        <v>0.79355354731072125</v>
      </c>
      <c r="AB1260" t="str">
        <f>HYPERLINK("Melting_Curves/meltCurve_O14818_PSMA7.pdf", "Melting_Curves/meltCurve_O14818_PSMA7.pdf")</f>
        <v>Melting_Curves/meltCurve_O14818_PSMA7.pdf</v>
      </c>
    </row>
    <row r="1261" spans="1:28" x14ac:dyDescent="0.25">
      <c r="A1261" t="s">
        <v>1265</v>
      </c>
      <c r="B1261">
        <v>0.99796759195183404</v>
      </c>
      <c r="C1261">
        <v>1.0520098691695601</v>
      </c>
      <c r="D1261">
        <v>1.08285283743687</v>
      </c>
      <c r="E1261">
        <v>0.99474674984893896</v>
      </c>
      <c r="F1261">
        <v>0.89558805646473205</v>
      </c>
      <c r="G1261">
        <v>0.65612859078449104</v>
      </c>
      <c r="H1261">
        <v>0.64238307512892201</v>
      </c>
      <c r="I1261">
        <v>0.61145324234482701</v>
      </c>
      <c r="J1261">
        <v>0.81416636207526105</v>
      </c>
      <c r="K1261">
        <v>0.66633881379734305</v>
      </c>
      <c r="L1261">
        <v>12586.838128384899</v>
      </c>
      <c r="M1261">
        <v>250</v>
      </c>
      <c r="O1261">
        <v>50.344137992609099</v>
      </c>
      <c r="P1261">
        <v>-0.39963197460261102</v>
      </c>
      <c r="Q1261">
        <v>0.678094011020131</v>
      </c>
      <c r="R1261">
        <v>0.88950611210282204</v>
      </c>
      <c r="S1261" t="s">
        <v>6844</v>
      </c>
      <c r="T1261" t="s">
        <v>11164</v>
      </c>
      <c r="U1261" t="s">
        <v>11164</v>
      </c>
      <c r="V1261" t="s">
        <v>11164</v>
      </c>
      <c r="W1261" t="s">
        <v>12396</v>
      </c>
      <c r="X1261">
        <v>12</v>
      </c>
      <c r="Y1261" t="s">
        <v>17927</v>
      </c>
      <c r="Z1261" t="s">
        <v>23411</v>
      </c>
      <c r="AA1261">
        <v>0.82134221129128993</v>
      </c>
      <c r="AB1261" t="str">
        <f>HYPERLINK("Melting_Curves/meltCurve_O14828_SCAMP3.pdf", "Melting_Curves/meltCurve_O14828_SCAMP3.pdf")</f>
        <v>Melting_Curves/meltCurve_O14828_SCAMP3.pdf</v>
      </c>
    </row>
    <row r="1262" spans="1:28" x14ac:dyDescent="0.25">
      <c r="A1262" t="s">
        <v>1266</v>
      </c>
      <c r="B1262">
        <v>0.99796759195183404</v>
      </c>
      <c r="C1262">
        <v>1.0343087925360199</v>
      </c>
      <c r="D1262">
        <v>0.92372645817860399</v>
      </c>
      <c r="E1262">
        <v>0.846800439309352</v>
      </c>
      <c r="F1262">
        <v>0.78564340093706597</v>
      </c>
      <c r="G1262">
        <v>0.73211053840183105</v>
      </c>
      <c r="H1262">
        <v>0.72243570650806499</v>
      </c>
      <c r="I1262">
        <v>0.68091205210560801</v>
      </c>
      <c r="J1262">
        <v>0.66093026170556401</v>
      </c>
      <c r="K1262">
        <v>0.58908207557817405</v>
      </c>
      <c r="L1262">
        <v>499.87054076948999</v>
      </c>
      <c r="M1262">
        <v>10.0096267603179</v>
      </c>
      <c r="O1262">
        <v>48.068518783726503</v>
      </c>
      <c r="P1262">
        <v>-2.0500693456650801E-2</v>
      </c>
      <c r="Q1262">
        <v>0.60639465081248101</v>
      </c>
      <c r="R1262">
        <v>0.95634773591422695</v>
      </c>
      <c r="S1262" t="s">
        <v>6845</v>
      </c>
      <c r="T1262" t="s">
        <v>11164</v>
      </c>
      <c r="U1262" t="s">
        <v>11164</v>
      </c>
      <c r="V1262" t="s">
        <v>11164</v>
      </c>
      <c r="W1262" t="s">
        <v>12397</v>
      </c>
      <c r="X1262">
        <v>8</v>
      </c>
      <c r="Y1262" t="s">
        <v>17928</v>
      </c>
      <c r="Z1262" t="s">
        <v>23412</v>
      </c>
      <c r="AA1262">
        <v>0.78958073944477392</v>
      </c>
      <c r="AB1262" t="str">
        <f>HYPERLINK("Melting_Curves/meltCurve_O14867_BACH1.pdf", "Melting_Curves/meltCurve_O14867_BACH1.pdf")</f>
        <v>Melting_Curves/meltCurve_O14867_BACH1.pdf</v>
      </c>
    </row>
    <row r="1263" spans="1:28" x14ac:dyDescent="0.25">
      <c r="A1263" t="s">
        <v>1267</v>
      </c>
      <c r="B1263">
        <v>0.99796759195183404</v>
      </c>
      <c r="C1263">
        <v>0.97902790056538902</v>
      </c>
      <c r="D1263">
        <v>0.81979811486638599</v>
      </c>
      <c r="E1263">
        <v>0.68858586045983095</v>
      </c>
      <c r="F1263">
        <v>0.80249781800345499</v>
      </c>
      <c r="G1263">
        <v>0.81152099797476296</v>
      </c>
      <c r="H1263">
        <v>0.62419153590799303</v>
      </c>
      <c r="I1263">
        <v>0.38826498123984798</v>
      </c>
      <c r="J1263">
        <v>0.39120859188488599</v>
      </c>
      <c r="K1263">
        <v>0.26179811927716101</v>
      </c>
      <c r="L1263">
        <v>372.22127896384899</v>
      </c>
      <c r="M1263">
        <v>6.2610786833633796</v>
      </c>
      <c r="N1263">
        <v>59.450024150556303</v>
      </c>
      <c r="O1263">
        <v>54.248174446225399</v>
      </c>
      <c r="P1263">
        <v>-2.8934083012298599E-2</v>
      </c>
      <c r="Q1263">
        <v>0</v>
      </c>
      <c r="R1263">
        <v>0.871305055331837</v>
      </c>
      <c r="S1263" t="s">
        <v>6846</v>
      </c>
      <c r="T1263" t="s">
        <v>11164</v>
      </c>
      <c r="U1263" t="s">
        <v>11164</v>
      </c>
      <c r="V1263" t="s">
        <v>11164</v>
      </c>
      <c r="W1263" t="s">
        <v>12398</v>
      </c>
      <c r="X1263">
        <v>1</v>
      </c>
      <c r="Y1263" t="s">
        <v>17929</v>
      </c>
      <c r="Z1263" t="s">
        <v>23413</v>
      </c>
      <c r="AA1263">
        <v>0.69062646956263263</v>
      </c>
      <c r="AB1263" t="str">
        <f>HYPERLINK("Melting_Curves/meltCurve_O14893_2_GEMIN2.pdf", "Melting_Curves/meltCurve_O14893_2_GEMIN2.pdf")</f>
        <v>Melting_Curves/meltCurve_O14893_2_GEMIN2.pdf</v>
      </c>
    </row>
    <row r="1264" spans="1:28" x14ac:dyDescent="0.25">
      <c r="A1264" t="s">
        <v>1268</v>
      </c>
      <c r="B1264">
        <v>0.99796759195183404</v>
      </c>
      <c r="C1264">
        <v>1.00148373281403</v>
      </c>
      <c r="D1264">
        <v>0.99850047916404605</v>
      </c>
      <c r="E1264">
        <v>0.97165159457523498</v>
      </c>
      <c r="F1264">
        <v>0.73055437302153203</v>
      </c>
      <c r="G1264">
        <v>0.290156651371345</v>
      </c>
      <c r="H1264">
        <v>0.192414402941843</v>
      </c>
      <c r="I1264">
        <v>0.15075045389336</v>
      </c>
      <c r="J1264">
        <v>0.13641493603730401</v>
      </c>
      <c r="K1264">
        <v>0.10618755337649199</v>
      </c>
      <c r="L1264">
        <v>1657.6670186285</v>
      </c>
      <c r="M1264">
        <v>32.246763262283302</v>
      </c>
      <c r="N1264">
        <v>51.913020872344603</v>
      </c>
      <c r="O1264">
        <v>51.209205301963202</v>
      </c>
      <c r="P1264">
        <v>-0.13614983374964601</v>
      </c>
      <c r="Q1264">
        <v>0.13515779463877101</v>
      </c>
      <c r="R1264">
        <v>0.99874612469817003</v>
      </c>
      <c r="S1264" t="s">
        <v>6847</v>
      </c>
      <c r="T1264" t="s">
        <v>11164</v>
      </c>
      <c r="U1264" t="s">
        <v>11164</v>
      </c>
      <c r="V1264" t="s">
        <v>11164</v>
      </c>
      <c r="W1264" t="s">
        <v>12399</v>
      </c>
      <c r="X1264">
        <v>12</v>
      </c>
      <c r="Y1264" t="s">
        <v>17930</v>
      </c>
      <c r="Z1264" t="s">
        <v>23414</v>
      </c>
      <c r="AA1264">
        <v>0.55515194256916933</v>
      </c>
      <c r="AB1264" t="str">
        <f>HYPERLINK("Melting_Curves/meltCurve_O14908_GIPC1.pdf", "Melting_Curves/meltCurve_O14908_GIPC1.pdf")</f>
        <v>Melting_Curves/meltCurve_O14908_GIPC1.pdf</v>
      </c>
    </row>
    <row r="1265" spans="1:28" x14ac:dyDescent="0.25">
      <c r="A1265" t="s">
        <v>1269</v>
      </c>
      <c r="B1265">
        <v>0.99796759195183404</v>
      </c>
      <c r="C1265">
        <v>0.99959066566136201</v>
      </c>
      <c r="D1265">
        <v>1.03235071382039</v>
      </c>
      <c r="E1265">
        <v>0.85975255915368798</v>
      </c>
      <c r="F1265">
        <v>0.52852435472570403</v>
      </c>
      <c r="G1265">
        <v>0.21558386861161899</v>
      </c>
      <c r="H1265">
        <v>0.16223536370490799</v>
      </c>
      <c r="I1265">
        <v>0.145269327815852</v>
      </c>
      <c r="J1265">
        <v>0.12433388785508399</v>
      </c>
      <c r="K1265">
        <v>9.6061934078251004E-2</v>
      </c>
      <c r="L1265">
        <v>1303.2552218876399</v>
      </c>
      <c r="M1265">
        <v>26.1511821501715</v>
      </c>
      <c r="N1265">
        <v>50.362833410801798</v>
      </c>
      <c r="O1265">
        <v>49.546748302612897</v>
      </c>
      <c r="P1265">
        <v>-0.116148499984787</v>
      </c>
      <c r="Q1265">
        <v>0.119777339446381</v>
      </c>
      <c r="R1265">
        <v>0.99742373768241999</v>
      </c>
      <c r="S1265" t="s">
        <v>6848</v>
      </c>
      <c r="T1265" t="s">
        <v>11164</v>
      </c>
      <c r="U1265" t="s">
        <v>11164</v>
      </c>
      <c r="V1265" t="s">
        <v>11164</v>
      </c>
      <c r="W1265" t="s">
        <v>12400</v>
      </c>
      <c r="X1265">
        <v>5</v>
      </c>
      <c r="Y1265" t="s">
        <v>17931</v>
      </c>
      <c r="Z1265" t="s">
        <v>23415</v>
      </c>
      <c r="AA1265">
        <v>0.50342527786649849</v>
      </c>
      <c r="AB1265" t="str">
        <f>HYPERLINK("Melting_Curves/meltCurve_O14920_IKBKB.pdf", "Melting_Curves/meltCurve_O14920_IKBKB.pdf")</f>
        <v>Melting_Curves/meltCurve_O14920_IKBKB.pdf</v>
      </c>
    </row>
    <row r="1266" spans="1:28" x14ac:dyDescent="0.25">
      <c r="A1266" t="s">
        <v>1270</v>
      </c>
      <c r="B1266">
        <v>0.99796759195183404</v>
      </c>
      <c r="C1266">
        <v>0.98437446822083396</v>
      </c>
      <c r="D1266">
        <v>0.94319837522387895</v>
      </c>
      <c r="E1266">
        <v>0.888362973707297</v>
      </c>
      <c r="F1266">
        <v>0.75349705625012497</v>
      </c>
      <c r="G1266">
        <v>0.71625364538092096</v>
      </c>
      <c r="H1266">
        <v>0.592632012578724</v>
      </c>
      <c r="I1266">
        <v>0.50198195155268999</v>
      </c>
      <c r="J1266">
        <v>0.72617657736321595</v>
      </c>
      <c r="K1266">
        <v>0.61825568349809901</v>
      </c>
      <c r="L1266">
        <v>825.56662740935201</v>
      </c>
      <c r="M1266">
        <v>16.893984289354801</v>
      </c>
      <c r="O1266">
        <v>48.198180033302499</v>
      </c>
      <c r="P1266">
        <v>-3.4578349541174697E-2</v>
      </c>
      <c r="Q1266">
        <v>0.60541972387618104</v>
      </c>
      <c r="R1266">
        <v>0.88740268107724396</v>
      </c>
      <c r="S1266" t="s">
        <v>6849</v>
      </c>
      <c r="T1266" t="s">
        <v>11164</v>
      </c>
      <c r="U1266" t="s">
        <v>11164</v>
      </c>
      <c r="V1266" t="s">
        <v>11164</v>
      </c>
      <c r="W1266" t="s">
        <v>12401</v>
      </c>
      <c r="X1266">
        <v>5</v>
      </c>
      <c r="Y1266" t="s">
        <v>17932</v>
      </c>
      <c r="Z1266" t="s">
        <v>23416</v>
      </c>
      <c r="AA1266">
        <v>0.7685144550125107</v>
      </c>
      <c r="AB1266" t="str">
        <f>HYPERLINK("Melting_Curves/meltCurve_O14925_TIMM23.pdf", "Melting_Curves/meltCurve_O14925_TIMM23.pdf")</f>
        <v>Melting_Curves/meltCurve_O14925_TIMM23.pdf</v>
      </c>
    </row>
    <row r="1267" spans="1:28" x14ac:dyDescent="0.25">
      <c r="A1267" t="s">
        <v>1271</v>
      </c>
      <c r="B1267">
        <v>0.99796759195183404</v>
      </c>
      <c r="C1267">
        <v>1.0486493589011801</v>
      </c>
      <c r="D1267">
        <v>0.99024906649132505</v>
      </c>
      <c r="E1267">
        <v>0.90135112930127104</v>
      </c>
      <c r="F1267">
        <v>0.85599722631659203</v>
      </c>
      <c r="G1267">
        <v>0.53200406698714198</v>
      </c>
      <c r="H1267">
        <v>0.186911232409915</v>
      </c>
      <c r="I1267">
        <v>0.13282214043368801</v>
      </c>
      <c r="J1267">
        <v>0.112694298921938</v>
      </c>
      <c r="K1267">
        <v>7.5249633564046306E-2</v>
      </c>
      <c r="L1267">
        <v>1316.82335112584</v>
      </c>
      <c r="M1267">
        <v>24.598113012451801</v>
      </c>
      <c r="N1267">
        <v>53.9028104793449</v>
      </c>
      <c r="O1267">
        <v>53.183447948021403</v>
      </c>
      <c r="P1267">
        <v>-0.10666361004026299</v>
      </c>
      <c r="Q1267">
        <v>7.7545745122637094E-2</v>
      </c>
      <c r="R1267">
        <v>0.99318074706929405</v>
      </c>
      <c r="S1267" t="s">
        <v>6850</v>
      </c>
      <c r="T1267" t="s">
        <v>11164</v>
      </c>
      <c r="U1267" t="s">
        <v>11164</v>
      </c>
      <c r="V1267" t="s">
        <v>11164</v>
      </c>
      <c r="W1267" t="s">
        <v>12402</v>
      </c>
      <c r="X1267">
        <v>20</v>
      </c>
      <c r="Y1267" t="s">
        <v>17933</v>
      </c>
      <c r="Z1267" t="s">
        <v>23417</v>
      </c>
      <c r="AA1267">
        <v>0.59425763421770506</v>
      </c>
      <c r="AB1267" t="str">
        <f>HYPERLINK("Melting_Curves/meltCurve_O14929_HAT1.pdf", "Melting_Curves/meltCurve_O14929_HAT1.pdf")</f>
        <v>Melting_Curves/meltCurve_O14929_HAT1.pdf</v>
      </c>
    </row>
    <row r="1268" spans="1:28" x14ac:dyDescent="0.25">
      <c r="A1268" t="s">
        <v>1272</v>
      </c>
      <c r="B1268">
        <v>0.99796759195183404</v>
      </c>
      <c r="C1268">
        <v>0.966975782990108</v>
      </c>
      <c r="D1268">
        <v>0.93990237446359404</v>
      </c>
      <c r="E1268">
        <v>0.88919236793658596</v>
      </c>
      <c r="F1268">
        <v>0.80756145499868004</v>
      </c>
      <c r="G1268">
        <v>0.82438056753548306</v>
      </c>
      <c r="H1268">
        <v>0.47054494967759097</v>
      </c>
      <c r="I1268">
        <v>0.21342554816564299</v>
      </c>
      <c r="J1268">
        <v>0.16525761289448199</v>
      </c>
      <c r="K1268">
        <v>0.10517232140777</v>
      </c>
      <c r="L1268">
        <v>876.08536784276998</v>
      </c>
      <c r="M1268">
        <v>15.353051660838601</v>
      </c>
      <c r="N1268">
        <v>57.062621151015499</v>
      </c>
      <c r="O1268">
        <v>56.120816315943401</v>
      </c>
      <c r="P1268">
        <v>-6.8399161572480993E-2</v>
      </c>
      <c r="Q1268">
        <v>0</v>
      </c>
      <c r="R1268">
        <v>0.97249289813740603</v>
      </c>
      <c r="S1268" t="s">
        <v>6851</v>
      </c>
      <c r="T1268" t="s">
        <v>11164</v>
      </c>
      <c r="U1268" t="s">
        <v>11164</v>
      </c>
      <c r="V1268" t="s">
        <v>11164</v>
      </c>
      <c r="W1268" t="s">
        <v>12403</v>
      </c>
      <c r="X1268">
        <v>10</v>
      </c>
      <c r="Y1268" t="s">
        <v>17934</v>
      </c>
      <c r="Z1268" t="s">
        <v>23418</v>
      </c>
      <c r="AA1268">
        <v>0.67692006050560372</v>
      </c>
      <c r="AB1268" t="str">
        <f>HYPERLINK("Melting_Curves/meltCurve_O14936_3_CASK.pdf", "Melting_Curves/meltCurve_O14936_3_CASK.pdf")</f>
        <v>Melting_Curves/meltCurve_O14936_3_CASK.pdf</v>
      </c>
    </row>
    <row r="1269" spans="1:28" x14ac:dyDescent="0.25">
      <c r="A1269" t="s">
        <v>1273</v>
      </c>
      <c r="B1269">
        <v>0.99796759195183404</v>
      </c>
      <c r="C1269">
        <v>0.98219627114078201</v>
      </c>
      <c r="D1269">
        <v>1.03488239290804</v>
      </c>
      <c r="E1269">
        <v>0.96419589614836498</v>
      </c>
      <c r="F1269">
        <v>0.83041310477256403</v>
      </c>
      <c r="G1269">
        <v>0.58649239682249099</v>
      </c>
      <c r="H1269">
        <v>0.28539077895273701</v>
      </c>
      <c r="I1269">
        <v>0.177179011540785</v>
      </c>
      <c r="J1269">
        <v>0.119858664288431</v>
      </c>
      <c r="K1269">
        <v>0.101213605917361</v>
      </c>
      <c r="L1269">
        <v>1099.2475061211401</v>
      </c>
      <c r="M1269">
        <v>20.3103093344704</v>
      </c>
      <c r="N1269">
        <v>54.614075504646102</v>
      </c>
      <c r="O1269">
        <v>53.606151841916599</v>
      </c>
      <c r="P1269">
        <v>-8.6812071586074596E-2</v>
      </c>
      <c r="Q1269">
        <v>8.3516003504126607E-2</v>
      </c>
      <c r="R1269">
        <v>0.99809817901684295</v>
      </c>
      <c r="S1269" t="s">
        <v>6852</v>
      </c>
      <c r="T1269" t="s">
        <v>11164</v>
      </c>
      <c r="U1269" t="s">
        <v>11164</v>
      </c>
      <c r="V1269" t="s">
        <v>11164</v>
      </c>
      <c r="W1269" t="s">
        <v>12404</v>
      </c>
      <c r="X1269">
        <v>16</v>
      </c>
      <c r="Y1269" t="s">
        <v>17935</v>
      </c>
      <c r="Z1269" t="s">
        <v>23419</v>
      </c>
      <c r="AA1269">
        <v>0.61740113882489489</v>
      </c>
      <c r="AB1269" t="str">
        <f>HYPERLINK("Melting_Curves/meltCurve_O14964_HGS.pdf", "Melting_Curves/meltCurve_O14964_HGS.pdf")</f>
        <v>Melting_Curves/meltCurve_O14964_HGS.pdf</v>
      </c>
    </row>
    <row r="1270" spans="1:28" x14ac:dyDescent="0.25">
      <c r="A1270" t="s">
        <v>1274</v>
      </c>
      <c r="B1270">
        <v>0.99796759195183404</v>
      </c>
      <c r="C1270">
        <v>1.07455578874739</v>
      </c>
      <c r="D1270">
        <v>1.2272386106423001</v>
      </c>
      <c r="E1270">
        <v>0.98132456927312695</v>
      </c>
      <c r="F1270">
        <v>0.76048362651182499</v>
      </c>
      <c r="G1270">
        <v>0.52707524593986299</v>
      </c>
      <c r="H1270">
        <v>0.32573359771572802</v>
      </c>
      <c r="I1270">
        <v>0.199883235160009</v>
      </c>
      <c r="J1270">
        <v>0.13138294990952501</v>
      </c>
      <c r="K1270">
        <v>4.20312617537561E-2</v>
      </c>
      <c r="L1270">
        <v>950.89106727876595</v>
      </c>
      <c r="M1270">
        <v>17.612464656940698</v>
      </c>
      <c r="N1270">
        <v>54.382452107779002</v>
      </c>
      <c r="O1270">
        <v>53.308072637480798</v>
      </c>
      <c r="P1270">
        <v>-7.76685617941269E-2</v>
      </c>
      <c r="Q1270">
        <v>5.9725298673711701E-2</v>
      </c>
      <c r="R1270">
        <v>0.95935975802211904</v>
      </c>
      <c r="S1270" t="s">
        <v>6853</v>
      </c>
      <c r="T1270" t="s">
        <v>11164</v>
      </c>
      <c r="U1270" t="s">
        <v>11164</v>
      </c>
      <c r="V1270" t="s">
        <v>11164</v>
      </c>
      <c r="W1270" t="s">
        <v>12405</v>
      </c>
      <c r="X1270">
        <v>3</v>
      </c>
      <c r="Y1270" t="s">
        <v>17936</v>
      </c>
      <c r="Z1270" t="s">
        <v>23420</v>
      </c>
      <c r="AA1270">
        <v>0.60543422126948743</v>
      </c>
      <c r="AB1270" t="str">
        <f>HYPERLINK("Melting_Curves/meltCurve_O14965_AURKA.pdf", "Melting_Curves/meltCurve_O14965_AURKA.pdf")</f>
        <v>Melting_Curves/meltCurve_O14965_AURKA.pdf</v>
      </c>
    </row>
    <row r="1271" spans="1:28" x14ac:dyDescent="0.25">
      <c r="A1271" t="s">
        <v>1275</v>
      </c>
      <c r="B1271">
        <v>0.99796759195183404</v>
      </c>
      <c r="C1271">
        <v>1.03002449907621</v>
      </c>
      <c r="D1271">
        <v>1.0613113464662001</v>
      </c>
      <c r="E1271">
        <v>1.11927829939759</v>
      </c>
      <c r="F1271">
        <v>0.77770457231613899</v>
      </c>
      <c r="G1271">
        <v>0.39645069514350101</v>
      </c>
      <c r="H1271">
        <v>0.42275736917569801</v>
      </c>
      <c r="I1271">
        <v>0.388018596973562</v>
      </c>
      <c r="J1271">
        <v>0.182424418015428</v>
      </c>
      <c r="K1271">
        <v>0.16730300763890599</v>
      </c>
      <c r="L1271">
        <v>1761.01488584801</v>
      </c>
      <c r="M1271">
        <v>34.140691935576399</v>
      </c>
      <c r="N1271">
        <v>52.832766625541502</v>
      </c>
      <c r="O1271">
        <v>51.405107739358499</v>
      </c>
      <c r="P1271">
        <v>-0.119994001831665</v>
      </c>
      <c r="Q1271">
        <v>0.27731045369073598</v>
      </c>
      <c r="R1271">
        <v>0.94444397917206002</v>
      </c>
      <c r="S1271" t="s">
        <v>6854</v>
      </c>
      <c r="T1271" t="s">
        <v>11164</v>
      </c>
      <c r="U1271" t="s">
        <v>11164</v>
      </c>
      <c r="V1271" t="s">
        <v>11164</v>
      </c>
      <c r="W1271" t="s">
        <v>12406</v>
      </c>
      <c r="X1271">
        <v>3</v>
      </c>
      <c r="Y1271" t="s">
        <v>17937</v>
      </c>
      <c r="Z1271" t="s">
        <v>23421</v>
      </c>
      <c r="AA1271">
        <v>0.63208849402177825</v>
      </c>
      <c r="AB1271" t="str">
        <f>HYPERLINK("Melting_Curves/meltCurve_O14967_CLGN.pdf", "Melting_Curves/meltCurve_O14967_CLGN.pdf")</f>
        <v>Melting_Curves/meltCurve_O14967_CLGN.pdf</v>
      </c>
    </row>
    <row r="1272" spans="1:28" x14ac:dyDescent="0.25">
      <c r="A1272" t="s">
        <v>1276</v>
      </c>
      <c r="B1272">
        <v>0.99796759195183404</v>
      </c>
      <c r="C1272">
        <v>1.0602029298422899</v>
      </c>
      <c r="D1272">
        <v>1.0267168706477099</v>
      </c>
      <c r="E1272">
        <v>0.93735644958059305</v>
      </c>
      <c r="F1272">
        <v>0.87356066490973205</v>
      </c>
      <c r="G1272">
        <v>0.50542268978852201</v>
      </c>
      <c r="H1272">
        <v>0.33097468928609602</v>
      </c>
      <c r="I1272">
        <v>0.26533956700731998</v>
      </c>
      <c r="J1272">
        <v>0.18864447490254799</v>
      </c>
      <c r="K1272">
        <v>0.13920638501524099</v>
      </c>
      <c r="L1272">
        <v>1171.5493338054901</v>
      </c>
      <c r="M1272">
        <v>21.9638151688292</v>
      </c>
      <c r="N1272">
        <v>54.368930269829903</v>
      </c>
      <c r="O1272">
        <v>52.903723813135997</v>
      </c>
      <c r="P1272">
        <v>-8.6143511665266195E-2</v>
      </c>
      <c r="Q1272">
        <v>0.17005147205340301</v>
      </c>
      <c r="R1272">
        <v>0.99016247769706101</v>
      </c>
      <c r="S1272" t="s">
        <v>6855</v>
      </c>
      <c r="T1272" t="s">
        <v>11164</v>
      </c>
      <c r="U1272" t="s">
        <v>11164</v>
      </c>
      <c r="V1272" t="s">
        <v>11164</v>
      </c>
      <c r="W1272" t="s">
        <v>12407</v>
      </c>
      <c r="X1272">
        <v>16</v>
      </c>
      <c r="Y1272" t="s">
        <v>17938</v>
      </c>
      <c r="Z1272" t="s">
        <v>23422</v>
      </c>
      <c r="AA1272">
        <v>0.6311052356892406</v>
      </c>
      <c r="AB1272" t="str">
        <f>HYPERLINK("Melting_Curves/meltCurve_O14974_2_PPP1R12A.pdf", "Melting_Curves/meltCurve_O14974_2_PPP1R12A.pdf")</f>
        <v>Melting_Curves/meltCurve_O14974_2_PPP1R12A.pdf</v>
      </c>
    </row>
    <row r="1273" spans="1:28" x14ac:dyDescent="0.25">
      <c r="A1273" t="s">
        <v>1277</v>
      </c>
      <c r="B1273">
        <v>0.99796759195183404</v>
      </c>
      <c r="C1273">
        <v>0.99777763220956595</v>
      </c>
      <c r="D1273">
        <v>0.95331778549322899</v>
      </c>
      <c r="E1273">
        <v>0.82743151124898395</v>
      </c>
      <c r="F1273">
        <v>0.51078270072910803</v>
      </c>
      <c r="G1273">
        <v>0.202902333619006</v>
      </c>
      <c r="H1273">
        <v>0.16281673113491599</v>
      </c>
      <c r="I1273">
        <v>0.12098925177428201</v>
      </c>
      <c r="J1273">
        <v>0.109931022216779</v>
      </c>
      <c r="K1273">
        <v>7.7219028470694298E-2</v>
      </c>
      <c r="L1273">
        <v>1102.5267447369299</v>
      </c>
      <c r="M1273">
        <v>22.197683160119102</v>
      </c>
      <c r="N1273">
        <v>50.149644981703297</v>
      </c>
      <c r="O1273">
        <v>49.270707266437697</v>
      </c>
      <c r="P1273">
        <v>-0.101832090874238</v>
      </c>
      <c r="Q1273">
        <v>9.5899878855012902E-2</v>
      </c>
      <c r="R1273">
        <v>0.99808884857118796</v>
      </c>
      <c r="S1273" t="s">
        <v>6856</v>
      </c>
      <c r="T1273" t="s">
        <v>11164</v>
      </c>
      <c r="U1273" t="s">
        <v>11164</v>
      </c>
      <c r="V1273" t="s">
        <v>11164</v>
      </c>
      <c r="W1273" t="s">
        <v>12408</v>
      </c>
      <c r="X1273">
        <v>12</v>
      </c>
      <c r="Y1273" t="s">
        <v>17939</v>
      </c>
      <c r="Z1273" t="s">
        <v>23423</v>
      </c>
      <c r="AA1273">
        <v>0.48754722745707713</v>
      </c>
      <c r="AB1273" t="str">
        <f>HYPERLINK("Melting_Curves/meltCurve_O14976_GAK.pdf", "Melting_Curves/meltCurve_O14976_GAK.pdf")</f>
        <v>Melting_Curves/meltCurve_O14976_GAK.pdf</v>
      </c>
    </row>
    <row r="1274" spans="1:28" x14ac:dyDescent="0.25">
      <c r="A1274" t="s">
        <v>1278</v>
      </c>
      <c r="B1274">
        <v>0.99796759195183404</v>
      </c>
      <c r="C1274">
        <v>0.98970951615977798</v>
      </c>
      <c r="D1274">
        <v>0.98870071581674102</v>
      </c>
      <c r="E1274">
        <v>0.99178224212186195</v>
      </c>
      <c r="F1274">
        <v>0.84584373950179903</v>
      </c>
      <c r="G1274">
        <v>0.79236611522862799</v>
      </c>
      <c r="H1274">
        <v>0.74515142113562705</v>
      </c>
      <c r="I1274">
        <v>0.54935252480287999</v>
      </c>
      <c r="J1274">
        <v>0.707197964286708</v>
      </c>
      <c r="K1274">
        <v>0.74924566080925403</v>
      </c>
      <c r="L1274">
        <v>1098.9299562127901</v>
      </c>
      <c r="M1274">
        <v>21.430257533541099</v>
      </c>
      <c r="O1274">
        <v>50.839091149186601</v>
      </c>
      <c r="P1274">
        <v>-3.3832780209952402E-2</v>
      </c>
      <c r="Q1274">
        <v>0.67896123875894698</v>
      </c>
      <c r="R1274">
        <v>0.86670558811937404</v>
      </c>
      <c r="S1274" t="s">
        <v>6857</v>
      </c>
      <c r="T1274" t="s">
        <v>11164</v>
      </c>
      <c r="U1274" t="s">
        <v>11164</v>
      </c>
      <c r="V1274" t="s">
        <v>11164</v>
      </c>
      <c r="W1274" t="s">
        <v>12409</v>
      </c>
      <c r="X1274">
        <v>7</v>
      </c>
      <c r="Y1274" t="s">
        <v>17940</v>
      </c>
      <c r="Z1274" t="s">
        <v>23424</v>
      </c>
      <c r="AA1274">
        <v>0.83550167773907735</v>
      </c>
      <c r="AB1274" t="str">
        <f>HYPERLINK("Melting_Curves/meltCurve_O14979_3_HNRPDL.pdf", "Melting_Curves/meltCurve_O14979_3_HNRPDL.pdf")</f>
        <v>Melting_Curves/meltCurve_O14979_3_HNRPDL.pdf</v>
      </c>
    </row>
    <row r="1275" spans="1:28" x14ac:dyDescent="0.25">
      <c r="A1275" t="s">
        <v>1279</v>
      </c>
      <c r="B1275">
        <v>0.99796759195183404</v>
      </c>
      <c r="C1275">
        <v>1.01616813091798</v>
      </c>
      <c r="D1275">
        <v>1.0086195440229699</v>
      </c>
      <c r="E1275">
        <v>0.88063187227395601</v>
      </c>
      <c r="F1275">
        <v>0.80533629823976605</v>
      </c>
      <c r="G1275">
        <v>0.33013807854181199</v>
      </c>
      <c r="H1275">
        <v>0.16322353789300301</v>
      </c>
      <c r="I1275">
        <v>0.121362736363495</v>
      </c>
      <c r="J1275">
        <v>0.107008589471125</v>
      </c>
      <c r="K1275">
        <v>8.0189755357824896E-2</v>
      </c>
      <c r="L1275">
        <v>1495.7130149658699</v>
      </c>
      <c r="M1275">
        <v>28.722772597913199</v>
      </c>
      <c r="N1275">
        <v>52.462419985065203</v>
      </c>
      <c r="O1275">
        <v>51.823672229926203</v>
      </c>
      <c r="P1275">
        <v>-0.125293610854637</v>
      </c>
      <c r="Q1275">
        <v>9.5752641171661407E-2</v>
      </c>
      <c r="R1275">
        <v>0.99327638510883198</v>
      </c>
      <c r="S1275" t="s">
        <v>6858</v>
      </c>
      <c r="T1275" t="s">
        <v>11164</v>
      </c>
      <c r="U1275" t="s">
        <v>11164</v>
      </c>
      <c r="V1275" t="s">
        <v>11164</v>
      </c>
      <c r="W1275" t="s">
        <v>12410</v>
      </c>
      <c r="X1275">
        <v>30</v>
      </c>
      <c r="Y1275" t="s">
        <v>17941</v>
      </c>
      <c r="Z1275" t="s">
        <v>23425</v>
      </c>
      <c r="AA1275">
        <v>0.55631267205907631</v>
      </c>
      <c r="AB1275" t="str">
        <f>HYPERLINK("Melting_Curves/meltCurve_O14980_XPO1.pdf", "Melting_Curves/meltCurve_O14980_XPO1.pdf")</f>
        <v>Melting_Curves/meltCurve_O14980_XPO1.pdf</v>
      </c>
    </row>
    <row r="1276" spans="1:28" x14ac:dyDescent="0.25">
      <c r="A1276" t="s">
        <v>1280</v>
      </c>
      <c r="B1276">
        <v>0.99796759195183404</v>
      </c>
      <c r="C1276">
        <v>1.0211432917104699</v>
      </c>
      <c r="D1276">
        <v>1.0239795884193199</v>
      </c>
      <c r="E1276">
        <v>0.96234536911068003</v>
      </c>
      <c r="F1276">
        <v>0.82532009375156901</v>
      </c>
      <c r="G1276">
        <v>0.55728025244590895</v>
      </c>
      <c r="H1276">
        <v>0.27816250091602601</v>
      </c>
      <c r="I1276">
        <v>0.191656953924006</v>
      </c>
      <c r="J1276">
        <v>0.178761093203822</v>
      </c>
      <c r="K1276">
        <v>0.10720131777889499</v>
      </c>
      <c r="L1276">
        <v>1136.3748473513599</v>
      </c>
      <c r="M1276">
        <v>21.191561038048999</v>
      </c>
      <c r="N1276">
        <v>54.338292671400602</v>
      </c>
      <c r="O1276">
        <v>53.153272903200602</v>
      </c>
      <c r="P1276">
        <v>-8.7556673014244302E-2</v>
      </c>
      <c r="Q1276">
        <v>0.12157424433268001</v>
      </c>
      <c r="R1276">
        <v>0.99745826375566904</v>
      </c>
      <c r="S1276" t="s">
        <v>6859</v>
      </c>
      <c r="T1276" t="s">
        <v>11164</v>
      </c>
      <c r="U1276" t="s">
        <v>11164</v>
      </c>
      <c r="V1276" t="s">
        <v>11164</v>
      </c>
      <c r="W1276" t="s">
        <v>12411</v>
      </c>
      <c r="X1276">
        <v>9</v>
      </c>
      <c r="Y1276" t="s">
        <v>17942</v>
      </c>
      <c r="Z1276" t="s">
        <v>23426</v>
      </c>
      <c r="AA1276">
        <v>0.61830999460748426</v>
      </c>
      <c r="AB1276" t="str">
        <f>HYPERLINK("Melting_Curves/meltCurve_O14981_BTAF1.pdf", "Melting_Curves/meltCurve_O14981_BTAF1.pdf")</f>
        <v>Melting_Curves/meltCurve_O14981_BTAF1.pdf</v>
      </c>
    </row>
    <row r="1277" spans="1:28" x14ac:dyDescent="0.25">
      <c r="A1277" t="s">
        <v>1281</v>
      </c>
      <c r="B1277">
        <v>0.99796759195183404</v>
      </c>
      <c r="C1277">
        <v>0.95873688071102103</v>
      </c>
      <c r="D1277">
        <v>0.90609728025316505</v>
      </c>
      <c r="E1277">
        <v>0.94948191614614597</v>
      </c>
      <c r="F1277">
        <v>0.61932907620066502</v>
      </c>
      <c r="G1277">
        <v>0.43918275716014499</v>
      </c>
      <c r="H1277">
        <v>0.28302266872866999</v>
      </c>
      <c r="I1277">
        <v>0.21972681690448101</v>
      </c>
      <c r="J1277">
        <v>0.18062809913171901</v>
      </c>
      <c r="K1277">
        <v>0.13020407393314901</v>
      </c>
      <c r="L1277">
        <v>828.05522095813603</v>
      </c>
      <c r="M1277">
        <v>16.036166500235201</v>
      </c>
      <c r="N1277">
        <v>52.665022258034298</v>
      </c>
      <c r="O1277">
        <v>50.853762055317901</v>
      </c>
      <c r="P1277">
        <v>-6.8243482843241804E-2</v>
      </c>
      <c r="Q1277">
        <v>0.13441455790513701</v>
      </c>
      <c r="R1277">
        <v>0.98767756022950803</v>
      </c>
      <c r="S1277" t="s">
        <v>6860</v>
      </c>
      <c r="T1277" t="s">
        <v>11164</v>
      </c>
      <c r="U1277" t="s">
        <v>11164</v>
      </c>
      <c r="V1277" t="s">
        <v>11164</v>
      </c>
      <c r="W1277" t="s">
        <v>12412</v>
      </c>
      <c r="X1277">
        <v>1</v>
      </c>
      <c r="Y1277" t="s">
        <v>17943</v>
      </c>
      <c r="Z1277" t="s">
        <v>23427</v>
      </c>
      <c r="AA1277">
        <v>0.57226241173688019</v>
      </c>
      <c r="AB1277" t="str">
        <f>HYPERLINK("Melting_Curves/meltCurve_O15013_4_ARHGEF10.pdf", "Melting_Curves/meltCurve_O15013_4_ARHGEF10.pdf")</f>
        <v>Melting_Curves/meltCurve_O15013_4_ARHGEF10.pdf</v>
      </c>
    </row>
    <row r="1278" spans="1:28" x14ac:dyDescent="0.25">
      <c r="A1278" t="s">
        <v>1282</v>
      </c>
      <c r="B1278">
        <v>0.99796759195183404</v>
      </c>
      <c r="C1278">
        <v>0.83089904332099795</v>
      </c>
      <c r="D1278">
        <v>0.92176506859871798</v>
      </c>
      <c r="E1278">
        <v>0.752073202190506</v>
      </c>
      <c r="F1278">
        <v>0.64228826164130104</v>
      </c>
      <c r="G1278">
        <v>0.57121363707843897</v>
      </c>
      <c r="H1278">
        <v>0.33032356964446302</v>
      </c>
      <c r="I1278">
        <v>0.26637537675242601</v>
      </c>
      <c r="J1278">
        <v>0.26016241469670798</v>
      </c>
      <c r="K1278">
        <v>0.17997206125335899</v>
      </c>
      <c r="L1278">
        <v>409.427518524248</v>
      </c>
      <c r="M1278">
        <v>7.5909698789620803</v>
      </c>
      <c r="N1278">
        <v>53.9361274053106</v>
      </c>
      <c r="O1278">
        <v>50.574652279180903</v>
      </c>
      <c r="P1278">
        <v>-3.7575182564594301E-2</v>
      </c>
      <c r="Q1278">
        <v>0</v>
      </c>
      <c r="R1278">
        <v>0.97092000577993398</v>
      </c>
      <c r="S1278" t="s">
        <v>6861</v>
      </c>
      <c r="T1278" t="s">
        <v>11164</v>
      </c>
      <c r="U1278" t="s">
        <v>11164</v>
      </c>
      <c r="V1278" t="s">
        <v>11164</v>
      </c>
      <c r="W1278" t="s">
        <v>12413</v>
      </c>
      <c r="X1278">
        <v>1</v>
      </c>
      <c r="Y1278" t="s">
        <v>17944</v>
      </c>
      <c r="Z1278" t="s">
        <v>23428</v>
      </c>
      <c r="AA1278">
        <v>0.57853894459276411</v>
      </c>
      <c r="AB1278" t="str">
        <f>HYPERLINK("Melting_Curves/meltCurve_O15014_ZNF609.pdf", "Melting_Curves/meltCurve_O15014_ZNF609.pdf")</f>
        <v>Melting_Curves/meltCurve_O15014_ZNF609.pdf</v>
      </c>
    </row>
    <row r="1279" spans="1:28" x14ac:dyDescent="0.25">
      <c r="A1279" t="s">
        <v>1283</v>
      </c>
      <c r="B1279">
        <v>0.99796759195183404</v>
      </c>
      <c r="C1279">
        <v>1.17410721124051</v>
      </c>
      <c r="D1279">
        <v>1.0612622135213099</v>
      </c>
      <c r="E1279">
        <v>0.97032082876915504</v>
      </c>
      <c r="F1279">
        <v>0.80072843883467604</v>
      </c>
      <c r="G1279">
        <v>0.38808805659040402</v>
      </c>
      <c r="H1279">
        <v>0.26326160497741502</v>
      </c>
      <c r="I1279">
        <v>0.27692718461744897</v>
      </c>
      <c r="J1279">
        <v>0.24940878723104001</v>
      </c>
      <c r="K1279">
        <v>0.18857517866981399</v>
      </c>
      <c r="L1279">
        <v>1779.3995474514099</v>
      </c>
      <c r="M1279">
        <v>34.430113586259303</v>
      </c>
      <c r="N1279">
        <v>52.660740564035699</v>
      </c>
      <c r="O1279">
        <v>51.5080779658974</v>
      </c>
      <c r="P1279">
        <v>-0.12760259892754999</v>
      </c>
      <c r="Q1279">
        <v>0.236419654318265</v>
      </c>
      <c r="R1279">
        <v>0.97311121295889202</v>
      </c>
      <c r="S1279" t="s">
        <v>6862</v>
      </c>
      <c r="T1279" t="s">
        <v>11164</v>
      </c>
      <c r="U1279" t="s">
        <v>11164</v>
      </c>
      <c r="V1279" t="s">
        <v>11164</v>
      </c>
      <c r="W1279" t="s">
        <v>12414</v>
      </c>
      <c r="X1279">
        <v>3</v>
      </c>
      <c r="Y1279" t="s">
        <v>17945</v>
      </c>
      <c r="Z1279" t="s">
        <v>23429</v>
      </c>
      <c r="AA1279">
        <v>0.61377070880500428</v>
      </c>
      <c r="AB1279" t="str">
        <f>HYPERLINK("Melting_Curves/meltCurve_O15020_2_SPTBN2.pdf", "Melting_Curves/meltCurve_O15020_2_SPTBN2.pdf")</f>
        <v>Melting_Curves/meltCurve_O15020_2_SPTBN2.pdf</v>
      </c>
    </row>
    <row r="1280" spans="1:28" x14ac:dyDescent="0.25">
      <c r="A1280" t="s">
        <v>1284</v>
      </c>
      <c r="B1280">
        <v>0.99796759195183404</v>
      </c>
      <c r="C1280">
        <v>0.99245392235640995</v>
      </c>
      <c r="D1280">
        <v>0.96388192989256904</v>
      </c>
      <c r="E1280">
        <v>0.91761247601363405</v>
      </c>
      <c r="F1280">
        <v>0.80708495629475896</v>
      </c>
      <c r="G1280">
        <v>0.69740996168485703</v>
      </c>
      <c r="H1280">
        <v>0.326225774585226</v>
      </c>
      <c r="I1280">
        <v>0.31604893621275998</v>
      </c>
      <c r="J1280">
        <v>0.29331742058196397</v>
      </c>
      <c r="K1280">
        <v>0.24428912089022201</v>
      </c>
      <c r="L1280">
        <v>967.28657005968398</v>
      </c>
      <c r="M1280">
        <v>17.9714705164835</v>
      </c>
      <c r="N1280">
        <v>55.661555040025902</v>
      </c>
      <c r="O1280">
        <v>53.170291117133203</v>
      </c>
      <c r="P1280">
        <v>-6.5592313333908706E-2</v>
      </c>
      <c r="Q1280">
        <v>0.223794314296304</v>
      </c>
      <c r="R1280">
        <v>0.98020668041155801</v>
      </c>
      <c r="S1280" t="s">
        <v>6863</v>
      </c>
      <c r="T1280" t="s">
        <v>11164</v>
      </c>
      <c r="U1280" t="s">
        <v>11164</v>
      </c>
      <c r="V1280" t="s">
        <v>11164</v>
      </c>
      <c r="W1280" t="s">
        <v>12415</v>
      </c>
      <c r="X1280">
        <v>30</v>
      </c>
      <c r="Y1280" t="s">
        <v>17946</v>
      </c>
      <c r="Z1280" t="s">
        <v>23430</v>
      </c>
      <c r="AA1280">
        <v>0.66986989429199395</v>
      </c>
      <c r="AB1280" t="str">
        <f>HYPERLINK("Melting_Curves/meltCurve_O15031_PLXNB2.pdf", "Melting_Curves/meltCurve_O15031_PLXNB2.pdf")</f>
        <v>Melting_Curves/meltCurve_O15031_PLXNB2.pdf</v>
      </c>
    </row>
    <row r="1281" spans="1:28" x14ac:dyDescent="0.25">
      <c r="A1281" t="s">
        <v>1285</v>
      </c>
      <c r="B1281">
        <v>0.99796759195183404</v>
      </c>
      <c r="C1281">
        <v>1.09496367862654</v>
      </c>
      <c r="D1281">
        <v>1.0343276955152201</v>
      </c>
      <c r="E1281">
        <v>1.0041206264170199</v>
      </c>
      <c r="F1281">
        <v>0.72388232275284004</v>
      </c>
      <c r="G1281">
        <v>0.383758214712839</v>
      </c>
      <c r="H1281">
        <v>0.34416137907753203</v>
      </c>
      <c r="I1281">
        <v>0.23260259198616101</v>
      </c>
      <c r="J1281">
        <v>0.18405079874831601</v>
      </c>
      <c r="K1281">
        <v>0.20501722980700299</v>
      </c>
      <c r="L1281">
        <v>1391.76861658858</v>
      </c>
      <c r="M1281">
        <v>27.0458134728642</v>
      </c>
      <c r="N1281">
        <v>52.592234901922701</v>
      </c>
      <c r="O1281">
        <v>51.180806533089303</v>
      </c>
      <c r="P1281">
        <v>-0.10294977894342799</v>
      </c>
      <c r="Q1281">
        <v>0.220729554839386</v>
      </c>
      <c r="R1281">
        <v>0.98393139355200798</v>
      </c>
      <c r="S1281" t="s">
        <v>6864</v>
      </c>
      <c r="T1281" t="s">
        <v>11164</v>
      </c>
      <c r="U1281" t="s">
        <v>11164</v>
      </c>
      <c r="V1281" t="s">
        <v>11164</v>
      </c>
      <c r="W1281" t="s">
        <v>12416</v>
      </c>
      <c r="X1281">
        <v>1</v>
      </c>
      <c r="Y1281" t="s">
        <v>17947</v>
      </c>
      <c r="Z1281" t="s">
        <v>23431</v>
      </c>
      <c r="AA1281">
        <v>0.60228483016842005</v>
      </c>
      <c r="AB1281" t="str">
        <f>HYPERLINK("Melting_Curves/meltCurve_O15037_KHNYN.pdf", "Melting_Curves/meltCurve_O15037_KHNYN.pdf")</f>
        <v>Melting_Curves/meltCurve_O15037_KHNYN.pdf</v>
      </c>
    </row>
    <row r="1282" spans="1:28" x14ac:dyDescent="0.25">
      <c r="A1282" t="s">
        <v>1286</v>
      </c>
      <c r="B1282">
        <v>0.99796759195183404</v>
      </c>
      <c r="C1282">
        <v>0.893421865753392</v>
      </c>
      <c r="D1282">
        <v>0.82410181784065495</v>
      </c>
      <c r="E1282">
        <v>0.71162816436160603</v>
      </c>
      <c r="F1282">
        <v>0.40461662972537099</v>
      </c>
      <c r="G1282">
        <v>0.27340093966667001</v>
      </c>
      <c r="H1282">
        <v>0.18908495348267801</v>
      </c>
      <c r="I1282">
        <v>0.16922248425985001</v>
      </c>
      <c r="J1282">
        <v>0.164181153109066</v>
      </c>
      <c r="K1282">
        <v>0.106037898437496</v>
      </c>
      <c r="L1282">
        <v>628.00214599944297</v>
      </c>
      <c r="M1282">
        <v>13.031660838685699</v>
      </c>
      <c r="N1282">
        <v>49.046300214004802</v>
      </c>
      <c r="O1282">
        <v>47.098060309113599</v>
      </c>
      <c r="P1282">
        <v>-6.2149405153546798E-2</v>
      </c>
      <c r="Q1282">
        <v>0.10169415654387</v>
      </c>
      <c r="R1282">
        <v>0.99099506815457605</v>
      </c>
      <c r="S1282" t="s">
        <v>6865</v>
      </c>
      <c r="T1282" t="s">
        <v>11164</v>
      </c>
      <c r="U1282" t="s">
        <v>11164</v>
      </c>
      <c r="V1282" t="s">
        <v>11164</v>
      </c>
      <c r="W1282" t="s">
        <v>12417</v>
      </c>
      <c r="X1282">
        <v>5</v>
      </c>
      <c r="Y1282" t="s">
        <v>17948</v>
      </c>
      <c r="Z1282" t="s">
        <v>23432</v>
      </c>
      <c r="AA1282">
        <v>0.46143073685640013</v>
      </c>
      <c r="AB1282" t="str">
        <f>HYPERLINK("Melting_Curves/meltCurve_O15047_SETD1A.pdf", "Melting_Curves/meltCurve_O15047_SETD1A.pdf")</f>
        <v>Melting_Curves/meltCurve_O15047_SETD1A.pdf</v>
      </c>
    </row>
    <row r="1283" spans="1:28" x14ac:dyDescent="0.25">
      <c r="A1283" t="s">
        <v>1287</v>
      </c>
      <c r="B1283">
        <v>0.99796759195183404</v>
      </c>
      <c r="C1283">
        <v>0.83619670319003303</v>
      </c>
      <c r="D1283">
        <v>0.87261864661449795</v>
      </c>
      <c r="E1283">
        <v>0.81023585016983701</v>
      </c>
      <c r="F1283">
        <v>0.56853088919890604</v>
      </c>
      <c r="G1283">
        <v>0.23492374063905999</v>
      </c>
      <c r="H1283">
        <v>0.23896170331102501</v>
      </c>
      <c r="I1283">
        <v>0.14873882630816401</v>
      </c>
      <c r="J1283">
        <v>0.23963401198487499</v>
      </c>
      <c r="K1283">
        <v>0.132509948502572</v>
      </c>
      <c r="L1283">
        <v>782.41290429108199</v>
      </c>
      <c r="M1283">
        <v>15.8195098307176</v>
      </c>
      <c r="N1283">
        <v>50.496481493479301</v>
      </c>
      <c r="O1283">
        <v>48.688638906904103</v>
      </c>
      <c r="P1283">
        <v>-6.9961466743697798E-2</v>
      </c>
      <c r="Q1283">
        <v>0.138772496400522</v>
      </c>
      <c r="R1283">
        <v>0.95811979437809203</v>
      </c>
      <c r="S1283" t="s">
        <v>6866</v>
      </c>
      <c r="T1283" t="s">
        <v>11164</v>
      </c>
      <c r="U1283" t="s">
        <v>11164</v>
      </c>
      <c r="V1283" t="s">
        <v>11164</v>
      </c>
      <c r="W1283" t="s">
        <v>12418</v>
      </c>
      <c r="X1283">
        <v>2</v>
      </c>
      <c r="Y1283" t="s">
        <v>17949</v>
      </c>
      <c r="Z1283" t="s">
        <v>23433</v>
      </c>
      <c r="AA1283">
        <v>0.51329048441836933</v>
      </c>
      <c r="AB1283" t="str">
        <f>HYPERLINK("Melting_Curves/meltCurve_O15063_KIAA0355.pdf", "Melting_Curves/meltCurve_O15063_KIAA0355.pdf")</f>
        <v>Melting_Curves/meltCurve_O15063_KIAA0355.pdf</v>
      </c>
    </row>
    <row r="1284" spans="1:28" x14ac:dyDescent="0.25">
      <c r="A1284" t="s">
        <v>1288</v>
      </c>
      <c r="B1284">
        <v>0.99796759195183404</v>
      </c>
      <c r="C1284">
        <v>1.03350861129373</v>
      </c>
      <c r="D1284">
        <v>1.0931165842195201</v>
      </c>
      <c r="E1284">
        <v>0.74975946986747599</v>
      </c>
      <c r="F1284">
        <v>0.76128835846759002</v>
      </c>
      <c r="G1284">
        <v>0.62026439499374297</v>
      </c>
      <c r="H1284">
        <v>0.425666805466269</v>
      </c>
      <c r="I1284">
        <v>0.50453602163097599</v>
      </c>
      <c r="J1284">
        <v>0.35465638988356901</v>
      </c>
      <c r="K1284">
        <v>0.246823257206572</v>
      </c>
      <c r="L1284">
        <v>562.69933442833803</v>
      </c>
      <c r="M1284">
        <v>10.4661423457458</v>
      </c>
      <c r="N1284">
        <v>56.944920128612502</v>
      </c>
      <c r="O1284">
        <v>51.912220193915999</v>
      </c>
      <c r="P1284">
        <v>-3.9262054443512398E-2</v>
      </c>
      <c r="Q1284">
        <v>0.221356721437765</v>
      </c>
      <c r="R1284">
        <v>0.92707152214651101</v>
      </c>
      <c r="S1284" t="s">
        <v>6867</v>
      </c>
      <c r="T1284" t="s">
        <v>11164</v>
      </c>
      <c r="U1284" t="s">
        <v>11164</v>
      </c>
      <c r="V1284" t="s">
        <v>11164</v>
      </c>
      <c r="W1284" t="s">
        <v>12419</v>
      </c>
      <c r="X1284">
        <v>1</v>
      </c>
      <c r="Y1284" t="s">
        <v>17950</v>
      </c>
      <c r="Z1284" t="s">
        <v>23434</v>
      </c>
      <c r="AA1284">
        <v>0.67119233913280085</v>
      </c>
      <c r="AB1284" t="str">
        <f>HYPERLINK("Melting_Curves/meltCurve_O15066_KIF3B.pdf", "Melting_Curves/meltCurve_O15066_KIF3B.pdf")</f>
        <v>Melting_Curves/meltCurve_O15066_KIF3B.pdf</v>
      </c>
    </row>
    <row r="1285" spans="1:28" x14ac:dyDescent="0.25">
      <c r="A1285" t="s">
        <v>1289</v>
      </c>
      <c r="B1285">
        <v>0.99796759195183404</v>
      </c>
      <c r="C1285">
        <v>1.08965008397286</v>
      </c>
      <c r="D1285">
        <v>1.0025015508322499</v>
      </c>
      <c r="E1285">
        <v>0.96771973884986195</v>
      </c>
      <c r="F1285">
        <v>0.86853521880452</v>
      </c>
      <c r="G1285">
        <v>0.464424615808045</v>
      </c>
      <c r="H1285">
        <v>0.18165581098696101</v>
      </c>
      <c r="I1285">
        <v>0.154931424106515</v>
      </c>
      <c r="J1285">
        <v>0.121622296784728</v>
      </c>
      <c r="K1285">
        <v>8.8481902061461296E-2</v>
      </c>
      <c r="L1285">
        <v>1598.99197997847</v>
      </c>
      <c r="M1285">
        <v>30.138136308022101</v>
      </c>
      <c r="N1285">
        <v>53.498429888904198</v>
      </c>
      <c r="O1285">
        <v>52.823492112814399</v>
      </c>
      <c r="P1285">
        <v>-0.126885896069064</v>
      </c>
      <c r="Q1285">
        <v>0.11042764633295001</v>
      </c>
      <c r="R1285">
        <v>0.99399634339531096</v>
      </c>
      <c r="S1285" t="s">
        <v>6868</v>
      </c>
      <c r="T1285" t="s">
        <v>11164</v>
      </c>
      <c r="U1285" t="s">
        <v>11164</v>
      </c>
      <c r="V1285" t="s">
        <v>11164</v>
      </c>
      <c r="W1285" t="s">
        <v>12420</v>
      </c>
      <c r="X1285">
        <v>51</v>
      </c>
      <c r="Y1285" t="s">
        <v>17951</v>
      </c>
      <c r="Z1285" t="s">
        <v>23435</v>
      </c>
      <c r="AA1285">
        <v>0.59212601899123596</v>
      </c>
      <c r="AB1285" t="str">
        <f>HYPERLINK("Melting_Curves/meltCurve_O15067_PFAS.pdf", "Melting_Curves/meltCurve_O15067_PFAS.pdf")</f>
        <v>Melting_Curves/meltCurve_O15067_PFAS.pdf</v>
      </c>
    </row>
    <row r="1286" spans="1:28" x14ac:dyDescent="0.25">
      <c r="A1286" t="s">
        <v>1290</v>
      </c>
      <c r="B1286">
        <v>0.99796759195183404</v>
      </c>
      <c r="C1286">
        <v>0.96641361622390198</v>
      </c>
      <c r="D1286">
        <v>0.99044499357462301</v>
      </c>
      <c r="E1286">
        <v>0.78345404075778802</v>
      </c>
      <c r="F1286">
        <v>0.31873589600469399</v>
      </c>
      <c r="G1286">
        <v>0.175409671330959</v>
      </c>
      <c r="H1286">
        <v>0.17636323574481699</v>
      </c>
      <c r="I1286">
        <v>0.13509332199964799</v>
      </c>
      <c r="J1286">
        <v>0.112371994908607</v>
      </c>
      <c r="K1286">
        <v>8.5489432210074295E-2</v>
      </c>
      <c r="L1286">
        <v>1492.5743697002299</v>
      </c>
      <c r="M1286">
        <v>30.940644258558901</v>
      </c>
      <c r="N1286">
        <v>48.701521055887703</v>
      </c>
      <c r="O1286">
        <v>48.039756162837897</v>
      </c>
      <c r="P1286">
        <v>-0.140553613512892</v>
      </c>
      <c r="Q1286">
        <v>0.127087029574175</v>
      </c>
      <c r="R1286">
        <v>0.99640882859512303</v>
      </c>
      <c r="S1286" t="s">
        <v>6869</v>
      </c>
      <c r="T1286" t="s">
        <v>11164</v>
      </c>
      <c r="U1286" t="s">
        <v>11164</v>
      </c>
      <c r="V1286" t="s">
        <v>11164</v>
      </c>
      <c r="W1286" t="s">
        <v>12421</v>
      </c>
      <c r="X1286">
        <v>2</v>
      </c>
      <c r="Y1286" t="s">
        <v>17952</v>
      </c>
      <c r="Z1286" t="s">
        <v>23436</v>
      </c>
      <c r="AA1286">
        <v>0.45901734943890549</v>
      </c>
      <c r="AB1286" t="str">
        <f>HYPERLINK("Melting_Curves/meltCurve_O15091_4_KIAA0391.pdf", "Melting_Curves/meltCurve_O15091_4_KIAA0391.pdf")</f>
        <v>Melting_Curves/meltCurve_O15091_4_KIAA0391.pdf</v>
      </c>
    </row>
    <row r="1287" spans="1:28" x14ac:dyDescent="0.25">
      <c r="A1287" t="s">
        <v>1291</v>
      </c>
      <c r="B1287">
        <v>0.99796759195183404</v>
      </c>
      <c r="C1287">
        <v>0.998609448595701</v>
      </c>
      <c r="D1287">
        <v>0.96763366676865503</v>
      </c>
      <c r="E1287">
        <v>0.78616473257211505</v>
      </c>
      <c r="F1287">
        <v>0.51954758187509698</v>
      </c>
      <c r="G1287">
        <v>0.29731294270187703</v>
      </c>
      <c r="H1287">
        <v>0.23123693698808201</v>
      </c>
      <c r="I1287">
        <v>0.169074492761349</v>
      </c>
      <c r="J1287">
        <v>0.16716370328963601</v>
      </c>
      <c r="K1287">
        <v>0.11785222065914</v>
      </c>
      <c r="L1287">
        <v>895.01774390735704</v>
      </c>
      <c r="M1287">
        <v>18.057761112564101</v>
      </c>
      <c r="N1287">
        <v>50.477411531235703</v>
      </c>
      <c r="O1287">
        <v>48.968309771944</v>
      </c>
      <c r="P1287">
        <v>-7.9347661849032594E-2</v>
      </c>
      <c r="Q1287">
        <v>0.13935476502479699</v>
      </c>
      <c r="R1287">
        <v>0.99824789740583597</v>
      </c>
      <c r="S1287" t="s">
        <v>6870</v>
      </c>
      <c r="T1287" t="s">
        <v>11164</v>
      </c>
      <c r="U1287" t="s">
        <v>11164</v>
      </c>
      <c r="V1287" t="s">
        <v>11164</v>
      </c>
      <c r="W1287" t="s">
        <v>12422</v>
      </c>
      <c r="X1287">
        <v>5</v>
      </c>
      <c r="Y1287" t="s">
        <v>17953</v>
      </c>
      <c r="Z1287" t="s">
        <v>23437</v>
      </c>
      <c r="AA1287">
        <v>0.51334582213823643</v>
      </c>
      <c r="AB1287" t="str">
        <f>HYPERLINK("Melting_Curves/meltCurve_O15111_CHUK.pdf", "Melting_Curves/meltCurve_O15111_CHUK.pdf")</f>
        <v>Melting_Curves/meltCurve_O15111_CHUK.pdf</v>
      </c>
    </row>
    <row r="1288" spans="1:28" x14ac:dyDescent="0.25">
      <c r="A1288" t="s">
        <v>1292</v>
      </c>
      <c r="B1288">
        <v>0.99796759195183404</v>
      </c>
      <c r="C1288">
        <v>1.05259556187167</v>
      </c>
      <c r="D1288">
        <v>1.1096949644460099</v>
      </c>
      <c r="E1288">
        <v>0.95029784795380901</v>
      </c>
      <c r="F1288">
        <v>0.95694363037588104</v>
      </c>
      <c r="G1288">
        <v>0.89939825828942399</v>
      </c>
      <c r="H1288">
        <v>0.81936110685762198</v>
      </c>
      <c r="I1288">
        <v>0.62449010850859799</v>
      </c>
      <c r="J1288">
        <v>0.76055130523294201</v>
      </c>
      <c r="K1288">
        <v>0.66531569132227297</v>
      </c>
      <c r="L1288">
        <v>1260.71152157095</v>
      </c>
      <c r="M1288">
        <v>22.624275217495601</v>
      </c>
      <c r="O1288">
        <v>55.293969539403498</v>
      </c>
      <c r="P1288">
        <v>-3.3554686727093302E-2</v>
      </c>
      <c r="Q1288">
        <v>0.67197453001686103</v>
      </c>
      <c r="R1288">
        <v>0.86585046996318105</v>
      </c>
      <c r="S1288" t="s">
        <v>6871</v>
      </c>
      <c r="T1288" t="s">
        <v>11164</v>
      </c>
      <c r="U1288" t="s">
        <v>11164</v>
      </c>
      <c r="V1288" t="s">
        <v>11164</v>
      </c>
      <c r="W1288" t="s">
        <v>12423</v>
      </c>
      <c r="X1288">
        <v>5</v>
      </c>
      <c r="Y1288" t="s">
        <v>17954</v>
      </c>
      <c r="Z1288" t="s">
        <v>23438</v>
      </c>
      <c r="AA1288">
        <v>0.87976852556572382</v>
      </c>
      <c r="AB1288" t="str">
        <f>HYPERLINK("Melting_Curves/meltCurve_O15116_LSM1.pdf", "Melting_Curves/meltCurve_O15116_LSM1.pdf")</f>
        <v>Melting_Curves/meltCurve_O15116_LSM1.pdf</v>
      </c>
    </row>
    <row r="1289" spans="1:28" x14ac:dyDescent="0.25">
      <c r="A1289" t="s">
        <v>1293</v>
      </c>
      <c r="B1289">
        <v>0.99796759195183404</v>
      </c>
      <c r="C1289">
        <v>0.98509492519480901</v>
      </c>
      <c r="D1289">
        <v>0.99365687110285394</v>
      </c>
      <c r="E1289">
        <v>1.0103395623126401</v>
      </c>
      <c r="F1289">
        <v>0.87545408259709601</v>
      </c>
      <c r="G1289">
        <v>0.82979383335741497</v>
      </c>
      <c r="H1289">
        <v>0.65889394799603196</v>
      </c>
      <c r="I1289">
        <v>0.55510879726239404</v>
      </c>
      <c r="J1289">
        <v>0.512433777270484</v>
      </c>
      <c r="K1289">
        <v>0.35186623519898602</v>
      </c>
      <c r="L1289">
        <v>608.33623247367404</v>
      </c>
      <c r="M1289">
        <v>10.040481705317299</v>
      </c>
      <c r="N1289">
        <v>62.778519383315903</v>
      </c>
      <c r="O1289">
        <v>58.332091221147898</v>
      </c>
      <c r="P1289">
        <v>-3.6690918027735803E-2</v>
      </c>
      <c r="Q1289">
        <v>0.14775655587213901</v>
      </c>
      <c r="R1289">
        <v>0.98340008005250101</v>
      </c>
      <c r="S1289" t="s">
        <v>6872</v>
      </c>
      <c r="T1289" t="s">
        <v>11164</v>
      </c>
      <c r="U1289" t="s">
        <v>11164</v>
      </c>
      <c r="V1289" t="s">
        <v>11164</v>
      </c>
      <c r="W1289" t="s">
        <v>12424</v>
      </c>
      <c r="X1289">
        <v>6</v>
      </c>
      <c r="Y1289" t="s">
        <v>17955</v>
      </c>
      <c r="Z1289" t="s">
        <v>23439</v>
      </c>
      <c r="AA1289">
        <v>0.78991613202528066</v>
      </c>
      <c r="AB1289" t="str">
        <f>HYPERLINK("Melting_Curves/meltCurve_O15118_NPC1.pdf", "Melting_Curves/meltCurve_O15118_NPC1.pdf")</f>
        <v>Melting_Curves/meltCurve_O15118_NPC1.pdf</v>
      </c>
    </row>
    <row r="1290" spans="1:28" x14ac:dyDescent="0.25">
      <c r="A1290" t="s">
        <v>1294</v>
      </c>
      <c r="B1290">
        <v>0.99796759195183404</v>
      </c>
      <c r="C1290">
        <v>0.36209872158197398</v>
      </c>
      <c r="D1290">
        <v>0.40101555334327199</v>
      </c>
      <c r="E1290">
        <v>0.50881992942332799</v>
      </c>
      <c r="F1290">
        <v>0.923513892109743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317.73150350143402</v>
      </c>
      <c r="M1290">
        <v>7.2093697775046799</v>
      </c>
      <c r="N1290">
        <v>44.072023070218201</v>
      </c>
      <c r="O1290">
        <v>41.0597257326151</v>
      </c>
      <c r="P1290">
        <v>-4.3968650629235398E-2</v>
      </c>
      <c r="Q1290">
        <v>0</v>
      </c>
      <c r="R1290">
        <v>0.51458193559281495</v>
      </c>
      <c r="S1290" t="s">
        <v>6873</v>
      </c>
      <c r="T1290" t="s">
        <v>11164</v>
      </c>
      <c r="U1290" t="s">
        <v>11164</v>
      </c>
      <c r="V1290" t="s">
        <v>11164</v>
      </c>
      <c r="W1290" t="s">
        <v>12425</v>
      </c>
      <c r="X1290">
        <v>2</v>
      </c>
      <c r="Y1290" t="s">
        <v>17956</v>
      </c>
      <c r="Z1290" t="s">
        <v>23440</v>
      </c>
      <c r="AA1290">
        <v>0.32101184847619768</v>
      </c>
      <c r="AB1290" t="str">
        <f>HYPERLINK("Melting_Curves/meltCurve_O15120_AGPAT2.pdf", "Melting_Curves/meltCurve_O15120_AGPAT2.pdf")</f>
        <v>Melting_Curves/meltCurve_O15120_AGPAT2.pdf</v>
      </c>
    </row>
    <row r="1291" spans="1:28" x14ac:dyDescent="0.25">
      <c r="A1291" t="s">
        <v>1295</v>
      </c>
      <c r="B1291">
        <v>0.99796759195183404</v>
      </c>
      <c r="C1291">
        <v>0.93343793430608102</v>
      </c>
      <c r="D1291">
        <v>0.91696221635299202</v>
      </c>
      <c r="E1291">
        <v>0.87055271685308699</v>
      </c>
      <c r="F1291">
        <v>0.73121889323704603</v>
      </c>
      <c r="G1291">
        <v>0.50449889145065796</v>
      </c>
      <c r="H1291">
        <v>0.47019248701857402</v>
      </c>
      <c r="I1291">
        <v>0.30034735218296099</v>
      </c>
      <c r="J1291">
        <v>0.27393798151422299</v>
      </c>
      <c r="K1291">
        <v>0.174460569802181</v>
      </c>
      <c r="L1291">
        <v>487.30878412588902</v>
      </c>
      <c r="M1291">
        <v>8.8351109094810596</v>
      </c>
      <c r="N1291">
        <v>55.475251470356199</v>
      </c>
      <c r="O1291">
        <v>52.549459583142998</v>
      </c>
      <c r="P1291">
        <v>-4.1022287988279699E-2</v>
      </c>
      <c r="Q1291">
        <v>2.4790338858504801E-2</v>
      </c>
      <c r="R1291">
        <v>0.98866015545217301</v>
      </c>
      <c r="S1291" t="s">
        <v>6874</v>
      </c>
      <c r="T1291" t="s">
        <v>11164</v>
      </c>
      <c r="U1291" t="s">
        <v>11164</v>
      </c>
      <c r="V1291" t="s">
        <v>11164</v>
      </c>
      <c r="W1291" t="s">
        <v>12426</v>
      </c>
      <c r="X1291">
        <v>6</v>
      </c>
      <c r="Y1291" t="s">
        <v>17957</v>
      </c>
      <c r="Z1291" t="s">
        <v>23441</v>
      </c>
      <c r="AA1291">
        <v>0.62324187209500326</v>
      </c>
      <c r="AB1291" t="str">
        <f>HYPERLINK("Melting_Curves/meltCurve_O15121_DEGS1.pdf", "Melting_Curves/meltCurve_O15121_DEGS1.pdf")</f>
        <v>Melting_Curves/meltCurve_O15121_DEGS1.pdf</v>
      </c>
    </row>
    <row r="1292" spans="1:28" x14ac:dyDescent="0.25">
      <c r="A1292" t="s">
        <v>1296</v>
      </c>
      <c r="B1292">
        <v>0.99796759195183404</v>
      </c>
      <c r="C1292">
        <v>1.0112029957758799</v>
      </c>
      <c r="D1292">
        <v>1.0266955540540299</v>
      </c>
      <c r="E1292">
        <v>0.94481576949692103</v>
      </c>
      <c r="F1292">
        <v>0.82270878845781403</v>
      </c>
      <c r="G1292">
        <v>0.639886205528573</v>
      </c>
      <c r="H1292">
        <v>0.60982116837009104</v>
      </c>
      <c r="I1292">
        <v>0.55582938962532202</v>
      </c>
      <c r="J1292">
        <v>0.69961715215208597</v>
      </c>
      <c r="K1292">
        <v>0.533863084726941</v>
      </c>
      <c r="L1292">
        <v>1463.3235976845299</v>
      </c>
      <c r="M1292">
        <v>29.0094839519797</v>
      </c>
      <c r="O1292">
        <v>50.205058045036402</v>
      </c>
      <c r="P1292">
        <v>-5.8598492004096302E-2</v>
      </c>
      <c r="Q1292">
        <v>0.59435075839679996</v>
      </c>
      <c r="R1292">
        <v>0.94946208784187103</v>
      </c>
      <c r="S1292" t="s">
        <v>6875</v>
      </c>
      <c r="T1292" t="s">
        <v>11164</v>
      </c>
      <c r="U1292" t="s">
        <v>11164</v>
      </c>
      <c r="V1292" t="s">
        <v>11164</v>
      </c>
      <c r="W1292" t="s">
        <v>12427</v>
      </c>
      <c r="X1292">
        <v>10</v>
      </c>
      <c r="Y1292" t="s">
        <v>17958</v>
      </c>
      <c r="Z1292" t="s">
        <v>23442</v>
      </c>
      <c r="AA1292">
        <v>0.7787982478703479</v>
      </c>
      <c r="AB1292" t="str">
        <f>HYPERLINK("Melting_Curves/meltCurve_O15126_SCAMP1.pdf", "Melting_Curves/meltCurve_O15126_SCAMP1.pdf")</f>
        <v>Melting_Curves/meltCurve_O15126_SCAMP1.pdf</v>
      </c>
    </row>
    <row r="1293" spans="1:28" x14ac:dyDescent="0.25">
      <c r="A1293" t="s">
        <v>1297</v>
      </c>
      <c r="B1293">
        <v>0.99796759195183404</v>
      </c>
      <c r="C1293">
        <v>0.97228247031498705</v>
      </c>
      <c r="D1293">
        <v>0.97997216500250095</v>
      </c>
      <c r="E1293">
        <v>0.91222225745872698</v>
      </c>
      <c r="F1293">
        <v>0.86350220572292202</v>
      </c>
      <c r="G1293">
        <v>0.73188929859045704</v>
      </c>
      <c r="H1293">
        <v>0.61114225746028406</v>
      </c>
      <c r="I1293">
        <v>0.65127909212794399</v>
      </c>
      <c r="J1293">
        <v>0.83352949360600004</v>
      </c>
      <c r="K1293">
        <v>0.70434016268077604</v>
      </c>
      <c r="L1293">
        <v>1184.5689680483699</v>
      </c>
      <c r="M1293">
        <v>23.9319788254322</v>
      </c>
      <c r="O1293">
        <v>49.155608091528599</v>
      </c>
      <c r="P1293">
        <v>-3.6559195898957599E-2</v>
      </c>
      <c r="Q1293">
        <v>0.69963857789503703</v>
      </c>
      <c r="R1293">
        <v>0.81750547194024104</v>
      </c>
      <c r="S1293" t="s">
        <v>6876</v>
      </c>
      <c r="T1293" t="s">
        <v>11164</v>
      </c>
      <c r="U1293" t="s">
        <v>11164</v>
      </c>
      <c r="V1293" t="s">
        <v>11164</v>
      </c>
      <c r="W1293" t="s">
        <v>12428</v>
      </c>
      <c r="X1293">
        <v>8</v>
      </c>
      <c r="Y1293" t="s">
        <v>17959</v>
      </c>
      <c r="Z1293" t="s">
        <v>23443</v>
      </c>
      <c r="AA1293">
        <v>0.82760206256043056</v>
      </c>
      <c r="AB1293" t="str">
        <f>HYPERLINK("Melting_Curves/meltCurve_O15127_SCAMP2.pdf", "Melting_Curves/meltCurve_O15127_SCAMP2.pdf")</f>
        <v>Melting_Curves/meltCurve_O15127_SCAMP2.pdf</v>
      </c>
    </row>
    <row r="1294" spans="1:28" x14ac:dyDescent="0.25">
      <c r="A1294" t="s">
        <v>1298</v>
      </c>
      <c r="B1294">
        <v>0.99796759195183404</v>
      </c>
      <c r="C1294">
        <v>0.934435142278358</v>
      </c>
      <c r="D1294">
        <v>0.870409110965355</v>
      </c>
      <c r="E1294">
        <v>0.85415327877176095</v>
      </c>
      <c r="F1294">
        <v>0.76596852142705796</v>
      </c>
      <c r="G1294">
        <v>0.80357021415768604</v>
      </c>
      <c r="H1294">
        <v>0.68767523626910099</v>
      </c>
      <c r="I1294">
        <v>0.60567946178353205</v>
      </c>
      <c r="J1294">
        <v>0.48154230673993298</v>
      </c>
      <c r="K1294">
        <v>0.17743090603007799</v>
      </c>
      <c r="L1294">
        <v>450.22298072367403</v>
      </c>
      <c r="M1294">
        <v>7.3102829627877197</v>
      </c>
      <c r="N1294">
        <v>61.587626180057804</v>
      </c>
      <c r="O1294">
        <v>57.481167804097701</v>
      </c>
      <c r="P1294">
        <v>-3.18444997243588E-2</v>
      </c>
      <c r="Q1294">
        <v>0</v>
      </c>
      <c r="R1294">
        <v>0.87227614119957397</v>
      </c>
      <c r="S1294" t="s">
        <v>6877</v>
      </c>
      <c r="T1294" t="s">
        <v>11164</v>
      </c>
      <c r="U1294" t="s">
        <v>11164</v>
      </c>
      <c r="V1294" t="s">
        <v>11164</v>
      </c>
      <c r="W1294" t="s">
        <v>12429</v>
      </c>
      <c r="X1294">
        <v>7</v>
      </c>
      <c r="Y1294" t="s">
        <v>17960</v>
      </c>
      <c r="Z1294" t="s">
        <v>23444</v>
      </c>
      <c r="AA1294">
        <v>0.74697415659226096</v>
      </c>
      <c r="AB1294" t="str">
        <f>HYPERLINK("Melting_Curves/meltCurve_O15143_ARPC1B.pdf", "Melting_Curves/meltCurve_O15143_ARPC1B.pdf")</f>
        <v>Melting_Curves/meltCurve_O15143_ARPC1B.pdf</v>
      </c>
    </row>
    <row r="1295" spans="1:28" x14ac:dyDescent="0.25">
      <c r="A1295" t="s">
        <v>1299</v>
      </c>
      <c r="B1295">
        <v>0.99796759195183404</v>
      </c>
      <c r="C1295">
        <v>1.0385959419405499</v>
      </c>
      <c r="D1295">
        <v>0.98178376716536597</v>
      </c>
      <c r="E1295">
        <v>0.98144992004617104</v>
      </c>
      <c r="F1295">
        <v>0.87324290736780497</v>
      </c>
      <c r="G1295">
        <v>1.0547657895440401</v>
      </c>
      <c r="H1295">
        <v>0.93732925464306904</v>
      </c>
      <c r="I1295">
        <v>0.86695188971113801</v>
      </c>
      <c r="J1295">
        <v>0.78404600651533296</v>
      </c>
      <c r="K1295">
        <v>0.36332923846840298</v>
      </c>
      <c r="L1295">
        <v>2161.8307054827501</v>
      </c>
      <c r="M1295">
        <v>32.722967574455097</v>
      </c>
      <c r="N1295">
        <v>66.064643720766199</v>
      </c>
      <c r="O1295">
        <v>65.819366487981299</v>
      </c>
      <c r="P1295">
        <v>-0.12429137554814</v>
      </c>
      <c r="Q1295">
        <v>0</v>
      </c>
      <c r="R1295">
        <v>0.91125870524087105</v>
      </c>
      <c r="S1295" t="s">
        <v>6878</v>
      </c>
      <c r="T1295" t="s">
        <v>11164</v>
      </c>
      <c r="U1295" t="s">
        <v>11164</v>
      </c>
      <c r="V1295" t="s">
        <v>11164</v>
      </c>
      <c r="W1295" t="s">
        <v>12430</v>
      </c>
      <c r="X1295">
        <v>7</v>
      </c>
      <c r="Y1295" t="s">
        <v>17961</v>
      </c>
      <c r="Z1295" t="s">
        <v>23445</v>
      </c>
      <c r="AA1295">
        <v>0.93907122001175269</v>
      </c>
      <c r="AB1295" t="str">
        <f>HYPERLINK("Melting_Curves/meltCurve_O15144_ARPC2.pdf", "Melting_Curves/meltCurve_O15144_ARPC2.pdf")</f>
        <v>Melting_Curves/meltCurve_O15144_ARPC2.pdf</v>
      </c>
    </row>
    <row r="1296" spans="1:28" x14ac:dyDescent="0.25">
      <c r="A1296" t="s">
        <v>1300</v>
      </c>
      <c r="B1296">
        <v>0.99796759195183404</v>
      </c>
      <c r="C1296">
        <v>1.2540779444802399</v>
      </c>
      <c r="D1296">
        <v>1.0828268430286001</v>
      </c>
      <c r="E1296">
        <v>0.89497617701209697</v>
      </c>
      <c r="F1296">
        <v>0.84687480643950197</v>
      </c>
      <c r="G1296">
        <v>1.4321046630590399</v>
      </c>
      <c r="H1296">
        <v>1.1939840411338101</v>
      </c>
      <c r="I1296">
        <v>0.86969767470774595</v>
      </c>
      <c r="J1296">
        <v>0.43532346641188102</v>
      </c>
      <c r="K1296">
        <v>8.5891021766798401E-2</v>
      </c>
      <c r="L1296">
        <v>3100.0795088704899</v>
      </c>
      <c r="M1296">
        <v>48.663906210003198</v>
      </c>
      <c r="N1296">
        <v>63.717315941069302</v>
      </c>
      <c r="O1296">
        <v>63.596582805610801</v>
      </c>
      <c r="P1296">
        <v>-0.190322725012851</v>
      </c>
      <c r="Q1296">
        <v>5.1055289329585097E-3</v>
      </c>
      <c r="R1296">
        <v>0.76541672088185597</v>
      </c>
      <c r="S1296" t="s">
        <v>6879</v>
      </c>
      <c r="T1296" t="s">
        <v>11164</v>
      </c>
      <c r="U1296" t="s">
        <v>11164</v>
      </c>
      <c r="V1296" t="s">
        <v>11164</v>
      </c>
      <c r="W1296" t="s">
        <v>12431</v>
      </c>
      <c r="X1296">
        <v>7</v>
      </c>
      <c r="Y1296" t="s">
        <v>17962</v>
      </c>
      <c r="Z1296" t="s">
        <v>23446</v>
      </c>
      <c r="AA1296">
        <v>0.88925004523731233</v>
      </c>
      <c r="AB1296" t="str">
        <f>HYPERLINK("Melting_Curves/meltCurve_O15145_ARPC3.pdf", "Melting_Curves/meltCurve_O15145_ARPC3.pdf")</f>
        <v>Melting_Curves/meltCurve_O15145_ARPC3.pdf</v>
      </c>
    </row>
    <row r="1297" spans="1:28" x14ac:dyDescent="0.25">
      <c r="A1297" t="s">
        <v>1301</v>
      </c>
      <c r="B1297">
        <v>0.99796759195183404</v>
      </c>
      <c r="C1297">
        <v>0.93241011390873196</v>
      </c>
      <c r="D1297">
        <v>1.09130750658362</v>
      </c>
      <c r="E1297">
        <v>0.90823073617627903</v>
      </c>
      <c r="F1297">
        <v>0.97218618427740999</v>
      </c>
      <c r="G1297">
        <v>0.590361648960265</v>
      </c>
      <c r="H1297">
        <v>0.48643454039628098</v>
      </c>
      <c r="I1297">
        <v>0.45631041916285697</v>
      </c>
      <c r="J1297">
        <v>0.483537458796514</v>
      </c>
      <c r="K1297">
        <v>0.40474131915072997</v>
      </c>
      <c r="L1297">
        <v>2810.7957022768901</v>
      </c>
      <c r="M1297">
        <v>53.320096505532099</v>
      </c>
      <c r="N1297">
        <v>55.215419308970901</v>
      </c>
      <c r="O1297">
        <v>52.641508481456199</v>
      </c>
      <c r="P1297">
        <v>-0.13793668338418</v>
      </c>
      <c r="Q1297">
        <v>0.45527553223357597</v>
      </c>
      <c r="R1297">
        <v>0.96139435297739595</v>
      </c>
      <c r="S1297" t="s">
        <v>6880</v>
      </c>
      <c r="T1297" t="s">
        <v>11164</v>
      </c>
      <c r="U1297" t="s">
        <v>11164</v>
      </c>
      <c r="V1297" t="s">
        <v>11164</v>
      </c>
      <c r="W1297" t="s">
        <v>12432</v>
      </c>
      <c r="X1297">
        <v>3</v>
      </c>
      <c r="Y1297" t="s">
        <v>17963</v>
      </c>
      <c r="Z1297" t="s">
        <v>23447</v>
      </c>
      <c r="AA1297">
        <v>0.74174220800326862</v>
      </c>
      <c r="AB1297" t="str">
        <f>HYPERLINK("Melting_Curves/meltCurve_O15155_BET1.pdf", "Melting_Curves/meltCurve_O15155_BET1.pdf")</f>
        <v>Melting_Curves/meltCurve_O15155_BET1.pdf</v>
      </c>
    </row>
    <row r="1298" spans="1:28" x14ac:dyDescent="0.25">
      <c r="A1298" t="s">
        <v>1302</v>
      </c>
      <c r="B1298">
        <v>0.99796759195183404</v>
      </c>
      <c r="C1298">
        <v>1.05010365992528</v>
      </c>
      <c r="D1298">
        <v>1.0120182328876699</v>
      </c>
      <c r="E1298">
        <v>0.92864166327875497</v>
      </c>
      <c r="F1298">
        <v>0.68910916579765702</v>
      </c>
      <c r="G1298">
        <v>0.33542520861874597</v>
      </c>
      <c r="H1298">
        <v>0.23738855927551</v>
      </c>
      <c r="I1298">
        <v>0.213076052842502</v>
      </c>
      <c r="J1298">
        <v>0.21848457820293299</v>
      </c>
      <c r="K1298">
        <v>0.18114877810476299</v>
      </c>
      <c r="L1298">
        <v>1434.40114870001</v>
      </c>
      <c r="M1298">
        <v>28.168550545717199</v>
      </c>
      <c r="N1298">
        <v>51.8647221119775</v>
      </c>
      <c r="O1298">
        <v>50.667508288650303</v>
      </c>
      <c r="P1298">
        <v>-0.111143265649651</v>
      </c>
      <c r="Q1298">
        <v>0.200341503090151</v>
      </c>
      <c r="R1298">
        <v>0.99697530573640802</v>
      </c>
      <c r="S1298" t="s">
        <v>6881</v>
      </c>
      <c r="T1298" t="s">
        <v>11164</v>
      </c>
      <c r="U1298" t="s">
        <v>11164</v>
      </c>
      <c r="V1298" t="s">
        <v>11164</v>
      </c>
      <c r="W1298" t="s">
        <v>12433</v>
      </c>
      <c r="X1298">
        <v>13</v>
      </c>
      <c r="Y1298" t="s">
        <v>17964</v>
      </c>
      <c r="Z1298" t="s">
        <v>23448</v>
      </c>
      <c r="AA1298">
        <v>0.57706173144253825</v>
      </c>
      <c r="AB1298" t="str">
        <f>HYPERLINK("Melting_Curves/meltCurve_O15160_POLR1C.pdf", "Melting_Curves/meltCurve_O15160_POLR1C.pdf")</f>
        <v>Melting_Curves/meltCurve_O15160_POLR1C.pdf</v>
      </c>
    </row>
    <row r="1299" spans="1:28" x14ac:dyDescent="0.25">
      <c r="A1299" t="s">
        <v>1303</v>
      </c>
      <c r="B1299">
        <v>0.99796759195183404</v>
      </c>
      <c r="C1299">
        <v>0.80695144961111798</v>
      </c>
      <c r="D1299">
        <v>0.84401911563355403</v>
      </c>
      <c r="E1299">
        <v>0.82940520612116597</v>
      </c>
      <c r="F1299">
        <v>0.61702696587582295</v>
      </c>
      <c r="G1299">
        <v>0.31140288532011601</v>
      </c>
      <c r="H1299">
        <v>0.26530261130489202</v>
      </c>
      <c r="I1299">
        <v>0.228542280375158</v>
      </c>
      <c r="J1299">
        <v>0.22786928414795901</v>
      </c>
      <c r="K1299">
        <v>0.204730820698834</v>
      </c>
      <c r="L1299">
        <v>591.35012521310205</v>
      </c>
      <c r="M1299">
        <v>11.8352112283828</v>
      </c>
      <c r="N1299">
        <v>51.415471865635602</v>
      </c>
      <c r="O1299">
        <v>48.602868529168198</v>
      </c>
      <c r="P1299">
        <v>-5.22517137539232E-2</v>
      </c>
      <c r="Q1299">
        <v>0.14190379906343401</v>
      </c>
      <c r="R1299">
        <v>0.94884489067224598</v>
      </c>
      <c r="S1299" t="s">
        <v>6882</v>
      </c>
      <c r="T1299" t="s">
        <v>11164</v>
      </c>
      <c r="U1299" t="s">
        <v>11164</v>
      </c>
      <c r="V1299" t="s">
        <v>11164</v>
      </c>
      <c r="W1299" t="s">
        <v>12434</v>
      </c>
      <c r="X1299">
        <v>7</v>
      </c>
      <c r="Y1299" t="s">
        <v>17965</v>
      </c>
      <c r="Z1299" t="s">
        <v>23449</v>
      </c>
      <c r="AA1299">
        <v>0.53721923256993587</v>
      </c>
      <c r="AB1299" t="str">
        <f>HYPERLINK("Melting_Curves/meltCurve_O15164_2_TRIM24.pdf", "Melting_Curves/meltCurve_O15164_2_TRIM24.pdf")</f>
        <v>Melting_Curves/meltCurve_O15164_2_TRIM24.pdf</v>
      </c>
    </row>
    <row r="1300" spans="1:28" x14ac:dyDescent="0.25">
      <c r="A1300" t="s">
        <v>1304</v>
      </c>
      <c r="B1300">
        <v>0.99796759195183404</v>
      </c>
      <c r="C1300">
        <v>1.06890913353838</v>
      </c>
      <c r="D1300">
        <v>0.89630414959968596</v>
      </c>
      <c r="E1300">
        <v>0.85515709887786595</v>
      </c>
      <c r="F1300">
        <v>0.87245245681711203</v>
      </c>
      <c r="G1300">
        <v>0.43880471708847302</v>
      </c>
      <c r="H1300">
        <v>0.267640806004806</v>
      </c>
      <c r="I1300">
        <v>0.20326228686973299</v>
      </c>
      <c r="J1300">
        <v>0.18046759415512301</v>
      </c>
      <c r="K1300">
        <v>0.13851911007456399</v>
      </c>
      <c r="L1300">
        <v>1246.77867225767</v>
      </c>
      <c r="M1300">
        <v>23.655100122972701</v>
      </c>
      <c r="N1300">
        <v>53.544491803844998</v>
      </c>
      <c r="O1300">
        <v>52.3342224637668</v>
      </c>
      <c r="P1300">
        <v>-9.5520821446166998E-2</v>
      </c>
      <c r="Q1300">
        <v>0.15469852320938299</v>
      </c>
      <c r="R1300">
        <v>0.97361110110318205</v>
      </c>
      <c r="S1300" t="s">
        <v>6883</v>
      </c>
      <c r="T1300" t="s">
        <v>11164</v>
      </c>
      <c r="U1300" t="s">
        <v>11164</v>
      </c>
      <c r="V1300" t="s">
        <v>11164</v>
      </c>
      <c r="W1300" t="s">
        <v>12435</v>
      </c>
      <c r="X1300">
        <v>2</v>
      </c>
      <c r="Y1300" t="s">
        <v>17966</v>
      </c>
      <c r="Z1300" t="s">
        <v>23450</v>
      </c>
      <c r="AA1300">
        <v>0.60548406093731233</v>
      </c>
      <c r="AB1300" t="str">
        <f>HYPERLINK("Melting_Curves/meltCurve_O15169_2_AXIN1.pdf", "Melting_Curves/meltCurve_O15169_2_AXIN1.pdf")</f>
        <v>Melting_Curves/meltCurve_O15169_2_AXIN1.pdf</v>
      </c>
    </row>
    <row r="1301" spans="1:28" x14ac:dyDescent="0.25">
      <c r="A1301" t="s">
        <v>1305</v>
      </c>
      <c r="B1301">
        <v>0.99796759195183404</v>
      </c>
      <c r="C1301">
        <v>0.90886980418559704</v>
      </c>
      <c r="D1301">
        <v>0.93778835739083299</v>
      </c>
      <c r="E1301">
        <v>0.91370548419736097</v>
      </c>
      <c r="F1301">
        <v>0.73232816057958605</v>
      </c>
      <c r="G1301">
        <v>0.49812882616529502</v>
      </c>
      <c r="H1301">
        <v>0.44336541011505698</v>
      </c>
      <c r="I1301">
        <v>0.34307070485742402</v>
      </c>
      <c r="J1301">
        <v>0.424882688772309</v>
      </c>
      <c r="K1301">
        <v>0.49876173005768198</v>
      </c>
      <c r="L1301">
        <v>1230.46803142727</v>
      </c>
      <c r="M1301">
        <v>24.490849474539999</v>
      </c>
      <c r="N1301">
        <v>54.217433537133303</v>
      </c>
      <c r="O1301">
        <v>49.910571150111501</v>
      </c>
      <c r="P1301">
        <v>-7.1519597704856497E-2</v>
      </c>
      <c r="Q1301">
        <v>0.41700155435209002</v>
      </c>
      <c r="R1301">
        <v>0.95686401268072097</v>
      </c>
      <c r="S1301" t="s">
        <v>6884</v>
      </c>
      <c r="T1301" t="s">
        <v>11164</v>
      </c>
      <c r="U1301" t="s">
        <v>11164</v>
      </c>
      <c r="V1301" t="s">
        <v>11164</v>
      </c>
      <c r="W1301" t="s">
        <v>12436</v>
      </c>
      <c r="X1301">
        <v>10</v>
      </c>
      <c r="Y1301" t="s">
        <v>17967</v>
      </c>
      <c r="Z1301" t="s">
        <v>23451</v>
      </c>
      <c r="AA1301">
        <v>0.67964979774772438</v>
      </c>
      <c r="AB1301" t="str">
        <f>HYPERLINK("Melting_Curves/meltCurve_O15173_PGRMC2.pdf", "Melting_Curves/meltCurve_O15173_PGRMC2.pdf")</f>
        <v>Melting_Curves/meltCurve_O15173_PGRMC2.pdf</v>
      </c>
    </row>
    <row r="1302" spans="1:28" x14ac:dyDescent="0.25">
      <c r="A1302" t="s">
        <v>1306</v>
      </c>
      <c r="B1302">
        <v>0.99796759195183404</v>
      </c>
      <c r="C1302">
        <v>0.94157119455277904</v>
      </c>
      <c r="D1302">
        <v>0.93560852913946901</v>
      </c>
      <c r="E1302">
        <v>0.93191839149081201</v>
      </c>
      <c r="F1302">
        <v>0.84912670424650905</v>
      </c>
      <c r="G1302">
        <v>0.75506834007018697</v>
      </c>
      <c r="H1302">
        <v>0.74953832364464301</v>
      </c>
      <c r="I1302">
        <v>0.784889179124592</v>
      </c>
      <c r="J1302">
        <v>1.0585694928829601</v>
      </c>
      <c r="K1302">
        <v>1.0104680729037501</v>
      </c>
      <c r="L1302">
        <v>797.89667788485997</v>
      </c>
      <c r="M1302">
        <v>19.013386714437399</v>
      </c>
      <c r="O1302">
        <v>41.509049976826397</v>
      </c>
      <c r="P1302">
        <v>-1.4485715380188899E-2</v>
      </c>
      <c r="Q1302">
        <v>0.87350715199279605</v>
      </c>
      <c r="R1302">
        <v>0.14604253842849799</v>
      </c>
      <c r="S1302" t="s">
        <v>6885</v>
      </c>
      <c r="T1302" t="s">
        <v>11164</v>
      </c>
      <c r="U1302" t="s">
        <v>11164</v>
      </c>
      <c r="V1302" t="s">
        <v>11164</v>
      </c>
      <c r="W1302" t="s">
        <v>12437</v>
      </c>
      <c r="X1302">
        <v>15</v>
      </c>
      <c r="Y1302" t="s">
        <v>17968</v>
      </c>
      <c r="Z1302" t="s">
        <v>23452</v>
      </c>
      <c r="AA1302">
        <v>0.89659382961177603</v>
      </c>
      <c r="AB1302" t="str">
        <f>HYPERLINK("Melting_Curves/meltCurve_O15212_PFDN6.pdf", "Melting_Curves/meltCurve_O15212_PFDN6.pdf")</f>
        <v>Melting_Curves/meltCurve_O15212_PFDN6.pdf</v>
      </c>
    </row>
    <row r="1303" spans="1:28" x14ac:dyDescent="0.25">
      <c r="A1303" t="s">
        <v>1307</v>
      </c>
      <c r="B1303">
        <v>0.99796759195183404</v>
      </c>
      <c r="C1303">
        <v>0.97667127059634196</v>
      </c>
      <c r="D1303">
        <v>0.91710698513019295</v>
      </c>
      <c r="E1303">
        <v>0.93771307194582498</v>
      </c>
      <c r="F1303">
        <v>0.93107319589772897</v>
      </c>
      <c r="G1303">
        <v>0.78714974141184102</v>
      </c>
      <c r="H1303">
        <v>0.45406970896939602</v>
      </c>
      <c r="I1303">
        <v>0.27329049701364</v>
      </c>
      <c r="J1303">
        <v>0.16656235708495601</v>
      </c>
      <c r="K1303">
        <v>0.111124273832109</v>
      </c>
      <c r="L1303">
        <v>1109.4117851855799</v>
      </c>
      <c r="M1303">
        <v>19.572038259719999</v>
      </c>
      <c r="N1303">
        <v>57.154600332591102</v>
      </c>
      <c r="O1303">
        <v>56.101708385265702</v>
      </c>
      <c r="P1303">
        <v>-8.0723076992603698E-2</v>
      </c>
      <c r="Q1303">
        <v>7.4487351694532702E-2</v>
      </c>
      <c r="R1303">
        <v>0.99050784607216502</v>
      </c>
      <c r="S1303" t="s">
        <v>6886</v>
      </c>
      <c r="T1303" t="s">
        <v>11164</v>
      </c>
      <c r="U1303" t="s">
        <v>11164</v>
      </c>
      <c r="V1303" t="s">
        <v>11164</v>
      </c>
      <c r="W1303" t="s">
        <v>12438</v>
      </c>
      <c r="X1303">
        <v>8</v>
      </c>
      <c r="Y1303" t="s">
        <v>17969</v>
      </c>
      <c r="Z1303" t="s">
        <v>23453</v>
      </c>
      <c r="AA1303">
        <v>0.69044757797099954</v>
      </c>
      <c r="AB1303" t="str">
        <f>HYPERLINK("Melting_Curves/meltCurve_O15228_GNPAT.pdf", "Melting_Curves/meltCurve_O15228_GNPAT.pdf")</f>
        <v>Melting_Curves/meltCurve_O15228_GNPAT.pdf</v>
      </c>
    </row>
    <row r="1304" spans="1:28" x14ac:dyDescent="0.25">
      <c r="A1304" t="s">
        <v>1308</v>
      </c>
      <c r="B1304">
        <v>0.99796759195183404</v>
      </c>
      <c r="C1304">
        <v>1.17114811063907</v>
      </c>
      <c r="D1304">
        <v>1.0687959031092999</v>
      </c>
      <c r="E1304">
        <v>1.01368167448991</v>
      </c>
      <c r="F1304">
        <v>0.97490288933260905</v>
      </c>
      <c r="G1304">
        <v>1.0602244873801501</v>
      </c>
      <c r="H1304">
        <v>0.64598151774270296</v>
      </c>
      <c r="I1304">
        <v>0.90615155163662497</v>
      </c>
      <c r="J1304">
        <v>0.99974330502919395</v>
      </c>
      <c r="K1304">
        <v>1.4639698124231899</v>
      </c>
      <c r="L1304">
        <v>15000</v>
      </c>
      <c r="M1304">
        <v>226.43594131444101</v>
      </c>
      <c r="O1304">
        <v>66.238733416500096</v>
      </c>
      <c r="P1304">
        <v>0.42731029512457502</v>
      </c>
      <c r="Q1304">
        <v>1.5</v>
      </c>
      <c r="R1304">
        <v>0.54423224573251605</v>
      </c>
      <c r="S1304" t="s">
        <v>6887</v>
      </c>
      <c r="T1304" t="s">
        <v>11164</v>
      </c>
      <c r="U1304" t="s">
        <v>11164</v>
      </c>
      <c r="V1304" t="s">
        <v>11164</v>
      </c>
      <c r="W1304" t="s">
        <v>12439</v>
      </c>
      <c r="X1304">
        <v>5</v>
      </c>
      <c r="Y1304" t="s">
        <v>17970</v>
      </c>
      <c r="Z1304" t="s">
        <v>23454</v>
      </c>
      <c r="AA1304">
        <v>1.0129073098789489</v>
      </c>
      <c r="AB1304" t="str">
        <f>HYPERLINK("Melting_Curves/meltCurve_O15234_CASC3.pdf", "Melting_Curves/meltCurve_O15234_CASC3.pdf")</f>
        <v>Melting_Curves/meltCurve_O15234_CASC3.pdf</v>
      </c>
    </row>
    <row r="1305" spans="1:28" x14ac:dyDescent="0.25">
      <c r="A1305" t="s">
        <v>1309</v>
      </c>
      <c r="B1305">
        <v>0.99796759195183404</v>
      </c>
      <c r="C1305">
        <v>1.1369040460700499</v>
      </c>
      <c r="D1305">
        <v>1.10847854012574</v>
      </c>
      <c r="E1305">
        <v>1.0997933236893001</v>
      </c>
      <c r="F1305">
        <v>1.0648047594774099</v>
      </c>
      <c r="G1305">
        <v>0.79250009766708795</v>
      </c>
      <c r="H1305">
        <v>0.767123947158177</v>
      </c>
      <c r="I1305">
        <v>0.72456403693041704</v>
      </c>
      <c r="J1305">
        <v>0.85608248882889604</v>
      </c>
      <c r="K1305">
        <v>0.74584054288394697</v>
      </c>
      <c r="L1305">
        <v>13321.6564034572</v>
      </c>
      <c r="M1305">
        <v>250</v>
      </c>
      <c r="O1305">
        <v>53.2832165307168</v>
      </c>
      <c r="P1305">
        <v>-0.26579346363432299</v>
      </c>
      <c r="Q1305">
        <v>0.77340271331942601</v>
      </c>
      <c r="R1305">
        <v>0.78407729732796805</v>
      </c>
      <c r="S1305" t="s">
        <v>6888</v>
      </c>
      <c r="T1305" t="s">
        <v>11164</v>
      </c>
      <c r="U1305" t="s">
        <v>11164</v>
      </c>
      <c r="V1305" t="s">
        <v>11164</v>
      </c>
      <c r="W1305" t="s">
        <v>12440</v>
      </c>
      <c r="X1305">
        <v>3</v>
      </c>
      <c r="Y1305" t="s">
        <v>17971</v>
      </c>
      <c r="Z1305" t="s">
        <v>23455</v>
      </c>
      <c r="AA1305">
        <v>0.8964407431720921</v>
      </c>
      <c r="AB1305" t="str">
        <f>HYPERLINK("Melting_Curves/meltCurve_O15258_RER1.pdf", "Melting_Curves/meltCurve_O15258_RER1.pdf")</f>
        <v>Melting_Curves/meltCurve_O15258_RER1.pdf</v>
      </c>
    </row>
    <row r="1306" spans="1:28" x14ac:dyDescent="0.25">
      <c r="A1306" t="s">
        <v>1310</v>
      </c>
      <c r="B1306">
        <v>0.99796759195183404</v>
      </c>
      <c r="C1306">
        <v>0.98488690124368194</v>
      </c>
      <c r="D1306">
        <v>0.95374225433093096</v>
      </c>
      <c r="E1306">
        <v>0.87283214915168905</v>
      </c>
      <c r="F1306">
        <v>0.81934531796042398</v>
      </c>
      <c r="G1306">
        <v>0.72336488040490199</v>
      </c>
      <c r="H1306">
        <v>0.41292877437770398</v>
      </c>
      <c r="I1306">
        <v>0.303891339728734</v>
      </c>
      <c r="J1306">
        <v>0.18107339556587199</v>
      </c>
      <c r="K1306">
        <v>0.120843510214956</v>
      </c>
      <c r="L1306">
        <v>694.29626490304895</v>
      </c>
      <c r="M1306">
        <v>12.271989957411201</v>
      </c>
      <c r="N1306">
        <v>56.575687305382601</v>
      </c>
      <c r="O1306">
        <v>55.136331493187001</v>
      </c>
      <c r="P1306">
        <v>-5.5656143233154397E-2</v>
      </c>
      <c r="Q1306">
        <v>0</v>
      </c>
      <c r="R1306">
        <v>0.98938990882339595</v>
      </c>
      <c r="S1306" t="s">
        <v>6889</v>
      </c>
      <c r="T1306" t="s">
        <v>11164</v>
      </c>
      <c r="U1306" t="s">
        <v>11164</v>
      </c>
      <c r="V1306" t="s">
        <v>11164</v>
      </c>
      <c r="W1306" t="s">
        <v>12441</v>
      </c>
      <c r="X1306">
        <v>10</v>
      </c>
      <c r="Y1306" t="s">
        <v>17972</v>
      </c>
      <c r="Z1306" t="s">
        <v>23456</v>
      </c>
      <c r="AA1306">
        <v>0.65987158282889458</v>
      </c>
      <c r="AB1306" t="str">
        <f>HYPERLINK("Melting_Curves/meltCurve_O15269_SPTLC1.pdf", "Melting_Curves/meltCurve_O15269_SPTLC1.pdf")</f>
        <v>Melting_Curves/meltCurve_O15269_SPTLC1.pdf</v>
      </c>
    </row>
    <row r="1307" spans="1:28" x14ac:dyDescent="0.25">
      <c r="A1307" t="s">
        <v>1311</v>
      </c>
      <c r="B1307">
        <v>0.99796759195183404</v>
      </c>
      <c r="C1307">
        <v>1.08663089141536</v>
      </c>
      <c r="D1307">
        <v>1.05844201147745</v>
      </c>
      <c r="E1307">
        <v>0.94239058287761301</v>
      </c>
      <c r="F1307">
        <v>0.97872345379953196</v>
      </c>
      <c r="G1307">
        <v>0.96402629005208196</v>
      </c>
      <c r="H1307">
        <v>0.55418655255270599</v>
      </c>
      <c r="I1307">
        <v>0.320626057977626</v>
      </c>
      <c r="J1307">
        <v>0.22895331313999501</v>
      </c>
      <c r="K1307">
        <v>0.182696469626977</v>
      </c>
      <c r="L1307">
        <v>2091.37482238246</v>
      </c>
      <c r="M1307">
        <v>36.5676301933593</v>
      </c>
      <c r="N1307">
        <v>58.051276668193402</v>
      </c>
      <c r="O1307">
        <v>57.021737945793298</v>
      </c>
      <c r="P1307">
        <v>-0.12681560988017501</v>
      </c>
      <c r="Q1307">
        <v>0.20900260978718799</v>
      </c>
      <c r="R1307">
        <v>0.98459853821433396</v>
      </c>
      <c r="S1307" t="s">
        <v>6890</v>
      </c>
      <c r="T1307" t="s">
        <v>11164</v>
      </c>
      <c r="U1307" t="s">
        <v>11164</v>
      </c>
      <c r="V1307" t="s">
        <v>11164</v>
      </c>
      <c r="W1307" t="s">
        <v>12442</v>
      </c>
      <c r="X1307">
        <v>8</v>
      </c>
      <c r="Y1307" t="s">
        <v>17973</v>
      </c>
      <c r="Z1307" t="s">
        <v>23457</v>
      </c>
      <c r="AA1307">
        <v>0.74485876987702049</v>
      </c>
      <c r="AB1307" t="str">
        <f>HYPERLINK("Melting_Curves/meltCurve_O15270_SPTLC2.pdf", "Melting_Curves/meltCurve_O15270_SPTLC2.pdf")</f>
        <v>Melting_Curves/meltCurve_O15270_SPTLC2.pdf</v>
      </c>
    </row>
    <row r="1308" spans="1:28" x14ac:dyDescent="0.25">
      <c r="A1308" t="s">
        <v>1312</v>
      </c>
      <c r="B1308">
        <v>0.99796759195183404</v>
      </c>
      <c r="C1308">
        <v>0.95255587932966101</v>
      </c>
      <c r="D1308">
        <v>0.95834512108654002</v>
      </c>
      <c r="E1308">
        <v>0.90190541307767802</v>
      </c>
      <c r="F1308">
        <v>0.84301598193143301</v>
      </c>
      <c r="G1308">
        <v>0.43492747364839401</v>
      </c>
      <c r="H1308">
        <v>0.28721829802871501</v>
      </c>
      <c r="I1308">
        <v>0.18636952043534899</v>
      </c>
      <c r="J1308">
        <v>0.16456688870830399</v>
      </c>
      <c r="K1308">
        <v>0.108566095899105</v>
      </c>
      <c r="L1308">
        <v>1136.1523535240899</v>
      </c>
      <c r="M1308">
        <v>21.504809331993101</v>
      </c>
      <c r="N1308">
        <v>53.577863339654002</v>
      </c>
      <c r="O1308">
        <v>52.3819856784867</v>
      </c>
      <c r="P1308">
        <v>-8.9367499111443399E-2</v>
      </c>
      <c r="Q1308">
        <v>0.129286366412322</v>
      </c>
      <c r="R1308">
        <v>0.98968461829670795</v>
      </c>
      <c r="S1308" t="s">
        <v>6891</v>
      </c>
      <c r="T1308" t="s">
        <v>11164</v>
      </c>
      <c r="U1308" t="s">
        <v>11164</v>
      </c>
      <c r="V1308" t="s">
        <v>11164</v>
      </c>
      <c r="W1308" t="s">
        <v>12443</v>
      </c>
      <c r="X1308">
        <v>5</v>
      </c>
      <c r="Y1308" t="s">
        <v>17974</v>
      </c>
      <c r="Z1308" t="s">
        <v>23458</v>
      </c>
      <c r="AA1308">
        <v>0.59868216959622367</v>
      </c>
      <c r="AB1308" t="str">
        <f>HYPERLINK("Melting_Curves/meltCurve_O15294_3_OGT.pdf", "Melting_Curves/meltCurve_O15294_3_OGT.pdf")</f>
        <v>Melting_Curves/meltCurve_O15294_3_OGT.pdf</v>
      </c>
    </row>
    <row r="1309" spans="1:28" x14ac:dyDescent="0.25">
      <c r="A1309" t="s">
        <v>1313</v>
      </c>
      <c r="B1309">
        <v>0.99796759195183404</v>
      </c>
      <c r="C1309">
        <v>0.99674016545351196</v>
      </c>
      <c r="D1309">
        <v>1.0097047378212101</v>
      </c>
      <c r="E1309">
        <v>0.95686326720941495</v>
      </c>
      <c r="F1309">
        <v>0.85767739272787502</v>
      </c>
      <c r="G1309">
        <v>0.54402602795483601</v>
      </c>
      <c r="H1309">
        <v>0.34501918617563199</v>
      </c>
      <c r="I1309">
        <v>0.18815410408324701</v>
      </c>
      <c r="J1309">
        <v>0.124590335245399</v>
      </c>
      <c r="K1309">
        <v>8.4401980691640593E-2</v>
      </c>
      <c r="L1309">
        <v>995.92779475171005</v>
      </c>
      <c r="M1309">
        <v>18.323288283631801</v>
      </c>
      <c r="N1309">
        <v>54.796866691390598</v>
      </c>
      <c r="O1309">
        <v>53.7181300700489</v>
      </c>
      <c r="P1309">
        <v>-7.9399073113902305E-2</v>
      </c>
      <c r="Q1309">
        <v>6.8950187454974804E-2</v>
      </c>
      <c r="R1309">
        <v>0.998033030783541</v>
      </c>
      <c r="S1309" t="s">
        <v>6892</v>
      </c>
      <c r="T1309" t="s">
        <v>11164</v>
      </c>
      <c r="U1309" t="s">
        <v>11164</v>
      </c>
      <c r="V1309" t="s">
        <v>11164</v>
      </c>
      <c r="W1309" t="s">
        <v>12444</v>
      </c>
      <c r="X1309">
        <v>11</v>
      </c>
      <c r="Y1309" t="s">
        <v>17975</v>
      </c>
      <c r="Z1309" t="s">
        <v>23459</v>
      </c>
      <c r="AA1309">
        <v>0.61970593764387716</v>
      </c>
      <c r="AB1309" t="str">
        <f>HYPERLINK("Melting_Curves/meltCurve_O15305_PMM2.pdf", "Melting_Curves/meltCurve_O15305_PMM2.pdf")</f>
        <v>Melting_Curves/meltCurve_O15305_PMM2.pdf</v>
      </c>
    </row>
    <row r="1310" spans="1:28" x14ac:dyDescent="0.25">
      <c r="A1310" t="s">
        <v>1314</v>
      </c>
      <c r="B1310">
        <v>0.99796759195183404</v>
      </c>
      <c r="C1310">
        <v>0.97200277809999502</v>
      </c>
      <c r="D1310">
        <v>0.94622580953855895</v>
      </c>
      <c r="E1310">
        <v>0.91223882255157096</v>
      </c>
      <c r="F1310">
        <v>0.76629908670174596</v>
      </c>
      <c r="G1310">
        <v>0.38428157120613698</v>
      </c>
      <c r="H1310">
        <v>0.156824771834462</v>
      </c>
      <c r="I1310">
        <v>0.14512994945002999</v>
      </c>
      <c r="J1310">
        <v>9.2321714814302E-2</v>
      </c>
      <c r="K1310">
        <v>7.3783788738351605E-2</v>
      </c>
      <c r="L1310">
        <v>1214.3032945959501</v>
      </c>
      <c r="M1310">
        <v>23.2465585978135</v>
      </c>
      <c r="N1310">
        <v>52.630300637672001</v>
      </c>
      <c r="O1310">
        <v>51.853889697332399</v>
      </c>
      <c r="P1310">
        <v>-0.103118448638244</v>
      </c>
      <c r="Q1310">
        <v>7.9950403737783005E-2</v>
      </c>
      <c r="R1310">
        <v>0.99548055827253801</v>
      </c>
      <c r="S1310" t="s">
        <v>6893</v>
      </c>
      <c r="T1310" t="s">
        <v>11164</v>
      </c>
      <c r="U1310" t="s">
        <v>11164</v>
      </c>
      <c r="V1310" t="s">
        <v>11164</v>
      </c>
      <c r="W1310" t="s">
        <v>12445</v>
      </c>
      <c r="X1310">
        <v>11</v>
      </c>
      <c r="Y1310" t="s">
        <v>17976</v>
      </c>
      <c r="Z1310" t="s">
        <v>23460</v>
      </c>
      <c r="AA1310">
        <v>0.55646376423934252</v>
      </c>
      <c r="AB1310" t="str">
        <f>HYPERLINK("Melting_Curves/meltCurve_O15344_MID1.pdf", "Melting_Curves/meltCurve_O15344_MID1.pdf")</f>
        <v>Melting_Curves/meltCurve_O15344_MID1.pdf</v>
      </c>
    </row>
    <row r="1311" spans="1:28" x14ac:dyDescent="0.25">
      <c r="A1311" t="s">
        <v>1315</v>
      </c>
      <c r="B1311">
        <v>0.99796759195183404</v>
      </c>
      <c r="C1311">
        <v>1.0041613575069399</v>
      </c>
      <c r="D1311">
        <v>0.95735237858390199</v>
      </c>
      <c r="E1311">
        <v>0.930799165530103</v>
      </c>
      <c r="F1311">
        <v>0.78190612284660199</v>
      </c>
      <c r="G1311">
        <v>0.51901759667400404</v>
      </c>
      <c r="H1311">
        <v>0.459302393292089</v>
      </c>
      <c r="I1311">
        <v>0.37015528227995098</v>
      </c>
      <c r="J1311">
        <v>0.35399679282594698</v>
      </c>
      <c r="K1311">
        <v>0.24583793916913199</v>
      </c>
      <c r="L1311">
        <v>813.89684928955103</v>
      </c>
      <c r="M1311">
        <v>15.4944149579343</v>
      </c>
      <c r="N1311">
        <v>55.392099014804501</v>
      </c>
      <c r="O1311">
        <v>51.676759892901899</v>
      </c>
      <c r="P1311">
        <v>-5.4306957716852802E-2</v>
      </c>
      <c r="Q1311">
        <v>0.27556917418310301</v>
      </c>
      <c r="R1311">
        <v>0.98819269358031303</v>
      </c>
      <c r="S1311" t="s">
        <v>6894</v>
      </c>
      <c r="T1311" t="s">
        <v>11164</v>
      </c>
      <c r="U1311" t="s">
        <v>11164</v>
      </c>
      <c r="V1311" t="s">
        <v>11164</v>
      </c>
      <c r="W1311" t="s">
        <v>12446</v>
      </c>
      <c r="X1311">
        <v>13</v>
      </c>
      <c r="Y1311" t="s">
        <v>17977</v>
      </c>
      <c r="Z1311" t="s">
        <v>23461</v>
      </c>
      <c r="AA1311">
        <v>0.66348062473392067</v>
      </c>
      <c r="AB1311" t="str">
        <f>HYPERLINK("Melting_Curves/meltCurve_O15347_HMGB3.pdf", "Melting_Curves/meltCurve_O15347_HMGB3.pdf")</f>
        <v>Melting_Curves/meltCurve_O15347_HMGB3.pdf</v>
      </c>
    </row>
    <row r="1312" spans="1:28" x14ac:dyDescent="0.25">
      <c r="A1312" t="s">
        <v>1316</v>
      </c>
      <c r="B1312">
        <v>0.99796759195183404</v>
      </c>
      <c r="C1312">
        <v>1.08611008111186</v>
      </c>
      <c r="D1312">
        <v>1.02307527410921</v>
      </c>
      <c r="E1312">
        <v>0.95133798671827197</v>
      </c>
      <c r="F1312">
        <v>0.60186552694482298</v>
      </c>
      <c r="G1312">
        <v>0.20963417244544399</v>
      </c>
      <c r="H1312">
        <v>0.170423167483331</v>
      </c>
      <c r="I1312">
        <v>0.139269470158184</v>
      </c>
      <c r="J1312">
        <v>0.140654147375983</v>
      </c>
      <c r="K1312">
        <v>0.122329739256092</v>
      </c>
      <c r="L1312">
        <v>1827.0345905085801</v>
      </c>
      <c r="M1312">
        <v>36.254954951762599</v>
      </c>
      <c r="N1312">
        <v>50.849055339374999</v>
      </c>
      <c r="O1312">
        <v>50.241503506138699</v>
      </c>
      <c r="P1312">
        <v>-0.15541493818996999</v>
      </c>
      <c r="Q1312">
        <v>0.13851743774528899</v>
      </c>
      <c r="R1312">
        <v>0.99463000952034197</v>
      </c>
      <c r="S1312" t="s">
        <v>6895</v>
      </c>
      <c r="T1312" t="s">
        <v>11164</v>
      </c>
      <c r="U1312" t="s">
        <v>11164</v>
      </c>
      <c r="V1312" t="s">
        <v>11164</v>
      </c>
      <c r="W1312" t="s">
        <v>12447</v>
      </c>
      <c r="X1312">
        <v>31</v>
      </c>
      <c r="Y1312" t="s">
        <v>17978</v>
      </c>
      <c r="Z1312" t="s">
        <v>23462</v>
      </c>
      <c r="AA1312">
        <v>0.52679407824810409</v>
      </c>
      <c r="AB1312" t="str">
        <f>HYPERLINK("Melting_Curves/meltCurve_O15355_PPM1G.pdf", "Melting_Curves/meltCurve_O15355_PPM1G.pdf")</f>
        <v>Melting_Curves/meltCurve_O15355_PPM1G.pdf</v>
      </c>
    </row>
    <row r="1313" spans="1:28" x14ac:dyDescent="0.25">
      <c r="A1313" t="s">
        <v>1317</v>
      </c>
      <c r="B1313">
        <v>0.99796759195183404</v>
      </c>
      <c r="C1313">
        <v>1.0013360702243701</v>
      </c>
      <c r="D1313">
        <v>0.95500547750048004</v>
      </c>
      <c r="E1313">
        <v>0.85081221643220395</v>
      </c>
      <c r="F1313">
        <v>0.66970194298933405</v>
      </c>
      <c r="G1313">
        <v>0.32046109410280998</v>
      </c>
      <c r="H1313">
        <v>0.26125348070710003</v>
      </c>
      <c r="I1313">
        <v>0.198344900870906</v>
      </c>
      <c r="J1313">
        <v>0.176394289546914</v>
      </c>
      <c r="K1313">
        <v>0.127124287853942</v>
      </c>
      <c r="L1313">
        <v>955.02674527720205</v>
      </c>
      <c r="M1313">
        <v>18.766059335855001</v>
      </c>
      <c r="N1313">
        <v>51.8409591371151</v>
      </c>
      <c r="O1313">
        <v>50.3238654277799</v>
      </c>
      <c r="P1313">
        <v>-7.9668130350901201E-2</v>
      </c>
      <c r="Q1313">
        <v>0.14547032025024101</v>
      </c>
      <c r="R1313">
        <v>0.99429391317773597</v>
      </c>
      <c r="S1313" t="s">
        <v>6896</v>
      </c>
      <c r="T1313" t="s">
        <v>11164</v>
      </c>
      <c r="U1313" t="s">
        <v>11164</v>
      </c>
      <c r="V1313" t="s">
        <v>11164</v>
      </c>
      <c r="W1313" t="s">
        <v>12448</v>
      </c>
      <c r="X1313">
        <v>20</v>
      </c>
      <c r="Y1313" t="s">
        <v>17979</v>
      </c>
      <c r="Z1313" t="s">
        <v>23463</v>
      </c>
      <c r="AA1313">
        <v>0.55358407032647106</v>
      </c>
      <c r="AB1313" t="str">
        <f>HYPERLINK("Melting_Curves/meltCurve_O15357_INPPL1.pdf", "Melting_Curves/meltCurve_O15357_INPPL1.pdf")</f>
        <v>Melting_Curves/meltCurve_O15357_INPPL1.pdf</v>
      </c>
    </row>
    <row r="1314" spans="1:28" x14ac:dyDescent="0.25">
      <c r="A1314" t="s">
        <v>1318</v>
      </c>
      <c r="B1314">
        <v>0.99796759195183404</v>
      </c>
      <c r="C1314">
        <v>1.0699887920990601</v>
      </c>
      <c r="D1314">
        <v>1.0455147369657301</v>
      </c>
      <c r="E1314">
        <v>0.94489653416949904</v>
      </c>
      <c r="F1314">
        <v>0.77534118017065201</v>
      </c>
      <c r="G1314">
        <v>0.29368702432673399</v>
      </c>
      <c r="H1314">
        <v>0.16380382272003</v>
      </c>
      <c r="I1314">
        <v>0.14048553725310201</v>
      </c>
      <c r="J1314">
        <v>0.11914548180635801</v>
      </c>
      <c r="K1314">
        <v>0.101422269449328</v>
      </c>
      <c r="L1314">
        <v>1753.4120759155501</v>
      </c>
      <c r="M1314">
        <v>33.919855951353199</v>
      </c>
      <c r="N1314">
        <v>52.1163922187663</v>
      </c>
      <c r="O1314">
        <v>51.514115320145599</v>
      </c>
      <c r="P1314">
        <v>-0.144781819919128</v>
      </c>
      <c r="Q1314">
        <v>0.12048244209908</v>
      </c>
      <c r="R1314">
        <v>0.99452076011745305</v>
      </c>
      <c r="S1314" t="s">
        <v>6897</v>
      </c>
      <c r="T1314" t="s">
        <v>11164</v>
      </c>
      <c r="U1314" t="s">
        <v>11164</v>
      </c>
      <c r="V1314" t="s">
        <v>11164</v>
      </c>
      <c r="W1314" t="s">
        <v>12449</v>
      </c>
      <c r="X1314">
        <v>8</v>
      </c>
      <c r="Y1314" t="s">
        <v>17980</v>
      </c>
      <c r="Z1314" t="s">
        <v>23464</v>
      </c>
      <c r="AA1314">
        <v>0.55558650362430151</v>
      </c>
      <c r="AB1314" t="str">
        <f>HYPERLINK("Melting_Curves/meltCurve_O15397_IPO8.pdf", "Melting_Curves/meltCurve_O15397_IPO8.pdf")</f>
        <v>Melting_Curves/meltCurve_O15397_IPO8.pdf</v>
      </c>
    </row>
    <row r="1315" spans="1:28" x14ac:dyDescent="0.25">
      <c r="A1315" t="s">
        <v>1319</v>
      </c>
      <c r="B1315">
        <v>0.99796759195183404</v>
      </c>
      <c r="C1315">
        <v>0.99836880525338301</v>
      </c>
      <c r="D1315">
        <v>1.0036096511125101</v>
      </c>
      <c r="E1315">
        <v>0.97228603327849805</v>
      </c>
      <c r="F1315">
        <v>0.88825291531972195</v>
      </c>
      <c r="G1315">
        <v>0.65400130089719999</v>
      </c>
      <c r="H1315">
        <v>0.68519872008578797</v>
      </c>
      <c r="I1315">
        <v>0.583657120507031</v>
      </c>
      <c r="J1315">
        <v>0.73423708665369303</v>
      </c>
      <c r="K1315">
        <v>0.56676006410017399</v>
      </c>
      <c r="L1315">
        <v>2647.5169896366601</v>
      </c>
      <c r="M1315">
        <v>51.973571078496803</v>
      </c>
      <c r="O1315">
        <v>50.8644329360678</v>
      </c>
      <c r="P1315">
        <v>-9.1844634981016596E-2</v>
      </c>
      <c r="Q1315">
        <v>0.64046173809484896</v>
      </c>
      <c r="R1315">
        <v>0.93235785763439805</v>
      </c>
      <c r="S1315" t="s">
        <v>6898</v>
      </c>
      <c r="T1315" t="s">
        <v>11164</v>
      </c>
      <c r="U1315" t="s">
        <v>11164</v>
      </c>
      <c r="V1315" t="s">
        <v>11164</v>
      </c>
      <c r="W1315" t="s">
        <v>12450</v>
      </c>
      <c r="X1315">
        <v>16</v>
      </c>
      <c r="Y1315" t="s">
        <v>17981</v>
      </c>
      <c r="Z1315" t="s">
        <v>23465</v>
      </c>
      <c r="AA1315">
        <v>0.80827061430858971</v>
      </c>
      <c r="AB1315" t="str">
        <f>HYPERLINK("Melting_Curves/meltCurve_O15400_2_STX7.pdf", "Melting_Curves/meltCurve_O15400_2_STX7.pdf")</f>
        <v>Melting_Curves/meltCurve_O15400_2_STX7.pdf</v>
      </c>
    </row>
    <row r="1316" spans="1:28" x14ac:dyDescent="0.25">
      <c r="A1316" t="s">
        <v>1320</v>
      </c>
      <c r="B1316">
        <v>0.99796759195183404</v>
      </c>
      <c r="C1316">
        <v>1.0426316792311801</v>
      </c>
      <c r="D1316">
        <v>0.88986410116425096</v>
      </c>
      <c r="E1316">
        <v>0.82102486481123405</v>
      </c>
      <c r="F1316">
        <v>0.95237403138592203</v>
      </c>
      <c r="G1316">
        <v>0.80361774776120698</v>
      </c>
      <c r="H1316">
        <v>0.58578125378032697</v>
      </c>
      <c r="I1316">
        <v>0.56370849348672403</v>
      </c>
      <c r="J1316">
        <v>0.33280960676146498</v>
      </c>
      <c r="K1316">
        <v>0.16663414514549099</v>
      </c>
      <c r="L1316">
        <v>667.98744526339601</v>
      </c>
      <c r="M1316">
        <v>11.0983245866852</v>
      </c>
      <c r="N1316">
        <v>60.188133826499602</v>
      </c>
      <c r="O1316">
        <v>58.333132455975999</v>
      </c>
      <c r="P1316">
        <v>-4.7579905493296097E-2</v>
      </c>
      <c r="Q1316">
        <v>0</v>
      </c>
      <c r="R1316">
        <v>0.93217192730354903</v>
      </c>
      <c r="S1316" t="s">
        <v>6899</v>
      </c>
      <c r="T1316" t="s">
        <v>11164</v>
      </c>
      <c r="U1316" t="s">
        <v>11164</v>
      </c>
      <c r="V1316" t="s">
        <v>11164</v>
      </c>
      <c r="W1316" t="s">
        <v>12451</v>
      </c>
      <c r="X1316">
        <v>1</v>
      </c>
      <c r="Y1316" t="s">
        <v>17982</v>
      </c>
      <c r="Z1316" t="s">
        <v>23466</v>
      </c>
      <c r="AA1316">
        <v>0.75066921775464801</v>
      </c>
      <c r="AB1316" t="str">
        <f>HYPERLINK("Melting_Curves/meltCurve_O15431_SLC31A1.pdf", "Melting_Curves/meltCurve_O15431_SLC31A1.pdf")</f>
        <v>Melting_Curves/meltCurve_O15431_SLC31A1.pdf</v>
      </c>
    </row>
    <row r="1317" spans="1:28" x14ac:dyDescent="0.25">
      <c r="A1317" t="s">
        <v>1321</v>
      </c>
      <c r="B1317">
        <v>0.99796759195183404</v>
      </c>
      <c r="C1317">
        <v>0.77512208210619005</v>
      </c>
      <c r="D1317">
        <v>0.71955050378845997</v>
      </c>
      <c r="E1317">
        <v>0.73101878069553805</v>
      </c>
      <c r="F1317">
        <v>0.77338075575406295</v>
      </c>
      <c r="G1317">
        <v>0.66592206448431801</v>
      </c>
      <c r="H1317">
        <v>0.58291238133482604</v>
      </c>
      <c r="I1317">
        <v>0.44426092593185701</v>
      </c>
      <c r="J1317">
        <v>0.30007443215649598</v>
      </c>
      <c r="K1317">
        <v>0.187094819374055</v>
      </c>
      <c r="L1317">
        <v>293.39269916449899</v>
      </c>
      <c r="M1317">
        <v>5.1387185788910097</v>
      </c>
      <c r="N1317">
        <v>57.094540376725803</v>
      </c>
      <c r="O1317">
        <v>50.143836256551303</v>
      </c>
      <c r="P1317">
        <v>-2.5762805588737999E-2</v>
      </c>
      <c r="Q1317">
        <v>0</v>
      </c>
      <c r="R1317">
        <v>0.84371066801396899</v>
      </c>
      <c r="S1317" t="s">
        <v>6900</v>
      </c>
      <c r="T1317" t="s">
        <v>11164</v>
      </c>
      <c r="U1317" t="s">
        <v>11164</v>
      </c>
      <c r="V1317" t="s">
        <v>11164</v>
      </c>
      <c r="W1317" t="s">
        <v>12452</v>
      </c>
      <c r="X1317">
        <v>3</v>
      </c>
      <c r="Y1317" t="s">
        <v>17983</v>
      </c>
      <c r="Z1317" t="s">
        <v>23467</v>
      </c>
      <c r="AA1317">
        <v>0.62855492838133031</v>
      </c>
      <c r="AB1317" t="str">
        <f>HYPERLINK("Melting_Curves/meltCurve_O15439_2_ABCC4.pdf", "Melting_Curves/meltCurve_O15439_2_ABCC4.pdf")</f>
        <v>Melting_Curves/meltCurve_O15439_2_ABCC4.pdf</v>
      </c>
    </row>
    <row r="1318" spans="1:28" x14ac:dyDescent="0.25">
      <c r="A1318" t="s">
        <v>1322</v>
      </c>
      <c r="B1318">
        <v>0.99796759195183404</v>
      </c>
      <c r="C1318">
        <v>0.99071480845253301</v>
      </c>
      <c r="D1318">
        <v>0.992608658199156</v>
      </c>
      <c r="E1318">
        <v>0.84206087950294095</v>
      </c>
      <c r="F1318">
        <v>0.85436425981534903</v>
      </c>
      <c r="G1318">
        <v>0.88081408073922096</v>
      </c>
      <c r="H1318">
        <v>1.0074493726540501</v>
      </c>
      <c r="I1318">
        <v>0.90046564352041603</v>
      </c>
      <c r="J1318">
        <v>0.59100575110239095</v>
      </c>
      <c r="K1318">
        <v>0.30566196414271601</v>
      </c>
      <c r="L1318">
        <v>2498.44617330642</v>
      </c>
      <c r="M1318">
        <v>38.9605024186828</v>
      </c>
      <c r="N1318">
        <v>64.844578286047195</v>
      </c>
      <c r="O1318">
        <v>63.959425377193902</v>
      </c>
      <c r="P1318">
        <v>-0.12563833802535701</v>
      </c>
      <c r="Q1318">
        <v>0.17498635186844499</v>
      </c>
      <c r="R1318">
        <v>0.865804877250405</v>
      </c>
      <c r="S1318" t="s">
        <v>6901</v>
      </c>
      <c r="T1318" t="s">
        <v>11164</v>
      </c>
      <c r="U1318" t="s">
        <v>11164</v>
      </c>
      <c r="V1318" t="s">
        <v>11164</v>
      </c>
      <c r="W1318" t="s">
        <v>12453</v>
      </c>
      <c r="X1318">
        <v>2</v>
      </c>
      <c r="Y1318" t="s">
        <v>17984</v>
      </c>
      <c r="Z1318" t="s">
        <v>23468</v>
      </c>
      <c r="AA1318">
        <v>0.91582585693456786</v>
      </c>
      <c r="AB1318" t="str">
        <f>HYPERLINK("Melting_Curves/meltCurve_O15446_CD3EAP.pdf", "Melting_Curves/meltCurve_O15446_CD3EAP.pdf")</f>
        <v>Melting_Curves/meltCurve_O15446_CD3EAP.pdf</v>
      </c>
    </row>
    <row r="1319" spans="1:28" x14ac:dyDescent="0.25">
      <c r="A1319" t="s">
        <v>1323</v>
      </c>
      <c r="B1319">
        <v>0.99796759195183404</v>
      </c>
      <c r="C1319">
        <v>0.96628037243590603</v>
      </c>
      <c r="D1319">
        <v>0.95081248003851504</v>
      </c>
      <c r="E1319">
        <v>0.89073217580659303</v>
      </c>
      <c r="F1319">
        <v>0.79910841805479005</v>
      </c>
      <c r="G1319">
        <v>0.81305774468824699</v>
      </c>
      <c r="H1319">
        <v>0.57183055314999498</v>
      </c>
      <c r="I1319">
        <v>0.50099539006787797</v>
      </c>
      <c r="J1319">
        <v>0.400341798762753</v>
      </c>
      <c r="K1319">
        <v>0.225469857035625</v>
      </c>
      <c r="L1319">
        <v>521.29400677227898</v>
      </c>
      <c r="M1319">
        <v>8.6684403934061791</v>
      </c>
      <c r="N1319">
        <v>60.1369893188959</v>
      </c>
      <c r="O1319">
        <v>57.1936107970945</v>
      </c>
      <c r="P1319">
        <v>-3.79224971449411E-2</v>
      </c>
      <c r="Q1319">
        <v>0</v>
      </c>
      <c r="R1319">
        <v>0.97285829556736003</v>
      </c>
      <c r="S1319" t="s">
        <v>6902</v>
      </c>
      <c r="T1319" t="s">
        <v>11164</v>
      </c>
      <c r="U1319" t="s">
        <v>11164</v>
      </c>
      <c r="V1319" t="s">
        <v>11164</v>
      </c>
      <c r="W1319" t="s">
        <v>12454</v>
      </c>
      <c r="X1319">
        <v>7</v>
      </c>
      <c r="Y1319" t="s">
        <v>17985</v>
      </c>
      <c r="Z1319" t="s">
        <v>23469</v>
      </c>
      <c r="AA1319">
        <v>0.73263199178758509</v>
      </c>
      <c r="AB1319" t="str">
        <f>HYPERLINK("Melting_Curves/meltCurve_O15460_2_P4HA2.pdf", "Melting_Curves/meltCurve_O15460_2_P4HA2.pdf")</f>
        <v>Melting_Curves/meltCurve_O15460_2_P4HA2.pdf</v>
      </c>
    </row>
    <row r="1320" spans="1:28" x14ac:dyDescent="0.25">
      <c r="A1320" t="s">
        <v>1324</v>
      </c>
      <c r="B1320">
        <v>0.99796759195183404</v>
      </c>
      <c r="C1320">
        <v>0.95784845307462096</v>
      </c>
      <c r="D1320">
        <v>1.0463805217882001</v>
      </c>
      <c r="E1320">
        <v>0.86346891312049201</v>
      </c>
      <c r="F1320">
        <v>0.79403495023257598</v>
      </c>
      <c r="G1320">
        <v>0.675723892298845</v>
      </c>
      <c r="H1320">
        <v>0.52770404952114702</v>
      </c>
      <c r="I1320">
        <v>0.28282782361270198</v>
      </c>
      <c r="J1320">
        <v>0.29144147181792102</v>
      </c>
      <c r="K1320">
        <v>0.22354697200458601</v>
      </c>
      <c r="L1320">
        <v>618.99602745441598</v>
      </c>
      <c r="M1320">
        <v>10.9980480847119</v>
      </c>
      <c r="N1320">
        <v>57.165748009029798</v>
      </c>
      <c r="O1320">
        <v>54.517594942131701</v>
      </c>
      <c r="P1320">
        <v>-4.6507947529354603E-2</v>
      </c>
      <c r="Q1320">
        <v>7.8146943027580504E-2</v>
      </c>
      <c r="R1320">
        <v>0.98077110084618602</v>
      </c>
      <c r="S1320" t="s">
        <v>6903</v>
      </c>
      <c r="T1320" t="s">
        <v>11164</v>
      </c>
      <c r="U1320" t="s">
        <v>11164</v>
      </c>
      <c r="V1320" t="s">
        <v>11164</v>
      </c>
      <c r="W1320" t="s">
        <v>12455</v>
      </c>
      <c r="X1320">
        <v>3</v>
      </c>
      <c r="Y1320" t="s">
        <v>17986</v>
      </c>
      <c r="Z1320" t="s">
        <v>23470</v>
      </c>
      <c r="AA1320">
        <v>0.67683302792176525</v>
      </c>
      <c r="AB1320" t="str">
        <f>HYPERLINK("Melting_Curves/meltCurve_O15511_ARPC5.pdf", "Melting_Curves/meltCurve_O15511_ARPC5.pdf")</f>
        <v>Melting_Curves/meltCurve_O15511_ARPC5.pdf</v>
      </c>
    </row>
    <row r="1321" spans="1:28" x14ac:dyDescent="0.25">
      <c r="A1321" t="s">
        <v>1325</v>
      </c>
      <c r="B1321">
        <v>0.99796759195183404</v>
      </c>
      <c r="C1321">
        <v>1.04063757550541</v>
      </c>
      <c r="D1321">
        <v>1.0017963776904</v>
      </c>
      <c r="E1321">
        <v>0.97945426060000196</v>
      </c>
      <c r="F1321">
        <v>0.89932657031298802</v>
      </c>
      <c r="G1321">
        <v>0.71134236485810198</v>
      </c>
      <c r="H1321">
        <v>0.76442231182029596</v>
      </c>
      <c r="I1321">
        <v>0.69601126557427795</v>
      </c>
      <c r="J1321">
        <v>0.98211683910121905</v>
      </c>
      <c r="K1321">
        <v>0.97408507782114395</v>
      </c>
      <c r="L1321">
        <v>12534.364755958801</v>
      </c>
      <c r="M1321">
        <v>250</v>
      </c>
      <c r="O1321">
        <v>50.1342544923845</v>
      </c>
      <c r="P1321">
        <v>-0.21742175374609701</v>
      </c>
      <c r="Q1321">
        <v>0.82559557331914601</v>
      </c>
      <c r="R1321">
        <v>0.464894382057286</v>
      </c>
      <c r="S1321" t="s">
        <v>6904</v>
      </c>
      <c r="T1321" t="s">
        <v>11164</v>
      </c>
      <c r="U1321" t="s">
        <v>11164</v>
      </c>
      <c r="V1321" t="s">
        <v>11164</v>
      </c>
      <c r="W1321" t="s">
        <v>12456</v>
      </c>
      <c r="X1321">
        <v>10</v>
      </c>
      <c r="Y1321" t="s">
        <v>17987</v>
      </c>
      <c r="Z1321" t="s">
        <v>23471</v>
      </c>
      <c r="AA1321">
        <v>0.90198528621476337</v>
      </c>
      <c r="AB1321" t="str">
        <f>HYPERLINK("Melting_Curves/meltCurve_O15541_RNF113A.pdf", "Melting_Curves/meltCurve_O15541_RNF113A.pdf")</f>
        <v>Melting_Curves/meltCurve_O15541_RNF113A.pdf</v>
      </c>
    </row>
    <row r="1322" spans="1:28" x14ac:dyDescent="0.25">
      <c r="A1322" t="s">
        <v>1326</v>
      </c>
      <c r="B1322">
        <v>0.99796759195183404</v>
      </c>
      <c r="C1322">
        <v>1.02526455022665</v>
      </c>
      <c r="D1322">
        <v>0.994478000023025</v>
      </c>
      <c r="E1322">
        <v>0.96112492827021301</v>
      </c>
      <c r="F1322">
        <v>0.92465268766554598</v>
      </c>
      <c r="G1322">
        <v>0.98243317361806104</v>
      </c>
      <c r="H1322">
        <v>0.76311805967636703</v>
      </c>
      <c r="I1322">
        <v>0.33685161780923201</v>
      </c>
      <c r="J1322">
        <v>0.142422454326813</v>
      </c>
      <c r="K1322">
        <v>0.112525582947664</v>
      </c>
      <c r="L1322">
        <v>2010.42972806135</v>
      </c>
      <c r="M1322">
        <v>33.964301759662199</v>
      </c>
      <c r="N1322">
        <v>59.535900150261298</v>
      </c>
      <c r="O1322">
        <v>58.988364431689803</v>
      </c>
      <c r="P1322">
        <v>-0.13113933925194801</v>
      </c>
      <c r="Q1322">
        <v>8.89652956791155E-2</v>
      </c>
      <c r="R1322">
        <v>0.99380695895511195</v>
      </c>
      <c r="S1322" t="s">
        <v>6905</v>
      </c>
      <c r="T1322" t="s">
        <v>11164</v>
      </c>
      <c r="U1322" t="s">
        <v>11164</v>
      </c>
      <c r="V1322" t="s">
        <v>11164</v>
      </c>
      <c r="W1322" t="s">
        <v>12457</v>
      </c>
      <c r="X1322">
        <v>42</v>
      </c>
      <c r="Y1322" t="s">
        <v>17988</v>
      </c>
      <c r="Z1322" t="s">
        <v>23472</v>
      </c>
      <c r="AA1322">
        <v>0.76671174813634724</v>
      </c>
      <c r="AB1322" t="str">
        <f>HYPERLINK("Melting_Curves/meltCurve_O43143_DHX15.pdf", "Melting_Curves/meltCurve_O43143_DHX15.pdf")</f>
        <v>Melting_Curves/meltCurve_O43143_DHX15.pdf</v>
      </c>
    </row>
    <row r="1323" spans="1:28" x14ac:dyDescent="0.25">
      <c r="A1323" t="s">
        <v>1327</v>
      </c>
      <c r="B1323">
        <v>0.99796759195183404</v>
      </c>
      <c r="C1323">
        <v>0.96661276646427996</v>
      </c>
      <c r="D1323">
        <v>0.95861277785523102</v>
      </c>
      <c r="E1323">
        <v>0.98674515117508399</v>
      </c>
      <c r="F1323">
        <v>0.81413078397494498</v>
      </c>
      <c r="G1323">
        <v>0.76216170528481497</v>
      </c>
      <c r="H1323">
        <v>0.64578719555143305</v>
      </c>
      <c r="I1323">
        <v>0.397481309919268</v>
      </c>
      <c r="J1323">
        <v>0.20790181966811699</v>
      </c>
      <c r="K1323">
        <v>0.135422378712755</v>
      </c>
      <c r="L1323">
        <v>771.16300075211495</v>
      </c>
      <c r="M1323">
        <v>13.128117025206601</v>
      </c>
      <c r="N1323">
        <v>58.741325958321099</v>
      </c>
      <c r="O1323">
        <v>57.428492666577498</v>
      </c>
      <c r="P1323">
        <v>-5.7159557719596098E-2</v>
      </c>
      <c r="Q1323">
        <v>0</v>
      </c>
      <c r="R1323">
        <v>0.98136808059111202</v>
      </c>
      <c r="S1323" t="s">
        <v>6906</v>
      </c>
      <c r="T1323" t="s">
        <v>11164</v>
      </c>
      <c r="U1323" t="s">
        <v>11164</v>
      </c>
      <c r="V1323" t="s">
        <v>11164</v>
      </c>
      <c r="W1323" t="s">
        <v>12458</v>
      </c>
      <c r="X1323">
        <v>14</v>
      </c>
      <c r="Y1323" t="s">
        <v>17989</v>
      </c>
      <c r="Z1323" t="s">
        <v>23473</v>
      </c>
      <c r="AA1323">
        <v>0.72156568433844559</v>
      </c>
      <c r="AB1323" t="str">
        <f>HYPERLINK("Melting_Curves/meltCurve_O43148_RNMT.pdf", "Melting_Curves/meltCurve_O43148_RNMT.pdf")</f>
        <v>Melting_Curves/meltCurve_O43148_RNMT.pdf</v>
      </c>
    </row>
    <row r="1324" spans="1:28" x14ac:dyDescent="0.25">
      <c r="A1324" t="s">
        <v>1328</v>
      </c>
      <c r="B1324">
        <v>0.99796759195183404</v>
      </c>
      <c r="C1324">
        <v>1.03471194031423</v>
      </c>
      <c r="D1324">
        <v>0.97759527434788995</v>
      </c>
      <c r="E1324">
        <v>0.84296827794058105</v>
      </c>
      <c r="F1324">
        <v>0.85322704991382603</v>
      </c>
      <c r="G1324">
        <v>0.45983302426693601</v>
      </c>
      <c r="H1324">
        <v>0.14417456304513199</v>
      </c>
      <c r="I1324">
        <v>0.15295778742494601</v>
      </c>
      <c r="J1324">
        <v>0.11733252432661399</v>
      </c>
      <c r="K1324">
        <v>7.3339866665628806E-2</v>
      </c>
      <c r="L1324">
        <v>1354.9397069522499</v>
      </c>
      <c r="M1324">
        <v>25.601069455827801</v>
      </c>
      <c r="N1324">
        <v>53.323539056903797</v>
      </c>
      <c r="O1324">
        <v>52.605387829247597</v>
      </c>
      <c r="P1324">
        <v>-0.111075805713758</v>
      </c>
      <c r="Q1324">
        <v>8.7051894122575302E-2</v>
      </c>
      <c r="R1324">
        <v>0.98407738456552196</v>
      </c>
      <c r="S1324" t="s">
        <v>6907</v>
      </c>
      <c r="T1324" t="s">
        <v>11164</v>
      </c>
      <c r="U1324" t="s">
        <v>11164</v>
      </c>
      <c r="V1324" t="s">
        <v>11164</v>
      </c>
      <c r="W1324" t="s">
        <v>12459</v>
      </c>
      <c r="X1324">
        <v>1</v>
      </c>
      <c r="Y1324" t="s">
        <v>17990</v>
      </c>
      <c r="Z1324" t="s">
        <v>23474</v>
      </c>
      <c r="AA1324">
        <v>0.57942411793666371</v>
      </c>
      <c r="AB1324" t="str">
        <f>HYPERLINK("Melting_Curves/meltCurve_O43150_2_ASAP2.pdf", "Melting_Curves/meltCurve_O43150_2_ASAP2.pdf")</f>
        <v>Melting_Curves/meltCurve_O43150_2_ASAP2.pdf</v>
      </c>
    </row>
    <row r="1325" spans="1:28" x14ac:dyDescent="0.25">
      <c r="A1325" t="s">
        <v>1329</v>
      </c>
      <c r="B1325">
        <v>0.99796759195183404</v>
      </c>
      <c r="C1325">
        <v>0.91985697809991296</v>
      </c>
      <c r="D1325">
        <v>0.98743784868728701</v>
      </c>
      <c r="E1325">
        <v>0.89820352485902799</v>
      </c>
      <c r="F1325">
        <v>0.90338589086977295</v>
      </c>
      <c r="G1325">
        <v>0.65148014963351297</v>
      </c>
      <c r="H1325">
        <v>0.56128688365783397</v>
      </c>
      <c r="I1325">
        <v>0.44208883248948999</v>
      </c>
      <c r="J1325">
        <v>0.44888935116101197</v>
      </c>
      <c r="K1325">
        <v>0.28806504085667001</v>
      </c>
      <c r="L1325">
        <v>594.91831155663897</v>
      </c>
      <c r="M1325">
        <v>10.543570840442699</v>
      </c>
      <c r="N1325">
        <v>59.396535617129402</v>
      </c>
      <c r="O1325">
        <v>54.508406210398199</v>
      </c>
      <c r="P1325">
        <v>-3.8461035209979302E-2</v>
      </c>
      <c r="Q1325">
        <v>0.20496872569847399</v>
      </c>
      <c r="R1325">
        <v>0.96712368426400697</v>
      </c>
      <c r="S1325" t="s">
        <v>6908</v>
      </c>
      <c r="T1325" t="s">
        <v>11164</v>
      </c>
      <c r="U1325" t="s">
        <v>11164</v>
      </c>
      <c r="V1325" t="s">
        <v>11164</v>
      </c>
      <c r="W1325" t="s">
        <v>12460</v>
      </c>
      <c r="X1325">
        <v>1</v>
      </c>
      <c r="Y1325" t="s">
        <v>17991</v>
      </c>
      <c r="Z1325" t="s">
        <v>23475</v>
      </c>
      <c r="AA1325">
        <v>0.72354024344064916</v>
      </c>
      <c r="AB1325" t="str">
        <f>HYPERLINK("Melting_Curves/meltCurve_O43155_FLRT2.pdf", "Melting_Curves/meltCurve_O43155_FLRT2.pdf")</f>
        <v>Melting_Curves/meltCurve_O43155_FLRT2.pdf</v>
      </c>
    </row>
    <row r="1326" spans="1:28" x14ac:dyDescent="0.25">
      <c r="A1326" t="s">
        <v>1330</v>
      </c>
      <c r="B1326">
        <v>0.99796759195183404</v>
      </c>
      <c r="C1326">
        <v>0.86289111431607002</v>
      </c>
      <c r="D1326">
        <v>0.73028143343398599</v>
      </c>
      <c r="E1326">
        <v>0.692782637354589</v>
      </c>
      <c r="F1326">
        <v>0.80626216100493697</v>
      </c>
      <c r="G1326">
        <v>0.61081444471526503</v>
      </c>
      <c r="H1326">
        <v>0.62963483395751596</v>
      </c>
      <c r="I1326">
        <v>0.66049580615625603</v>
      </c>
      <c r="J1326">
        <v>0.80261390810101196</v>
      </c>
      <c r="K1326">
        <v>0.59250987346288697</v>
      </c>
      <c r="L1326">
        <v>1191.3735451934199</v>
      </c>
      <c r="M1326">
        <v>29.5052712581839</v>
      </c>
      <c r="O1326">
        <v>40.194222812072503</v>
      </c>
      <c r="P1326">
        <v>-5.8014725083815701E-2</v>
      </c>
      <c r="Q1326">
        <v>0.68387482319780601</v>
      </c>
      <c r="R1326">
        <v>0.68885120576263503</v>
      </c>
      <c r="S1326" t="s">
        <v>6909</v>
      </c>
      <c r="T1326" t="s">
        <v>11164</v>
      </c>
      <c r="U1326" t="s">
        <v>11164</v>
      </c>
      <c r="V1326" t="s">
        <v>11164</v>
      </c>
      <c r="W1326" t="s">
        <v>12461</v>
      </c>
      <c r="X1326">
        <v>3</v>
      </c>
      <c r="Y1326" t="s">
        <v>17992</v>
      </c>
      <c r="Z1326" t="s">
        <v>23476</v>
      </c>
      <c r="AA1326">
        <v>0.72185438180218175</v>
      </c>
      <c r="AB1326" t="str">
        <f>HYPERLINK("Melting_Curves/meltCurve_O43164_2_PJA2.pdf", "Melting_Curves/meltCurve_O43164_2_PJA2.pdf")</f>
        <v>Melting_Curves/meltCurve_O43164_2_PJA2.pdf</v>
      </c>
    </row>
    <row r="1327" spans="1:28" x14ac:dyDescent="0.25">
      <c r="A1327" t="s">
        <v>1331</v>
      </c>
      <c r="B1327">
        <v>0.99796759195183404</v>
      </c>
      <c r="C1327">
        <v>0.98314262554152299</v>
      </c>
      <c r="D1327">
        <v>0.95709438178836503</v>
      </c>
      <c r="E1327">
        <v>0.94276785231255</v>
      </c>
      <c r="F1327">
        <v>0.91065889905559005</v>
      </c>
      <c r="G1327">
        <v>0.94105420691013297</v>
      </c>
      <c r="H1327">
        <v>0.41288806869436401</v>
      </c>
      <c r="I1327">
        <v>0.22386183074098001</v>
      </c>
      <c r="J1327">
        <v>0.178602459290953</v>
      </c>
      <c r="K1327">
        <v>0.14641870074110699</v>
      </c>
      <c r="L1327">
        <v>2738.6265169375602</v>
      </c>
      <c r="M1327">
        <v>48.563945664849797</v>
      </c>
      <c r="N1327">
        <v>56.891367415667403</v>
      </c>
      <c r="O1327">
        <v>56.296803194267397</v>
      </c>
      <c r="P1327">
        <v>-0.17824727035549601</v>
      </c>
      <c r="Q1327">
        <v>0.17348217558422599</v>
      </c>
      <c r="R1327">
        <v>0.98829959143589496</v>
      </c>
      <c r="S1327" t="s">
        <v>6910</v>
      </c>
      <c r="T1327" t="s">
        <v>11164</v>
      </c>
      <c r="U1327" t="s">
        <v>11164</v>
      </c>
      <c r="V1327" t="s">
        <v>11164</v>
      </c>
      <c r="W1327" t="s">
        <v>12462</v>
      </c>
      <c r="X1327">
        <v>10</v>
      </c>
      <c r="Y1327" t="s">
        <v>17993</v>
      </c>
      <c r="Z1327" t="s">
        <v>23477</v>
      </c>
      <c r="AA1327">
        <v>0.70990642496181489</v>
      </c>
      <c r="AB1327" t="str">
        <f>HYPERLINK("Melting_Curves/meltCurve_O43172_2_PRPF4.pdf", "Melting_Curves/meltCurve_O43172_2_PRPF4.pdf")</f>
        <v>Melting_Curves/meltCurve_O43172_2_PRPF4.pdf</v>
      </c>
    </row>
    <row r="1328" spans="1:28" x14ac:dyDescent="0.25">
      <c r="A1328" t="s">
        <v>1332</v>
      </c>
      <c r="B1328">
        <v>0.99796759195183404</v>
      </c>
      <c r="C1328">
        <v>1.07461947189997</v>
      </c>
      <c r="D1328">
        <v>1.0564896829572801</v>
      </c>
      <c r="E1328">
        <v>1.01704430810035</v>
      </c>
      <c r="F1328">
        <v>0.93557939384893796</v>
      </c>
      <c r="G1328">
        <v>0.93020433813804504</v>
      </c>
      <c r="H1328">
        <v>0.75305448876408099</v>
      </c>
      <c r="I1328">
        <v>0.47400699856684603</v>
      </c>
      <c r="J1328">
        <v>0.11997003751464901</v>
      </c>
      <c r="K1328">
        <v>8.4788541776854506E-2</v>
      </c>
      <c r="L1328">
        <v>1486.2941909266401</v>
      </c>
      <c r="M1328">
        <v>24.685933336068199</v>
      </c>
      <c r="N1328">
        <v>60.208143210862502</v>
      </c>
      <c r="O1328">
        <v>59.8171996331888</v>
      </c>
      <c r="P1328">
        <v>-0.103173824002692</v>
      </c>
      <c r="Q1328">
        <v>0</v>
      </c>
      <c r="R1328">
        <v>0.98487043420512199</v>
      </c>
      <c r="S1328" t="s">
        <v>6911</v>
      </c>
      <c r="T1328" t="s">
        <v>11164</v>
      </c>
      <c r="U1328" t="s">
        <v>11164</v>
      </c>
      <c r="V1328" t="s">
        <v>11164</v>
      </c>
      <c r="W1328" t="s">
        <v>12463</v>
      </c>
      <c r="X1328">
        <v>33</v>
      </c>
      <c r="Y1328" t="s">
        <v>17994</v>
      </c>
      <c r="Z1328" t="s">
        <v>23478</v>
      </c>
      <c r="AA1328">
        <v>0.77592350553196898</v>
      </c>
      <c r="AB1328" t="str">
        <f>HYPERLINK("Melting_Curves/meltCurve_O43175_PHGDH.pdf", "Melting_Curves/meltCurve_O43175_PHGDH.pdf")</f>
        <v>Melting_Curves/meltCurve_O43175_PHGDH.pdf</v>
      </c>
    </row>
    <row r="1329" spans="1:28" x14ac:dyDescent="0.25">
      <c r="A1329" t="s">
        <v>1333</v>
      </c>
      <c r="B1329">
        <v>0.99796759195183404</v>
      </c>
      <c r="C1329">
        <v>1.0111650672324899</v>
      </c>
      <c r="D1329">
        <v>1.05455369772704</v>
      </c>
      <c r="E1329">
        <v>1.3964937076511601</v>
      </c>
      <c r="F1329">
        <v>1.3558571844904399</v>
      </c>
      <c r="G1329">
        <v>1.2957342053316301</v>
      </c>
      <c r="H1329">
        <v>0.37910733995961698</v>
      </c>
      <c r="I1329">
        <v>0.299742085999815</v>
      </c>
      <c r="J1329">
        <v>0.16109642155033699</v>
      </c>
      <c r="K1329">
        <v>0.151642665147565</v>
      </c>
      <c r="L1329">
        <v>14277.293061140799</v>
      </c>
      <c r="M1329">
        <v>250</v>
      </c>
      <c r="N1329">
        <v>57.2293111861404</v>
      </c>
      <c r="O1329">
        <v>57.105517648560898</v>
      </c>
      <c r="P1329">
        <v>-0.87101887571067105</v>
      </c>
      <c r="Q1329">
        <v>0.204160260637195</v>
      </c>
      <c r="R1329">
        <v>0.83225991057125703</v>
      </c>
      <c r="S1329" t="s">
        <v>6912</v>
      </c>
      <c r="T1329" t="s">
        <v>11164</v>
      </c>
      <c r="U1329" t="s">
        <v>11164</v>
      </c>
      <c r="V1329" t="s">
        <v>11164</v>
      </c>
      <c r="W1329" t="s">
        <v>12464</v>
      </c>
      <c r="X1329">
        <v>15</v>
      </c>
      <c r="Y1329" t="s">
        <v>17995</v>
      </c>
      <c r="Z1329" t="s">
        <v>23479</v>
      </c>
      <c r="AA1329">
        <v>0.73769597083606875</v>
      </c>
      <c r="AB1329" t="str">
        <f>HYPERLINK("Melting_Curves/meltCurve_O43242_PSMD3.pdf", "Melting_Curves/meltCurve_O43242_PSMD3.pdf")</f>
        <v>Melting_Curves/meltCurve_O43242_PSMD3.pdf</v>
      </c>
    </row>
    <row r="1330" spans="1:28" x14ac:dyDescent="0.25">
      <c r="A1330" t="s">
        <v>1334</v>
      </c>
      <c r="B1330">
        <v>0.99796759195183404</v>
      </c>
      <c r="C1330">
        <v>0.97706559584595498</v>
      </c>
      <c r="D1330">
        <v>0.853485655845164</v>
      </c>
      <c r="E1330">
        <v>0.80441604246171705</v>
      </c>
      <c r="F1330">
        <v>0.63699250321384004</v>
      </c>
      <c r="G1330">
        <v>0.58301757425962997</v>
      </c>
      <c r="H1330">
        <v>0.59307505405959404</v>
      </c>
      <c r="I1330">
        <v>0.44667505565287402</v>
      </c>
      <c r="J1330">
        <v>0.319931693564797</v>
      </c>
      <c r="K1330">
        <v>0.137711385441566</v>
      </c>
      <c r="L1330">
        <v>380.15512593098299</v>
      </c>
      <c r="M1330">
        <v>6.6991192190437099</v>
      </c>
      <c r="N1330">
        <v>56.747031395890701</v>
      </c>
      <c r="O1330">
        <v>52.331716797837402</v>
      </c>
      <c r="P1330">
        <v>-3.2072816719322397E-2</v>
      </c>
      <c r="Q1330">
        <v>0</v>
      </c>
      <c r="R1330">
        <v>0.943046816427353</v>
      </c>
      <c r="S1330" t="s">
        <v>6913</v>
      </c>
      <c r="T1330" t="s">
        <v>11164</v>
      </c>
      <c r="U1330" t="s">
        <v>11164</v>
      </c>
      <c r="V1330" t="s">
        <v>11164</v>
      </c>
      <c r="W1330" t="s">
        <v>12465</v>
      </c>
      <c r="X1330">
        <v>2</v>
      </c>
      <c r="Y1330" t="s">
        <v>17996</v>
      </c>
      <c r="Z1330" t="s">
        <v>23480</v>
      </c>
      <c r="AA1330">
        <v>0.63974155691626167</v>
      </c>
      <c r="AB1330" t="str">
        <f>HYPERLINK("Melting_Curves/meltCurve_O43251_6_RBFOX2.pdf", "Melting_Curves/meltCurve_O43251_6_RBFOX2.pdf")</f>
        <v>Melting_Curves/meltCurve_O43251_6_RBFOX2.pdf</v>
      </c>
    </row>
    <row r="1331" spans="1:28" x14ac:dyDescent="0.25">
      <c r="A1331" t="s">
        <v>1335</v>
      </c>
      <c r="B1331">
        <v>0.99796759195183404</v>
      </c>
      <c r="C1331">
        <v>1.04893923831613</v>
      </c>
      <c r="D1331">
        <v>1.0482660498404399</v>
      </c>
      <c r="E1331">
        <v>1.03148027288868</v>
      </c>
      <c r="F1331">
        <v>0.87741993013518804</v>
      </c>
      <c r="G1331">
        <v>0.88402538592320501</v>
      </c>
      <c r="H1331">
        <v>0.52690717299011902</v>
      </c>
      <c r="I1331">
        <v>0.17533871977159901</v>
      </c>
      <c r="J1331">
        <v>0.109023069488902</v>
      </c>
      <c r="K1331">
        <v>8.7902362722286603E-2</v>
      </c>
      <c r="L1331">
        <v>1631.3162651114701</v>
      </c>
      <c r="M1331">
        <v>28.4897606471154</v>
      </c>
      <c r="N1331">
        <v>57.526045826754803</v>
      </c>
      <c r="O1331">
        <v>56.979851257366299</v>
      </c>
      <c r="P1331">
        <v>-0.117278015553465</v>
      </c>
      <c r="Q1331">
        <v>6.1777942484414497E-2</v>
      </c>
      <c r="R1331">
        <v>0.98814450032001699</v>
      </c>
      <c r="S1331" t="s">
        <v>6914</v>
      </c>
      <c r="T1331" t="s">
        <v>11164</v>
      </c>
      <c r="U1331" t="s">
        <v>11164</v>
      </c>
      <c r="V1331" t="s">
        <v>11164</v>
      </c>
      <c r="W1331" t="s">
        <v>12466</v>
      </c>
      <c r="X1331">
        <v>21</v>
      </c>
      <c r="Y1331" t="s">
        <v>17997</v>
      </c>
      <c r="Z1331" t="s">
        <v>23481</v>
      </c>
      <c r="AA1331">
        <v>0.7012836250043939</v>
      </c>
      <c r="AB1331" t="str">
        <f>HYPERLINK("Melting_Curves/meltCurve_O43252_PAPSS1.pdf", "Melting_Curves/meltCurve_O43252_PAPSS1.pdf")</f>
        <v>Melting_Curves/meltCurve_O43252_PAPSS1.pdf</v>
      </c>
    </row>
    <row r="1332" spans="1:28" x14ac:dyDescent="0.25">
      <c r="A1332" t="s">
        <v>1336</v>
      </c>
      <c r="B1332">
        <v>0.99796759195183404</v>
      </c>
      <c r="C1332">
        <v>1.00255230501254</v>
      </c>
      <c r="D1332">
        <v>0.945715188371547</v>
      </c>
      <c r="E1332">
        <v>0.90185590560584405</v>
      </c>
      <c r="F1332">
        <v>0.72202942958230198</v>
      </c>
      <c r="G1332">
        <v>0.37967553739681698</v>
      </c>
      <c r="H1332">
        <v>0.30511190079151801</v>
      </c>
      <c r="I1332">
        <v>0.190398674895387</v>
      </c>
      <c r="J1332">
        <v>0.25820970597219101</v>
      </c>
      <c r="K1332">
        <v>0.16437762713294199</v>
      </c>
      <c r="L1332">
        <v>1082.2738903286699</v>
      </c>
      <c r="M1332">
        <v>21.075250234908701</v>
      </c>
      <c r="N1332">
        <v>52.571689960769397</v>
      </c>
      <c r="O1332">
        <v>50.897194518066598</v>
      </c>
      <c r="P1332">
        <v>-8.3514712714397699E-2</v>
      </c>
      <c r="Q1332">
        <v>0.193261834628005</v>
      </c>
      <c r="R1332">
        <v>0.99117185506903105</v>
      </c>
      <c r="S1332" t="s">
        <v>6915</v>
      </c>
      <c r="T1332" t="s">
        <v>11164</v>
      </c>
      <c r="U1332" t="s">
        <v>11164</v>
      </c>
      <c r="V1332" t="s">
        <v>11164</v>
      </c>
      <c r="W1332" t="s">
        <v>12467</v>
      </c>
      <c r="X1332">
        <v>1</v>
      </c>
      <c r="Y1332" t="s">
        <v>17998</v>
      </c>
      <c r="Z1332" t="s">
        <v>23482</v>
      </c>
      <c r="AA1332">
        <v>0.58887374419903082</v>
      </c>
      <c r="AB1332" t="str">
        <f>HYPERLINK("Melting_Curves/meltCurve_O43257_ZNHIT1.pdf", "Melting_Curves/meltCurve_O43257_ZNHIT1.pdf")</f>
        <v>Melting_Curves/meltCurve_O43257_ZNHIT1.pdf</v>
      </c>
    </row>
    <row r="1333" spans="1:28" x14ac:dyDescent="0.25">
      <c r="A1333" t="s">
        <v>1337</v>
      </c>
      <c r="B1333">
        <v>0.99796759195183404</v>
      </c>
      <c r="C1333">
        <v>0.99319012463921996</v>
      </c>
      <c r="D1333">
        <v>0.98332839625803903</v>
      </c>
      <c r="E1333">
        <v>0.88033321817253796</v>
      </c>
      <c r="F1333">
        <v>0.55682037411904295</v>
      </c>
      <c r="G1333">
        <v>0.24584030612952801</v>
      </c>
      <c r="H1333">
        <v>9.8744208094388899E-2</v>
      </c>
      <c r="I1333">
        <v>6.7199330902488905E-2</v>
      </c>
      <c r="J1333">
        <v>4.0279168761152298E-2</v>
      </c>
      <c r="K1333">
        <v>2.0485846181993301E-2</v>
      </c>
      <c r="L1333">
        <v>1101.0729456367201</v>
      </c>
      <c r="M1333">
        <v>21.733159189407701</v>
      </c>
      <c r="N1333">
        <v>50.805468315541702</v>
      </c>
      <c r="O1333">
        <v>50.2401866087652</v>
      </c>
      <c r="P1333">
        <v>-0.104957966789729</v>
      </c>
      <c r="Q1333">
        <v>2.9504425787351098E-2</v>
      </c>
      <c r="R1333">
        <v>0.99970053409853199</v>
      </c>
      <c r="S1333" t="s">
        <v>6916</v>
      </c>
      <c r="T1333" t="s">
        <v>11164</v>
      </c>
      <c r="U1333" t="s">
        <v>11164</v>
      </c>
      <c r="V1333" t="s">
        <v>11164</v>
      </c>
      <c r="W1333" t="s">
        <v>12468</v>
      </c>
      <c r="X1333">
        <v>3</v>
      </c>
      <c r="Y1333" t="s">
        <v>17999</v>
      </c>
      <c r="Z1333" t="s">
        <v>23483</v>
      </c>
      <c r="AA1333">
        <v>0.48253927896300752</v>
      </c>
      <c r="AB1333" t="str">
        <f>HYPERLINK("Melting_Curves/meltCurve_O43264_ZW10.pdf", "Melting_Curves/meltCurve_O43264_ZW10.pdf")</f>
        <v>Melting_Curves/meltCurve_O43264_ZW10.pdf</v>
      </c>
    </row>
    <row r="1334" spans="1:28" x14ac:dyDescent="0.25">
      <c r="A1334" t="s">
        <v>1338</v>
      </c>
      <c r="B1334">
        <v>0.99796759195183404</v>
      </c>
      <c r="C1334">
        <v>0.91448159459357004</v>
      </c>
      <c r="D1334">
        <v>0.86776273428696005</v>
      </c>
      <c r="E1334">
        <v>0.69235629891763795</v>
      </c>
      <c r="F1334">
        <v>0.91472664289483896</v>
      </c>
      <c r="G1334">
        <v>0.71523067408942498</v>
      </c>
      <c r="H1334">
        <v>0.707343058438755</v>
      </c>
      <c r="I1334">
        <v>0.65376155777547196</v>
      </c>
      <c r="J1334">
        <v>0.381170967739767</v>
      </c>
      <c r="K1334">
        <v>0.213402237045796</v>
      </c>
      <c r="L1334">
        <v>404.94962578759799</v>
      </c>
      <c r="M1334">
        <v>6.5927773572649704</v>
      </c>
      <c r="N1334">
        <v>61.423221634289298</v>
      </c>
      <c r="O1334">
        <v>56.508565133559401</v>
      </c>
      <c r="P1334">
        <v>-2.9234457315568198E-2</v>
      </c>
      <c r="Q1334">
        <v>0</v>
      </c>
      <c r="R1334">
        <v>0.79306645455217495</v>
      </c>
      <c r="S1334" t="s">
        <v>6917</v>
      </c>
      <c r="T1334" t="s">
        <v>11164</v>
      </c>
      <c r="U1334" t="s">
        <v>11164</v>
      </c>
      <c r="V1334" t="s">
        <v>11164</v>
      </c>
      <c r="W1334" t="s">
        <v>12469</v>
      </c>
      <c r="X1334">
        <v>4</v>
      </c>
      <c r="Y1334" t="s">
        <v>18000</v>
      </c>
      <c r="Z1334" t="s">
        <v>23484</v>
      </c>
      <c r="AA1334">
        <v>0.73321608017501283</v>
      </c>
      <c r="AB1334" t="str">
        <f>HYPERLINK("Melting_Curves/meltCurve_O43290_SART1.pdf", "Melting_Curves/meltCurve_O43290_SART1.pdf")</f>
        <v>Melting_Curves/meltCurve_O43290_SART1.pdf</v>
      </c>
    </row>
    <row r="1335" spans="1:28" x14ac:dyDescent="0.25">
      <c r="A1335" t="s">
        <v>1339</v>
      </c>
      <c r="B1335">
        <v>0.99796759195183404</v>
      </c>
      <c r="C1335">
        <v>1.0199027214651799</v>
      </c>
      <c r="D1335">
        <v>1.07170234302815</v>
      </c>
      <c r="E1335">
        <v>0.82147957202447797</v>
      </c>
      <c r="F1335">
        <v>0.86087478365642001</v>
      </c>
      <c r="G1335">
        <v>1.04782533923904</v>
      </c>
      <c r="H1335">
        <v>1.5616489477037501</v>
      </c>
      <c r="I1335">
        <v>2.8459692769722</v>
      </c>
      <c r="J1335">
        <v>1.1855378759669699</v>
      </c>
      <c r="K1335">
        <v>0.41052426268757602</v>
      </c>
      <c r="L1335">
        <v>13570.861340015999</v>
      </c>
      <c r="M1335">
        <v>250</v>
      </c>
      <c r="O1335">
        <v>54.279971592227</v>
      </c>
      <c r="P1335">
        <v>0.57571879879843502</v>
      </c>
      <c r="Q1335">
        <v>1.5</v>
      </c>
      <c r="R1335">
        <v>0.17577269618695701</v>
      </c>
      <c r="S1335" t="s">
        <v>6918</v>
      </c>
      <c r="T1335" t="s">
        <v>11164</v>
      </c>
      <c r="U1335" t="s">
        <v>11164</v>
      </c>
      <c r="V1335" t="s">
        <v>11164</v>
      </c>
      <c r="W1335" t="s">
        <v>12470</v>
      </c>
      <c r="X1335">
        <v>1</v>
      </c>
      <c r="Y1335" t="s">
        <v>18001</v>
      </c>
      <c r="Z1335" t="s">
        <v>23485</v>
      </c>
      <c r="AA1335">
        <v>1.211894944031386</v>
      </c>
      <c r="AB1335" t="str">
        <f>HYPERLINK("Melting_Curves/meltCurve_O43299_2_AP5Z1.pdf", "Melting_Curves/meltCurve_O43299_2_AP5Z1.pdf")</f>
        <v>Melting_Curves/meltCurve_O43299_2_AP5Z1.pdf</v>
      </c>
    </row>
    <row r="1336" spans="1:28" x14ac:dyDescent="0.25">
      <c r="A1336" t="s">
        <v>1340</v>
      </c>
      <c r="B1336">
        <v>0.99796759195183404</v>
      </c>
      <c r="C1336">
        <v>0.767624882052379</v>
      </c>
      <c r="D1336">
        <v>0.86635997865454195</v>
      </c>
      <c r="E1336">
        <v>0.78843464850047795</v>
      </c>
      <c r="F1336">
        <v>0.75365753849747597</v>
      </c>
      <c r="G1336">
        <v>0.33624184439173099</v>
      </c>
      <c r="H1336">
        <v>0.34531142510187401</v>
      </c>
      <c r="I1336">
        <v>0.25411100137495501</v>
      </c>
      <c r="J1336">
        <v>0.166311520557614</v>
      </c>
      <c r="K1336">
        <v>0.120024714843672</v>
      </c>
      <c r="L1336">
        <v>458.26386426798001</v>
      </c>
      <c r="M1336">
        <v>8.6781025733688999</v>
      </c>
      <c r="N1336">
        <v>52.8069195265196</v>
      </c>
      <c r="O1336">
        <v>50.227573909893501</v>
      </c>
      <c r="P1336">
        <v>-4.3229912667065898E-2</v>
      </c>
      <c r="Q1336">
        <v>0</v>
      </c>
      <c r="R1336">
        <v>0.92780005714826397</v>
      </c>
      <c r="S1336" t="s">
        <v>6919</v>
      </c>
      <c r="T1336" t="s">
        <v>11164</v>
      </c>
      <c r="U1336" t="s">
        <v>11164</v>
      </c>
      <c r="V1336" t="s">
        <v>11164</v>
      </c>
      <c r="W1336" t="s">
        <v>12471</v>
      </c>
      <c r="X1336">
        <v>4</v>
      </c>
      <c r="Y1336" t="s">
        <v>18002</v>
      </c>
      <c r="Z1336" t="s">
        <v>23486</v>
      </c>
      <c r="AA1336">
        <v>0.55038016380338495</v>
      </c>
      <c r="AB1336" t="str">
        <f>HYPERLINK("Melting_Curves/meltCurve_O43301_HSPA12A.pdf", "Melting_Curves/meltCurve_O43301_HSPA12A.pdf")</f>
        <v>Melting_Curves/meltCurve_O43301_HSPA12A.pdf</v>
      </c>
    </row>
    <row r="1337" spans="1:28" x14ac:dyDescent="0.25">
      <c r="A1337" t="s">
        <v>1341</v>
      </c>
      <c r="B1337">
        <v>0.99796759195183404</v>
      </c>
      <c r="C1337">
        <v>1.3209694741620901</v>
      </c>
      <c r="D1337">
        <v>1.0733415967442801</v>
      </c>
      <c r="E1337">
        <v>0.99841488573904902</v>
      </c>
      <c r="F1337">
        <v>1.0422253188496799</v>
      </c>
      <c r="G1337">
        <v>0.44044272949569802</v>
      </c>
      <c r="H1337">
        <v>0.24522602035219401</v>
      </c>
      <c r="I1337">
        <v>0.32285951017113101</v>
      </c>
      <c r="J1337">
        <v>0.31894994069995902</v>
      </c>
      <c r="K1337">
        <v>0.105620693586038</v>
      </c>
      <c r="L1337">
        <v>13392.5308443718</v>
      </c>
      <c r="M1337">
        <v>250</v>
      </c>
      <c r="N1337">
        <v>53.717491159498103</v>
      </c>
      <c r="O1337">
        <v>53.566695239720403</v>
      </c>
      <c r="P1337">
        <v>-0.87721947423636204</v>
      </c>
      <c r="Q1337">
        <v>0.24816402905208701</v>
      </c>
      <c r="R1337">
        <v>0.91857892753302295</v>
      </c>
      <c r="S1337" t="s">
        <v>6920</v>
      </c>
      <c r="T1337" t="s">
        <v>11164</v>
      </c>
      <c r="U1337" t="s">
        <v>11164</v>
      </c>
      <c r="V1337" t="s">
        <v>11164</v>
      </c>
      <c r="W1337" t="s">
        <v>12472</v>
      </c>
      <c r="X1337">
        <v>4</v>
      </c>
      <c r="Y1337" t="s">
        <v>18003</v>
      </c>
      <c r="Z1337" t="s">
        <v>23487</v>
      </c>
      <c r="AA1337">
        <v>0.66350187265132599</v>
      </c>
      <c r="AB1337" t="str">
        <f>HYPERLINK("Melting_Curves/meltCurve_O43310_CTIF.pdf", "Melting_Curves/meltCurve_O43310_CTIF.pdf")</f>
        <v>Melting_Curves/meltCurve_O43310_CTIF.pdf</v>
      </c>
    </row>
    <row r="1338" spans="1:28" x14ac:dyDescent="0.25">
      <c r="A1338" t="s">
        <v>1342</v>
      </c>
      <c r="B1338">
        <v>0.99796759195183404</v>
      </c>
      <c r="C1338">
        <v>0.94691932516412103</v>
      </c>
      <c r="D1338">
        <v>0.906636943705872</v>
      </c>
      <c r="E1338">
        <v>0.94498857822716897</v>
      </c>
      <c r="F1338">
        <v>0.79147603075099004</v>
      </c>
      <c r="G1338">
        <v>0.63130060960362</v>
      </c>
      <c r="H1338">
        <v>0.35023346546444001</v>
      </c>
      <c r="I1338">
        <v>0.17945332910883999</v>
      </c>
      <c r="J1338">
        <v>0.13120692087954899</v>
      </c>
      <c r="K1338">
        <v>0.10056584048569001</v>
      </c>
      <c r="L1338">
        <v>800.54321360778295</v>
      </c>
      <c r="M1338">
        <v>14.535184976496099</v>
      </c>
      <c r="N1338">
        <v>55.185582207287801</v>
      </c>
      <c r="O1338">
        <v>54.065227340711402</v>
      </c>
      <c r="P1338">
        <v>-6.6264821878323596E-2</v>
      </c>
      <c r="Q1338">
        <v>1.4195335450917E-2</v>
      </c>
      <c r="R1338">
        <v>0.99058608493261402</v>
      </c>
      <c r="S1338" t="s">
        <v>6921</v>
      </c>
      <c r="T1338" t="s">
        <v>11164</v>
      </c>
      <c r="U1338" t="s">
        <v>11164</v>
      </c>
      <c r="V1338" t="s">
        <v>11164</v>
      </c>
      <c r="W1338" t="s">
        <v>12473</v>
      </c>
      <c r="X1338">
        <v>8</v>
      </c>
      <c r="Y1338" t="s">
        <v>18004</v>
      </c>
      <c r="Z1338" t="s">
        <v>23488</v>
      </c>
      <c r="AA1338">
        <v>0.62204059598507655</v>
      </c>
      <c r="AB1338" t="str">
        <f>HYPERLINK("Melting_Curves/meltCurve_O43314_2_PPIP5K2.pdf", "Melting_Curves/meltCurve_O43314_2_PPIP5K2.pdf")</f>
        <v>Melting_Curves/meltCurve_O43314_2_PPIP5K2.pdf</v>
      </c>
    </row>
    <row r="1339" spans="1:28" x14ac:dyDescent="0.25">
      <c r="A1339" t="s">
        <v>1343</v>
      </c>
      <c r="B1339">
        <v>0.99796759195183404</v>
      </c>
      <c r="C1339">
        <v>1.0668346136470901</v>
      </c>
      <c r="D1339">
        <v>1.05133025652136</v>
      </c>
      <c r="E1339">
        <v>1.0105868934825999</v>
      </c>
      <c r="F1339">
        <v>0.82548734711279603</v>
      </c>
      <c r="G1339">
        <v>0.38276950052655101</v>
      </c>
      <c r="H1339">
        <v>0.26724809461063198</v>
      </c>
      <c r="I1339">
        <v>0.19974902980349099</v>
      </c>
      <c r="J1339">
        <v>0.15336594473166501</v>
      </c>
      <c r="K1339">
        <v>0.10539385373924701</v>
      </c>
      <c r="L1339">
        <v>1604.64190769426</v>
      </c>
      <c r="M1339">
        <v>30.685992775129598</v>
      </c>
      <c r="N1339">
        <v>52.957852518112503</v>
      </c>
      <c r="O1339">
        <v>52.071759117532203</v>
      </c>
      <c r="P1339">
        <v>-0.12375545233676501</v>
      </c>
      <c r="Q1339">
        <v>0.15999138565557799</v>
      </c>
      <c r="R1339">
        <v>0.98969619204640602</v>
      </c>
      <c r="S1339" t="s">
        <v>6922</v>
      </c>
      <c r="T1339" t="s">
        <v>11164</v>
      </c>
      <c r="U1339" t="s">
        <v>11164</v>
      </c>
      <c r="V1339" t="s">
        <v>11164</v>
      </c>
      <c r="W1339" t="s">
        <v>12474</v>
      </c>
      <c r="X1339">
        <v>10</v>
      </c>
      <c r="Y1339" t="s">
        <v>18005</v>
      </c>
      <c r="Z1339" t="s">
        <v>23489</v>
      </c>
      <c r="AA1339">
        <v>0.59327240474962128</v>
      </c>
      <c r="AB1339" t="str">
        <f>HYPERLINK("Melting_Curves/meltCurve_O43318_2_MAP3K7.pdf", "Melting_Curves/meltCurve_O43318_2_MAP3K7.pdf")</f>
        <v>Melting_Curves/meltCurve_O43318_2_MAP3K7.pdf</v>
      </c>
    </row>
    <row r="1340" spans="1:28" x14ac:dyDescent="0.25">
      <c r="A1340" t="s">
        <v>1344</v>
      </c>
      <c r="B1340">
        <v>0.99796759195183404</v>
      </c>
      <c r="C1340">
        <v>1.1009071820440599</v>
      </c>
      <c r="D1340">
        <v>1.01061238568474</v>
      </c>
      <c r="E1340">
        <v>0.92502014854669401</v>
      </c>
      <c r="F1340">
        <v>0.863084909117524</v>
      </c>
      <c r="G1340">
        <v>0.79186409510304101</v>
      </c>
      <c r="H1340">
        <v>0.56295943162643802</v>
      </c>
      <c r="I1340">
        <v>0.46283704934444297</v>
      </c>
      <c r="J1340">
        <v>0.50684369167361998</v>
      </c>
      <c r="K1340">
        <v>0.32352088363499598</v>
      </c>
      <c r="L1340">
        <v>727.50380857009498</v>
      </c>
      <c r="M1340">
        <v>12.9371321056281</v>
      </c>
      <c r="N1340">
        <v>60.475064430732402</v>
      </c>
      <c r="O1340">
        <v>54.941024409192501</v>
      </c>
      <c r="P1340">
        <v>-4.1321349108927402E-2</v>
      </c>
      <c r="Q1340">
        <v>0.29819729369126602</v>
      </c>
      <c r="R1340">
        <v>0.95835552325345397</v>
      </c>
      <c r="S1340" t="s">
        <v>6923</v>
      </c>
      <c r="T1340" t="s">
        <v>11164</v>
      </c>
      <c r="U1340" t="s">
        <v>11164</v>
      </c>
      <c r="V1340" t="s">
        <v>11164</v>
      </c>
      <c r="W1340" t="s">
        <v>12475</v>
      </c>
      <c r="X1340">
        <v>11</v>
      </c>
      <c r="Y1340" t="s">
        <v>18006</v>
      </c>
      <c r="Z1340" t="s">
        <v>23490</v>
      </c>
      <c r="AA1340">
        <v>0.75495309592725945</v>
      </c>
      <c r="AB1340" t="str">
        <f>HYPERLINK("Melting_Curves/meltCurve_O43353_RIPK2.pdf", "Melting_Curves/meltCurve_O43353_RIPK2.pdf")</f>
        <v>Melting_Curves/meltCurve_O43353_RIPK2.pdf</v>
      </c>
    </row>
    <row r="1341" spans="1:28" x14ac:dyDescent="0.25">
      <c r="A1341" t="s">
        <v>1345</v>
      </c>
      <c r="B1341">
        <v>0.99796759195183404</v>
      </c>
      <c r="C1341">
        <v>0.96325260532552703</v>
      </c>
      <c r="D1341">
        <v>0.87241416367908597</v>
      </c>
      <c r="E1341">
        <v>0.73827277109148404</v>
      </c>
      <c r="F1341">
        <v>0.67727864015991401</v>
      </c>
      <c r="G1341">
        <v>0.43358100088183998</v>
      </c>
      <c r="H1341">
        <v>0.28978338751000798</v>
      </c>
      <c r="I1341">
        <v>0.14043453572904699</v>
      </c>
      <c r="J1341">
        <v>0.11367270395612</v>
      </c>
      <c r="K1341">
        <v>6.6901407798327497E-2</v>
      </c>
      <c r="L1341">
        <v>562.35018215353705</v>
      </c>
      <c r="M1341">
        <v>10.748155644412201</v>
      </c>
      <c r="N1341">
        <v>52.320621389370203</v>
      </c>
      <c r="O1341">
        <v>50.607066756689903</v>
      </c>
      <c r="P1341">
        <v>-5.3115705415443297E-2</v>
      </c>
      <c r="Q1341">
        <v>0</v>
      </c>
      <c r="R1341">
        <v>0.99117161372443796</v>
      </c>
      <c r="S1341" t="s">
        <v>6924</v>
      </c>
      <c r="T1341" t="s">
        <v>11164</v>
      </c>
      <c r="U1341" t="s">
        <v>11164</v>
      </c>
      <c r="V1341" t="s">
        <v>11164</v>
      </c>
      <c r="W1341" t="s">
        <v>12476</v>
      </c>
      <c r="X1341">
        <v>2</v>
      </c>
      <c r="Y1341" t="s">
        <v>18007</v>
      </c>
      <c r="Z1341" t="s">
        <v>23491</v>
      </c>
      <c r="AA1341">
        <v>0.53522678460125228</v>
      </c>
      <c r="AB1341" t="str">
        <f>HYPERLINK("Melting_Curves/meltCurve_O43379_WDR62.pdf", "Melting_Curves/meltCurve_O43379_WDR62.pdf")</f>
        <v>Melting_Curves/meltCurve_O43379_WDR62.pdf</v>
      </c>
    </row>
    <row r="1342" spans="1:28" x14ac:dyDescent="0.25">
      <c r="A1342" t="s">
        <v>1346</v>
      </c>
      <c r="B1342">
        <v>0.99796759195183404</v>
      </c>
      <c r="C1342">
        <v>1.1051226950858299</v>
      </c>
      <c r="D1342">
        <v>1.03137804983481</v>
      </c>
      <c r="E1342">
        <v>1.0567886613269699</v>
      </c>
      <c r="F1342">
        <v>1.02685557007463</v>
      </c>
      <c r="G1342">
        <v>0.78616689303346599</v>
      </c>
      <c r="H1342">
        <v>0.407499206609789</v>
      </c>
      <c r="I1342">
        <v>0.31622642598814199</v>
      </c>
      <c r="J1342">
        <v>0.215738649723067</v>
      </c>
      <c r="K1342">
        <v>0.176929466253576</v>
      </c>
      <c r="L1342">
        <v>1759.2969363524201</v>
      </c>
      <c r="M1342">
        <v>31.654036430625101</v>
      </c>
      <c r="N1342">
        <v>56.561097543691098</v>
      </c>
      <c r="O1342">
        <v>55.3585013333728</v>
      </c>
      <c r="P1342">
        <v>-0.112726697718265</v>
      </c>
      <c r="Q1342">
        <v>0.21143097011134099</v>
      </c>
      <c r="R1342">
        <v>0.982387955415158</v>
      </c>
      <c r="S1342" t="s">
        <v>6925</v>
      </c>
      <c r="T1342" t="s">
        <v>11164</v>
      </c>
      <c r="U1342" t="s">
        <v>11164</v>
      </c>
      <c r="V1342" t="s">
        <v>11164</v>
      </c>
      <c r="W1342" t="s">
        <v>12477</v>
      </c>
      <c r="X1342">
        <v>3</v>
      </c>
      <c r="Y1342" t="s">
        <v>18008</v>
      </c>
      <c r="Z1342" t="s">
        <v>23492</v>
      </c>
      <c r="AA1342">
        <v>0.70432480789898821</v>
      </c>
      <c r="AB1342" t="str">
        <f>HYPERLINK("Melting_Curves/meltCurve_O43390_HNRNPR.pdf", "Melting_Curves/meltCurve_O43390_HNRNPR.pdf")</f>
        <v>Melting_Curves/meltCurve_O43390_HNRNPR.pdf</v>
      </c>
    </row>
    <row r="1343" spans="1:28" x14ac:dyDescent="0.25">
      <c r="A1343" t="s">
        <v>1347</v>
      </c>
      <c r="B1343">
        <v>0.99796759195183404</v>
      </c>
      <c r="C1343">
        <v>1.02305606593179</v>
      </c>
      <c r="D1343">
        <v>1.0290280344160101</v>
      </c>
      <c r="E1343">
        <v>0.906242226407597</v>
      </c>
      <c r="F1343">
        <v>0.75807739369919902</v>
      </c>
      <c r="G1343">
        <v>0.41118086789705399</v>
      </c>
      <c r="H1343">
        <v>0.288325506872321</v>
      </c>
      <c r="I1343">
        <v>0.25680030914535901</v>
      </c>
      <c r="J1343">
        <v>0.180696004045066</v>
      </c>
      <c r="K1343">
        <v>0.14363931627926499</v>
      </c>
      <c r="L1343">
        <v>1086.5210002317001</v>
      </c>
      <c r="M1343">
        <v>20.908041207110301</v>
      </c>
      <c r="N1343">
        <v>53.041947648354601</v>
      </c>
      <c r="O1343">
        <v>51.498275095428099</v>
      </c>
      <c r="P1343">
        <v>-8.3968024642645703E-2</v>
      </c>
      <c r="Q1343">
        <v>0.172741184963597</v>
      </c>
      <c r="R1343">
        <v>0.99326428822346802</v>
      </c>
      <c r="S1343" t="s">
        <v>6926</v>
      </c>
      <c r="T1343" t="s">
        <v>11164</v>
      </c>
      <c r="U1343" t="s">
        <v>11164</v>
      </c>
      <c r="V1343" t="s">
        <v>11164</v>
      </c>
      <c r="W1343" t="s">
        <v>12478</v>
      </c>
      <c r="X1343">
        <v>5</v>
      </c>
      <c r="Y1343" t="s">
        <v>18009</v>
      </c>
      <c r="Z1343" t="s">
        <v>23493</v>
      </c>
      <c r="AA1343">
        <v>0.59540991835766777</v>
      </c>
      <c r="AB1343" t="str">
        <f>HYPERLINK("Melting_Curves/meltCurve_O43395_PRPF3.pdf", "Melting_Curves/meltCurve_O43395_PRPF3.pdf")</f>
        <v>Melting_Curves/meltCurve_O43395_PRPF3.pdf</v>
      </c>
    </row>
    <row r="1344" spans="1:28" x14ac:dyDescent="0.25">
      <c r="A1344" t="s">
        <v>1348</v>
      </c>
      <c r="B1344">
        <v>0.99796759195183404</v>
      </c>
      <c r="C1344">
        <v>1.0328176789102801</v>
      </c>
      <c r="D1344">
        <v>0.97003735549633197</v>
      </c>
      <c r="E1344">
        <v>0.86664577776935903</v>
      </c>
      <c r="F1344">
        <v>0.67220310667806005</v>
      </c>
      <c r="G1344">
        <v>0.30816966070694701</v>
      </c>
      <c r="H1344">
        <v>0.19877598336970301</v>
      </c>
      <c r="I1344">
        <v>0.134435817808914</v>
      </c>
      <c r="J1344">
        <v>0.118517476091631</v>
      </c>
      <c r="K1344">
        <v>8.8355599507263294E-2</v>
      </c>
      <c r="L1344">
        <v>1047.83939109677</v>
      </c>
      <c r="M1344">
        <v>20.462976292513801</v>
      </c>
      <c r="N1344">
        <v>51.740072847094702</v>
      </c>
      <c r="O1344">
        <v>50.725088669119998</v>
      </c>
      <c r="P1344">
        <v>-9.1263444612126501E-2</v>
      </c>
      <c r="Q1344">
        <v>9.5105507878162604E-2</v>
      </c>
      <c r="R1344">
        <v>0.99671143650671201</v>
      </c>
      <c r="S1344" t="s">
        <v>6927</v>
      </c>
      <c r="T1344" t="s">
        <v>11164</v>
      </c>
      <c r="U1344" t="s">
        <v>11164</v>
      </c>
      <c r="V1344" t="s">
        <v>11164</v>
      </c>
      <c r="W1344" t="s">
        <v>12479</v>
      </c>
      <c r="X1344">
        <v>14</v>
      </c>
      <c r="Y1344" t="s">
        <v>18010</v>
      </c>
      <c r="Z1344" t="s">
        <v>23494</v>
      </c>
      <c r="AA1344">
        <v>0.53500354988576182</v>
      </c>
      <c r="AB1344" t="str">
        <f>HYPERLINK("Melting_Curves/meltCurve_O43396_TXNL1.pdf", "Melting_Curves/meltCurve_O43396_TXNL1.pdf")</f>
        <v>Melting_Curves/meltCurve_O43396_TXNL1.pdf</v>
      </c>
    </row>
    <row r="1345" spans="1:28" x14ac:dyDescent="0.25">
      <c r="A1345" t="s">
        <v>1349</v>
      </c>
      <c r="B1345">
        <v>0.99796759195183404</v>
      </c>
      <c r="C1345">
        <v>1.0228920508184101</v>
      </c>
      <c r="D1345">
        <v>1.02295806787236</v>
      </c>
      <c r="E1345">
        <v>0.99877157559833496</v>
      </c>
      <c r="F1345">
        <v>0.88209160888302796</v>
      </c>
      <c r="G1345">
        <v>0.64821902306665702</v>
      </c>
      <c r="H1345">
        <v>0.77017091695171402</v>
      </c>
      <c r="I1345">
        <v>0.73633596082709096</v>
      </c>
      <c r="J1345">
        <v>1.0008984314915499</v>
      </c>
      <c r="K1345">
        <v>0.94860107529655402</v>
      </c>
      <c r="L1345">
        <v>12517.118930049301</v>
      </c>
      <c r="M1345">
        <v>250</v>
      </c>
      <c r="O1345">
        <v>50.065271926429503</v>
      </c>
      <c r="P1345">
        <v>-0.223651682643765</v>
      </c>
      <c r="Q1345">
        <v>0.82084508419426605</v>
      </c>
      <c r="R1345">
        <v>0.47277142961683399</v>
      </c>
      <c r="S1345" t="s">
        <v>6928</v>
      </c>
      <c r="T1345" t="s">
        <v>11164</v>
      </c>
      <c r="U1345" t="s">
        <v>11164</v>
      </c>
      <c r="V1345" t="s">
        <v>11164</v>
      </c>
      <c r="W1345" t="s">
        <v>12480</v>
      </c>
      <c r="X1345">
        <v>19</v>
      </c>
      <c r="Y1345" t="s">
        <v>18011</v>
      </c>
      <c r="Z1345" t="s">
        <v>23495</v>
      </c>
      <c r="AA1345">
        <v>0.89890354867381939</v>
      </c>
      <c r="AB1345" t="str">
        <f>HYPERLINK("Melting_Curves/meltCurve_O43399_TPD52L2.pdf", "Melting_Curves/meltCurve_O43399_TPD52L2.pdf")</f>
        <v>Melting_Curves/meltCurve_O43399_TPD52L2.pdf</v>
      </c>
    </row>
    <row r="1346" spans="1:28" x14ac:dyDescent="0.25">
      <c r="A1346" t="s">
        <v>1350</v>
      </c>
      <c r="B1346">
        <v>0.99796759195183404</v>
      </c>
      <c r="C1346">
        <v>0.97158562827498895</v>
      </c>
      <c r="D1346">
        <v>0.834971862075644</v>
      </c>
      <c r="E1346">
        <v>0.91054080439479801</v>
      </c>
      <c r="F1346">
        <v>0.85210239928349496</v>
      </c>
      <c r="G1346">
        <v>0.65633544778201902</v>
      </c>
      <c r="H1346">
        <v>0.611400337978382</v>
      </c>
      <c r="I1346">
        <v>0.41266943229236902</v>
      </c>
      <c r="J1346">
        <v>0.54489389900213203</v>
      </c>
      <c r="K1346">
        <v>0.468748080149956</v>
      </c>
      <c r="L1346">
        <v>502.551819290369</v>
      </c>
      <c r="M1346">
        <v>9.3577691417111506</v>
      </c>
      <c r="N1346">
        <v>62.654215934910603</v>
      </c>
      <c r="O1346">
        <v>51.422866647259198</v>
      </c>
      <c r="P1346">
        <v>-2.87408079886344E-2</v>
      </c>
      <c r="Q1346">
        <v>0.36864887428297299</v>
      </c>
      <c r="R1346">
        <v>0.91425441248318096</v>
      </c>
      <c r="S1346" t="s">
        <v>6929</v>
      </c>
      <c r="T1346" t="s">
        <v>11164</v>
      </c>
      <c r="U1346" t="s">
        <v>11164</v>
      </c>
      <c r="V1346" t="s">
        <v>11164</v>
      </c>
      <c r="W1346" t="s">
        <v>12481</v>
      </c>
      <c r="X1346">
        <v>17</v>
      </c>
      <c r="Y1346" t="s">
        <v>18011</v>
      </c>
      <c r="Z1346" t="s">
        <v>23496</v>
      </c>
      <c r="AA1346">
        <v>0.73198910228874081</v>
      </c>
      <c r="AB1346" t="str">
        <f>HYPERLINK("Melting_Curves/meltCurve_O43399_2_TPD52L2.pdf", "Melting_Curves/meltCurve_O43399_2_TPD52L2.pdf")</f>
        <v>Melting_Curves/meltCurve_O43399_2_TPD52L2.pdf</v>
      </c>
    </row>
    <row r="1347" spans="1:28" x14ac:dyDescent="0.25">
      <c r="A1347" t="s">
        <v>1351</v>
      </c>
      <c r="B1347">
        <v>0.99796759195183404</v>
      </c>
      <c r="C1347">
        <v>0.91761117962181304</v>
      </c>
      <c r="D1347">
        <v>0.88497488223939402</v>
      </c>
      <c r="E1347">
        <v>0.765531790460941</v>
      </c>
      <c r="F1347">
        <v>0.47958651075665398</v>
      </c>
      <c r="G1347">
        <v>0.45954152525415398</v>
      </c>
      <c r="H1347">
        <v>0.30205104418418599</v>
      </c>
      <c r="I1347">
        <v>0.121007164885768</v>
      </c>
      <c r="J1347">
        <v>9.7355411924303803E-2</v>
      </c>
      <c r="K1347">
        <v>8.0968764802507795E-2</v>
      </c>
      <c r="L1347">
        <v>517.63289841365599</v>
      </c>
      <c r="M1347">
        <v>10.0695285669612</v>
      </c>
      <c r="N1347">
        <v>51.405872035080399</v>
      </c>
      <c r="O1347">
        <v>49.5019258065632</v>
      </c>
      <c r="P1347">
        <v>-5.0878314373380203E-2</v>
      </c>
      <c r="Q1347">
        <v>0</v>
      </c>
      <c r="R1347">
        <v>0.98434099527319296</v>
      </c>
      <c r="S1347" t="s">
        <v>6930</v>
      </c>
      <c r="T1347" t="s">
        <v>11164</v>
      </c>
      <c r="U1347" t="s">
        <v>11164</v>
      </c>
      <c r="V1347" t="s">
        <v>11164</v>
      </c>
      <c r="W1347" t="s">
        <v>12482</v>
      </c>
      <c r="X1347">
        <v>3</v>
      </c>
      <c r="Y1347" t="s">
        <v>18012</v>
      </c>
      <c r="Z1347" t="s">
        <v>23497</v>
      </c>
      <c r="AA1347">
        <v>0.50904397127206036</v>
      </c>
      <c r="AB1347" t="str">
        <f>HYPERLINK("Melting_Curves/meltCurve_O43402_EMC8.pdf", "Melting_Curves/meltCurve_O43402_EMC8.pdf")</f>
        <v>Melting_Curves/meltCurve_O43402_EMC8.pdf</v>
      </c>
    </row>
    <row r="1348" spans="1:28" x14ac:dyDescent="0.25">
      <c r="A1348" t="s">
        <v>1352</v>
      </c>
      <c r="B1348">
        <v>0.99796759195183404</v>
      </c>
      <c r="C1348">
        <v>0.97822541304906596</v>
      </c>
      <c r="D1348">
        <v>0.95697322739430501</v>
      </c>
      <c r="E1348">
        <v>0.86238345514418202</v>
      </c>
      <c r="F1348">
        <v>0.70064176982600501</v>
      </c>
      <c r="G1348">
        <v>0.41273480287026898</v>
      </c>
      <c r="H1348">
        <v>0.16073571934207001</v>
      </c>
      <c r="I1348">
        <v>0.11253848700547101</v>
      </c>
      <c r="J1348">
        <v>8.6838459500507295E-2</v>
      </c>
      <c r="K1348">
        <v>7.0591557298262497E-2</v>
      </c>
      <c r="L1348">
        <v>910.13308300210304</v>
      </c>
      <c r="M1348">
        <v>17.446963802350901</v>
      </c>
      <c r="N1348">
        <v>52.419855994369897</v>
      </c>
      <c r="O1348">
        <v>51.494827324539699</v>
      </c>
      <c r="P1348">
        <v>-8.1271907371565394E-2</v>
      </c>
      <c r="Q1348">
        <v>4.0554893086796599E-2</v>
      </c>
      <c r="R1348">
        <v>0.996955914407191</v>
      </c>
      <c r="S1348" t="s">
        <v>6931</v>
      </c>
      <c r="T1348" t="s">
        <v>11164</v>
      </c>
      <c r="U1348" t="s">
        <v>11164</v>
      </c>
      <c r="V1348" t="s">
        <v>11164</v>
      </c>
      <c r="W1348" t="s">
        <v>12483</v>
      </c>
      <c r="X1348">
        <v>16</v>
      </c>
      <c r="Y1348" t="s">
        <v>18013</v>
      </c>
      <c r="Z1348" t="s">
        <v>23498</v>
      </c>
      <c r="AA1348">
        <v>0.54064150319744997</v>
      </c>
      <c r="AB1348" t="str">
        <f>HYPERLINK("Melting_Curves/meltCurve_O43447_PPIH.pdf", "Melting_Curves/meltCurve_O43447_PPIH.pdf")</f>
        <v>Melting_Curves/meltCurve_O43447_PPIH.pdf</v>
      </c>
    </row>
    <row r="1349" spans="1:28" x14ac:dyDescent="0.25">
      <c r="A1349" t="s">
        <v>1353</v>
      </c>
      <c r="B1349">
        <v>0.99796759195183404</v>
      </c>
      <c r="C1349">
        <v>0.98070867421649599</v>
      </c>
      <c r="D1349">
        <v>0.95763562650485901</v>
      </c>
      <c r="E1349">
        <v>0.86208511114683595</v>
      </c>
      <c r="F1349">
        <v>0.85945565072714303</v>
      </c>
      <c r="G1349">
        <v>0.91463001511499298</v>
      </c>
      <c r="H1349">
        <v>0.82603383620473403</v>
      </c>
      <c r="I1349">
        <v>0.67796229668027297</v>
      </c>
      <c r="J1349">
        <v>0.71119956202783596</v>
      </c>
      <c r="K1349">
        <v>0.42841176337322401</v>
      </c>
      <c r="L1349">
        <v>469.60931539065001</v>
      </c>
      <c r="M1349">
        <v>6.8853456173984497</v>
      </c>
      <c r="O1349">
        <v>63.1469143935958</v>
      </c>
      <c r="P1349">
        <v>-2.7312919964475001E-2</v>
      </c>
      <c r="Q1349">
        <v>0</v>
      </c>
      <c r="R1349">
        <v>0.85427048408862805</v>
      </c>
      <c r="S1349" t="s">
        <v>6932</v>
      </c>
      <c r="T1349" t="s">
        <v>11164</v>
      </c>
      <c r="U1349" t="s">
        <v>11164</v>
      </c>
      <c r="V1349" t="s">
        <v>11164</v>
      </c>
      <c r="W1349" t="s">
        <v>12484</v>
      </c>
      <c r="X1349">
        <v>8</v>
      </c>
      <c r="Y1349" t="s">
        <v>18014</v>
      </c>
      <c r="Z1349" t="s">
        <v>23499</v>
      </c>
      <c r="AA1349">
        <v>0.84563511643037004</v>
      </c>
      <c r="AB1349" t="str">
        <f>HYPERLINK("Melting_Curves/meltCurve_O43464_3_HTRA2.pdf", "Melting_Curves/meltCurve_O43464_3_HTRA2.pdf")</f>
        <v>Melting_Curves/meltCurve_O43464_3_HTRA2.pdf</v>
      </c>
    </row>
    <row r="1350" spans="1:28" x14ac:dyDescent="0.25">
      <c r="A1350" t="s">
        <v>1354</v>
      </c>
      <c r="B1350">
        <v>0.99796759195183404</v>
      </c>
      <c r="C1350">
        <v>0.95722078168354796</v>
      </c>
      <c r="D1350">
        <v>0.86987836868809998</v>
      </c>
      <c r="E1350">
        <v>0.76323293110884805</v>
      </c>
      <c r="F1350">
        <v>0.74131127902189198</v>
      </c>
      <c r="G1350">
        <v>0.65993034203849099</v>
      </c>
      <c r="H1350">
        <v>0.42968951852498</v>
      </c>
      <c r="I1350">
        <v>0.33351778095401102</v>
      </c>
      <c r="J1350">
        <v>0.288831493862927</v>
      </c>
      <c r="K1350">
        <v>7.6715773876999099E-2</v>
      </c>
      <c r="L1350">
        <v>473.33607861994801</v>
      </c>
      <c r="M1350">
        <v>8.4928152187188104</v>
      </c>
      <c r="N1350">
        <v>55.733707354039197</v>
      </c>
      <c r="O1350">
        <v>52.901242448371903</v>
      </c>
      <c r="P1350">
        <v>-4.0171516326071202E-2</v>
      </c>
      <c r="Q1350">
        <v>0</v>
      </c>
      <c r="R1350">
        <v>0.96316309769449904</v>
      </c>
      <c r="S1350" t="s">
        <v>6933</v>
      </c>
      <c r="T1350" t="s">
        <v>11164</v>
      </c>
      <c r="U1350" t="s">
        <v>11164</v>
      </c>
      <c r="V1350" t="s">
        <v>11164</v>
      </c>
      <c r="W1350" t="s">
        <v>12485</v>
      </c>
      <c r="X1350">
        <v>4</v>
      </c>
      <c r="Y1350" t="s">
        <v>18015</v>
      </c>
      <c r="Z1350" t="s">
        <v>23500</v>
      </c>
      <c r="AA1350">
        <v>0.62731645010529014</v>
      </c>
      <c r="AB1350" t="str">
        <f>HYPERLINK("Melting_Curves/meltCurve_O43474_1_KLF4.pdf", "Melting_Curves/meltCurve_O43474_1_KLF4.pdf")</f>
        <v>Melting_Curves/meltCurve_O43474_1_KLF4.pdf</v>
      </c>
    </row>
    <row r="1351" spans="1:28" x14ac:dyDescent="0.25">
      <c r="A1351" t="s">
        <v>1355</v>
      </c>
      <c r="B1351">
        <v>0.99796759195183404</v>
      </c>
      <c r="C1351">
        <v>1.16048923531337</v>
      </c>
      <c r="D1351">
        <v>1.1023072762153301</v>
      </c>
      <c r="E1351">
        <v>1.15666723600903</v>
      </c>
      <c r="F1351">
        <v>1.13693752436745</v>
      </c>
      <c r="G1351">
        <v>1.0731695041724201</v>
      </c>
      <c r="H1351">
        <v>0.58935094600452298</v>
      </c>
      <c r="I1351">
        <v>0.26833044203596201</v>
      </c>
      <c r="J1351">
        <v>0.14183238182077901</v>
      </c>
      <c r="K1351">
        <v>5.5448879053152003E-2</v>
      </c>
      <c r="L1351">
        <v>2334.6789943743502</v>
      </c>
      <c r="M1351">
        <v>40.304325596529097</v>
      </c>
      <c r="N1351">
        <v>58.2729899418011</v>
      </c>
      <c r="O1351">
        <v>57.784217816728997</v>
      </c>
      <c r="P1351">
        <v>-0.15578420197958201</v>
      </c>
      <c r="Q1351">
        <v>0.10661213422433501</v>
      </c>
      <c r="R1351">
        <v>0.94610311441725103</v>
      </c>
      <c r="S1351" t="s">
        <v>6934</v>
      </c>
      <c r="T1351" t="s">
        <v>11164</v>
      </c>
      <c r="U1351" t="s">
        <v>11164</v>
      </c>
      <c r="V1351" t="s">
        <v>11164</v>
      </c>
      <c r="W1351" t="s">
        <v>12486</v>
      </c>
      <c r="X1351">
        <v>2</v>
      </c>
      <c r="Y1351" t="s">
        <v>18016</v>
      </c>
      <c r="Z1351" t="s">
        <v>23501</v>
      </c>
      <c r="AA1351">
        <v>0.73305289704885046</v>
      </c>
      <c r="AB1351" t="str">
        <f>HYPERLINK("Melting_Curves/meltCurve_O43482_OIP5.pdf", "Melting_Curves/meltCurve_O43482_OIP5.pdf")</f>
        <v>Melting_Curves/meltCurve_O43482_OIP5.pdf</v>
      </c>
    </row>
    <row r="1352" spans="1:28" x14ac:dyDescent="0.25">
      <c r="A1352" t="s">
        <v>1356</v>
      </c>
      <c r="B1352">
        <v>0.99796759195183404</v>
      </c>
      <c r="C1352">
        <v>1.03803072688744</v>
      </c>
      <c r="D1352">
        <v>1.04041951583111</v>
      </c>
      <c r="E1352">
        <v>0.98010789217267502</v>
      </c>
      <c r="F1352">
        <v>0.84924461322149303</v>
      </c>
      <c r="G1352">
        <v>0.62672766269049596</v>
      </c>
      <c r="H1352">
        <v>0.30530638453587999</v>
      </c>
      <c r="I1352">
        <v>0.15737404002501501</v>
      </c>
      <c r="J1352">
        <v>0.12342794031693</v>
      </c>
      <c r="K1352">
        <v>9.2969653468885693E-2</v>
      </c>
      <c r="L1352">
        <v>1154.7324681692901</v>
      </c>
      <c r="M1352">
        <v>21.162686997803402</v>
      </c>
      <c r="N1352">
        <v>54.989463409984602</v>
      </c>
      <c r="O1352">
        <v>54.084344470407899</v>
      </c>
      <c r="P1352">
        <v>-9.0446260503891304E-2</v>
      </c>
      <c r="Q1352">
        <v>7.5429433588454303E-2</v>
      </c>
      <c r="R1352">
        <v>0.99693468791138595</v>
      </c>
      <c r="S1352" t="s">
        <v>6935</v>
      </c>
      <c r="T1352" t="s">
        <v>11164</v>
      </c>
      <c r="U1352" t="s">
        <v>11164</v>
      </c>
      <c r="V1352" t="s">
        <v>11164</v>
      </c>
      <c r="W1352" t="s">
        <v>12487</v>
      </c>
      <c r="X1352">
        <v>40</v>
      </c>
      <c r="Y1352" t="s">
        <v>18017</v>
      </c>
      <c r="Z1352" t="s">
        <v>23502</v>
      </c>
      <c r="AA1352">
        <v>0.62684620931737456</v>
      </c>
      <c r="AB1352" t="str">
        <f>HYPERLINK("Melting_Curves/meltCurve_O43491_EPB41L2.pdf", "Melting_Curves/meltCurve_O43491_EPB41L2.pdf")</f>
        <v>Melting_Curves/meltCurve_O43491_EPB41L2.pdf</v>
      </c>
    </row>
    <row r="1353" spans="1:28" x14ac:dyDescent="0.25">
      <c r="A1353" t="s">
        <v>1357</v>
      </c>
      <c r="B1353">
        <v>0.99796759195183404</v>
      </c>
      <c r="C1353">
        <v>1.0286541038289201</v>
      </c>
      <c r="D1353">
        <v>1.0241956548645199</v>
      </c>
      <c r="E1353">
        <v>1.0413089808303699</v>
      </c>
      <c r="F1353">
        <v>1.0357682883192101</v>
      </c>
      <c r="G1353">
        <v>0.486873667569378</v>
      </c>
      <c r="H1353">
        <v>0.78697180969839797</v>
      </c>
      <c r="I1353">
        <v>0.75977971073245298</v>
      </c>
      <c r="J1353">
        <v>1.0615570570439099</v>
      </c>
      <c r="K1353">
        <v>0.82204500039066697</v>
      </c>
      <c r="L1353">
        <v>6144.7539801242901</v>
      </c>
      <c r="M1353">
        <v>119.302780395737</v>
      </c>
      <c r="O1353">
        <v>51.491064763522203</v>
      </c>
      <c r="P1353">
        <v>-0.12514975608507101</v>
      </c>
      <c r="Q1353">
        <v>0.78394150574039101</v>
      </c>
      <c r="R1353">
        <v>0.44994314714559702</v>
      </c>
      <c r="S1353" t="s">
        <v>6936</v>
      </c>
      <c r="T1353" t="s">
        <v>11164</v>
      </c>
      <c r="U1353" t="s">
        <v>11164</v>
      </c>
      <c r="V1353" t="s">
        <v>11164</v>
      </c>
      <c r="W1353" t="s">
        <v>12488</v>
      </c>
      <c r="X1353">
        <v>11</v>
      </c>
      <c r="Y1353" t="s">
        <v>18018</v>
      </c>
      <c r="Z1353" t="s">
        <v>23503</v>
      </c>
      <c r="AA1353">
        <v>0.8884954908593129</v>
      </c>
      <c r="AB1353" t="str">
        <f>HYPERLINK("Melting_Curves/meltCurve_O43493_2_TGOLN2.pdf", "Melting_Curves/meltCurve_O43493_2_TGOLN2.pdf")</f>
        <v>Melting_Curves/meltCurve_O43493_2_TGOLN2.pdf</v>
      </c>
    </row>
    <row r="1354" spans="1:28" x14ac:dyDescent="0.25">
      <c r="A1354" t="s">
        <v>1358</v>
      </c>
      <c r="B1354">
        <v>0.99796759195183404</v>
      </c>
      <c r="C1354">
        <v>1.01211511048458</v>
      </c>
      <c r="D1354">
        <v>0.92591599382212297</v>
      </c>
      <c r="E1354">
        <v>0.92202467936196897</v>
      </c>
      <c r="F1354">
        <v>0.70959552834136597</v>
      </c>
      <c r="G1354">
        <v>0.47179478988399498</v>
      </c>
      <c r="H1354">
        <v>0.246499817979937</v>
      </c>
      <c r="I1354">
        <v>0.13602332789826099</v>
      </c>
      <c r="J1354">
        <v>7.8679912792950293E-2</v>
      </c>
      <c r="K1354">
        <v>5.6728153579537297E-2</v>
      </c>
      <c r="L1354">
        <v>817.93085244125098</v>
      </c>
      <c r="M1354">
        <v>15.378689934809801</v>
      </c>
      <c r="N1354">
        <v>53.281629550238598</v>
      </c>
      <c r="O1354">
        <v>52.311008083239997</v>
      </c>
      <c r="P1354">
        <v>-7.2502411073711803E-2</v>
      </c>
      <c r="Q1354">
        <v>1.3615007242721199E-2</v>
      </c>
      <c r="R1354">
        <v>0.99762343945283005</v>
      </c>
      <c r="S1354" t="s">
        <v>6937</v>
      </c>
      <c r="T1354" t="s">
        <v>11164</v>
      </c>
      <c r="U1354" t="s">
        <v>11164</v>
      </c>
      <c r="V1354" t="s">
        <v>11164</v>
      </c>
      <c r="W1354" t="s">
        <v>12489</v>
      </c>
      <c r="X1354">
        <v>4</v>
      </c>
      <c r="Y1354" t="s">
        <v>18019</v>
      </c>
      <c r="Z1354" t="s">
        <v>23504</v>
      </c>
      <c r="AA1354">
        <v>0.56273061259550827</v>
      </c>
      <c r="AB1354" t="str">
        <f>HYPERLINK("Melting_Curves/meltCurve_O43502_RAD51C.pdf", "Melting_Curves/meltCurve_O43502_RAD51C.pdf")</f>
        <v>Melting_Curves/meltCurve_O43502_RAD51C.pdf</v>
      </c>
    </row>
    <row r="1355" spans="1:28" x14ac:dyDescent="0.25">
      <c r="A1355" t="s">
        <v>1359</v>
      </c>
      <c r="B1355">
        <v>0.99796759195183404</v>
      </c>
      <c r="C1355">
        <v>0.99245962193612902</v>
      </c>
      <c r="D1355">
        <v>0.96934142792567402</v>
      </c>
      <c r="E1355">
        <v>0.92219634912751602</v>
      </c>
      <c r="F1355">
        <v>0.806538872158308</v>
      </c>
      <c r="G1355">
        <v>0.73022377991689602</v>
      </c>
      <c r="H1355">
        <v>0.50354134249188598</v>
      </c>
      <c r="I1355">
        <v>0.18581642843329599</v>
      </c>
      <c r="J1355">
        <v>0.123335425465131</v>
      </c>
      <c r="K1355">
        <v>8.9133928198262796E-2</v>
      </c>
      <c r="L1355">
        <v>867.03676717252904</v>
      </c>
      <c r="M1355">
        <v>15.319972986249599</v>
      </c>
      <c r="N1355">
        <v>56.595189431492898</v>
      </c>
      <c r="O1355">
        <v>55.657172173830801</v>
      </c>
      <c r="P1355">
        <v>-6.8820409517895406E-2</v>
      </c>
      <c r="Q1355">
        <v>0</v>
      </c>
      <c r="R1355">
        <v>0.98713733324416897</v>
      </c>
      <c r="S1355" t="s">
        <v>6938</v>
      </c>
      <c r="T1355" t="s">
        <v>11164</v>
      </c>
      <c r="U1355" t="s">
        <v>11164</v>
      </c>
      <c r="V1355" t="s">
        <v>11164</v>
      </c>
      <c r="W1355" t="s">
        <v>12490</v>
      </c>
      <c r="X1355">
        <v>5</v>
      </c>
      <c r="Y1355" t="s">
        <v>18020</v>
      </c>
      <c r="Z1355" t="s">
        <v>23505</v>
      </c>
      <c r="AA1355">
        <v>0.6628862378567858</v>
      </c>
      <c r="AB1355" t="str">
        <f>HYPERLINK("Melting_Curves/meltCurve_O43505_B3GNT1.pdf", "Melting_Curves/meltCurve_O43505_B3GNT1.pdf")</f>
        <v>Melting_Curves/meltCurve_O43505_B3GNT1.pdf</v>
      </c>
    </row>
    <row r="1356" spans="1:28" x14ac:dyDescent="0.25">
      <c r="A1356" t="s">
        <v>1360</v>
      </c>
      <c r="B1356">
        <v>0.99796759195183404</v>
      </c>
      <c r="C1356">
        <v>0.82150410467815704</v>
      </c>
      <c r="D1356">
        <v>1.28292548798119</v>
      </c>
      <c r="E1356">
        <v>1.0363083324739399</v>
      </c>
      <c r="F1356">
        <v>2.2305504210717899</v>
      </c>
      <c r="G1356">
        <v>1.63013219866996</v>
      </c>
      <c r="H1356">
        <v>2.6413035984865201</v>
      </c>
      <c r="I1356">
        <v>0</v>
      </c>
      <c r="J1356">
        <v>0.90130686269869198</v>
      </c>
      <c r="K1356">
        <v>0</v>
      </c>
      <c r="L1356">
        <v>2087.18551178082</v>
      </c>
      <c r="M1356">
        <v>32.644852628448703</v>
      </c>
      <c r="N1356">
        <v>63.936142697230899</v>
      </c>
      <c r="O1356">
        <v>63.697638743789298</v>
      </c>
      <c r="P1356">
        <v>-0.12812486179485399</v>
      </c>
      <c r="Q1356">
        <v>0</v>
      </c>
      <c r="R1356">
        <v>0.122194625421862</v>
      </c>
      <c r="S1356" t="s">
        <v>6939</v>
      </c>
      <c r="T1356" t="s">
        <v>11164</v>
      </c>
      <c r="U1356" t="s">
        <v>11164</v>
      </c>
      <c r="V1356" t="s">
        <v>11164</v>
      </c>
      <c r="W1356" t="s">
        <v>12491</v>
      </c>
      <c r="X1356">
        <v>1</v>
      </c>
      <c r="Y1356" t="s">
        <v>18021</v>
      </c>
      <c r="Z1356" t="s">
        <v>23506</v>
      </c>
      <c r="AA1356">
        <v>0.88891088896224379</v>
      </c>
      <c r="AB1356" t="str">
        <f>HYPERLINK("Melting_Curves/meltCurve_O43513_MED7.pdf", "Melting_Curves/meltCurve_O43513_MED7.pdf")</f>
        <v>Melting_Curves/meltCurve_O43513_MED7.pdf</v>
      </c>
    </row>
    <row r="1357" spans="1:28" x14ac:dyDescent="0.25">
      <c r="A1357" t="s">
        <v>1361</v>
      </c>
      <c r="B1357">
        <v>0.99796759195183404</v>
      </c>
      <c r="C1357">
        <v>0.99713432212016395</v>
      </c>
      <c r="D1357">
        <v>1.0068691789495301</v>
      </c>
      <c r="E1357">
        <v>0.92559168033120198</v>
      </c>
      <c r="F1357">
        <v>0.79267588834167801</v>
      </c>
      <c r="G1357">
        <v>0.77211719844805404</v>
      </c>
      <c r="H1357">
        <v>0.61813250451237201</v>
      </c>
      <c r="I1357">
        <v>0.54637241127414804</v>
      </c>
      <c r="J1357">
        <v>0.60465853100525602</v>
      </c>
      <c r="K1357">
        <v>0.64594454895806097</v>
      </c>
      <c r="L1357">
        <v>863.34647156968197</v>
      </c>
      <c r="M1357">
        <v>16.915026888198302</v>
      </c>
      <c r="O1357">
        <v>50.342844841045597</v>
      </c>
      <c r="P1357">
        <v>-3.4591781513240299E-2</v>
      </c>
      <c r="Q1357">
        <v>0.58821491838897699</v>
      </c>
      <c r="R1357">
        <v>0.95620140770564099</v>
      </c>
      <c r="S1357" t="s">
        <v>6940</v>
      </c>
      <c r="T1357" t="s">
        <v>11164</v>
      </c>
      <c r="U1357" t="s">
        <v>11164</v>
      </c>
      <c r="V1357" t="s">
        <v>11164</v>
      </c>
      <c r="W1357" t="s">
        <v>12492</v>
      </c>
      <c r="X1357">
        <v>4</v>
      </c>
      <c r="Y1357" t="s">
        <v>18022</v>
      </c>
      <c r="Z1357" t="s">
        <v>23507</v>
      </c>
      <c r="AA1357">
        <v>0.78793981988711481</v>
      </c>
      <c r="AB1357" t="str">
        <f>HYPERLINK("Melting_Curves/meltCurve_O43516_WIPF1.pdf", "Melting_Curves/meltCurve_O43516_WIPF1.pdf")</f>
        <v>Melting_Curves/meltCurve_O43516_WIPF1.pdf</v>
      </c>
    </row>
    <row r="1358" spans="1:28" x14ac:dyDescent="0.25">
      <c r="A1358" t="s">
        <v>1362</v>
      </c>
      <c r="B1358">
        <v>0.99796759195183404</v>
      </c>
      <c r="C1358">
        <v>1.0510079238935699</v>
      </c>
      <c r="D1358">
        <v>1.0622252618205199</v>
      </c>
      <c r="E1358">
        <v>1.0972074022826499</v>
      </c>
      <c r="F1358">
        <v>0.91511414382509204</v>
      </c>
      <c r="G1358">
        <v>0.79396578287323605</v>
      </c>
      <c r="H1358">
        <v>0.521302408599987</v>
      </c>
      <c r="I1358">
        <v>0.367948318560754</v>
      </c>
      <c r="J1358">
        <v>0.39251057609962098</v>
      </c>
      <c r="K1358">
        <v>0.35803025280538497</v>
      </c>
      <c r="L1358">
        <v>1521.3660903904099</v>
      </c>
      <c r="M1358">
        <v>27.597201708152799</v>
      </c>
      <c r="N1358">
        <v>57.713287285400902</v>
      </c>
      <c r="O1358">
        <v>54.840525374636002</v>
      </c>
      <c r="P1358">
        <v>-8.1172211796551999E-2</v>
      </c>
      <c r="Q1358">
        <v>0.35479164551329401</v>
      </c>
      <c r="R1358">
        <v>0.97683781986708695</v>
      </c>
      <c r="S1358" t="s">
        <v>6941</v>
      </c>
      <c r="T1358" t="s">
        <v>11164</v>
      </c>
      <c r="U1358" t="s">
        <v>11164</v>
      </c>
      <c r="V1358" t="s">
        <v>11164</v>
      </c>
      <c r="W1358" t="s">
        <v>12493</v>
      </c>
      <c r="X1358">
        <v>2</v>
      </c>
      <c r="Y1358" t="s">
        <v>18023</v>
      </c>
      <c r="Z1358" t="s">
        <v>23508</v>
      </c>
      <c r="AA1358">
        <v>0.74935422839051513</v>
      </c>
      <c r="AB1358" t="str">
        <f>HYPERLINK("Melting_Curves/meltCurve_O43521_6_BCL2L11.pdf", "Melting_Curves/meltCurve_O43521_6_BCL2L11.pdf")</f>
        <v>Melting_Curves/meltCurve_O43521_6_BCL2L11.pdf</v>
      </c>
    </row>
    <row r="1359" spans="1:28" x14ac:dyDescent="0.25">
      <c r="A1359" t="s">
        <v>1363</v>
      </c>
      <c r="B1359">
        <v>0.99796759195183404</v>
      </c>
      <c r="C1359">
        <v>0.940085395174039</v>
      </c>
      <c r="D1359">
        <v>0.78396255534761605</v>
      </c>
      <c r="E1359">
        <v>0.77772542945780598</v>
      </c>
      <c r="F1359">
        <v>0.61637969723861197</v>
      </c>
      <c r="G1359">
        <v>0.47380986261945301</v>
      </c>
      <c r="H1359">
        <v>0.35180409060754803</v>
      </c>
      <c r="I1359">
        <v>0.36692499753247398</v>
      </c>
      <c r="J1359">
        <v>0.28005705457798302</v>
      </c>
      <c r="K1359">
        <v>0.26750954418902601</v>
      </c>
      <c r="L1359">
        <v>442.692733797475</v>
      </c>
      <c r="M1359">
        <v>8.7638252644761696</v>
      </c>
      <c r="N1359">
        <v>53.2223897227721</v>
      </c>
      <c r="O1359">
        <v>48.090593959834301</v>
      </c>
      <c r="P1359">
        <v>-3.7392024712087399E-2</v>
      </c>
      <c r="Q1359">
        <v>0.17991886680279501</v>
      </c>
      <c r="R1359">
        <v>0.98329173604972897</v>
      </c>
      <c r="S1359" t="s">
        <v>6942</v>
      </c>
      <c r="T1359" t="s">
        <v>11164</v>
      </c>
      <c r="U1359" t="s">
        <v>11164</v>
      </c>
      <c r="V1359" t="s">
        <v>11164</v>
      </c>
      <c r="W1359" t="s">
        <v>12494</v>
      </c>
      <c r="X1359">
        <v>3</v>
      </c>
      <c r="Y1359" t="s">
        <v>18024</v>
      </c>
      <c r="Z1359" t="s">
        <v>23509</v>
      </c>
      <c r="AA1359">
        <v>0.57853703264997713</v>
      </c>
      <c r="AB1359" t="str">
        <f>HYPERLINK("Melting_Curves/meltCurve_O43524_FOXO3.pdf", "Melting_Curves/meltCurve_O43524_FOXO3.pdf")</f>
        <v>Melting_Curves/meltCurve_O43524_FOXO3.pdf</v>
      </c>
    </row>
    <row r="1360" spans="1:28" x14ac:dyDescent="0.25">
      <c r="A1360" t="s">
        <v>1364</v>
      </c>
      <c r="B1360">
        <v>0.99796759195183404</v>
      </c>
      <c r="C1360">
        <v>0.92147308185812804</v>
      </c>
      <c r="D1360">
        <v>0.69086839428402402</v>
      </c>
      <c r="E1360">
        <v>0.75456912498288098</v>
      </c>
      <c r="F1360">
        <v>0.53902411585585797</v>
      </c>
      <c r="G1360">
        <v>0.47311493232489099</v>
      </c>
      <c r="H1360">
        <v>0.41814674287721298</v>
      </c>
      <c r="I1360">
        <v>0.35716380203428999</v>
      </c>
      <c r="J1360">
        <v>0.39066650986794499</v>
      </c>
      <c r="K1360">
        <v>0.38001888152602198</v>
      </c>
      <c r="L1360">
        <v>463.41381301746299</v>
      </c>
      <c r="M1360">
        <v>9.9367246228329495</v>
      </c>
      <c r="N1360">
        <v>52.444016480101801</v>
      </c>
      <c r="O1360">
        <v>44.865583501312898</v>
      </c>
      <c r="P1360">
        <v>-3.6915104768119197E-2</v>
      </c>
      <c r="Q1360">
        <v>0.33362639509950798</v>
      </c>
      <c r="R1360">
        <v>0.95210598467573804</v>
      </c>
      <c r="S1360" t="s">
        <v>6943</v>
      </c>
      <c r="T1360" t="s">
        <v>11164</v>
      </c>
      <c r="U1360" t="s">
        <v>11164</v>
      </c>
      <c r="V1360" t="s">
        <v>11164</v>
      </c>
      <c r="W1360" t="s">
        <v>12495</v>
      </c>
      <c r="X1360">
        <v>2</v>
      </c>
      <c r="Y1360" t="s">
        <v>18025</v>
      </c>
      <c r="Z1360" t="s">
        <v>23510</v>
      </c>
      <c r="AA1360">
        <v>0.57743914230606319</v>
      </c>
      <c r="AB1360" t="str">
        <f>HYPERLINK("Melting_Curves/meltCurve_O43567_RNF13.pdf", "Melting_Curves/meltCurve_O43567_RNF13.pdf")</f>
        <v>Melting_Curves/meltCurve_O43567_RNF13.pdf</v>
      </c>
    </row>
    <row r="1361" spans="1:28" x14ac:dyDescent="0.25">
      <c r="A1361" t="s">
        <v>1365</v>
      </c>
      <c r="B1361">
        <v>0.99796759195183404</v>
      </c>
      <c r="C1361">
        <v>0.89671567837329602</v>
      </c>
      <c r="D1361">
        <v>0.91190178169846203</v>
      </c>
      <c r="E1361">
        <v>0.80681545542603506</v>
      </c>
      <c r="F1361">
        <v>0.71544583135640505</v>
      </c>
      <c r="G1361">
        <v>0.43860380684266098</v>
      </c>
      <c r="H1361">
        <v>0.57506545179122504</v>
      </c>
      <c r="I1361">
        <v>0.65749017206784099</v>
      </c>
      <c r="J1361">
        <v>0.97111074975592204</v>
      </c>
      <c r="K1361">
        <v>0.721072393965563</v>
      </c>
      <c r="L1361">
        <v>994.09741082625396</v>
      </c>
      <c r="M1361">
        <v>22.297385125312299</v>
      </c>
      <c r="O1361">
        <v>44.229618852697399</v>
      </c>
      <c r="P1361">
        <v>-4.0444249160280603E-2</v>
      </c>
      <c r="Q1361">
        <v>0.67910206657759198</v>
      </c>
      <c r="R1361">
        <v>0.43138308212149201</v>
      </c>
      <c r="S1361" t="s">
        <v>6944</v>
      </c>
      <c r="T1361" t="s">
        <v>11164</v>
      </c>
      <c r="U1361" t="s">
        <v>11164</v>
      </c>
      <c r="V1361" t="s">
        <v>11164</v>
      </c>
      <c r="W1361" t="s">
        <v>12496</v>
      </c>
      <c r="X1361">
        <v>15</v>
      </c>
      <c r="Y1361" t="s">
        <v>18026</v>
      </c>
      <c r="Z1361" t="s">
        <v>23511</v>
      </c>
      <c r="AA1361">
        <v>0.76357924123533316</v>
      </c>
      <c r="AB1361" t="str">
        <f>HYPERLINK("Melting_Curves/meltCurve_O43583_DENR.pdf", "Melting_Curves/meltCurve_O43583_DENR.pdf")</f>
        <v>Melting_Curves/meltCurve_O43583_DENR.pdf</v>
      </c>
    </row>
    <row r="1362" spans="1:28" x14ac:dyDescent="0.25">
      <c r="A1362" t="s">
        <v>1366</v>
      </c>
      <c r="B1362">
        <v>0.99796759195183404</v>
      </c>
      <c r="C1362">
        <v>0.94285442884821702</v>
      </c>
      <c r="D1362">
        <v>0.99945279715872903</v>
      </c>
      <c r="E1362">
        <v>0.95177846749751804</v>
      </c>
      <c r="F1362">
        <v>0.95998919170797903</v>
      </c>
      <c r="G1362">
        <v>0.43186580852966699</v>
      </c>
      <c r="H1362">
        <v>0.23677691813237001</v>
      </c>
      <c r="I1362">
        <v>0.237149778327857</v>
      </c>
      <c r="J1362">
        <v>0.13919869529193299</v>
      </c>
      <c r="K1362">
        <v>9.8273712862981893E-2</v>
      </c>
      <c r="L1362">
        <v>2422.1411374598802</v>
      </c>
      <c r="M1362">
        <v>45.724730366465501</v>
      </c>
      <c r="N1362">
        <v>53.455455532558503</v>
      </c>
      <c r="O1362">
        <v>52.871186178317799</v>
      </c>
      <c r="P1362">
        <v>-0.17960848135041099</v>
      </c>
      <c r="Q1362">
        <v>0.16928049823355101</v>
      </c>
      <c r="R1362">
        <v>0.98734129655934799</v>
      </c>
      <c r="S1362" t="s">
        <v>6945</v>
      </c>
      <c r="T1362" t="s">
        <v>11164</v>
      </c>
      <c r="U1362" t="s">
        <v>11164</v>
      </c>
      <c r="V1362" t="s">
        <v>11164</v>
      </c>
      <c r="W1362" t="s">
        <v>12497</v>
      </c>
      <c r="X1362">
        <v>7</v>
      </c>
      <c r="Y1362" t="s">
        <v>18027</v>
      </c>
      <c r="Z1362" t="s">
        <v>23512</v>
      </c>
      <c r="AA1362">
        <v>0.6138818720017134</v>
      </c>
      <c r="AB1362" t="str">
        <f>HYPERLINK("Melting_Curves/meltCurve_O43592_XPOT.pdf", "Melting_Curves/meltCurve_O43592_XPOT.pdf")</f>
        <v>Melting_Curves/meltCurve_O43592_XPOT.pdf</v>
      </c>
    </row>
    <row r="1363" spans="1:28" x14ac:dyDescent="0.25">
      <c r="A1363" t="s">
        <v>1367</v>
      </c>
      <c r="B1363">
        <v>0.99796759195183404</v>
      </c>
      <c r="C1363">
        <v>1.06642333182009</v>
      </c>
      <c r="D1363">
        <v>1.0113519767922301</v>
      </c>
      <c r="E1363">
        <v>0.95240634898613996</v>
      </c>
      <c r="F1363">
        <v>0.93317739855176796</v>
      </c>
      <c r="G1363">
        <v>0.64922230824892502</v>
      </c>
      <c r="H1363">
        <v>0.61709757704606105</v>
      </c>
      <c r="I1363">
        <v>0.60664509133700795</v>
      </c>
      <c r="J1363">
        <v>0.74253142606974198</v>
      </c>
      <c r="K1363">
        <v>1.0450195643004201</v>
      </c>
      <c r="L1363">
        <v>12605.301896597501</v>
      </c>
      <c r="M1363">
        <v>250</v>
      </c>
      <c r="O1363">
        <v>50.4179812503018</v>
      </c>
      <c r="P1363">
        <v>-0.33209482541145602</v>
      </c>
      <c r="Q1363">
        <v>0.73210319094292098</v>
      </c>
      <c r="R1363">
        <v>0.55207180759618202</v>
      </c>
      <c r="S1363" t="s">
        <v>6946</v>
      </c>
      <c r="T1363" t="s">
        <v>11164</v>
      </c>
      <c r="U1363" t="s">
        <v>11164</v>
      </c>
      <c r="V1363" t="s">
        <v>11164</v>
      </c>
      <c r="W1363" t="s">
        <v>12498</v>
      </c>
      <c r="X1363">
        <v>9</v>
      </c>
      <c r="Y1363" t="s">
        <v>17512</v>
      </c>
      <c r="Z1363" t="s">
        <v>23513</v>
      </c>
      <c r="AA1363">
        <v>0.85197685291507264</v>
      </c>
      <c r="AB1363" t="str">
        <f>HYPERLINK("Melting_Curves/meltCurve_O43598_DNPH1.pdf", "Melting_Curves/meltCurve_O43598_DNPH1.pdf")</f>
        <v>Melting_Curves/meltCurve_O43598_DNPH1.pdf</v>
      </c>
    </row>
    <row r="1364" spans="1:28" x14ac:dyDescent="0.25">
      <c r="A1364" t="s">
        <v>1368</v>
      </c>
      <c r="B1364">
        <v>0.99796759195183404</v>
      </c>
      <c r="C1364">
        <v>1.0517350734029001</v>
      </c>
      <c r="D1364">
        <v>1.03108492183668</v>
      </c>
      <c r="E1364">
        <v>0.98519861886764004</v>
      </c>
      <c r="F1364">
        <v>0.85396558908368503</v>
      </c>
      <c r="G1364">
        <v>0.48842683933962699</v>
      </c>
      <c r="H1364">
        <v>0.23219444342811901</v>
      </c>
      <c r="I1364">
        <v>0.144786120968178</v>
      </c>
      <c r="J1364">
        <v>0.118332611172016</v>
      </c>
      <c r="K1364">
        <v>8.8680554405423898E-2</v>
      </c>
      <c r="L1364">
        <v>1378.9463149649</v>
      </c>
      <c r="M1364">
        <v>25.8707186882353</v>
      </c>
      <c r="N1364">
        <v>53.7749303120045</v>
      </c>
      <c r="O1364">
        <v>52.986014484107201</v>
      </c>
      <c r="P1364">
        <v>-0.109632390839964</v>
      </c>
      <c r="Q1364">
        <v>0.10185482903375399</v>
      </c>
      <c r="R1364">
        <v>0.99724964466019805</v>
      </c>
      <c r="S1364" t="s">
        <v>6947</v>
      </c>
      <c r="T1364" t="s">
        <v>11164</v>
      </c>
      <c r="U1364" t="s">
        <v>11164</v>
      </c>
      <c r="V1364" t="s">
        <v>11164</v>
      </c>
      <c r="W1364" t="s">
        <v>12499</v>
      </c>
      <c r="X1364">
        <v>32</v>
      </c>
      <c r="Y1364" t="s">
        <v>18028</v>
      </c>
      <c r="Z1364" t="s">
        <v>23514</v>
      </c>
      <c r="AA1364">
        <v>0.59735727781533376</v>
      </c>
      <c r="AB1364" t="str">
        <f>HYPERLINK("Melting_Curves/meltCurve_O43615_TIMM44.pdf", "Melting_Curves/meltCurve_O43615_TIMM44.pdf")</f>
        <v>Melting_Curves/meltCurve_O43615_TIMM44.pdf</v>
      </c>
    </row>
    <row r="1365" spans="1:28" x14ac:dyDescent="0.25">
      <c r="A1365" t="s">
        <v>1369</v>
      </c>
      <c r="B1365">
        <v>0.99796759195183404</v>
      </c>
      <c r="C1365">
        <v>0.92462048678922004</v>
      </c>
      <c r="D1365">
        <v>1.00296736819411</v>
      </c>
      <c r="E1365">
        <v>0.94536700912643201</v>
      </c>
      <c r="F1365">
        <v>0.92531021772322297</v>
      </c>
      <c r="G1365">
        <v>0.64059394124755697</v>
      </c>
      <c r="H1365">
        <v>0.64146146229669798</v>
      </c>
      <c r="I1365">
        <v>0.51395009185955598</v>
      </c>
      <c r="J1365">
        <v>0.421154991498286</v>
      </c>
      <c r="K1365">
        <v>0.24963224120786201</v>
      </c>
      <c r="L1365">
        <v>532.09111377454099</v>
      </c>
      <c r="M1365">
        <v>8.7871479218928297</v>
      </c>
      <c r="N1365">
        <v>60.553323234173902</v>
      </c>
      <c r="O1365">
        <v>57.662907291977703</v>
      </c>
      <c r="P1365">
        <v>-3.8127343103905101E-2</v>
      </c>
      <c r="Q1365">
        <v>0</v>
      </c>
      <c r="R1365">
        <v>0.95835671547285395</v>
      </c>
      <c r="S1365" t="s">
        <v>6948</v>
      </c>
      <c r="T1365" t="s">
        <v>11164</v>
      </c>
      <c r="U1365" t="s">
        <v>11164</v>
      </c>
      <c r="V1365" t="s">
        <v>11164</v>
      </c>
      <c r="W1365" t="s">
        <v>12500</v>
      </c>
      <c r="X1365">
        <v>7</v>
      </c>
      <c r="Y1365" t="s">
        <v>18029</v>
      </c>
      <c r="Z1365" t="s">
        <v>23515</v>
      </c>
      <c r="AA1365">
        <v>0.74270745816622086</v>
      </c>
      <c r="AB1365" t="str">
        <f>HYPERLINK("Melting_Curves/meltCurve_O43617_TRAPPC3.pdf", "Melting_Curves/meltCurve_O43617_TRAPPC3.pdf")</f>
        <v>Melting_Curves/meltCurve_O43617_TRAPPC3.pdf</v>
      </c>
    </row>
    <row r="1366" spans="1:28" x14ac:dyDescent="0.25">
      <c r="A1366" t="s">
        <v>1370</v>
      </c>
      <c r="B1366">
        <v>0.99796759195183404</v>
      </c>
      <c r="C1366">
        <v>0.95528045761817604</v>
      </c>
      <c r="D1366">
        <v>1.0079519998215201</v>
      </c>
      <c r="E1366">
        <v>0.89917585793648902</v>
      </c>
      <c r="F1366">
        <v>0.83521523379879503</v>
      </c>
      <c r="G1366">
        <v>0.63784953444807602</v>
      </c>
      <c r="H1366">
        <v>0.54335579700908898</v>
      </c>
      <c r="I1366">
        <v>0.30299902880228802</v>
      </c>
      <c r="J1366">
        <v>0.19493983088971001</v>
      </c>
      <c r="K1366">
        <v>0.13368744451515499</v>
      </c>
      <c r="L1366">
        <v>670.126164509109</v>
      </c>
      <c r="M1366">
        <v>11.755130173982799</v>
      </c>
      <c r="N1366">
        <v>57.007124178063698</v>
      </c>
      <c r="O1366">
        <v>55.432369967404199</v>
      </c>
      <c r="P1366">
        <v>-5.3029482245131397E-2</v>
      </c>
      <c r="Q1366">
        <v>0</v>
      </c>
      <c r="R1366">
        <v>0.99124232520719602</v>
      </c>
      <c r="S1366" t="s">
        <v>6949</v>
      </c>
      <c r="T1366" t="s">
        <v>11164</v>
      </c>
      <c r="U1366" t="s">
        <v>11164</v>
      </c>
      <c r="V1366" t="s">
        <v>11164</v>
      </c>
      <c r="W1366" t="s">
        <v>12501</v>
      </c>
      <c r="X1366">
        <v>10</v>
      </c>
      <c r="Y1366" t="s">
        <v>18030</v>
      </c>
      <c r="Z1366" t="s">
        <v>23516</v>
      </c>
      <c r="AA1366">
        <v>0.6710146651013642</v>
      </c>
      <c r="AB1366" t="str">
        <f>HYPERLINK("Melting_Curves/meltCurve_O43633_CHMP2A.pdf", "Melting_Curves/meltCurve_O43633_CHMP2A.pdf")</f>
        <v>Melting_Curves/meltCurve_O43633_CHMP2A.pdf</v>
      </c>
    </row>
    <row r="1367" spans="1:28" x14ac:dyDescent="0.25">
      <c r="A1367" t="s">
        <v>1371</v>
      </c>
      <c r="B1367">
        <v>0.99796759195183404</v>
      </c>
      <c r="C1367">
        <v>0.897420722719803</v>
      </c>
      <c r="D1367">
        <v>0.82757126473017495</v>
      </c>
      <c r="E1367">
        <v>0.91173641578634901</v>
      </c>
      <c r="F1367">
        <v>0.60712581838406399</v>
      </c>
      <c r="G1367">
        <v>0.242492266218573</v>
      </c>
      <c r="H1367">
        <v>0.17804052979893201</v>
      </c>
      <c r="I1367">
        <v>0.13730373667746301</v>
      </c>
      <c r="J1367">
        <v>0.120405950656006</v>
      </c>
      <c r="K1367">
        <v>0.115292563811888</v>
      </c>
      <c r="L1367">
        <v>1174.45472990743</v>
      </c>
      <c r="M1367">
        <v>23.269145701758401</v>
      </c>
      <c r="N1367">
        <v>51.035386957886203</v>
      </c>
      <c r="O1367">
        <v>50.104255460604797</v>
      </c>
      <c r="P1367">
        <v>-0.102967821982932</v>
      </c>
      <c r="Q1367">
        <v>0.113154175599009</v>
      </c>
      <c r="R1367">
        <v>0.97060458973708696</v>
      </c>
      <c r="S1367" t="s">
        <v>6950</v>
      </c>
      <c r="T1367" t="s">
        <v>11164</v>
      </c>
      <c r="U1367" t="s">
        <v>11164</v>
      </c>
      <c r="V1367" t="s">
        <v>11164</v>
      </c>
      <c r="W1367" t="s">
        <v>12502</v>
      </c>
      <c r="X1367">
        <v>2</v>
      </c>
      <c r="Y1367" t="s">
        <v>18031</v>
      </c>
      <c r="Z1367" t="s">
        <v>23517</v>
      </c>
      <c r="AA1367">
        <v>0.52033071694150324</v>
      </c>
      <c r="AB1367" t="str">
        <f>HYPERLINK("Melting_Curves/meltCurve_O43639_NCK2.pdf", "Melting_Curves/meltCurve_O43639_NCK2.pdf")</f>
        <v>Melting_Curves/meltCurve_O43639_NCK2.pdf</v>
      </c>
    </row>
    <row r="1368" spans="1:28" x14ac:dyDescent="0.25">
      <c r="A1368" t="s">
        <v>1372</v>
      </c>
      <c r="B1368">
        <v>0.99796759195183404</v>
      </c>
      <c r="C1368">
        <v>1.05414329251929</v>
      </c>
      <c r="D1368">
        <v>1.0163178294858499</v>
      </c>
      <c r="E1368">
        <v>0.91939912642556798</v>
      </c>
      <c r="F1368">
        <v>0.78907413516533598</v>
      </c>
      <c r="G1368">
        <v>0.44493604344430099</v>
      </c>
      <c r="H1368">
        <v>0.62559712077472396</v>
      </c>
      <c r="I1368">
        <v>0.58299943902117801</v>
      </c>
      <c r="J1368">
        <v>0.61819162801232097</v>
      </c>
      <c r="K1368">
        <v>0.48238604463732998</v>
      </c>
      <c r="L1368">
        <v>12556.115481097901</v>
      </c>
      <c r="M1368">
        <v>250</v>
      </c>
      <c r="O1368">
        <v>50.221261260935499</v>
      </c>
      <c r="P1368">
        <v>-0.55899888662231101</v>
      </c>
      <c r="Q1368">
        <v>0.55082205352758895</v>
      </c>
      <c r="R1368">
        <v>0.92349233540815701</v>
      </c>
      <c r="S1368" t="s">
        <v>6951</v>
      </c>
      <c r="T1368" t="s">
        <v>11164</v>
      </c>
      <c r="U1368" t="s">
        <v>11164</v>
      </c>
      <c r="V1368" t="s">
        <v>11164</v>
      </c>
      <c r="W1368" t="s">
        <v>12503</v>
      </c>
      <c r="X1368">
        <v>1</v>
      </c>
      <c r="Y1368" t="s">
        <v>18032</v>
      </c>
      <c r="Z1368" t="s">
        <v>23518</v>
      </c>
      <c r="AA1368">
        <v>0.7488662004996185</v>
      </c>
      <c r="AB1368" t="str">
        <f>HYPERLINK("Melting_Curves/meltCurve_O43657_TSPAN6.pdf", "Melting_Curves/meltCurve_O43657_TSPAN6.pdf")</f>
        <v>Melting_Curves/meltCurve_O43657_TSPAN6.pdf</v>
      </c>
    </row>
    <row r="1369" spans="1:28" x14ac:dyDescent="0.25">
      <c r="A1369" t="s">
        <v>1373</v>
      </c>
      <c r="B1369">
        <v>0.99796759195183404</v>
      </c>
      <c r="C1369">
        <v>0.902221837255893</v>
      </c>
      <c r="D1369">
        <v>0.94553158898766099</v>
      </c>
      <c r="E1369">
        <v>0.93718304958818799</v>
      </c>
      <c r="F1369">
        <v>0.78357222854965802</v>
      </c>
      <c r="G1369">
        <v>0.43484054577815601</v>
      </c>
      <c r="H1369">
        <v>0.31716454268571498</v>
      </c>
      <c r="I1369">
        <v>0.209549365952234</v>
      </c>
      <c r="J1369">
        <v>0.19419590343791501</v>
      </c>
      <c r="K1369">
        <v>0.15635355584469099</v>
      </c>
      <c r="L1369">
        <v>1060.8035836746999</v>
      </c>
      <c r="M1369">
        <v>20.251728180417899</v>
      </c>
      <c r="N1369">
        <v>53.436400131206597</v>
      </c>
      <c r="O1369">
        <v>51.8781753176603</v>
      </c>
      <c r="P1369">
        <v>-8.1507261775348394E-2</v>
      </c>
      <c r="Q1369">
        <v>0.16484815535413</v>
      </c>
      <c r="R1369">
        <v>0.98685294107191102</v>
      </c>
      <c r="S1369" t="s">
        <v>6952</v>
      </c>
      <c r="T1369" t="s">
        <v>11164</v>
      </c>
      <c r="U1369" t="s">
        <v>11164</v>
      </c>
      <c r="V1369" t="s">
        <v>11164</v>
      </c>
      <c r="W1369" t="s">
        <v>12504</v>
      </c>
      <c r="X1369">
        <v>9</v>
      </c>
      <c r="Y1369" t="s">
        <v>18033</v>
      </c>
      <c r="Z1369" t="s">
        <v>23519</v>
      </c>
      <c r="AA1369">
        <v>0.60352462252503469</v>
      </c>
      <c r="AB1369" t="str">
        <f>HYPERLINK("Melting_Curves/meltCurve_O43665_2_RGS10.pdf", "Melting_Curves/meltCurve_O43665_2_RGS10.pdf")</f>
        <v>Melting_Curves/meltCurve_O43665_2_RGS10.pdf</v>
      </c>
    </row>
    <row r="1370" spans="1:28" x14ac:dyDescent="0.25">
      <c r="A1370" t="s">
        <v>1374</v>
      </c>
      <c r="B1370">
        <v>0.99796759195183404</v>
      </c>
      <c r="C1370">
        <v>0.93169134942312004</v>
      </c>
      <c r="D1370">
        <v>0.89896746039521402</v>
      </c>
      <c r="E1370">
        <v>0.92722157512400305</v>
      </c>
      <c r="F1370">
        <v>0.91381319505208902</v>
      </c>
      <c r="G1370">
        <v>0.87410316680461198</v>
      </c>
      <c r="H1370">
        <v>1.3694777953686601</v>
      </c>
      <c r="I1370">
        <v>1.86927230030311</v>
      </c>
      <c r="J1370">
        <v>2.7334749969615202</v>
      </c>
      <c r="K1370">
        <v>1.79186697977048</v>
      </c>
      <c r="L1370">
        <v>14290.2724967908</v>
      </c>
      <c r="M1370">
        <v>250</v>
      </c>
      <c r="O1370">
        <v>57.157431393352397</v>
      </c>
      <c r="P1370">
        <v>0.54673554972949301</v>
      </c>
      <c r="Q1370">
        <v>1.5</v>
      </c>
      <c r="R1370">
        <v>0.48567324935146999</v>
      </c>
      <c r="S1370" t="s">
        <v>6953</v>
      </c>
      <c r="T1370" t="s">
        <v>11164</v>
      </c>
      <c r="U1370" t="s">
        <v>11164</v>
      </c>
      <c r="V1370" t="s">
        <v>11164</v>
      </c>
      <c r="W1370" t="s">
        <v>12505</v>
      </c>
      <c r="X1370">
        <v>4</v>
      </c>
      <c r="Y1370" t="s">
        <v>18034</v>
      </c>
      <c r="Z1370" t="s">
        <v>23520</v>
      </c>
      <c r="AA1370">
        <v>1.163931675135629</v>
      </c>
      <c r="AB1370" t="str">
        <f>HYPERLINK("Melting_Curves/meltCurve_O43676_NDUFB3.pdf", "Melting_Curves/meltCurve_O43676_NDUFB3.pdf")</f>
        <v>Melting_Curves/meltCurve_O43676_NDUFB3.pdf</v>
      </c>
    </row>
    <row r="1371" spans="1:28" x14ac:dyDescent="0.25">
      <c r="A1371" t="s">
        <v>1375</v>
      </c>
      <c r="B1371">
        <v>0.99796759195183404</v>
      </c>
      <c r="C1371">
        <v>1.14726144994952</v>
      </c>
      <c r="D1371">
        <v>1.12925452404028</v>
      </c>
      <c r="E1371">
        <v>1.10848968498511</v>
      </c>
      <c r="F1371">
        <v>0.92583609029582004</v>
      </c>
      <c r="G1371">
        <v>0.64325708892169198</v>
      </c>
      <c r="H1371">
        <v>0.761213722255772</v>
      </c>
      <c r="I1371">
        <v>1.0133465225557601</v>
      </c>
      <c r="J1371">
        <v>1.47836792962617</v>
      </c>
      <c r="K1371">
        <v>1.0962801709674901</v>
      </c>
      <c r="L1371">
        <v>15000</v>
      </c>
      <c r="M1371">
        <v>242.92288718559001</v>
      </c>
      <c r="O1371">
        <v>61.743804973179301</v>
      </c>
      <c r="P1371">
        <v>0.28260276134852003</v>
      </c>
      <c r="Q1371">
        <v>1.2873170157096301</v>
      </c>
      <c r="R1371">
        <v>0.33292915945770801</v>
      </c>
      <c r="S1371" t="s">
        <v>6954</v>
      </c>
      <c r="T1371" t="s">
        <v>11164</v>
      </c>
      <c r="U1371" t="s">
        <v>11164</v>
      </c>
      <c r="V1371" t="s">
        <v>11164</v>
      </c>
      <c r="W1371" t="s">
        <v>12506</v>
      </c>
      <c r="X1371">
        <v>2</v>
      </c>
      <c r="Y1371" t="s">
        <v>18035</v>
      </c>
      <c r="Z1371" t="s">
        <v>23521</v>
      </c>
      <c r="AA1371">
        <v>1.050266751718105</v>
      </c>
      <c r="AB1371" t="str">
        <f>HYPERLINK("Melting_Curves/meltCurve_O43677_NDUFC1.pdf", "Melting_Curves/meltCurve_O43677_NDUFC1.pdf")</f>
        <v>Melting_Curves/meltCurve_O43677_NDUFC1.pdf</v>
      </c>
    </row>
    <row r="1372" spans="1:28" x14ac:dyDescent="0.25">
      <c r="A1372" t="s">
        <v>1376</v>
      </c>
      <c r="B1372">
        <v>0.99796759195183404</v>
      </c>
      <c r="C1372">
        <v>1.08019098596429</v>
      </c>
      <c r="D1372">
        <v>1.0607625154728999</v>
      </c>
      <c r="E1372">
        <v>0.94778041142814895</v>
      </c>
      <c r="F1372">
        <v>0.77806483237764001</v>
      </c>
      <c r="G1372">
        <v>1.1338211454438301</v>
      </c>
      <c r="H1372">
        <v>0.81872522966713801</v>
      </c>
      <c r="I1372">
        <v>0.43145839711421402</v>
      </c>
      <c r="J1372">
        <v>0.52286895841431402</v>
      </c>
      <c r="K1372">
        <v>0.50926990349968904</v>
      </c>
      <c r="L1372">
        <v>14384.536365621399</v>
      </c>
      <c r="M1372">
        <v>250</v>
      </c>
      <c r="N1372">
        <v>58.406904239851698</v>
      </c>
      <c r="O1372">
        <v>57.534463747057202</v>
      </c>
      <c r="P1372">
        <v>-0.55633430804639405</v>
      </c>
      <c r="Q1372">
        <v>0.48786566642358498</v>
      </c>
      <c r="R1372">
        <v>0.86063410670567597</v>
      </c>
      <c r="S1372" t="s">
        <v>6955</v>
      </c>
      <c r="T1372" t="s">
        <v>11164</v>
      </c>
      <c r="U1372" t="s">
        <v>11164</v>
      </c>
      <c r="V1372" t="s">
        <v>11164</v>
      </c>
      <c r="W1372" t="s">
        <v>12507</v>
      </c>
      <c r="X1372">
        <v>6</v>
      </c>
      <c r="Y1372" t="s">
        <v>18036</v>
      </c>
      <c r="Z1372" t="s">
        <v>23522</v>
      </c>
      <c r="AA1372">
        <v>0.83852702898340781</v>
      </c>
      <c r="AB1372" t="str">
        <f>HYPERLINK("Melting_Curves/meltCurve_O43678_NDUFA2.pdf", "Melting_Curves/meltCurve_O43678_NDUFA2.pdf")</f>
        <v>Melting_Curves/meltCurve_O43678_NDUFA2.pdf</v>
      </c>
    </row>
    <row r="1373" spans="1:28" x14ac:dyDescent="0.25">
      <c r="A1373" t="s">
        <v>1377</v>
      </c>
      <c r="B1373">
        <v>0.99796759195183404</v>
      </c>
      <c r="C1373">
        <v>1.01591390956561</v>
      </c>
      <c r="D1373">
        <v>0.98975283788052604</v>
      </c>
      <c r="E1373">
        <v>0.922470961765681</v>
      </c>
      <c r="F1373">
        <v>0.83699619869901898</v>
      </c>
      <c r="G1373">
        <v>0.94523823662539497</v>
      </c>
      <c r="H1373">
        <v>0.66384956522010596</v>
      </c>
      <c r="I1373">
        <v>0.45385977112874099</v>
      </c>
      <c r="J1373">
        <v>0.32652703982320402</v>
      </c>
      <c r="K1373">
        <v>6.6041654959065096E-2</v>
      </c>
      <c r="L1373">
        <v>998.01678125242802</v>
      </c>
      <c r="M1373">
        <v>16.590045476108202</v>
      </c>
      <c r="N1373">
        <v>60.157568124078601</v>
      </c>
      <c r="O1373">
        <v>59.303893414509503</v>
      </c>
      <c r="P1373">
        <v>-6.9941349459925903E-2</v>
      </c>
      <c r="Q1373">
        <v>0</v>
      </c>
      <c r="R1373">
        <v>0.96141098178565199</v>
      </c>
      <c r="S1373" t="s">
        <v>6956</v>
      </c>
      <c r="T1373" t="s">
        <v>11164</v>
      </c>
      <c r="U1373" t="s">
        <v>11164</v>
      </c>
      <c r="V1373" t="s">
        <v>11164</v>
      </c>
      <c r="W1373" t="s">
        <v>12508</v>
      </c>
      <c r="X1373">
        <v>5</v>
      </c>
      <c r="Y1373" t="s">
        <v>18037</v>
      </c>
      <c r="Z1373" t="s">
        <v>23523</v>
      </c>
      <c r="AA1373">
        <v>0.76739168526709201</v>
      </c>
      <c r="AB1373" t="str">
        <f>HYPERLINK("Melting_Curves/meltCurve_O43681_ASNA1.pdf", "Melting_Curves/meltCurve_O43681_ASNA1.pdf")</f>
        <v>Melting_Curves/meltCurve_O43681_ASNA1.pdf</v>
      </c>
    </row>
    <row r="1374" spans="1:28" x14ac:dyDescent="0.25">
      <c r="A1374" t="s">
        <v>1378</v>
      </c>
      <c r="B1374">
        <v>0.99796759195183404</v>
      </c>
      <c r="C1374">
        <v>1.0163062497973001</v>
      </c>
      <c r="D1374">
        <v>1.00072605850776</v>
      </c>
      <c r="E1374">
        <v>0.96300257418399304</v>
      </c>
      <c r="F1374">
        <v>0.84408729366827395</v>
      </c>
      <c r="G1374">
        <v>0.53679945641160998</v>
      </c>
      <c r="H1374">
        <v>0.45246149667244401</v>
      </c>
      <c r="I1374">
        <v>0.325614979274855</v>
      </c>
      <c r="J1374">
        <v>0.17291680858733199</v>
      </c>
      <c r="K1374">
        <v>0.110479283447699</v>
      </c>
      <c r="L1374">
        <v>725.05256097730796</v>
      </c>
      <c r="M1374">
        <v>13.0363729881845</v>
      </c>
      <c r="N1374">
        <v>55.982697242235602</v>
      </c>
      <c r="O1374">
        <v>54.357739040697702</v>
      </c>
      <c r="P1374">
        <v>-5.75234633411119E-2</v>
      </c>
      <c r="Q1374">
        <v>4.0745743195377403E-2</v>
      </c>
      <c r="R1374">
        <v>0.98710547424009498</v>
      </c>
      <c r="S1374" t="s">
        <v>6957</v>
      </c>
      <c r="T1374" t="s">
        <v>11164</v>
      </c>
      <c r="U1374" t="s">
        <v>11164</v>
      </c>
      <c r="V1374" t="s">
        <v>11164</v>
      </c>
      <c r="W1374" t="s">
        <v>12509</v>
      </c>
      <c r="X1374">
        <v>18</v>
      </c>
      <c r="Y1374" t="s">
        <v>18038</v>
      </c>
      <c r="Z1374" t="s">
        <v>23524</v>
      </c>
      <c r="AA1374">
        <v>0.64779393405063423</v>
      </c>
      <c r="AB1374" t="str">
        <f>HYPERLINK("Melting_Curves/meltCurve_O43684_BUB3.pdf", "Melting_Curves/meltCurve_O43684_BUB3.pdf")</f>
        <v>Melting_Curves/meltCurve_O43684_BUB3.pdf</v>
      </c>
    </row>
    <row r="1375" spans="1:28" x14ac:dyDescent="0.25">
      <c r="A1375" t="s">
        <v>1379</v>
      </c>
      <c r="B1375">
        <v>0.99796759195183404</v>
      </c>
      <c r="C1375">
        <v>2.5255028326573798</v>
      </c>
      <c r="D1375">
        <v>1.51644584990475</v>
      </c>
      <c r="E1375">
        <v>1.3430038743353301</v>
      </c>
      <c r="F1375">
        <v>2.4281788325745399</v>
      </c>
      <c r="G1375">
        <v>1.81459818930695</v>
      </c>
      <c r="H1375">
        <v>1.10654419555382</v>
      </c>
      <c r="I1375">
        <v>0.85579749585487896</v>
      </c>
      <c r="J1375">
        <v>0.245336339314039</v>
      </c>
      <c r="K1375">
        <v>4.7435209452224202E-2</v>
      </c>
      <c r="L1375">
        <v>3886.1137484849801</v>
      </c>
      <c r="M1375">
        <v>61.900744835181101</v>
      </c>
      <c r="N1375">
        <v>62.842893009634103</v>
      </c>
      <c r="O1375">
        <v>62.714337303835599</v>
      </c>
      <c r="P1375">
        <v>-0.23931540119783301</v>
      </c>
      <c r="Q1375">
        <v>3.0157028169537799E-2</v>
      </c>
      <c r="R1375">
        <v>0.109458395334218</v>
      </c>
      <c r="S1375" t="s">
        <v>6958</v>
      </c>
      <c r="T1375" t="s">
        <v>11164</v>
      </c>
      <c r="U1375" t="s">
        <v>11164</v>
      </c>
      <c r="V1375" t="s">
        <v>11164</v>
      </c>
      <c r="W1375" t="s">
        <v>12510</v>
      </c>
      <c r="X1375">
        <v>18</v>
      </c>
      <c r="Y1375" t="s">
        <v>18038</v>
      </c>
      <c r="Z1375" t="s">
        <v>23525</v>
      </c>
      <c r="AA1375">
        <v>0.86454000593085623</v>
      </c>
      <c r="AB1375" t="str">
        <f>HYPERLINK("Melting_Curves/meltCurve_O43684_2_BUB3.pdf", "Melting_Curves/meltCurve_O43684_2_BUB3.pdf")</f>
        <v>Melting_Curves/meltCurve_O43684_2_BUB3.pdf</v>
      </c>
    </row>
    <row r="1376" spans="1:28" x14ac:dyDescent="0.25">
      <c r="A1376" t="s">
        <v>1380</v>
      </c>
      <c r="B1376">
        <v>0.99796759195183404</v>
      </c>
      <c r="C1376">
        <v>1.0176205792669799</v>
      </c>
      <c r="D1376">
        <v>0.98654630523891196</v>
      </c>
      <c r="E1376">
        <v>0.92338874702886597</v>
      </c>
      <c r="F1376">
        <v>0.83145361434679299</v>
      </c>
      <c r="G1376">
        <v>0.83783451214388405</v>
      </c>
      <c r="H1376">
        <v>0.77178673215548999</v>
      </c>
      <c r="I1376">
        <v>0.58177978562113997</v>
      </c>
      <c r="J1376">
        <v>0.31822251945887098</v>
      </c>
      <c r="K1376">
        <v>0.11220132897484</v>
      </c>
      <c r="L1376">
        <v>963.83022092934596</v>
      </c>
      <c r="M1376">
        <v>15.7693723255311</v>
      </c>
      <c r="N1376">
        <v>61.120392984424697</v>
      </c>
      <c r="O1376">
        <v>60.162816745177501</v>
      </c>
      <c r="P1376">
        <v>-6.5533341634315304E-2</v>
      </c>
      <c r="Q1376">
        <v>0</v>
      </c>
      <c r="R1376">
        <v>0.95080411061307901</v>
      </c>
      <c r="S1376" t="s">
        <v>6959</v>
      </c>
      <c r="T1376" t="s">
        <v>11164</v>
      </c>
      <c r="U1376" t="s">
        <v>11164</v>
      </c>
      <c r="V1376" t="s">
        <v>11164</v>
      </c>
      <c r="W1376" t="s">
        <v>12511</v>
      </c>
      <c r="X1376">
        <v>38</v>
      </c>
      <c r="Y1376" t="s">
        <v>18039</v>
      </c>
      <c r="Z1376" t="s">
        <v>23526</v>
      </c>
      <c r="AA1376">
        <v>0.79128816061876217</v>
      </c>
      <c r="AB1376" t="str">
        <f>HYPERLINK("Melting_Curves/meltCurve_O43707_ACTN4.pdf", "Melting_Curves/meltCurve_O43707_ACTN4.pdf")</f>
        <v>Melting_Curves/meltCurve_O43707_ACTN4.pdf</v>
      </c>
    </row>
    <row r="1377" spans="1:28" x14ac:dyDescent="0.25">
      <c r="A1377" t="s">
        <v>1381</v>
      </c>
      <c r="B1377">
        <v>0.99796759195183404</v>
      </c>
      <c r="C1377">
        <v>1.17019282126263</v>
      </c>
      <c r="D1377">
        <v>1.0534205318560601</v>
      </c>
      <c r="E1377">
        <v>1.06801713740807</v>
      </c>
      <c r="F1377">
        <v>0.97634302491313096</v>
      </c>
      <c r="G1377">
        <v>0.83625325349256197</v>
      </c>
      <c r="H1377">
        <v>0.51466980337531398</v>
      </c>
      <c r="I1377">
        <v>0.24595899905881899</v>
      </c>
      <c r="J1377">
        <v>0.12401022339619699</v>
      </c>
      <c r="K1377">
        <v>0.136376523869359</v>
      </c>
      <c r="L1377">
        <v>1496.17948005524</v>
      </c>
      <c r="M1377">
        <v>26.244877954072301</v>
      </c>
      <c r="N1377">
        <v>57.5085260344894</v>
      </c>
      <c r="O1377">
        <v>56.680543912037599</v>
      </c>
      <c r="P1377">
        <v>-0.103948652894484</v>
      </c>
      <c r="Q1377">
        <v>0.102026557639167</v>
      </c>
      <c r="R1377">
        <v>0.97563245458370296</v>
      </c>
      <c r="S1377" t="s">
        <v>6960</v>
      </c>
      <c r="T1377" t="s">
        <v>11164</v>
      </c>
      <c r="U1377" t="s">
        <v>11164</v>
      </c>
      <c r="V1377" t="s">
        <v>11164</v>
      </c>
      <c r="W1377" t="s">
        <v>12512</v>
      </c>
      <c r="X1377">
        <v>3</v>
      </c>
      <c r="Y1377" t="s">
        <v>18040</v>
      </c>
      <c r="Z1377" t="s">
        <v>23527</v>
      </c>
      <c r="AA1377">
        <v>0.70728837244356813</v>
      </c>
      <c r="AB1377" t="str">
        <f>HYPERLINK("Melting_Curves/meltCurve_O43709_WBSCR22.pdf", "Melting_Curves/meltCurve_O43709_WBSCR22.pdf")</f>
        <v>Melting_Curves/meltCurve_O43709_WBSCR22.pdf</v>
      </c>
    </row>
    <row r="1378" spans="1:28" x14ac:dyDescent="0.25">
      <c r="A1378" t="s">
        <v>1382</v>
      </c>
      <c r="B1378">
        <v>0.99796759195183404</v>
      </c>
      <c r="C1378">
        <v>0.98719443095133197</v>
      </c>
      <c r="D1378">
        <v>0.93992362955287401</v>
      </c>
      <c r="E1378">
        <v>0.92636227974430896</v>
      </c>
      <c r="F1378">
        <v>0.811144240016482</v>
      </c>
      <c r="G1378">
        <v>0.59623904981505704</v>
      </c>
      <c r="H1378">
        <v>0.55156625401265802</v>
      </c>
      <c r="I1378">
        <v>0.59378759174308204</v>
      </c>
      <c r="J1378">
        <v>0.85506613195633296</v>
      </c>
      <c r="K1378">
        <v>0.73713545520496604</v>
      </c>
      <c r="L1378">
        <v>1740.6342187221801</v>
      </c>
      <c r="M1378">
        <v>35.445822738732197</v>
      </c>
      <c r="O1378">
        <v>48.951387284439498</v>
      </c>
      <c r="P1378">
        <v>-5.99927460255038E-2</v>
      </c>
      <c r="Q1378">
        <v>0.66859647447150305</v>
      </c>
      <c r="R1378">
        <v>0.72334136125575899</v>
      </c>
      <c r="S1378" t="s">
        <v>6961</v>
      </c>
      <c r="T1378" t="s">
        <v>11164</v>
      </c>
      <c r="U1378" t="s">
        <v>11164</v>
      </c>
      <c r="V1378" t="s">
        <v>11164</v>
      </c>
      <c r="W1378" t="s">
        <v>12513</v>
      </c>
      <c r="X1378">
        <v>7</v>
      </c>
      <c r="Y1378" t="s">
        <v>18041</v>
      </c>
      <c r="Z1378" t="s">
        <v>23528</v>
      </c>
      <c r="AA1378">
        <v>0.80377286555278105</v>
      </c>
      <c r="AB1378" t="str">
        <f>HYPERLINK("Melting_Curves/meltCurve_O43715_TRIAP1.pdf", "Melting_Curves/meltCurve_O43715_TRIAP1.pdf")</f>
        <v>Melting_Curves/meltCurve_O43715_TRIAP1.pdf</v>
      </c>
    </row>
    <row r="1379" spans="1:28" x14ac:dyDescent="0.25">
      <c r="A1379" t="s">
        <v>1383</v>
      </c>
      <c r="B1379">
        <v>0.99796759195183404</v>
      </c>
      <c r="C1379">
        <v>1.0878790919739201</v>
      </c>
      <c r="D1379">
        <v>0.98652160997472105</v>
      </c>
      <c r="E1379">
        <v>0.80462583032556101</v>
      </c>
      <c r="F1379">
        <v>0.32710553475999599</v>
      </c>
      <c r="G1379">
        <v>0.29851427172291201</v>
      </c>
      <c r="H1379">
        <v>0.33055930278684498</v>
      </c>
      <c r="I1379">
        <v>0.23830655144347099</v>
      </c>
      <c r="J1379">
        <v>0.21521439573381301</v>
      </c>
      <c r="K1379">
        <v>0.12727996545530901</v>
      </c>
      <c r="L1379">
        <v>1888.2165809746</v>
      </c>
      <c r="M1379">
        <v>39.480524698928498</v>
      </c>
      <c r="N1379">
        <v>48.620976952146499</v>
      </c>
      <c r="O1379">
        <v>47.7043293340624</v>
      </c>
      <c r="P1379">
        <v>-0.15772317048545301</v>
      </c>
      <c r="Q1379">
        <v>0.23769398813846199</v>
      </c>
      <c r="R1379">
        <v>0.97545691406608503</v>
      </c>
      <c r="S1379" t="s">
        <v>6962</v>
      </c>
      <c r="T1379" t="s">
        <v>11164</v>
      </c>
      <c r="U1379" t="s">
        <v>11164</v>
      </c>
      <c r="V1379" t="s">
        <v>11164</v>
      </c>
      <c r="W1379" t="s">
        <v>12514</v>
      </c>
      <c r="X1379">
        <v>3</v>
      </c>
      <c r="Y1379" t="s">
        <v>18042</v>
      </c>
      <c r="Z1379" t="s">
        <v>23529</v>
      </c>
      <c r="AA1379">
        <v>0.51538592419321017</v>
      </c>
      <c r="AB1379" t="str">
        <f>HYPERLINK("Melting_Curves/meltCurve_O43719_HTATSF1.pdf", "Melting_Curves/meltCurve_O43719_HTATSF1.pdf")</f>
        <v>Melting_Curves/meltCurve_O43719_HTATSF1.pdf</v>
      </c>
    </row>
    <row r="1380" spans="1:28" x14ac:dyDescent="0.25">
      <c r="A1380" t="s">
        <v>1384</v>
      </c>
      <c r="B1380">
        <v>0.99796759195183404</v>
      </c>
      <c r="C1380">
        <v>1.0486280861880599</v>
      </c>
      <c r="D1380">
        <v>1.0051887332544001</v>
      </c>
      <c r="E1380">
        <v>0.89309153099070504</v>
      </c>
      <c r="F1380">
        <v>0.79194215277707702</v>
      </c>
      <c r="G1380">
        <v>0.43277405435968003</v>
      </c>
      <c r="H1380">
        <v>0.36647215154379198</v>
      </c>
      <c r="I1380">
        <v>0.35913928311160598</v>
      </c>
      <c r="J1380">
        <v>0.28574804602238002</v>
      </c>
      <c r="K1380">
        <v>0.19703108919463999</v>
      </c>
      <c r="L1380">
        <v>1076.0489078329001</v>
      </c>
      <c r="M1380">
        <v>20.798982703308901</v>
      </c>
      <c r="N1380">
        <v>53.637553630202298</v>
      </c>
      <c r="O1380">
        <v>51.264522595427799</v>
      </c>
      <c r="P1380">
        <v>-7.4974298402349898E-2</v>
      </c>
      <c r="Q1380">
        <v>0.260845683898909</v>
      </c>
      <c r="R1380">
        <v>0.98058844327992101</v>
      </c>
      <c r="S1380" t="s">
        <v>6963</v>
      </c>
      <c r="T1380" t="s">
        <v>11164</v>
      </c>
      <c r="U1380" t="s">
        <v>11164</v>
      </c>
      <c r="V1380" t="s">
        <v>11164</v>
      </c>
      <c r="W1380" t="s">
        <v>12515</v>
      </c>
      <c r="X1380">
        <v>3</v>
      </c>
      <c r="Y1380" t="s">
        <v>18043</v>
      </c>
      <c r="Z1380" t="s">
        <v>23530</v>
      </c>
      <c r="AA1380">
        <v>0.63291053678075326</v>
      </c>
      <c r="AB1380" t="str">
        <f>HYPERLINK("Melting_Curves/meltCurve_O43752_STX6.pdf", "Melting_Curves/meltCurve_O43752_STX6.pdf")</f>
        <v>Melting_Curves/meltCurve_O43752_STX6.pdf</v>
      </c>
    </row>
    <row r="1381" spans="1:28" x14ac:dyDescent="0.25">
      <c r="A1381" t="s">
        <v>1385</v>
      </c>
      <c r="B1381">
        <v>0.99796759195183404</v>
      </c>
      <c r="C1381">
        <v>1.03789218948991</v>
      </c>
      <c r="D1381">
        <v>1.0625685275852499</v>
      </c>
      <c r="E1381">
        <v>1.0232543194339601</v>
      </c>
      <c r="F1381">
        <v>0.83368343558952196</v>
      </c>
      <c r="G1381">
        <v>0.54196175469213503</v>
      </c>
      <c r="H1381">
        <v>0.22533307227667401</v>
      </c>
      <c r="I1381">
        <v>0.14598172643739599</v>
      </c>
      <c r="J1381">
        <v>0.134688976713293</v>
      </c>
      <c r="K1381">
        <v>0.11285221872462101</v>
      </c>
      <c r="L1381">
        <v>1387.0225265330801</v>
      </c>
      <c r="M1381">
        <v>25.928919839586602</v>
      </c>
      <c r="N1381">
        <v>54.018981614368599</v>
      </c>
      <c r="O1381">
        <v>53.178114908315997</v>
      </c>
      <c r="P1381">
        <v>-0.108305038520622</v>
      </c>
      <c r="Q1381">
        <v>0.111510841834126</v>
      </c>
      <c r="R1381">
        <v>0.99441340730514904</v>
      </c>
      <c r="S1381" t="s">
        <v>6964</v>
      </c>
      <c r="T1381" t="s">
        <v>11164</v>
      </c>
      <c r="U1381" t="s">
        <v>11164</v>
      </c>
      <c r="V1381" t="s">
        <v>11164</v>
      </c>
      <c r="W1381" t="s">
        <v>12516</v>
      </c>
      <c r="X1381">
        <v>19</v>
      </c>
      <c r="Y1381" t="s">
        <v>18044</v>
      </c>
      <c r="Z1381" t="s">
        <v>23531</v>
      </c>
      <c r="AA1381">
        <v>0.60732854352806454</v>
      </c>
      <c r="AB1381" t="str">
        <f>HYPERLINK("Melting_Curves/meltCurve_O43765_SGTA.pdf", "Melting_Curves/meltCurve_O43765_SGTA.pdf")</f>
        <v>Melting_Curves/meltCurve_O43765_SGTA.pdf</v>
      </c>
    </row>
    <row r="1382" spans="1:28" x14ac:dyDescent="0.25">
      <c r="A1382" t="s">
        <v>1386</v>
      </c>
      <c r="B1382">
        <v>0.99796759195183404</v>
      </c>
      <c r="C1382">
        <v>0.87019079519938503</v>
      </c>
      <c r="D1382">
        <v>0.96939388453626496</v>
      </c>
      <c r="E1382">
        <v>0.89726229573221905</v>
      </c>
      <c r="F1382">
        <v>0.70636747636543695</v>
      </c>
      <c r="G1382">
        <v>0.50310499661628605</v>
      </c>
      <c r="H1382">
        <v>0.46581370900999403</v>
      </c>
      <c r="I1382">
        <v>0.28593309918038601</v>
      </c>
      <c r="J1382">
        <v>0.37591679161022901</v>
      </c>
      <c r="K1382">
        <v>0.29993475880480702</v>
      </c>
      <c r="L1382">
        <v>750.64956072599296</v>
      </c>
      <c r="M1382">
        <v>14.603702328925699</v>
      </c>
      <c r="N1382">
        <v>54.622765042681003</v>
      </c>
      <c r="O1382">
        <v>50.466340761396999</v>
      </c>
      <c r="P1382">
        <v>-5.1464779485807702E-2</v>
      </c>
      <c r="Q1382">
        <v>0.28868784754798699</v>
      </c>
      <c r="R1382">
        <v>0.96442824642190195</v>
      </c>
      <c r="S1382" t="s">
        <v>6965</v>
      </c>
      <c r="T1382" t="s">
        <v>11164</v>
      </c>
      <c r="U1382" t="s">
        <v>11164</v>
      </c>
      <c r="V1382" t="s">
        <v>11164</v>
      </c>
      <c r="W1382" t="s">
        <v>12517</v>
      </c>
      <c r="X1382">
        <v>6</v>
      </c>
      <c r="Y1382" t="s">
        <v>18045</v>
      </c>
      <c r="Z1382" t="s">
        <v>23532</v>
      </c>
      <c r="AA1382">
        <v>0.64467675978545924</v>
      </c>
      <c r="AB1382" t="str">
        <f>HYPERLINK("Melting_Curves/meltCurve_O43766_LIAS.pdf", "Melting_Curves/meltCurve_O43766_LIAS.pdf")</f>
        <v>Melting_Curves/meltCurve_O43766_LIAS.pdf</v>
      </c>
    </row>
    <row r="1383" spans="1:28" x14ac:dyDescent="0.25">
      <c r="A1383" t="s">
        <v>1387</v>
      </c>
      <c r="B1383">
        <v>0.99796759195183404</v>
      </c>
      <c r="C1383">
        <v>1.09629777438305</v>
      </c>
      <c r="D1383">
        <v>1.0652413304278601</v>
      </c>
      <c r="E1383">
        <v>1.0466071861686499</v>
      </c>
      <c r="F1383">
        <v>0.96472600244377504</v>
      </c>
      <c r="G1383">
        <v>0.787827440809446</v>
      </c>
      <c r="H1383">
        <v>0.73215356168836199</v>
      </c>
      <c r="I1383">
        <v>0.700556569313313</v>
      </c>
      <c r="J1383">
        <v>0.92854114240305996</v>
      </c>
      <c r="K1383">
        <v>0.864730900142894</v>
      </c>
      <c r="L1383">
        <v>12626.5162363942</v>
      </c>
      <c r="M1383">
        <v>250</v>
      </c>
      <c r="O1383">
        <v>50.502832898648798</v>
      </c>
      <c r="P1383">
        <v>-0.24409284777337301</v>
      </c>
      <c r="Q1383">
        <v>0.80276191540985398</v>
      </c>
      <c r="R1383">
        <v>0.71702094754269197</v>
      </c>
      <c r="S1383" t="s">
        <v>6966</v>
      </c>
      <c r="T1383" t="s">
        <v>11164</v>
      </c>
      <c r="U1383" t="s">
        <v>11164</v>
      </c>
      <c r="V1383" t="s">
        <v>11164</v>
      </c>
      <c r="W1383" t="s">
        <v>12518</v>
      </c>
      <c r="X1383">
        <v>15</v>
      </c>
      <c r="Y1383" t="s">
        <v>18046</v>
      </c>
      <c r="Z1383" t="s">
        <v>23533</v>
      </c>
      <c r="AA1383">
        <v>0.89157641074641159</v>
      </c>
      <c r="AB1383" t="str">
        <f>HYPERLINK("Melting_Curves/meltCurve_O43768_ENSA.pdf", "Melting_Curves/meltCurve_O43768_ENSA.pdf")</f>
        <v>Melting_Curves/meltCurve_O43768_ENSA.pdf</v>
      </c>
    </row>
    <row r="1384" spans="1:28" x14ac:dyDescent="0.25">
      <c r="A1384" t="s">
        <v>1388</v>
      </c>
      <c r="B1384">
        <v>0.99796759195183404</v>
      </c>
      <c r="C1384">
        <v>0.81930375572576097</v>
      </c>
      <c r="D1384">
        <v>0.96428626737196199</v>
      </c>
      <c r="E1384">
        <v>0.83873836806314195</v>
      </c>
      <c r="F1384">
        <v>0.64095674441045503</v>
      </c>
      <c r="G1384">
        <v>0.49045003320939001</v>
      </c>
      <c r="H1384">
        <v>0.52552717345796396</v>
      </c>
      <c r="I1384">
        <v>0.45999884455552897</v>
      </c>
      <c r="J1384">
        <v>0.55091237357741196</v>
      </c>
      <c r="K1384">
        <v>0.472544577227693</v>
      </c>
      <c r="L1384">
        <v>951.60692173143696</v>
      </c>
      <c r="M1384">
        <v>19.8313176077856</v>
      </c>
      <c r="N1384">
        <v>58.384735111912804</v>
      </c>
      <c r="O1384">
        <v>47.505123714698499</v>
      </c>
      <c r="P1384">
        <v>-5.3709353456811597E-2</v>
      </c>
      <c r="Q1384">
        <v>0.48538293148560202</v>
      </c>
      <c r="R1384">
        <v>0.903827786355479</v>
      </c>
      <c r="S1384" t="s">
        <v>6967</v>
      </c>
      <c r="T1384" t="s">
        <v>11164</v>
      </c>
      <c r="U1384" t="s">
        <v>11164</v>
      </c>
      <c r="V1384" t="s">
        <v>11164</v>
      </c>
      <c r="W1384" t="s">
        <v>12519</v>
      </c>
      <c r="X1384">
        <v>4</v>
      </c>
      <c r="Y1384" t="s">
        <v>18047</v>
      </c>
      <c r="Z1384" t="s">
        <v>23534</v>
      </c>
      <c r="AA1384">
        <v>0.68068959416826225</v>
      </c>
      <c r="AB1384" t="str">
        <f>HYPERLINK("Melting_Curves/meltCurve_O43772_SLC25A20.pdf", "Melting_Curves/meltCurve_O43772_SLC25A20.pdf")</f>
        <v>Melting_Curves/meltCurve_O43772_SLC25A20.pdf</v>
      </c>
    </row>
    <row r="1385" spans="1:28" x14ac:dyDescent="0.25">
      <c r="A1385" t="s">
        <v>1389</v>
      </c>
      <c r="B1385">
        <v>0.99796759195183404</v>
      </c>
      <c r="C1385">
        <v>1.02085906595759</v>
      </c>
      <c r="D1385">
        <v>1.0139123754858701</v>
      </c>
      <c r="E1385">
        <v>1.0794876062690699</v>
      </c>
      <c r="F1385">
        <v>0.90122754842083996</v>
      </c>
      <c r="G1385">
        <v>1.0644531769952199</v>
      </c>
      <c r="H1385">
        <v>0.280077076530588</v>
      </c>
      <c r="I1385">
        <v>0.17101635127067299</v>
      </c>
      <c r="J1385">
        <v>0.134428017156354</v>
      </c>
      <c r="K1385">
        <v>0.101755625068168</v>
      </c>
      <c r="L1385">
        <v>14257.7613739465</v>
      </c>
      <c r="M1385">
        <v>250</v>
      </c>
      <c r="N1385">
        <v>57.103389728076699</v>
      </c>
      <c r="O1385">
        <v>57.027391663065401</v>
      </c>
      <c r="P1385">
        <v>-0.94720564053926304</v>
      </c>
      <c r="Q1385">
        <v>0.13573326414532599</v>
      </c>
      <c r="R1385">
        <v>0.98660015536479895</v>
      </c>
      <c r="S1385" t="s">
        <v>6968</v>
      </c>
      <c r="T1385" t="s">
        <v>11164</v>
      </c>
      <c r="U1385" t="s">
        <v>11164</v>
      </c>
      <c r="V1385" t="s">
        <v>11164</v>
      </c>
      <c r="W1385" t="s">
        <v>12259</v>
      </c>
      <c r="X1385">
        <v>20</v>
      </c>
      <c r="Y1385" t="s">
        <v>17790</v>
      </c>
      <c r="Z1385" t="s">
        <v>23535</v>
      </c>
      <c r="AA1385">
        <v>0.71289197760388023</v>
      </c>
      <c r="AB1385" t="str">
        <f>HYPERLINK("Melting_Curves/meltCurve_O43776_NARS.pdf", "Melting_Curves/meltCurve_O43776_NARS.pdf")</f>
        <v>Melting_Curves/meltCurve_O43776_NARS.pdf</v>
      </c>
    </row>
    <row r="1386" spans="1:28" x14ac:dyDescent="0.25">
      <c r="A1386" t="s">
        <v>1390</v>
      </c>
      <c r="B1386">
        <v>0.99796759195183404</v>
      </c>
      <c r="C1386">
        <v>1.0744292377823601</v>
      </c>
      <c r="D1386">
        <v>0.99052814197394501</v>
      </c>
      <c r="E1386">
        <v>0.93890190221449099</v>
      </c>
      <c r="F1386">
        <v>0.87241352718461995</v>
      </c>
      <c r="G1386">
        <v>0.69899014418676098</v>
      </c>
      <c r="H1386">
        <v>0.56155092066663104</v>
      </c>
      <c r="I1386">
        <v>0.432331119082348</v>
      </c>
      <c r="J1386">
        <v>0.53383092273536403</v>
      </c>
      <c r="K1386">
        <v>0.46519662563544401</v>
      </c>
      <c r="L1386">
        <v>1072.76523963878</v>
      </c>
      <c r="M1386">
        <v>20.247953664755499</v>
      </c>
      <c r="N1386">
        <v>60.692176984658403</v>
      </c>
      <c r="O1386">
        <v>52.472750442352201</v>
      </c>
      <c r="P1386">
        <v>-5.19187036735093E-2</v>
      </c>
      <c r="Q1386">
        <v>0.46182558825789399</v>
      </c>
      <c r="R1386">
        <v>0.97404698957765001</v>
      </c>
      <c r="S1386" t="s">
        <v>6969</v>
      </c>
      <c r="T1386" t="s">
        <v>11164</v>
      </c>
      <c r="U1386" t="s">
        <v>11164</v>
      </c>
      <c r="V1386" t="s">
        <v>11164</v>
      </c>
      <c r="W1386" t="s">
        <v>12520</v>
      </c>
      <c r="X1386">
        <v>10</v>
      </c>
      <c r="Y1386" t="s">
        <v>18048</v>
      </c>
      <c r="Z1386" t="s">
        <v>23536</v>
      </c>
      <c r="AA1386">
        <v>0.75518126129446705</v>
      </c>
      <c r="AB1386" t="str">
        <f>HYPERLINK("Melting_Curves/meltCurve_O43805_SSNA1.pdf", "Melting_Curves/meltCurve_O43805_SSNA1.pdf")</f>
        <v>Melting_Curves/meltCurve_O43805_SSNA1.pdf</v>
      </c>
    </row>
    <row r="1387" spans="1:28" x14ac:dyDescent="0.25">
      <c r="A1387" t="s">
        <v>1391</v>
      </c>
      <c r="B1387">
        <v>0.99796759195183404</v>
      </c>
      <c r="C1387">
        <v>0.96840707452403596</v>
      </c>
      <c r="D1387">
        <v>0.95889663617081899</v>
      </c>
      <c r="E1387">
        <v>0.86354187814112304</v>
      </c>
      <c r="F1387">
        <v>0.80354384811412105</v>
      </c>
      <c r="G1387">
        <v>0.67347827555015105</v>
      </c>
      <c r="H1387">
        <v>0.59370901821558897</v>
      </c>
      <c r="I1387">
        <v>0.39769869263577801</v>
      </c>
      <c r="J1387">
        <v>0.13102115557626501</v>
      </c>
      <c r="K1387">
        <v>9.0664411230213099E-2</v>
      </c>
      <c r="L1387">
        <v>673.407485503158</v>
      </c>
      <c r="M1387">
        <v>11.735679173052</v>
      </c>
      <c r="N1387">
        <v>57.381211315870097</v>
      </c>
      <c r="O1387">
        <v>55.791104098920798</v>
      </c>
      <c r="P1387">
        <v>-5.2601410655046102E-2</v>
      </c>
      <c r="Q1387">
        <v>0</v>
      </c>
      <c r="R1387">
        <v>0.96629803818249704</v>
      </c>
      <c r="S1387" t="s">
        <v>6970</v>
      </c>
      <c r="T1387" t="s">
        <v>11164</v>
      </c>
      <c r="U1387" t="s">
        <v>11164</v>
      </c>
      <c r="V1387" t="s">
        <v>11164</v>
      </c>
      <c r="W1387" t="s">
        <v>12521</v>
      </c>
      <c r="X1387">
        <v>5</v>
      </c>
      <c r="Y1387" t="s">
        <v>18049</v>
      </c>
      <c r="Z1387" t="s">
        <v>23537</v>
      </c>
      <c r="AA1387">
        <v>0.68122579933969807</v>
      </c>
      <c r="AB1387" t="str">
        <f>HYPERLINK("Melting_Curves/meltCurve_O43809_NUDT21.pdf", "Melting_Curves/meltCurve_O43809_NUDT21.pdf")</f>
        <v>Melting_Curves/meltCurve_O43809_NUDT21.pdf</v>
      </c>
    </row>
    <row r="1388" spans="1:28" x14ac:dyDescent="0.25">
      <c r="A1388" t="s">
        <v>1392</v>
      </c>
      <c r="B1388">
        <v>0.99796759195183404</v>
      </c>
      <c r="C1388">
        <v>0.98242961527100203</v>
      </c>
      <c r="D1388">
        <v>0.94500933855504599</v>
      </c>
      <c r="E1388">
        <v>0.86279950108259595</v>
      </c>
      <c r="F1388">
        <v>0.73990890087370897</v>
      </c>
      <c r="G1388">
        <v>0.63630539173910705</v>
      </c>
      <c r="H1388">
        <v>0.54244449123535099</v>
      </c>
      <c r="I1388">
        <v>0.43741667168063703</v>
      </c>
      <c r="J1388">
        <v>0.32254045870827103</v>
      </c>
      <c r="K1388">
        <v>0.120945408769144</v>
      </c>
      <c r="L1388">
        <v>490.06272312718102</v>
      </c>
      <c r="M1388">
        <v>8.5210252713428805</v>
      </c>
      <c r="N1388">
        <v>57.512173569202702</v>
      </c>
      <c r="O1388">
        <v>54.607061934761902</v>
      </c>
      <c r="P1388">
        <v>-3.9045463424890799E-2</v>
      </c>
      <c r="Q1388">
        <v>0</v>
      </c>
      <c r="R1388">
        <v>0.976477023607352</v>
      </c>
      <c r="S1388" t="s">
        <v>6971</v>
      </c>
      <c r="T1388" t="s">
        <v>11164</v>
      </c>
      <c r="U1388" t="s">
        <v>11164</v>
      </c>
      <c r="V1388" t="s">
        <v>11164</v>
      </c>
      <c r="W1388" t="s">
        <v>12522</v>
      </c>
      <c r="X1388">
        <v>13</v>
      </c>
      <c r="Y1388" t="s">
        <v>18050</v>
      </c>
      <c r="Z1388" t="s">
        <v>23538</v>
      </c>
      <c r="AA1388">
        <v>0.67135573711851737</v>
      </c>
      <c r="AB1388" t="str">
        <f>HYPERLINK("Melting_Curves/meltCurve_O43813_LANCL1.pdf", "Melting_Curves/meltCurve_O43813_LANCL1.pdf")</f>
        <v>Melting_Curves/meltCurve_O43813_LANCL1.pdf</v>
      </c>
    </row>
    <row r="1389" spans="1:28" x14ac:dyDescent="0.25">
      <c r="A1389" t="s">
        <v>1393</v>
      </c>
      <c r="B1389">
        <v>0.99796759195183404</v>
      </c>
      <c r="C1389">
        <v>0.96832581344527702</v>
      </c>
      <c r="D1389">
        <v>0.87639947525134199</v>
      </c>
      <c r="E1389">
        <v>0.81508534266474097</v>
      </c>
      <c r="F1389">
        <v>0.79082937803499198</v>
      </c>
      <c r="G1389">
        <v>1.64067736466096</v>
      </c>
      <c r="H1389">
        <v>0.92703694366545097</v>
      </c>
      <c r="I1389">
        <v>0.37215794914357397</v>
      </c>
      <c r="J1389">
        <v>0.19259098741739</v>
      </c>
      <c r="K1389">
        <v>0.15127997454259901</v>
      </c>
      <c r="L1389">
        <v>3681.7313458388098</v>
      </c>
      <c r="M1389">
        <v>61.472674338664802</v>
      </c>
      <c r="N1389">
        <v>60.282820571709401</v>
      </c>
      <c r="O1389">
        <v>59.828872310588999</v>
      </c>
      <c r="P1389">
        <v>-0.21466692222478301</v>
      </c>
      <c r="Q1389">
        <v>0.164293653093015</v>
      </c>
      <c r="R1389">
        <v>0.71260161830485402</v>
      </c>
      <c r="S1389" t="s">
        <v>6972</v>
      </c>
      <c r="T1389" t="s">
        <v>11164</v>
      </c>
      <c r="U1389" t="s">
        <v>11164</v>
      </c>
      <c r="V1389" t="s">
        <v>11164</v>
      </c>
      <c r="W1389" t="s">
        <v>12523</v>
      </c>
      <c r="X1389">
        <v>7</v>
      </c>
      <c r="Y1389" t="s">
        <v>18051</v>
      </c>
      <c r="Z1389" t="s">
        <v>23539</v>
      </c>
      <c r="AA1389">
        <v>0.80340380001318912</v>
      </c>
      <c r="AB1389" t="str">
        <f>HYPERLINK("Melting_Curves/meltCurve_O43815_STRN.pdf", "Melting_Curves/meltCurve_O43815_STRN.pdf")</f>
        <v>Melting_Curves/meltCurve_O43815_STRN.pdf</v>
      </c>
    </row>
    <row r="1390" spans="1:28" x14ac:dyDescent="0.25">
      <c r="A1390" t="s">
        <v>1394</v>
      </c>
      <c r="B1390">
        <v>0.99796759195183404</v>
      </c>
      <c r="C1390">
        <v>0.97256910314471501</v>
      </c>
      <c r="D1390">
        <v>0.93029948761322701</v>
      </c>
      <c r="E1390">
        <v>0.93813102189294795</v>
      </c>
      <c r="F1390">
        <v>0.855178798391105</v>
      </c>
      <c r="G1390">
        <v>1.14047677430931</v>
      </c>
      <c r="H1390">
        <v>1.5442883443125801</v>
      </c>
      <c r="I1390">
        <v>1.46037223426876</v>
      </c>
      <c r="J1390">
        <v>1.0958072144634099</v>
      </c>
      <c r="K1390">
        <v>0.453820226985856</v>
      </c>
      <c r="L1390">
        <v>15000</v>
      </c>
      <c r="M1390">
        <v>224.06576910980201</v>
      </c>
      <c r="N1390">
        <v>66.944632559929403</v>
      </c>
      <c r="O1390">
        <v>66.939296954834504</v>
      </c>
      <c r="P1390">
        <v>-0.836824479675777</v>
      </c>
      <c r="Q1390">
        <v>0</v>
      </c>
      <c r="R1390">
        <v>0.33287328830017499</v>
      </c>
      <c r="S1390" t="s">
        <v>6973</v>
      </c>
      <c r="T1390" t="s">
        <v>11164</v>
      </c>
      <c r="U1390" t="s">
        <v>11164</v>
      </c>
      <c r="V1390" t="s">
        <v>11164</v>
      </c>
      <c r="W1390" t="s">
        <v>12524</v>
      </c>
      <c r="X1390">
        <v>4</v>
      </c>
      <c r="Y1390" t="s">
        <v>18052</v>
      </c>
      <c r="Z1390" t="s">
        <v>23540</v>
      </c>
      <c r="AA1390">
        <v>0.99220344926636206</v>
      </c>
      <c r="AB1390" t="str">
        <f>HYPERLINK("Melting_Curves/meltCurve_O43818_RRP9.pdf", "Melting_Curves/meltCurve_O43818_RRP9.pdf")</f>
        <v>Melting_Curves/meltCurve_O43818_RRP9.pdf</v>
      </c>
    </row>
    <row r="1391" spans="1:28" x14ac:dyDescent="0.25">
      <c r="A1391" t="s">
        <v>1395</v>
      </c>
      <c r="B1391">
        <v>0.99796759195183404</v>
      </c>
      <c r="C1391">
        <v>1.1423971229382499</v>
      </c>
      <c r="D1391">
        <v>1.0789049447035799</v>
      </c>
      <c r="E1391">
        <v>0.97820950104156001</v>
      </c>
      <c r="F1391">
        <v>0.80780458431448998</v>
      </c>
      <c r="G1391">
        <v>0.379000836657094</v>
      </c>
      <c r="H1391">
        <v>0.26564365733933498</v>
      </c>
      <c r="I1391">
        <v>0.23626262018755301</v>
      </c>
      <c r="J1391">
        <v>0.176683139100173</v>
      </c>
      <c r="K1391">
        <v>0.15318424218712301</v>
      </c>
      <c r="L1391">
        <v>1651.41545276176</v>
      </c>
      <c r="M1391">
        <v>31.783140711767501</v>
      </c>
      <c r="N1391">
        <v>52.767639587511603</v>
      </c>
      <c r="O1391">
        <v>51.754454909401097</v>
      </c>
      <c r="P1391">
        <v>-0.123926844953388</v>
      </c>
      <c r="Q1391">
        <v>0.19281318128573499</v>
      </c>
      <c r="R1391">
        <v>0.97945871934485895</v>
      </c>
      <c r="S1391" t="s">
        <v>6974</v>
      </c>
      <c r="T1391" t="s">
        <v>11164</v>
      </c>
      <c r="U1391" t="s">
        <v>11164</v>
      </c>
      <c r="V1391" t="s">
        <v>11164</v>
      </c>
      <c r="W1391" t="s">
        <v>12525</v>
      </c>
      <c r="X1391">
        <v>11</v>
      </c>
      <c r="Y1391" t="s">
        <v>18053</v>
      </c>
      <c r="Z1391" t="s">
        <v>23541</v>
      </c>
      <c r="AA1391">
        <v>0.59985312198700091</v>
      </c>
      <c r="AB1391" t="str">
        <f>HYPERLINK("Melting_Curves/meltCurve_O43819_SCO2.pdf", "Melting_Curves/meltCurve_O43819_SCO2.pdf")</f>
        <v>Melting_Curves/meltCurve_O43819_SCO2.pdf</v>
      </c>
    </row>
    <row r="1392" spans="1:28" x14ac:dyDescent="0.25">
      <c r="A1392" t="s">
        <v>1396</v>
      </c>
      <c r="B1392">
        <v>0.99796759195183404</v>
      </c>
      <c r="C1392">
        <v>1.0086670998945899</v>
      </c>
      <c r="D1392">
        <v>1.0183155862583899</v>
      </c>
      <c r="E1392">
        <v>1.0003795904593</v>
      </c>
      <c r="F1392">
        <v>0.87510435477790105</v>
      </c>
      <c r="G1392">
        <v>0.68517695302207604</v>
      </c>
      <c r="H1392">
        <v>0.87572008192740403</v>
      </c>
      <c r="I1392">
        <v>0.84360566237510404</v>
      </c>
      <c r="J1392">
        <v>1.0921934911170501</v>
      </c>
      <c r="K1392">
        <v>0.94040994695140001</v>
      </c>
      <c r="L1392">
        <v>12007.901993928101</v>
      </c>
      <c r="M1392">
        <v>250</v>
      </c>
      <c r="O1392">
        <v>48.0285184689549</v>
      </c>
      <c r="P1392">
        <v>-0.14917162579924001</v>
      </c>
      <c r="Q1392">
        <v>0.88536808726793204</v>
      </c>
      <c r="R1392">
        <v>0.28374825252195202</v>
      </c>
      <c r="S1392" t="s">
        <v>6975</v>
      </c>
      <c r="T1392" t="s">
        <v>11164</v>
      </c>
      <c r="U1392" t="s">
        <v>11164</v>
      </c>
      <c r="V1392" t="s">
        <v>11164</v>
      </c>
      <c r="W1392" t="s">
        <v>12526</v>
      </c>
      <c r="X1392">
        <v>1</v>
      </c>
      <c r="Y1392" t="s">
        <v>18054</v>
      </c>
      <c r="Z1392" t="s">
        <v>23542</v>
      </c>
      <c r="AA1392">
        <v>0.92753022755897352</v>
      </c>
      <c r="AB1392" t="str">
        <f>HYPERLINK("Melting_Curves/meltCurve_O43820_4_HYAL3.pdf", "Melting_Curves/meltCurve_O43820_4_HYAL3.pdf")</f>
        <v>Melting_Curves/meltCurve_O43820_4_HYAL3.pdf</v>
      </c>
    </row>
    <row r="1393" spans="1:28" x14ac:dyDescent="0.25">
      <c r="A1393" t="s">
        <v>1397</v>
      </c>
      <c r="B1393">
        <v>0.99796759195183404</v>
      </c>
      <c r="C1393">
        <v>0.95800526038119904</v>
      </c>
      <c r="D1393">
        <v>0.87179647201668997</v>
      </c>
      <c r="E1393">
        <v>1.1461641295492599</v>
      </c>
      <c r="F1393">
        <v>0.86079915766247805</v>
      </c>
      <c r="G1393">
        <v>0.77559742505370599</v>
      </c>
      <c r="H1393">
        <v>0.74316405929411999</v>
      </c>
      <c r="I1393">
        <v>0.45252952207763197</v>
      </c>
      <c r="J1393">
        <v>0.24628311271793199</v>
      </c>
      <c r="K1393">
        <v>0.33103970504369701</v>
      </c>
      <c r="L1393">
        <v>872.42314592968296</v>
      </c>
      <c r="M1393">
        <v>14.8329660334509</v>
      </c>
      <c r="N1393">
        <v>60.228851771164102</v>
      </c>
      <c r="O1393">
        <v>57.778506869191297</v>
      </c>
      <c r="P1393">
        <v>-5.4758628367575397E-2</v>
      </c>
      <c r="Q1393">
        <v>0.14689009658396701</v>
      </c>
      <c r="R1393">
        <v>0.90761512303115</v>
      </c>
      <c r="S1393" t="s">
        <v>6976</v>
      </c>
      <c r="T1393" t="s">
        <v>11164</v>
      </c>
      <c r="U1393" t="s">
        <v>11164</v>
      </c>
      <c r="V1393" t="s">
        <v>11164</v>
      </c>
      <c r="W1393" t="s">
        <v>12527</v>
      </c>
      <c r="X1393">
        <v>2</v>
      </c>
      <c r="Y1393" t="s">
        <v>18055</v>
      </c>
      <c r="Z1393" t="s">
        <v>23543</v>
      </c>
      <c r="AA1393">
        <v>0.76722153896830869</v>
      </c>
      <c r="AB1393" t="str">
        <f>HYPERLINK("Melting_Curves/meltCurve_O43823_AKAP8.pdf", "Melting_Curves/meltCurve_O43823_AKAP8.pdf")</f>
        <v>Melting_Curves/meltCurve_O43823_AKAP8.pdf</v>
      </c>
    </row>
    <row r="1394" spans="1:28" x14ac:dyDescent="0.25">
      <c r="A1394" t="s">
        <v>1398</v>
      </c>
      <c r="B1394">
        <v>0.99796759195183404</v>
      </c>
      <c r="C1394">
        <v>1.0615930522975101</v>
      </c>
      <c r="D1394">
        <v>1.04364048603298</v>
      </c>
      <c r="E1394">
        <v>1.0887772191560301</v>
      </c>
      <c r="F1394">
        <v>0.85965283059063602</v>
      </c>
      <c r="G1394">
        <v>0.60271855335279001</v>
      </c>
      <c r="H1394">
        <v>0.73569656462478294</v>
      </c>
      <c r="I1394">
        <v>0.59332738493400405</v>
      </c>
      <c r="J1394">
        <v>0.70513554000783896</v>
      </c>
      <c r="K1394">
        <v>0.62127114596474897</v>
      </c>
      <c r="L1394">
        <v>12569.755172567</v>
      </c>
      <c r="M1394">
        <v>250</v>
      </c>
      <c r="O1394">
        <v>50.275803159253101</v>
      </c>
      <c r="P1394">
        <v>-0.433073844994594</v>
      </c>
      <c r="Q1394">
        <v>0.65162983420865195</v>
      </c>
      <c r="R1394">
        <v>0.91853650264970899</v>
      </c>
      <c r="S1394" t="s">
        <v>6977</v>
      </c>
      <c r="T1394" t="s">
        <v>11164</v>
      </c>
      <c r="U1394" t="s">
        <v>11164</v>
      </c>
      <c r="V1394" t="s">
        <v>11164</v>
      </c>
      <c r="W1394" t="s">
        <v>12528</v>
      </c>
      <c r="X1394">
        <v>3</v>
      </c>
      <c r="Y1394" t="s">
        <v>18056</v>
      </c>
      <c r="Z1394" t="s">
        <v>23544</v>
      </c>
      <c r="AA1394">
        <v>0.80586106198896867</v>
      </c>
      <c r="AB1394" t="str">
        <f>HYPERLINK("Melting_Curves/meltCurve_O43826_SLC37A4.pdf", "Melting_Curves/meltCurve_O43826_SLC37A4.pdf")</f>
        <v>Melting_Curves/meltCurve_O43826_SLC37A4.pdf</v>
      </c>
    </row>
    <row r="1395" spans="1:28" x14ac:dyDescent="0.25">
      <c r="A1395" t="s">
        <v>1399</v>
      </c>
      <c r="B1395">
        <v>0.99796759195183404</v>
      </c>
      <c r="C1395">
        <v>0.87063155003867299</v>
      </c>
      <c r="D1395">
        <v>0.93652939584448702</v>
      </c>
      <c r="E1395">
        <v>0.59284477190292895</v>
      </c>
      <c r="F1395">
        <v>0.49120992748594899</v>
      </c>
      <c r="G1395">
        <v>0.56331366713247899</v>
      </c>
      <c r="H1395">
        <v>0.88642464196682302</v>
      </c>
      <c r="I1395">
        <v>0.883617435239056</v>
      </c>
      <c r="J1395">
        <v>0.642078336341385</v>
      </c>
      <c r="K1395">
        <v>0.14055748532036999</v>
      </c>
      <c r="L1395">
        <v>185.412963712904</v>
      </c>
      <c r="M1395">
        <v>2.7544726220564399</v>
      </c>
      <c r="O1395">
        <v>47.653616546397302</v>
      </c>
      <c r="P1395">
        <v>-1.50187630101673E-2</v>
      </c>
      <c r="Q1395">
        <v>0</v>
      </c>
      <c r="R1395">
        <v>0.32103466407480902</v>
      </c>
      <c r="S1395" t="s">
        <v>6978</v>
      </c>
      <c r="T1395" t="s">
        <v>11164</v>
      </c>
      <c r="U1395" t="s">
        <v>11164</v>
      </c>
      <c r="V1395" t="s">
        <v>11164</v>
      </c>
      <c r="W1395" t="s">
        <v>12529</v>
      </c>
      <c r="X1395">
        <v>1</v>
      </c>
      <c r="Y1395" t="s">
        <v>18057</v>
      </c>
      <c r="Z1395" t="s">
        <v>23545</v>
      </c>
      <c r="AA1395">
        <v>0.69732258898196264</v>
      </c>
      <c r="AB1395" t="str">
        <f>HYPERLINK("Melting_Curves/meltCurve_O43829_ZBTB14.pdf", "Melting_Curves/meltCurve_O43829_ZBTB14.pdf")</f>
        <v>Melting_Curves/meltCurve_O43829_ZBTB14.pdf</v>
      </c>
    </row>
    <row r="1396" spans="1:28" x14ac:dyDescent="0.25">
      <c r="A1396" t="s">
        <v>1400</v>
      </c>
      <c r="B1396">
        <v>0.99796759195183404</v>
      </c>
      <c r="C1396">
        <v>0.95414875434956403</v>
      </c>
      <c r="D1396">
        <v>0.92789420495291297</v>
      </c>
      <c r="E1396">
        <v>0.88741597383196402</v>
      </c>
      <c r="F1396">
        <v>0.69339043351307805</v>
      </c>
      <c r="G1396">
        <v>0.66484698572155199</v>
      </c>
      <c r="H1396">
        <v>0.40587132119195901</v>
      </c>
      <c r="I1396">
        <v>0.29793282585265302</v>
      </c>
      <c r="J1396">
        <v>0.169984820469334</v>
      </c>
      <c r="K1396">
        <v>0.13071626833233199</v>
      </c>
      <c r="L1396">
        <v>574.81449446977194</v>
      </c>
      <c r="M1396">
        <v>10.341740899075701</v>
      </c>
      <c r="N1396">
        <v>55.581970353325403</v>
      </c>
      <c r="O1396">
        <v>53.624148654791199</v>
      </c>
      <c r="P1396">
        <v>-4.8234629780769402E-2</v>
      </c>
      <c r="Q1396">
        <v>0</v>
      </c>
      <c r="R1396">
        <v>0.98724512332497705</v>
      </c>
      <c r="S1396" t="s">
        <v>6979</v>
      </c>
      <c r="T1396" t="s">
        <v>11164</v>
      </c>
      <c r="U1396" t="s">
        <v>11164</v>
      </c>
      <c r="V1396" t="s">
        <v>11164</v>
      </c>
      <c r="W1396" t="s">
        <v>12530</v>
      </c>
      <c r="X1396">
        <v>13</v>
      </c>
      <c r="Y1396" t="s">
        <v>18058</v>
      </c>
      <c r="Z1396" t="s">
        <v>23546</v>
      </c>
      <c r="AA1396">
        <v>0.62882435990200369</v>
      </c>
      <c r="AB1396" t="str">
        <f>HYPERLINK("Melting_Curves/meltCurve_O43837_IDH3B.pdf", "Melting_Curves/meltCurve_O43837_IDH3B.pdf")</f>
        <v>Melting_Curves/meltCurve_O43837_IDH3B.pdf</v>
      </c>
    </row>
    <row r="1397" spans="1:28" x14ac:dyDescent="0.25">
      <c r="A1397" t="s">
        <v>1401</v>
      </c>
      <c r="B1397">
        <v>0.99796759195183404</v>
      </c>
      <c r="C1397">
        <v>1.0304601768081201</v>
      </c>
      <c r="D1397">
        <v>1.0191026495184301</v>
      </c>
      <c r="E1397">
        <v>0.93047210887492104</v>
      </c>
      <c r="F1397">
        <v>0.86417620759893099</v>
      </c>
      <c r="G1397">
        <v>0.63493160830659301</v>
      </c>
      <c r="H1397">
        <v>0.70050622055077905</v>
      </c>
      <c r="I1397">
        <v>0.64661547935706798</v>
      </c>
      <c r="J1397">
        <v>0.86326640473565297</v>
      </c>
      <c r="K1397">
        <v>0.81090198338220898</v>
      </c>
      <c r="L1397">
        <v>12548.9195967544</v>
      </c>
      <c r="M1397">
        <v>250</v>
      </c>
      <c r="O1397">
        <v>50.192469668913901</v>
      </c>
      <c r="P1397">
        <v>-0.33465637530362402</v>
      </c>
      <c r="Q1397">
        <v>0.73124433941688205</v>
      </c>
      <c r="R1397">
        <v>0.76520375959214604</v>
      </c>
      <c r="S1397" t="s">
        <v>6980</v>
      </c>
      <c r="T1397" t="s">
        <v>11164</v>
      </c>
      <c r="U1397" t="s">
        <v>11164</v>
      </c>
      <c r="V1397" t="s">
        <v>11164</v>
      </c>
      <c r="W1397" t="s">
        <v>12531</v>
      </c>
      <c r="X1397">
        <v>19</v>
      </c>
      <c r="Y1397" t="s">
        <v>18059</v>
      </c>
      <c r="Z1397" t="s">
        <v>23547</v>
      </c>
      <c r="AA1397">
        <v>0.84948179020252956</v>
      </c>
      <c r="AB1397" t="str">
        <f>HYPERLINK("Melting_Curves/meltCurve_O43852_CALU.pdf", "Melting_Curves/meltCurve_O43852_CALU.pdf")</f>
        <v>Melting_Curves/meltCurve_O43852_CALU.pdf</v>
      </c>
    </row>
    <row r="1398" spans="1:28" x14ac:dyDescent="0.25">
      <c r="A1398" t="s">
        <v>1402</v>
      </c>
      <c r="B1398">
        <v>0.99796759195183404</v>
      </c>
      <c r="C1398">
        <v>0.94132885947358802</v>
      </c>
      <c r="D1398">
        <v>0.94754390104137798</v>
      </c>
      <c r="E1398">
        <v>0.90025033893909301</v>
      </c>
      <c r="F1398">
        <v>0.82151308045806004</v>
      </c>
      <c r="G1398">
        <v>0.84402371500102502</v>
      </c>
      <c r="H1398">
        <v>0.63963114861324299</v>
      </c>
      <c r="I1398">
        <v>0.434046165335635</v>
      </c>
      <c r="J1398">
        <v>0.38928524845047402</v>
      </c>
      <c r="K1398">
        <v>0.21360527771092599</v>
      </c>
      <c r="L1398">
        <v>609.73665886560298</v>
      </c>
      <c r="M1398">
        <v>10.132536302954099</v>
      </c>
      <c r="N1398">
        <v>60.176116956491697</v>
      </c>
      <c r="O1398">
        <v>57.973314457079098</v>
      </c>
      <c r="P1398">
        <v>-4.3715035798474203E-2</v>
      </c>
      <c r="Q1398">
        <v>0</v>
      </c>
      <c r="R1398">
        <v>0.969142785605562</v>
      </c>
      <c r="S1398" t="s">
        <v>6981</v>
      </c>
      <c r="T1398" t="s">
        <v>11164</v>
      </c>
      <c r="U1398" t="s">
        <v>11164</v>
      </c>
      <c r="V1398" t="s">
        <v>11164</v>
      </c>
      <c r="W1398" t="s">
        <v>12532</v>
      </c>
      <c r="X1398">
        <v>15</v>
      </c>
      <c r="Y1398" t="s">
        <v>18060</v>
      </c>
      <c r="Z1398" t="s">
        <v>23548</v>
      </c>
      <c r="AA1398">
        <v>0.74470583607507446</v>
      </c>
      <c r="AB1398" t="str">
        <f>HYPERLINK("Melting_Curves/meltCurve_O43865_AHCYL1.pdf", "Melting_Curves/meltCurve_O43865_AHCYL1.pdf")</f>
        <v>Melting_Curves/meltCurve_O43865_AHCYL1.pdf</v>
      </c>
    </row>
    <row r="1399" spans="1:28" x14ac:dyDescent="0.25">
      <c r="A1399" t="s">
        <v>1403</v>
      </c>
      <c r="B1399">
        <v>0.99796759195183404</v>
      </c>
      <c r="C1399">
        <v>1.1580133028134101</v>
      </c>
      <c r="D1399">
        <v>1.00742021493697</v>
      </c>
      <c r="E1399">
        <v>0.94398291894291697</v>
      </c>
      <c r="F1399">
        <v>0.55032955620346902</v>
      </c>
      <c r="G1399">
        <v>0.284105015759749</v>
      </c>
      <c r="H1399">
        <v>0.240510651600089</v>
      </c>
      <c r="I1399">
        <v>0.29599660691576302</v>
      </c>
      <c r="J1399">
        <v>0.20991623636503701</v>
      </c>
      <c r="K1399">
        <v>0.158258486556558</v>
      </c>
      <c r="L1399">
        <v>1763.55404600109</v>
      </c>
      <c r="M1399">
        <v>35.427728634763803</v>
      </c>
      <c r="N1399">
        <v>50.634557359840699</v>
      </c>
      <c r="O1399">
        <v>49.621114072091999</v>
      </c>
      <c r="P1399">
        <v>-0.13829038301353999</v>
      </c>
      <c r="Q1399">
        <v>0.22522835595711799</v>
      </c>
      <c r="R1399">
        <v>0.97546344006658403</v>
      </c>
      <c r="S1399" t="s">
        <v>6982</v>
      </c>
      <c r="T1399" t="s">
        <v>11164</v>
      </c>
      <c r="U1399" t="s">
        <v>11164</v>
      </c>
      <c r="V1399" t="s">
        <v>11164</v>
      </c>
      <c r="W1399" t="s">
        <v>12533</v>
      </c>
      <c r="X1399">
        <v>7</v>
      </c>
      <c r="Y1399" t="s">
        <v>18061</v>
      </c>
      <c r="Z1399" t="s">
        <v>23549</v>
      </c>
      <c r="AA1399">
        <v>0.55865308803859792</v>
      </c>
      <c r="AB1399" t="str">
        <f>HYPERLINK("Melting_Curves/meltCurve_O43896_KIF1C.pdf", "Melting_Curves/meltCurve_O43896_KIF1C.pdf")</f>
        <v>Melting_Curves/meltCurve_O43896_KIF1C.pdf</v>
      </c>
    </row>
    <row r="1400" spans="1:28" x14ac:dyDescent="0.25">
      <c r="A1400" t="s">
        <v>1404</v>
      </c>
      <c r="B1400">
        <v>0.99796759195183404</v>
      </c>
      <c r="C1400">
        <v>1.0594168532805399</v>
      </c>
      <c r="D1400">
        <v>1.0074041065491099</v>
      </c>
      <c r="E1400">
        <v>0.76270904047480503</v>
      </c>
      <c r="F1400">
        <v>0.49065295647929402</v>
      </c>
      <c r="G1400">
        <v>0.20406266523897601</v>
      </c>
      <c r="H1400">
        <v>0.149953310205163</v>
      </c>
      <c r="I1400">
        <v>0.12667335156436399</v>
      </c>
      <c r="J1400">
        <v>7.7836819728374099E-2</v>
      </c>
      <c r="K1400">
        <v>8.7819829476045802E-2</v>
      </c>
      <c r="L1400">
        <v>1045.08192907955</v>
      </c>
      <c r="M1400">
        <v>21.1670613046687</v>
      </c>
      <c r="N1400">
        <v>49.8407410891243</v>
      </c>
      <c r="O1400">
        <v>48.938690321538502</v>
      </c>
      <c r="P1400">
        <v>-9.83932580873495E-2</v>
      </c>
      <c r="Q1400">
        <v>9.0074550050313701E-2</v>
      </c>
      <c r="R1400">
        <v>0.99385396281621297</v>
      </c>
      <c r="S1400" t="s">
        <v>6983</v>
      </c>
      <c r="T1400" t="s">
        <v>11164</v>
      </c>
      <c r="U1400" t="s">
        <v>11164</v>
      </c>
      <c r="V1400" t="s">
        <v>11164</v>
      </c>
      <c r="W1400" t="s">
        <v>12534</v>
      </c>
      <c r="X1400">
        <v>4</v>
      </c>
      <c r="Y1400" t="s">
        <v>18062</v>
      </c>
      <c r="Z1400" t="s">
        <v>23550</v>
      </c>
      <c r="AA1400">
        <v>0.4761759727320643</v>
      </c>
      <c r="AB1400" t="str">
        <f>HYPERLINK("Melting_Curves/meltCurve_O43913_2_ORC5.pdf", "Melting_Curves/meltCurve_O43913_2_ORC5.pdf")</f>
        <v>Melting_Curves/meltCurve_O43913_2_ORC5.pdf</v>
      </c>
    </row>
    <row r="1401" spans="1:28" x14ac:dyDescent="0.25">
      <c r="A1401" t="s">
        <v>1405</v>
      </c>
      <c r="B1401">
        <v>0.99796759195183404</v>
      </c>
      <c r="C1401">
        <v>0.94858914396365301</v>
      </c>
      <c r="D1401">
        <v>1.0069101125022</v>
      </c>
      <c r="E1401">
        <v>0.86905743127647195</v>
      </c>
      <c r="F1401">
        <v>0.77235744812524298</v>
      </c>
      <c r="G1401">
        <v>1.14339869919976</v>
      </c>
      <c r="H1401">
        <v>0.83891669359760501</v>
      </c>
      <c r="I1401">
        <v>0.91139083054770498</v>
      </c>
      <c r="J1401">
        <v>0.42717051912864401</v>
      </c>
      <c r="K1401">
        <v>0.22823178700734401</v>
      </c>
      <c r="L1401">
        <v>3567.1648563390199</v>
      </c>
      <c r="M1401">
        <v>56.539263693971698</v>
      </c>
      <c r="N1401">
        <v>63.658006583938601</v>
      </c>
      <c r="O1401">
        <v>63.013038554218198</v>
      </c>
      <c r="P1401">
        <v>-0.17998994985556399</v>
      </c>
      <c r="Q1401">
        <v>0.19760490271718401</v>
      </c>
      <c r="R1401">
        <v>0.83351752636105902</v>
      </c>
      <c r="S1401" t="s">
        <v>6984</v>
      </c>
      <c r="T1401" t="s">
        <v>11164</v>
      </c>
      <c r="U1401" t="s">
        <v>11164</v>
      </c>
      <c r="V1401" t="s">
        <v>11164</v>
      </c>
      <c r="W1401" t="s">
        <v>12535</v>
      </c>
      <c r="X1401">
        <v>3</v>
      </c>
      <c r="Y1401" t="s">
        <v>18063</v>
      </c>
      <c r="Z1401" t="s">
        <v>23551</v>
      </c>
      <c r="AA1401">
        <v>0.89594339087036556</v>
      </c>
      <c r="AB1401" t="str">
        <f>HYPERLINK("Melting_Curves/meltCurve_O43920_NDUFS5.pdf", "Melting_Curves/meltCurve_O43920_NDUFS5.pdf")</f>
        <v>Melting_Curves/meltCurve_O43920_NDUFS5.pdf</v>
      </c>
    </row>
    <row r="1402" spans="1:28" x14ac:dyDescent="0.25">
      <c r="A1402" t="s">
        <v>1406</v>
      </c>
      <c r="B1402">
        <v>0.99796759195183404</v>
      </c>
      <c r="C1402">
        <v>1.2043901605787199</v>
      </c>
      <c r="D1402">
        <v>1.2294197446525199</v>
      </c>
      <c r="E1402">
        <v>1.2534761410050701</v>
      </c>
      <c r="F1402">
        <v>0.874986012812772</v>
      </c>
      <c r="G1402">
        <v>0.36593124338037802</v>
      </c>
      <c r="H1402">
        <v>0.27629284964679901</v>
      </c>
      <c r="I1402">
        <v>0.192005807590203</v>
      </c>
      <c r="J1402">
        <v>0.150849433383798</v>
      </c>
      <c r="K1402">
        <v>0.13899317566185301</v>
      </c>
      <c r="L1402">
        <v>2258.7470642212802</v>
      </c>
      <c r="M1402">
        <v>43.167218762864202</v>
      </c>
      <c r="N1402">
        <v>52.881936818379003</v>
      </c>
      <c r="O1402">
        <v>52.213584162518302</v>
      </c>
      <c r="P1402">
        <v>-0.16896115332143399</v>
      </c>
      <c r="Q1402">
        <v>0.182522653991709</v>
      </c>
      <c r="R1402">
        <v>0.91977443837141304</v>
      </c>
      <c r="S1402" t="s">
        <v>6985</v>
      </c>
      <c r="T1402" t="s">
        <v>11164</v>
      </c>
      <c r="U1402" t="s">
        <v>11164</v>
      </c>
      <c r="V1402" t="s">
        <v>11164</v>
      </c>
      <c r="W1402" t="s">
        <v>12536</v>
      </c>
      <c r="X1402">
        <v>4</v>
      </c>
      <c r="Y1402" t="s">
        <v>18064</v>
      </c>
      <c r="Z1402" t="s">
        <v>23552</v>
      </c>
      <c r="AA1402">
        <v>0.602663225156295</v>
      </c>
      <c r="AB1402" t="str">
        <f>HYPERLINK("Melting_Curves/meltCurve_O43929_ORC4.pdf", "Melting_Curves/meltCurve_O43929_ORC4.pdf")</f>
        <v>Melting_Curves/meltCurve_O43929_ORC4.pdf</v>
      </c>
    </row>
    <row r="1403" spans="1:28" x14ac:dyDescent="0.25">
      <c r="A1403" t="s">
        <v>1407</v>
      </c>
      <c r="B1403">
        <v>0.99796759195183404</v>
      </c>
      <c r="C1403">
        <v>0.98521183060920203</v>
      </c>
      <c r="D1403">
        <v>0.80092012074332397</v>
      </c>
      <c r="E1403">
        <v>0.47852222548738799</v>
      </c>
      <c r="F1403">
        <v>0.30957082978801498</v>
      </c>
      <c r="G1403">
        <v>0.28807657963461097</v>
      </c>
      <c r="H1403">
        <v>0.134837687952618</v>
      </c>
      <c r="I1403">
        <v>0.10878849328944599</v>
      </c>
      <c r="J1403">
        <v>9.9134601252605897E-2</v>
      </c>
      <c r="K1403">
        <v>6.6479422973943506E-2</v>
      </c>
      <c r="L1403">
        <v>700.54664181577596</v>
      </c>
      <c r="M1403">
        <v>15.0913652325609</v>
      </c>
      <c r="N1403">
        <v>47.066232013319301</v>
      </c>
      <c r="O1403">
        <v>45.628164298057499</v>
      </c>
      <c r="P1403">
        <v>-7.4960588054687097E-2</v>
      </c>
      <c r="Q1403">
        <v>9.3527616857342802E-2</v>
      </c>
      <c r="R1403">
        <v>0.98648753492567098</v>
      </c>
      <c r="S1403" t="s">
        <v>6986</v>
      </c>
      <c r="T1403" t="s">
        <v>11164</v>
      </c>
      <c r="U1403" t="s">
        <v>11164</v>
      </c>
      <c r="V1403" t="s">
        <v>11164</v>
      </c>
      <c r="W1403" t="s">
        <v>12537</v>
      </c>
      <c r="X1403">
        <v>2</v>
      </c>
      <c r="Y1403" t="s">
        <v>18065</v>
      </c>
      <c r="Z1403" t="s">
        <v>23553</v>
      </c>
      <c r="AA1403">
        <v>0.39862206879251688</v>
      </c>
      <c r="AB1403" t="str">
        <f>HYPERLINK("Melting_Curves/meltCurve_O43933_PEX1.pdf", "Melting_Curves/meltCurve_O43933_PEX1.pdf")</f>
        <v>Melting_Curves/meltCurve_O43933_PEX1.pdf</v>
      </c>
    </row>
    <row r="1404" spans="1:28" x14ac:dyDescent="0.25">
      <c r="A1404" t="s">
        <v>1408</v>
      </c>
      <c r="B1404">
        <v>0.99796759195183404</v>
      </c>
      <c r="C1404">
        <v>1.1635088874350099</v>
      </c>
      <c r="D1404">
        <v>0.93013027086322497</v>
      </c>
      <c r="E1404">
        <v>0.83887302902912797</v>
      </c>
      <c r="F1404">
        <v>1.0787498655580401</v>
      </c>
      <c r="G1404">
        <v>2.6509801320782902</v>
      </c>
      <c r="H1404">
        <v>1.26616524159921</v>
      </c>
      <c r="I1404">
        <v>0.53949639799434601</v>
      </c>
      <c r="J1404">
        <v>0.41454605717274301</v>
      </c>
      <c r="K1404">
        <v>0.19624233547212999</v>
      </c>
      <c r="L1404">
        <v>10640.6110231682</v>
      </c>
      <c r="M1404">
        <v>175.11189473421399</v>
      </c>
      <c r="N1404">
        <v>61.093753035734402</v>
      </c>
      <c r="O1404">
        <v>60.756714274957403</v>
      </c>
      <c r="P1404">
        <v>-0.50054679242799804</v>
      </c>
      <c r="Q1404">
        <v>0.30532238978315401</v>
      </c>
      <c r="R1404">
        <v>0.28971769231626598</v>
      </c>
      <c r="S1404" t="s">
        <v>6987</v>
      </c>
      <c r="T1404" t="s">
        <v>11164</v>
      </c>
      <c r="U1404" t="s">
        <v>11164</v>
      </c>
      <c r="V1404" t="s">
        <v>11164</v>
      </c>
      <c r="W1404" t="s">
        <v>12538</v>
      </c>
      <c r="X1404">
        <v>2</v>
      </c>
      <c r="Y1404" t="s">
        <v>18066</v>
      </c>
      <c r="Z1404" t="s">
        <v>23554</v>
      </c>
      <c r="AA1404">
        <v>0.85576549810962499</v>
      </c>
      <c r="AB1404" t="str">
        <f>HYPERLINK("Melting_Curves/meltCurve_O60216_RAD21.pdf", "Melting_Curves/meltCurve_O60216_RAD21.pdf")</f>
        <v>Melting_Curves/meltCurve_O60216_RAD21.pdf</v>
      </c>
    </row>
    <row r="1405" spans="1:28" x14ac:dyDescent="0.25">
      <c r="A1405" t="s">
        <v>1409</v>
      </c>
      <c r="B1405">
        <v>0.99796759195183404</v>
      </c>
      <c r="C1405">
        <v>0.99761968274693302</v>
      </c>
      <c r="D1405">
        <v>1.0001149051632201</v>
      </c>
      <c r="E1405">
        <v>0.97914451074738396</v>
      </c>
      <c r="F1405">
        <v>0.96139325589964197</v>
      </c>
      <c r="G1405">
        <v>0.88663501150323798</v>
      </c>
      <c r="H1405">
        <v>0.80632381612560999</v>
      </c>
      <c r="I1405">
        <v>0.71385755268824103</v>
      </c>
      <c r="J1405">
        <v>0.86675952713318705</v>
      </c>
      <c r="K1405">
        <v>0.78164368948649898</v>
      </c>
      <c r="L1405">
        <v>1633.7648826285199</v>
      </c>
      <c r="M1405">
        <v>30.6954956462517</v>
      </c>
      <c r="O1405">
        <v>53.000535389547998</v>
      </c>
      <c r="P1405">
        <v>-3.0840373770926102E-2</v>
      </c>
      <c r="Q1405">
        <v>0.78699850706964503</v>
      </c>
      <c r="R1405">
        <v>0.86992463226017802</v>
      </c>
      <c r="S1405" t="s">
        <v>6988</v>
      </c>
      <c r="T1405" t="s">
        <v>11164</v>
      </c>
      <c r="U1405" t="s">
        <v>11164</v>
      </c>
      <c r="V1405" t="s">
        <v>11164</v>
      </c>
      <c r="W1405" t="s">
        <v>12539</v>
      </c>
      <c r="X1405">
        <v>7</v>
      </c>
      <c r="Y1405" t="s">
        <v>18067</v>
      </c>
      <c r="Z1405" t="s">
        <v>23555</v>
      </c>
      <c r="AA1405">
        <v>0.90349694178169837</v>
      </c>
      <c r="AB1405" t="str">
        <f>HYPERLINK("Melting_Curves/meltCurve_O60220_TIMM8A.pdf", "Melting_Curves/meltCurve_O60220_TIMM8A.pdf")</f>
        <v>Melting_Curves/meltCurve_O60220_TIMM8A.pdf</v>
      </c>
    </row>
    <row r="1406" spans="1:28" x14ac:dyDescent="0.25">
      <c r="A1406" t="s">
        <v>1410</v>
      </c>
      <c r="B1406">
        <v>0.99796759195183404</v>
      </c>
      <c r="C1406">
        <v>1.0216008496084199</v>
      </c>
      <c r="D1406">
        <v>0.98024951300667795</v>
      </c>
      <c r="E1406">
        <v>0.92331162728599003</v>
      </c>
      <c r="F1406">
        <v>0.73757511361926198</v>
      </c>
      <c r="G1406">
        <v>0.41088017356768602</v>
      </c>
      <c r="H1406">
        <v>0.232822748553352</v>
      </c>
      <c r="I1406">
        <v>0.17724518103796999</v>
      </c>
      <c r="J1406">
        <v>0.17026234351112199</v>
      </c>
      <c r="K1406">
        <v>0.142595692672767</v>
      </c>
      <c r="L1406">
        <v>1150.5516148874599</v>
      </c>
      <c r="M1406">
        <v>22.160423613177699</v>
      </c>
      <c r="N1406">
        <v>52.7374628597059</v>
      </c>
      <c r="O1406">
        <v>51.5019657515859</v>
      </c>
      <c r="P1406">
        <v>-9.1923743836118996E-2</v>
      </c>
      <c r="Q1406">
        <v>0.14547648832586199</v>
      </c>
      <c r="R1406">
        <v>0.99910901182404599</v>
      </c>
      <c r="S1406" t="s">
        <v>6989</v>
      </c>
      <c r="T1406" t="s">
        <v>11164</v>
      </c>
      <c r="U1406" t="s">
        <v>11164</v>
      </c>
      <c r="V1406" t="s">
        <v>11164</v>
      </c>
      <c r="W1406" t="s">
        <v>12540</v>
      </c>
      <c r="X1406">
        <v>13</v>
      </c>
      <c r="Y1406" t="s">
        <v>18068</v>
      </c>
      <c r="Z1406" t="s">
        <v>23556</v>
      </c>
      <c r="AA1406">
        <v>0.57978332939135702</v>
      </c>
      <c r="AB1406" t="str">
        <f>HYPERLINK("Melting_Curves/meltCurve_O60231_DHX16.pdf", "Melting_Curves/meltCurve_O60231_DHX16.pdf")</f>
        <v>Melting_Curves/meltCurve_O60231_DHX16.pdf</v>
      </c>
    </row>
    <row r="1407" spans="1:28" x14ac:dyDescent="0.25">
      <c r="A1407" t="s">
        <v>1411</v>
      </c>
      <c r="B1407">
        <v>0.99796759195183404</v>
      </c>
      <c r="C1407">
        <v>0.57393961761623602</v>
      </c>
      <c r="D1407">
        <v>0.88902980819920296</v>
      </c>
      <c r="E1407">
        <v>0.94337144637964199</v>
      </c>
      <c r="F1407">
        <v>0.63465406274904101</v>
      </c>
      <c r="G1407">
        <v>0.60378223494420302</v>
      </c>
      <c r="H1407">
        <v>0.205133188032809</v>
      </c>
      <c r="I1407">
        <v>0.44063897143823899</v>
      </c>
      <c r="J1407">
        <v>0.115730733313439</v>
      </c>
      <c r="K1407">
        <v>0</v>
      </c>
      <c r="L1407">
        <v>510.24177723351602</v>
      </c>
      <c r="M1407">
        <v>9.4801985366196906</v>
      </c>
      <c r="N1407">
        <v>53.821848130757402</v>
      </c>
      <c r="O1407">
        <v>51.590184802823501</v>
      </c>
      <c r="P1407">
        <v>-4.5967322620465698E-2</v>
      </c>
      <c r="Q1407">
        <v>0</v>
      </c>
      <c r="R1407">
        <v>0.75997607362673503</v>
      </c>
      <c r="S1407" t="s">
        <v>6990</v>
      </c>
      <c r="T1407" t="s">
        <v>11164</v>
      </c>
      <c r="U1407" t="s">
        <v>11164</v>
      </c>
      <c r="V1407" t="s">
        <v>11164</v>
      </c>
      <c r="W1407" t="s">
        <v>12541</v>
      </c>
      <c r="X1407">
        <v>2</v>
      </c>
      <c r="Y1407" t="s">
        <v>18069</v>
      </c>
      <c r="Z1407" t="s">
        <v>23557</v>
      </c>
      <c r="AA1407">
        <v>0.57886438036404297</v>
      </c>
      <c r="AB1407" t="str">
        <f>HYPERLINK("Melting_Curves/meltCurve_O60239_2_SH3BP5.pdf", "Melting_Curves/meltCurve_O60239_2_SH3BP5.pdf")</f>
        <v>Melting_Curves/meltCurve_O60239_2_SH3BP5.pdf</v>
      </c>
    </row>
    <row r="1408" spans="1:28" x14ac:dyDescent="0.25">
      <c r="A1408" t="s">
        <v>1412</v>
      </c>
      <c r="B1408">
        <v>0.99796759195183404</v>
      </c>
      <c r="C1408">
        <v>0.98097051455024098</v>
      </c>
      <c r="D1408">
        <v>0.96134888871866397</v>
      </c>
      <c r="E1408">
        <v>0.917617285483877</v>
      </c>
      <c r="F1408">
        <v>0.88808598039934505</v>
      </c>
      <c r="G1408">
        <v>1.01408782321827</v>
      </c>
      <c r="H1408">
        <v>1.28419908151132</v>
      </c>
      <c r="I1408">
        <v>1.2438350527220501</v>
      </c>
      <c r="J1408">
        <v>0.53568636322657903</v>
      </c>
      <c r="K1408">
        <v>0.19607414958161801</v>
      </c>
      <c r="L1408">
        <v>15000</v>
      </c>
      <c r="M1408">
        <v>234.32199031200301</v>
      </c>
      <c r="N1408">
        <v>64.150744273478793</v>
      </c>
      <c r="O1408">
        <v>64.009815618665399</v>
      </c>
      <c r="P1408">
        <v>-0.73576111410459899</v>
      </c>
      <c r="Q1408">
        <v>0.196047574820746</v>
      </c>
      <c r="R1408">
        <v>0.82575352588685003</v>
      </c>
      <c r="S1408" t="s">
        <v>6991</v>
      </c>
      <c r="T1408" t="s">
        <v>11164</v>
      </c>
      <c r="U1408" t="s">
        <v>11164</v>
      </c>
      <c r="V1408" t="s">
        <v>11164</v>
      </c>
      <c r="W1408" t="s">
        <v>12542</v>
      </c>
      <c r="X1408">
        <v>6</v>
      </c>
      <c r="Y1408" t="s">
        <v>18070</v>
      </c>
      <c r="Z1408" t="s">
        <v>23558</v>
      </c>
      <c r="AA1408">
        <v>0.92009533402842736</v>
      </c>
      <c r="AB1408" t="str">
        <f>HYPERLINK("Melting_Curves/meltCurve_O60256_PRPSAP2.pdf", "Melting_Curves/meltCurve_O60256_PRPSAP2.pdf")</f>
        <v>Melting_Curves/meltCurve_O60256_PRPSAP2.pdf</v>
      </c>
    </row>
    <row r="1409" spans="1:28" x14ac:dyDescent="0.25">
      <c r="A1409" t="s">
        <v>1413</v>
      </c>
      <c r="B1409">
        <v>0.99796759195183404</v>
      </c>
      <c r="C1409">
        <v>0.91284819036695697</v>
      </c>
      <c r="D1409">
        <v>0.89228879222273405</v>
      </c>
      <c r="E1409">
        <v>0.93300388981220395</v>
      </c>
      <c r="F1409">
        <v>0.88312408401593401</v>
      </c>
      <c r="G1409">
        <v>0.47172889505886101</v>
      </c>
      <c r="H1409">
        <v>0.764070221139728</v>
      </c>
      <c r="I1409">
        <v>0.73432004963678399</v>
      </c>
      <c r="J1409">
        <v>0.73229604626280598</v>
      </c>
      <c r="K1409">
        <v>0.67223098016036897</v>
      </c>
      <c r="L1409">
        <v>12578.983498318599</v>
      </c>
      <c r="M1409">
        <v>250</v>
      </c>
      <c r="O1409">
        <v>50.312714090286597</v>
      </c>
      <c r="P1409">
        <v>-0.40381288824426498</v>
      </c>
      <c r="Q1409">
        <v>0.67492924199620297</v>
      </c>
      <c r="R1409">
        <v>0.63635889521255995</v>
      </c>
      <c r="S1409" t="s">
        <v>6992</v>
      </c>
      <c r="T1409" t="s">
        <v>11164</v>
      </c>
      <c r="U1409" t="s">
        <v>11164</v>
      </c>
      <c r="V1409" t="s">
        <v>11164</v>
      </c>
      <c r="W1409" t="s">
        <v>12543</v>
      </c>
      <c r="X1409">
        <v>2</v>
      </c>
      <c r="Y1409" t="s">
        <v>18071</v>
      </c>
      <c r="Z1409" t="s">
        <v>23559</v>
      </c>
      <c r="AA1409">
        <v>0.81924530549814945</v>
      </c>
      <c r="AB1409" t="str">
        <f>HYPERLINK("Melting_Curves/meltCurve_O60262_GNG7.pdf", "Melting_Curves/meltCurve_O60262_GNG7.pdf")</f>
        <v>Melting_Curves/meltCurve_O60262_GNG7.pdf</v>
      </c>
    </row>
    <row r="1410" spans="1:28" x14ac:dyDescent="0.25">
      <c r="A1410" t="s">
        <v>1414</v>
      </c>
      <c r="B1410">
        <v>0.99796759195183404</v>
      </c>
      <c r="C1410">
        <v>1.00324789747931</v>
      </c>
      <c r="D1410">
        <v>0.96059482268705199</v>
      </c>
      <c r="E1410">
        <v>0.93826085912347901</v>
      </c>
      <c r="F1410">
        <v>0.86732517204728898</v>
      </c>
      <c r="G1410">
        <v>0.437077370522374</v>
      </c>
      <c r="H1410">
        <v>0.399986371362272</v>
      </c>
      <c r="I1410">
        <v>0.37092167280563398</v>
      </c>
      <c r="J1410">
        <v>0.68894104378920495</v>
      </c>
      <c r="K1410">
        <v>0.230182630130775</v>
      </c>
      <c r="L1410">
        <v>3492.9381691673302</v>
      </c>
      <c r="M1410">
        <v>68.378634590063996</v>
      </c>
      <c r="N1410">
        <v>52.507601587316202</v>
      </c>
      <c r="O1410">
        <v>51.038665008037398</v>
      </c>
      <c r="P1410">
        <v>-0.19363975369304801</v>
      </c>
      <c r="Q1410">
        <v>0.42185964011128901</v>
      </c>
      <c r="R1410">
        <v>0.85809215173783904</v>
      </c>
      <c r="S1410" t="s">
        <v>6993</v>
      </c>
      <c r="T1410" t="s">
        <v>11164</v>
      </c>
      <c r="U1410" t="s">
        <v>11164</v>
      </c>
      <c r="V1410" t="s">
        <v>11164</v>
      </c>
      <c r="W1410" t="s">
        <v>12544</v>
      </c>
      <c r="X1410">
        <v>7</v>
      </c>
      <c r="Y1410" t="s">
        <v>18072</v>
      </c>
      <c r="Z1410" t="s">
        <v>23560</v>
      </c>
      <c r="AA1410">
        <v>0.69393929363899143</v>
      </c>
      <c r="AB1410" t="str">
        <f>HYPERLINK("Melting_Curves/meltCurve_O60264_SMARCA5.pdf", "Melting_Curves/meltCurve_O60264_SMARCA5.pdf")</f>
        <v>Melting_Curves/meltCurve_O60264_SMARCA5.pdf</v>
      </c>
    </row>
    <row r="1411" spans="1:28" x14ac:dyDescent="0.25">
      <c r="A1411" t="s">
        <v>1415</v>
      </c>
      <c r="B1411">
        <v>0.99796759195183404</v>
      </c>
      <c r="C1411">
        <v>1.05401566878692</v>
      </c>
      <c r="D1411">
        <v>1.0028750949793099</v>
      </c>
      <c r="E1411">
        <v>0.99339130811427201</v>
      </c>
      <c r="F1411">
        <v>0.90377589795730495</v>
      </c>
      <c r="G1411">
        <v>0.534863238586478</v>
      </c>
      <c r="H1411">
        <v>0.319406247194987</v>
      </c>
      <c r="I1411">
        <v>0.265154452765133</v>
      </c>
      <c r="J1411">
        <v>0.212805511928572</v>
      </c>
      <c r="K1411">
        <v>0.156391381819113</v>
      </c>
      <c r="L1411">
        <v>1465.9822947151099</v>
      </c>
      <c r="M1411">
        <v>27.457228334448001</v>
      </c>
      <c r="N1411">
        <v>54.4072372924579</v>
      </c>
      <c r="O1411">
        <v>53.110674442548998</v>
      </c>
      <c r="P1411">
        <v>-0.103328102115516</v>
      </c>
      <c r="Q1411">
        <v>0.20053465842384899</v>
      </c>
      <c r="R1411">
        <v>0.99371251187940401</v>
      </c>
      <c r="S1411" t="s">
        <v>6994</v>
      </c>
      <c r="T1411" t="s">
        <v>11164</v>
      </c>
      <c r="U1411" t="s">
        <v>11164</v>
      </c>
      <c r="V1411" t="s">
        <v>11164</v>
      </c>
      <c r="W1411" t="s">
        <v>12545</v>
      </c>
      <c r="X1411">
        <v>43</v>
      </c>
      <c r="Y1411" t="s">
        <v>18073</v>
      </c>
      <c r="Z1411" t="s">
        <v>23561</v>
      </c>
      <c r="AA1411">
        <v>0.64333561791842775</v>
      </c>
      <c r="AB1411" t="str">
        <f>HYPERLINK("Melting_Curves/meltCurve_O60271_4_SPAG9.pdf", "Melting_Curves/meltCurve_O60271_4_SPAG9.pdf")</f>
        <v>Melting_Curves/meltCurve_O60271_4_SPAG9.pdf</v>
      </c>
    </row>
    <row r="1412" spans="1:28" x14ac:dyDescent="0.25">
      <c r="A1412" t="s">
        <v>1416</v>
      </c>
      <c r="B1412">
        <v>0.99796759195183404</v>
      </c>
      <c r="C1412">
        <v>1.0353775003391901</v>
      </c>
      <c r="D1412">
        <v>1.01883524241557</v>
      </c>
      <c r="E1412">
        <v>0.99077542857289502</v>
      </c>
      <c r="F1412">
        <v>0.85110135588833902</v>
      </c>
      <c r="G1412">
        <v>0.59555925814297594</v>
      </c>
      <c r="H1412">
        <v>0.64937855076214501</v>
      </c>
      <c r="I1412">
        <v>0.56323625123769605</v>
      </c>
      <c r="J1412">
        <v>0.70370691612562497</v>
      </c>
      <c r="K1412">
        <v>0.54672354691652103</v>
      </c>
      <c r="L1412">
        <v>12573.8343708309</v>
      </c>
      <c r="M1412">
        <v>250</v>
      </c>
      <c r="O1412">
        <v>50.292118889239603</v>
      </c>
      <c r="P1412">
        <v>-0.48252975573399198</v>
      </c>
      <c r="Q1412">
        <v>0.61172089876619495</v>
      </c>
      <c r="R1412">
        <v>0.95093175113762096</v>
      </c>
      <c r="S1412" t="s">
        <v>6995</v>
      </c>
      <c r="T1412" t="s">
        <v>11164</v>
      </c>
      <c r="U1412" t="s">
        <v>11164</v>
      </c>
      <c r="V1412" t="s">
        <v>11164</v>
      </c>
      <c r="W1412" t="s">
        <v>12546</v>
      </c>
      <c r="X1412">
        <v>8</v>
      </c>
      <c r="Y1412" t="s">
        <v>18074</v>
      </c>
      <c r="Z1412" t="s">
        <v>23562</v>
      </c>
      <c r="AA1412">
        <v>0.78383189415933097</v>
      </c>
      <c r="AB1412" t="str">
        <f>HYPERLINK("Melting_Curves/meltCurve_O60279_SUSD5.pdf", "Melting_Curves/meltCurve_O60279_SUSD5.pdf")</f>
        <v>Melting_Curves/meltCurve_O60279_SUSD5.pdf</v>
      </c>
    </row>
    <row r="1413" spans="1:28" x14ac:dyDescent="0.25">
      <c r="A1413" t="s">
        <v>1417</v>
      </c>
      <c r="B1413">
        <v>0.99796759195183404</v>
      </c>
      <c r="C1413">
        <v>0.95248396212194197</v>
      </c>
      <c r="D1413">
        <v>1.2558895550987299</v>
      </c>
      <c r="E1413">
        <v>1.0792332058763301</v>
      </c>
      <c r="F1413">
        <v>0.78452134657371497</v>
      </c>
      <c r="G1413">
        <v>0.43618341230371599</v>
      </c>
      <c r="H1413">
        <v>0.10329093969636501</v>
      </c>
      <c r="I1413">
        <v>0.125934489799535</v>
      </c>
      <c r="J1413">
        <v>0</v>
      </c>
      <c r="K1413">
        <v>9.9888301852294997E-2</v>
      </c>
      <c r="L1413">
        <v>1549.46751005889</v>
      </c>
      <c r="M1413">
        <v>29.342185056967701</v>
      </c>
      <c r="N1413">
        <v>53.0357353462202</v>
      </c>
      <c r="O1413">
        <v>52.563377829512604</v>
      </c>
      <c r="P1413">
        <v>-0.13125668650052899</v>
      </c>
      <c r="Q1413">
        <v>5.9477799802395599E-2</v>
      </c>
      <c r="R1413">
        <v>0.95650685936104096</v>
      </c>
      <c r="S1413" t="s">
        <v>6996</v>
      </c>
      <c r="T1413" t="s">
        <v>11164</v>
      </c>
      <c r="U1413" t="s">
        <v>11164</v>
      </c>
      <c r="V1413" t="s">
        <v>11164</v>
      </c>
      <c r="W1413" t="s">
        <v>12547</v>
      </c>
      <c r="X1413">
        <v>16</v>
      </c>
      <c r="Y1413" t="s">
        <v>18075</v>
      </c>
      <c r="Z1413" t="s">
        <v>23563</v>
      </c>
      <c r="AA1413">
        <v>0.56126550656567842</v>
      </c>
      <c r="AB1413" t="str">
        <f>HYPERLINK("Melting_Curves/meltCurve_O60282_KIF5C.pdf", "Melting_Curves/meltCurve_O60282_KIF5C.pdf")</f>
        <v>Melting_Curves/meltCurve_O60282_KIF5C.pdf</v>
      </c>
    </row>
    <row r="1414" spans="1:28" x14ac:dyDescent="0.25">
      <c r="A1414" t="s">
        <v>1418</v>
      </c>
      <c r="B1414">
        <v>0.99796759195183404</v>
      </c>
      <c r="C1414">
        <v>0.93411978674694096</v>
      </c>
      <c r="D1414">
        <v>0.87720029578244496</v>
      </c>
      <c r="E1414">
        <v>0.89623461714727204</v>
      </c>
      <c r="F1414">
        <v>0.70477545224111104</v>
      </c>
      <c r="G1414">
        <v>0.41742840736303999</v>
      </c>
      <c r="H1414">
        <v>0.25774145594446501</v>
      </c>
      <c r="I1414">
        <v>0.168888938897513</v>
      </c>
      <c r="J1414">
        <v>0.139110534970591</v>
      </c>
      <c r="K1414">
        <v>9.3559731129538498E-2</v>
      </c>
      <c r="L1414">
        <v>757.48808960651502</v>
      </c>
      <c r="M1414">
        <v>14.457205629601701</v>
      </c>
      <c r="N1414">
        <v>52.861810596607</v>
      </c>
      <c r="O1414">
        <v>51.423309096653099</v>
      </c>
      <c r="P1414">
        <v>-6.6082601806823404E-2</v>
      </c>
      <c r="Q1414">
        <v>5.99040367672031E-2</v>
      </c>
      <c r="R1414">
        <v>0.98928543939878499</v>
      </c>
      <c r="S1414" t="s">
        <v>6997</v>
      </c>
      <c r="T1414" t="s">
        <v>11164</v>
      </c>
      <c r="U1414" t="s">
        <v>11164</v>
      </c>
      <c r="V1414" t="s">
        <v>11164</v>
      </c>
      <c r="W1414" t="s">
        <v>12548</v>
      </c>
      <c r="X1414">
        <v>10</v>
      </c>
      <c r="Y1414" t="s">
        <v>18076</v>
      </c>
      <c r="Z1414" t="s">
        <v>23564</v>
      </c>
      <c r="AA1414">
        <v>0.56057535610523246</v>
      </c>
      <c r="AB1414" t="str">
        <f>HYPERLINK("Melting_Curves/meltCurve_O60333_2_KIF1B.pdf", "Melting_Curves/meltCurve_O60333_2_KIF1B.pdf")</f>
        <v>Melting_Curves/meltCurve_O60333_2_KIF1B.pdf</v>
      </c>
    </row>
    <row r="1415" spans="1:28" x14ac:dyDescent="0.25">
      <c r="A1415" t="s">
        <v>1419</v>
      </c>
      <c r="B1415">
        <v>0.99796759195183404</v>
      </c>
      <c r="C1415">
        <v>1.0271429237666601</v>
      </c>
      <c r="D1415">
        <v>0.87778137296381997</v>
      </c>
      <c r="E1415">
        <v>0.88897977523746596</v>
      </c>
      <c r="F1415">
        <v>0.78255118352467401</v>
      </c>
      <c r="G1415">
        <v>0.59034333122427995</v>
      </c>
      <c r="H1415">
        <v>0.285532794872354</v>
      </c>
      <c r="I1415">
        <v>0.23474679453597</v>
      </c>
      <c r="J1415">
        <v>0.185332065343083</v>
      </c>
      <c r="K1415">
        <v>9.6462242500872694E-2</v>
      </c>
      <c r="L1415">
        <v>711.22784818923606</v>
      </c>
      <c r="M1415">
        <v>13.0861244144912</v>
      </c>
      <c r="N1415">
        <v>54.661106850478497</v>
      </c>
      <c r="O1415">
        <v>53.127568877333303</v>
      </c>
      <c r="P1415">
        <v>-5.9377686990855001E-2</v>
      </c>
      <c r="Q1415">
        <v>3.5910422551058301E-2</v>
      </c>
      <c r="R1415">
        <v>0.98415179411947895</v>
      </c>
      <c r="S1415" t="s">
        <v>6998</v>
      </c>
      <c r="T1415" t="s">
        <v>11164</v>
      </c>
      <c r="U1415" t="s">
        <v>11164</v>
      </c>
      <c r="V1415" t="s">
        <v>11164</v>
      </c>
      <c r="W1415" t="s">
        <v>12549</v>
      </c>
      <c r="X1415">
        <v>3</v>
      </c>
      <c r="Y1415" t="s">
        <v>18077</v>
      </c>
      <c r="Z1415" t="s">
        <v>23565</v>
      </c>
      <c r="AA1415">
        <v>0.60936196368063944</v>
      </c>
      <c r="AB1415" t="str">
        <f>HYPERLINK("Melting_Curves/meltCurve_O60343_2_TBC1D4.pdf", "Melting_Curves/meltCurve_O60343_2_TBC1D4.pdf")</f>
        <v>Melting_Curves/meltCurve_O60343_2_TBC1D4.pdf</v>
      </c>
    </row>
    <row r="1416" spans="1:28" x14ac:dyDescent="0.25">
      <c r="A1416" t="s">
        <v>1420</v>
      </c>
      <c r="B1416">
        <v>0.99796759195183404</v>
      </c>
      <c r="C1416">
        <v>0.91830314124527002</v>
      </c>
      <c r="D1416">
        <v>0.91348135191052904</v>
      </c>
      <c r="E1416">
        <v>0.79926306556870896</v>
      </c>
      <c r="F1416">
        <v>0.49378294045721199</v>
      </c>
      <c r="G1416">
        <v>0.25544159098448499</v>
      </c>
      <c r="H1416">
        <v>0.16849138575283601</v>
      </c>
      <c r="I1416">
        <v>0.14130151868445501</v>
      </c>
      <c r="J1416">
        <v>9.2126902162323498E-2</v>
      </c>
      <c r="K1416">
        <v>7.5512088227119897E-2</v>
      </c>
      <c r="L1416">
        <v>824.75466562126405</v>
      </c>
      <c r="M1416">
        <v>16.6024570638507</v>
      </c>
      <c r="N1416">
        <v>50.164654737118603</v>
      </c>
      <c r="O1416">
        <v>48.972734091945497</v>
      </c>
      <c r="P1416">
        <v>-7.8438898935458898E-2</v>
      </c>
      <c r="Q1416">
        <v>7.4568983045537204E-2</v>
      </c>
      <c r="R1416">
        <v>0.99463105332708601</v>
      </c>
      <c r="S1416" t="s">
        <v>6999</v>
      </c>
      <c r="T1416" t="s">
        <v>11164</v>
      </c>
      <c r="U1416" t="s">
        <v>11164</v>
      </c>
      <c r="V1416" t="s">
        <v>11164</v>
      </c>
      <c r="W1416" t="s">
        <v>12550</v>
      </c>
      <c r="X1416">
        <v>2</v>
      </c>
      <c r="Y1416" t="s">
        <v>18078</v>
      </c>
      <c r="Z1416" t="s">
        <v>23566</v>
      </c>
      <c r="AA1416">
        <v>0.48232085874950159</v>
      </c>
      <c r="AB1416" t="str">
        <f>HYPERLINK("Melting_Curves/meltCurve_O60344_4_ECE2.pdf", "Melting_Curves/meltCurve_O60344_4_ECE2.pdf")</f>
        <v>Melting_Curves/meltCurve_O60344_4_ECE2.pdf</v>
      </c>
    </row>
    <row r="1417" spans="1:28" x14ac:dyDescent="0.25">
      <c r="A1417" t="s">
        <v>1421</v>
      </c>
      <c r="B1417">
        <v>0.99796759195183404</v>
      </c>
      <c r="C1417">
        <v>0.99504855615189003</v>
      </c>
      <c r="D1417">
        <v>0.89319455811327697</v>
      </c>
      <c r="E1417">
        <v>0.90129175247442905</v>
      </c>
      <c r="F1417">
        <v>0.75066782565161905</v>
      </c>
      <c r="G1417">
        <v>0.56872397260861696</v>
      </c>
      <c r="H1417">
        <v>0.30756513678988801</v>
      </c>
      <c r="I1417">
        <v>0.17278374475467101</v>
      </c>
      <c r="J1417">
        <v>0.13818686683311601</v>
      </c>
      <c r="K1417">
        <v>0.10409903816587</v>
      </c>
      <c r="L1417">
        <v>717.97805739294904</v>
      </c>
      <c r="M1417">
        <v>13.243412304269899</v>
      </c>
      <c r="N1417">
        <v>54.342171223475901</v>
      </c>
      <c r="O1417">
        <v>53.0225499725722</v>
      </c>
      <c r="P1417">
        <v>-6.1492177621751701E-2</v>
      </c>
      <c r="Q1417">
        <v>1.53783092819159E-2</v>
      </c>
      <c r="R1417">
        <v>0.992770112820346</v>
      </c>
      <c r="S1417" t="s">
        <v>7000</v>
      </c>
      <c r="T1417" t="s">
        <v>11164</v>
      </c>
      <c r="U1417" t="s">
        <v>11164</v>
      </c>
      <c r="V1417" t="s">
        <v>11164</v>
      </c>
      <c r="W1417" t="s">
        <v>12551</v>
      </c>
      <c r="X1417">
        <v>5</v>
      </c>
      <c r="Y1417" t="s">
        <v>18079</v>
      </c>
      <c r="Z1417" t="s">
        <v>23567</v>
      </c>
      <c r="AA1417">
        <v>0.59690934274399032</v>
      </c>
      <c r="AB1417" t="str">
        <f>HYPERLINK("Melting_Curves/meltCurve_O60347_TBC1D12.pdf", "Melting_Curves/meltCurve_O60347_TBC1D12.pdf")</f>
        <v>Melting_Curves/meltCurve_O60347_TBC1D12.pdf</v>
      </c>
    </row>
    <row r="1418" spans="1:28" x14ac:dyDescent="0.25">
      <c r="A1418" t="s">
        <v>1422</v>
      </c>
      <c r="B1418">
        <v>0.99796759195183404</v>
      </c>
      <c r="C1418">
        <v>1.0462350759411201</v>
      </c>
      <c r="D1418">
        <v>1.11545890863082</v>
      </c>
      <c r="E1418">
        <v>0.924242394580013</v>
      </c>
      <c r="F1418">
        <v>0.84017894027918005</v>
      </c>
      <c r="G1418">
        <v>0.50280125557938005</v>
      </c>
      <c r="H1418">
        <v>0.36711088978825002</v>
      </c>
      <c r="I1418">
        <v>0.28542802018244301</v>
      </c>
      <c r="J1418">
        <v>0.177982964391942</v>
      </c>
      <c r="K1418">
        <v>0.104101537601806</v>
      </c>
      <c r="L1418">
        <v>937.30067449720798</v>
      </c>
      <c r="M1418">
        <v>17.422752347564199</v>
      </c>
      <c r="N1418">
        <v>54.714448971393097</v>
      </c>
      <c r="O1418">
        <v>53.103763829096202</v>
      </c>
      <c r="P1418">
        <v>-7.1641504955268207E-2</v>
      </c>
      <c r="Q1418">
        <v>0.12660828238982799</v>
      </c>
      <c r="R1418">
        <v>0.97787967750721305</v>
      </c>
      <c r="S1418" t="s">
        <v>7001</v>
      </c>
      <c r="T1418" t="s">
        <v>11164</v>
      </c>
      <c r="U1418" t="s">
        <v>11164</v>
      </c>
      <c r="V1418" t="s">
        <v>11164</v>
      </c>
      <c r="W1418" t="s">
        <v>12552</v>
      </c>
      <c r="X1418">
        <v>4</v>
      </c>
      <c r="Y1418" t="s">
        <v>18080</v>
      </c>
      <c r="Z1418" t="s">
        <v>23568</v>
      </c>
      <c r="AA1418">
        <v>0.62822544421771531</v>
      </c>
      <c r="AB1418" t="str">
        <f>HYPERLINK("Melting_Curves/meltCurve_O60427_FADS1.pdf", "Melting_Curves/meltCurve_O60427_FADS1.pdf")</f>
        <v>Melting_Curves/meltCurve_O60427_FADS1.pdf</v>
      </c>
    </row>
    <row r="1419" spans="1:28" x14ac:dyDescent="0.25">
      <c r="A1419" t="s">
        <v>1423</v>
      </c>
      <c r="B1419">
        <v>0.99796759195183404</v>
      </c>
      <c r="C1419">
        <v>0.86711264948639499</v>
      </c>
      <c r="D1419">
        <v>0.93711523388101703</v>
      </c>
      <c r="E1419">
        <v>0.74391623404364005</v>
      </c>
      <c r="F1419">
        <v>0.802550303922409</v>
      </c>
      <c r="G1419">
        <v>1.0058574824648301</v>
      </c>
      <c r="H1419">
        <v>0.93706514649079398</v>
      </c>
      <c r="I1419">
        <v>0.92808105195809698</v>
      </c>
      <c r="J1419">
        <v>1.2913565680833701</v>
      </c>
      <c r="K1419">
        <v>1.27524470535384</v>
      </c>
      <c r="L1419">
        <v>15000</v>
      </c>
      <c r="M1419">
        <v>238.916821683525</v>
      </c>
      <c r="O1419">
        <v>62.778951689590798</v>
      </c>
      <c r="P1419">
        <v>0.27046661121765098</v>
      </c>
      <c r="Q1419">
        <v>1.2842765400896901</v>
      </c>
      <c r="R1419">
        <v>0.53486727575534598</v>
      </c>
      <c r="S1419" t="s">
        <v>7002</v>
      </c>
      <c r="T1419" t="s">
        <v>11164</v>
      </c>
      <c r="U1419" t="s">
        <v>11164</v>
      </c>
      <c r="V1419" t="s">
        <v>11164</v>
      </c>
      <c r="W1419" t="s">
        <v>12553</v>
      </c>
      <c r="X1419">
        <v>1</v>
      </c>
      <c r="Y1419" t="s">
        <v>18081</v>
      </c>
      <c r="Z1419" t="s">
        <v>23569</v>
      </c>
      <c r="AA1419">
        <v>1.039922131059684</v>
      </c>
      <c r="AB1419" t="str">
        <f>HYPERLINK("Melting_Curves/meltCurve_O60443_DFNA5.pdf", "Melting_Curves/meltCurve_O60443_DFNA5.pdf")</f>
        <v>Melting_Curves/meltCurve_O60443_DFNA5.pdf</v>
      </c>
    </row>
    <row r="1420" spans="1:28" x14ac:dyDescent="0.25">
      <c r="A1420" t="s">
        <v>1424</v>
      </c>
      <c r="B1420">
        <v>0.99796759195183404</v>
      </c>
      <c r="C1420">
        <v>0.96216769223447596</v>
      </c>
      <c r="D1420">
        <v>0.95739567833514805</v>
      </c>
      <c r="E1420">
        <v>0.96016183280591005</v>
      </c>
      <c r="F1420">
        <v>0.76998587721226397</v>
      </c>
      <c r="G1420">
        <v>0.50792729909680501</v>
      </c>
      <c r="H1420">
        <v>0.57830866007683601</v>
      </c>
      <c r="I1420">
        <v>0.47541849177460799</v>
      </c>
      <c r="J1420">
        <v>0.557288338982312</v>
      </c>
      <c r="K1420">
        <v>0.42876406987905602</v>
      </c>
      <c r="L1420">
        <v>1994.6405523409601</v>
      </c>
      <c r="M1420">
        <v>39.656710779491398</v>
      </c>
      <c r="O1420">
        <v>50.170298984999299</v>
      </c>
      <c r="P1420">
        <v>-9.8269244328097402E-2</v>
      </c>
      <c r="Q1420">
        <v>0.50271359000175098</v>
      </c>
      <c r="R1420">
        <v>0.96126184362556899</v>
      </c>
      <c r="S1420" t="s">
        <v>7003</v>
      </c>
      <c r="T1420" t="s">
        <v>11164</v>
      </c>
      <c r="U1420" t="s">
        <v>11164</v>
      </c>
      <c r="V1420" t="s">
        <v>11164</v>
      </c>
      <c r="W1420" t="s">
        <v>12554</v>
      </c>
      <c r="X1420">
        <v>2</v>
      </c>
      <c r="Y1420" t="s">
        <v>18082</v>
      </c>
      <c r="Z1420" t="s">
        <v>23570</v>
      </c>
      <c r="AA1420">
        <v>0.72489651097874963</v>
      </c>
      <c r="AB1420" t="str">
        <f>HYPERLINK("Melting_Curves/meltCurve_O60449_3_LY75.pdf", "Melting_Curves/meltCurve_O60449_3_LY75.pdf")</f>
        <v>Melting_Curves/meltCurve_O60449_3_LY75.pdf</v>
      </c>
    </row>
    <row r="1421" spans="1:28" x14ac:dyDescent="0.25">
      <c r="A1421" t="s">
        <v>1425</v>
      </c>
      <c r="B1421">
        <v>0.99796759195183404</v>
      </c>
      <c r="C1421">
        <v>1.02280323858706</v>
      </c>
      <c r="D1421">
        <v>0.91510583302926696</v>
      </c>
      <c r="E1421">
        <v>1.0767672653259801</v>
      </c>
      <c r="F1421">
        <v>1.00909716491976</v>
      </c>
      <c r="G1421">
        <v>0.91243352158853797</v>
      </c>
      <c r="H1421">
        <v>0.67791186933183201</v>
      </c>
      <c r="I1421">
        <v>0.39425769430376001</v>
      </c>
      <c r="J1421">
        <v>0.29743325670441401</v>
      </c>
      <c r="K1421">
        <v>0.117058726760476</v>
      </c>
      <c r="L1421">
        <v>1214.04834993698</v>
      </c>
      <c r="M1421">
        <v>20.440018762330599</v>
      </c>
      <c r="N1421">
        <v>59.835679954596102</v>
      </c>
      <c r="O1421">
        <v>58.83590850209</v>
      </c>
      <c r="P1421">
        <v>-8.0793642215116201E-2</v>
      </c>
      <c r="Q1421">
        <v>6.9780625488540401E-2</v>
      </c>
      <c r="R1421">
        <v>0.98145036165030597</v>
      </c>
      <c r="S1421" t="s">
        <v>7004</v>
      </c>
      <c r="T1421" t="s">
        <v>11164</v>
      </c>
      <c r="U1421" t="s">
        <v>11164</v>
      </c>
      <c r="V1421" t="s">
        <v>11164</v>
      </c>
      <c r="W1421" t="s">
        <v>12555</v>
      </c>
      <c r="X1421">
        <v>2</v>
      </c>
      <c r="Y1421" t="s">
        <v>18083</v>
      </c>
      <c r="Z1421" t="s">
        <v>23571</v>
      </c>
      <c r="AA1421">
        <v>0.76700275616316582</v>
      </c>
      <c r="AB1421" t="str">
        <f>HYPERLINK("Melting_Curves/meltCurve_O60476_MAN1A2.pdf", "Melting_Curves/meltCurve_O60476_MAN1A2.pdf")</f>
        <v>Melting_Curves/meltCurve_O60476_MAN1A2.pdf</v>
      </c>
    </row>
    <row r="1422" spans="1:28" x14ac:dyDescent="0.25">
      <c r="A1422" t="s">
        <v>1426</v>
      </c>
      <c r="B1422">
        <v>0.99796759195183404</v>
      </c>
      <c r="C1422">
        <v>0.96632381121173405</v>
      </c>
      <c r="D1422">
        <v>0.96256609419944295</v>
      </c>
      <c r="E1422">
        <v>0.87706312895304805</v>
      </c>
      <c r="F1422">
        <v>0.51559623566327695</v>
      </c>
      <c r="G1422">
        <v>0.189619551241063</v>
      </c>
      <c r="H1422">
        <v>0.14631664910504499</v>
      </c>
      <c r="I1422">
        <v>9.1170261482510895E-2</v>
      </c>
      <c r="J1422">
        <v>6.5925331208837604E-2</v>
      </c>
      <c r="K1422">
        <v>3.18971684379502E-2</v>
      </c>
      <c r="L1422">
        <v>1204.08120387186</v>
      </c>
      <c r="M1422">
        <v>24.056589479024598</v>
      </c>
      <c r="N1422">
        <v>50.338557703234798</v>
      </c>
      <c r="O1422">
        <v>49.710015584671602</v>
      </c>
      <c r="P1422">
        <v>-0.113245316614641</v>
      </c>
      <c r="Q1422">
        <v>6.3983981320778996E-2</v>
      </c>
      <c r="R1422">
        <v>0.99683789808936196</v>
      </c>
      <c r="S1422" t="s">
        <v>7005</v>
      </c>
      <c r="T1422" t="s">
        <v>11164</v>
      </c>
      <c r="U1422" t="s">
        <v>11164</v>
      </c>
      <c r="V1422" t="s">
        <v>11164</v>
      </c>
      <c r="W1422" t="s">
        <v>12556</v>
      </c>
      <c r="X1422">
        <v>14</v>
      </c>
      <c r="Y1422" t="s">
        <v>18084</v>
      </c>
      <c r="Z1422" t="s">
        <v>23572</v>
      </c>
      <c r="AA1422">
        <v>0.48002317657669802</v>
      </c>
      <c r="AB1422" t="str">
        <f>HYPERLINK("Melting_Curves/meltCurve_O60488_2_ACSL4.pdf", "Melting_Curves/meltCurve_O60488_2_ACSL4.pdf")</f>
        <v>Melting_Curves/meltCurve_O60488_2_ACSL4.pdf</v>
      </c>
    </row>
    <row r="1423" spans="1:28" x14ac:dyDescent="0.25">
      <c r="A1423" t="s">
        <v>1427</v>
      </c>
      <c r="B1423">
        <v>0.99796759195183404</v>
      </c>
      <c r="C1423">
        <v>1.07666055961504</v>
      </c>
      <c r="D1423">
        <v>1.07435134726911</v>
      </c>
      <c r="E1423">
        <v>0.97966280610073697</v>
      </c>
      <c r="F1423">
        <v>0.58372719616513402</v>
      </c>
      <c r="G1423">
        <v>0.245393789924609</v>
      </c>
      <c r="H1423">
        <v>0.148358431840722</v>
      </c>
      <c r="I1423">
        <v>0.11266871901272001</v>
      </c>
      <c r="J1423">
        <v>9.9514967107836999E-2</v>
      </c>
      <c r="K1423">
        <v>7.5987251812911799E-2</v>
      </c>
      <c r="L1423">
        <v>1587.71921589407</v>
      </c>
      <c r="M1423">
        <v>31.387789378567799</v>
      </c>
      <c r="N1423">
        <v>50.9673704638084</v>
      </c>
      <c r="O1423">
        <v>50.379978375270703</v>
      </c>
      <c r="P1423">
        <v>-0.13937788314094601</v>
      </c>
      <c r="Q1423">
        <v>0.10515308345942399</v>
      </c>
      <c r="R1423">
        <v>0.99132042659648101</v>
      </c>
      <c r="S1423" t="s">
        <v>7006</v>
      </c>
      <c r="T1423" t="s">
        <v>11164</v>
      </c>
      <c r="U1423" t="s">
        <v>11164</v>
      </c>
      <c r="V1423" t="s">
        <v>11164</v>
      </c>
      <c r="W1423" t="s">
        <v>12557</v>
      </c>
      <c r="X1423">
        <v>19</v>
      </c>
      <c r="Y1423" t="s">
        <v>18085</v>
      </c>
      <c r="Z1423" t="s">
        <v>23573</v>
      </c>
      <c r="AA1423">
        <v>0.51540852742630316</v>
      </c>
      <c r="AB1423" t="str">
        <f>HYPERLINK("Melting_Curves/meltCurve_O60493_SNX3.pdf", "Melting_Curves/meltCurve_O60493_SNX3.pdf")</f>
        <v>Melting_Curves/meltCurve_O60493_SNX3.pdf</v>
      </c>
    </row>
    <row r="1424" spans="1:28" x14ac:dyDescent="0.25">
      <c r="A1424" t="s">
        <v>1428</v>
      </c>
      <c r="B1424">
        <v>0.99796759195183404</v>
      </c>
      <c r="C1424">
        <v>0.96444775857603104</v>
      </c>
      <c r="D1424">
        <v>0.92956925561229498</v>
      </c>
      <c r="E1424">
        <v>0.867146967365374</v>
      </c>
      <c r="F1424">
        <v>0.70018312022404405</v>
      </c>
      <c r="G1424">
        <v>0.68664163802102995</v>
      </c>
      <c r="H1424">
        <v>0.47076903151323102</v>
      </c>
      <c r="I1424">
        <v>0.195543429151632</v>
      </c>
      <c r="J1424">
        <v>0.13004176949704599</v>
      </c>
      <c r="K1424">
        <v>9.5520955966852006E-2</v>
      </c>
      <c r="L1424">
        <v>653.02178792660004</v>
      </c>
      <c r="M1424">
        <v>11.7600915426678</v>
      </c>
      <c r="N1424">
        <v>55.5286313822021</v>
      </c>
      <c r="O1424">
        <v>53.9959537407154</v>
      </c>
      <c r="P1424">
        <v>-5.4463141553322603E-2</v>
      </c>
      <c r="Q1424">
        <v>0</v>
      </c>
      <c r="R1424">
        <v>0.97493834449363403</v>
      </c>
      <c r="S1424" t="s">
        <v>7007</v>
      </c>
      <c r="T1424" t="s">
        <v>11164</v>
      </c>
      <c r="U1424" t="s">
        <v>11164</v>
      </c>
      <c r="V1424" t="s">
        <v>11164</v>
      </c>
      <c r="W1424" t="s">
        <v>12558</v>
      </c>
      <c r="X1424">
        <v>16</v>
      </c>
      <c r="Y1424" t="s">
        <v>18086</v>
      </c>
      <c r="Z1424" t="s">
        <v>23574</v>
      </c>
      <c r="AA1424">
        <v>0.62935539295518395</v>
      </c>
      <c r="AB1424" t="str">
        <f>HYPERLINK("Melting_Curves/meltCurve_O60502_MGEA5.pdf", "Melting_Curves/meltCurve_O60502_MGEA5.pdf")</f>
        <v>Melting_Curves/meltCurve_O60502_MGEA5.pdf</v>
      </c>
    </row>
    <row r="1425" spans="1:28" x14ac:dyDescent="0.25">
      <c r="A1425" t="s">
        <v>1429</v>
      </c>
      <c r="B1425">
        <v>0.99796759195183404</v>
      </c>
      <c r="C1425">
        <v>0.97686967703852201</v>
      </c>
      <c r="D1425">
        <v>1.0080846391235101</v>
      </c>
      <c r="E1425">
        <v>0.95164615147381104</v>
      </c>
      <c r="F1425">
        <v>0.88808838762381304</v>
      </c>
      <c r="G1425">
        <v>0.68944205495358701</v>
      </c>
      <c r="H1425">
        <v>0.58325120141511699</v>
      </c>
      <c r="I1425">
        <v>0.338738123858558</v>
      </c>
      <c r="J1425">
        <v>0.33877898314810201</v>
      </c>
      <c r="K1425">
        <v>0.23475121431296</v>
      </c>
      <c r="L1425">
        <v>764.25228971379795</v>
      </c>
      <c r="M1425">
        <v>13.4935020592046</v>
      </c>
      <c r="N1425">
        <v>58.235805246852799</v>
      </c>
      <c r="O1425">
        <v>55.437969327455797</v>
      </c>
      <c r="P1425">
        <v>-5.1446115819421899E-2</v>
      </c>
      <c r="Q1425">
        <v>0.15466496379141101</v>
      </c>
      <c r="R1425">
        <v>0.99049330814467995</v>
      </c>
      <c r="S1425" t="s">
        <v>7008</v>
      </c>
      <c r="T1425" t="s">
        <v>11164</v>
      </c>
      <c r="U1425" t="s">
        <v>11164</v>
      </c>
      <c r="V1425" t="s">
        <v>11164</v>
      </c>
      <c r="W1425" t="s">
        <v>12559</v>
      </c>
      <c r="X1425">
        <v>3</v>
      </c>
      <c r="Y1425" t="s">
        <v>18087</v>
      </c>
      <c r="Z1425" t="s">
        <v>23575</v>
      </c>
      <c r="AA1425">
        <v>0.71521313637272954</v>
      </c>
      <c r="AB1425" t="str">
        <f>HYPERLINK("Melting_Curves/meltCurve_O60504_2_SORBS3.pdf", "Melting_Curves/meltCurve_O60504_2_SORBS3.pdf")</f>
        <v>Melting_Curves/meltCurve_O60504_2_SORBS3.pdf</v>
      </c>
    </row>
    <row r="1426" spans="1:28" x14ac:dyDescent="0.25">
      <c r="A1426" t="s">
        <v>1430</v>
      </c>
      <c r="B1426">
        <v>0.99796759195183404</v>
      </c>
      <c r="C1426">
        <v>0.89479273237041801</v>
      </c>
      <c r="D1426">
        <v>0.93334262480247598</v>
      </c>
      <c r="E1426">
        <v>0.93478408308776495</v>
      </c>
      <c r="F1426">
        <v>0.79328263506562402</v>
      </c>
      <c r="G1426">
        <v>0.74172068038120498</v>
      </c>
      <c r="H1426">
        <v>0.47597385437982398</v>
      </c>
      <c r="I1426">
        <v>0.37347708898077803</v>
      </c>
      <c r="J1426">
        <v>0.36843590660377401</v>
      </c>
      <c r="K1426">
        <v>0.35705742040534699</v>
      </c>
      <c r="L1426">
        <v>700.50412526230195</v>
      </c>
      <c r="M1426">
        <v>12.8516475845556</v>
      </c>
      <c r="N1426">
        <v>57.948265012399901</v>
      </c>
      <c r="O1426">
        <v>53.237812927040501</v>
      </c>
      <c r="P1426">
        <v>-4.4249948642823299E-2</v>
      </c>
      <c r="Q1426">
        <v>0.26691568813719102</v>
      </c>
      <c r="R1426">
        <v>0.96375198196706402</v>
      </c>
      <c r="S1426" t="s">
        <v>7009</v>
      </c>
      <c r="T1426" t="s">
        <v>11164</v>
      </c>
      <c r="U1426" t="s">
        <v>11164</v>
      </c>
      <c r="V1426" t="s">
        <v>11164</v>
      </c>
      <c r="W1426" t="s">
        <v>12560</v>
      </c>
      <c r="X1426">
        <v>4</v>
      </c>
      <c r="Y1426" t="s">
        <v>18088</v>
      </c>
      <c r="Z1426" t="s">
        <v>23576</v>
      </c>
      <c r="AA1426">
        <v>0.70649434007748535</v>
      </c>
      <c r="AB1426" t="str">
        <f>HYPERLINK("Melting_Curves/meltCurve_O60506_4_SYNCRIP.pdf", "Melting_Curves/meltCurve_O60506_4_SYNCRIP.pdf")</f>
        <v>Melting_Curves/meltCurve_O60506_4_SYNCRIP.pdf</v>
      </c>
    </row>
    <row r="1427" spans="1:28" x14ac:dyDescent="0.25">
      <c r="A1427" t="s">
        <v>1431</v>
      </c>
      <c r="B1427">
        <v>0.99796759195183404</v>
      </c>
      <c r="C1427">
        <v>0.93063269851170105</v>
      </c>
      <c r="D1427">
        <v>0.95731989337602397</v>
      </c>
      <c r="E1427">
        <v>0.98064480576812396</v>
      </c>
      <c r="F1427">
        <v>0.77439940132172802</v>
      </c>
      <c r="G1427">
        <v>0.52932857876972506</v>
      </c>
      <c r="H1427">
        <v>0.36286233814413499</v>
      </c>
      <c r="I1427">
        <v>0.34453890166951101</v>
      </c>
      <c r="J1427">
        <v>0.248217976045322</v>
      </c>
      <c r="K1427">
        <v>0.153538886651606</v>
      </c>
      <c r="L1427">
        <v>857.385228073755</v>
      </c>
      <c r="M1427">
        <v>16.1005317448789</v>
      </c>
      <c r="N1427">
        <v>54.786662702830803</v>
      </c>
      <c r="O1427">
        <v>52.450803509019998</v>
      </c>
      <c r="P1427">
        <v>-6.2816922604656406E-2</v>
      </c>
      <c r="Q1427">
        <v>0.181506301604203</v>
      </c>
      <c r="R1427">
        <v>0.98291333734117503</v>
      </c>
      <c r="S1427" t="s">
        <v>7010</v>
      </c>
      <c r="T1427" t="s">
        <v>11164</v>
      </c>
      <c r="U1427" t="s">
        <v>11164</v>
      </c>
      <c r="V1427" t="s">
        <v>11164</v>
      </c>
      <c r="W1427" t="s">
        <v>12561</v>
      </c>
      <c r="X1427">
        <v>3</v>
      </c>
      <c r="Y1427" t="s">
        <v>18089</v>
      </c>
      <c r="Z1427" t="s">
        <v>23577</v>
      </c>
      <c r="AA1427">
        <v>0.63825736901546182</v>
      </c>
      <c r="AB1427" t="str">
        <f>HYPERLINK("Melting_Curves/meltCurve_O60524_4_NEMF.pdf", "Melting_Curves/meltCurve_O60524_4_NEMF.pdf")</f>
        <v>Melting_Curves/meltCurve_O60524_4_NEMF.pdf</v>
      </c>
    </row>
    <row r="1428" spans="1:28" x14ac:dyDescent="0.25">
      <c r="A1428" t="s">
        <v>1432</v>
      </c>
      <c r="B1428">
        <v>0.99796759195183404</v>
      </c>
      <c r="C1428">
        <v>1.02300839961455</v>
      </c>
      <c r="D1428">
        <v>0.994287075866781</v>
      </c>
      <c r="E1428">
        <v>0.98813091450047297</v>
      </c>
      <c r="F1428">
        <v>0.98092012416584096</v>
      </c>
      <c r="G1428">
        <v>1.0798379402363401</v>
      </c>
      <c r="H1428">
        <v>0.78543857565096797</v>
      </c>
      <c r="I1428">
        <v>0.40868628378572702</v>
      </c>
      <c r="J1428">
        <v>0.20483363064344601</v>
      </c>
      <c r="K1428">
        <v>0.13099732690911101</v>
      </c>
      <c r="L1428">
        <v>2034.59112389143</v>
      </c>
      <c r="M1428">
        <v>34.128004027388002</v>
      </c>
      <c r="N1428">
        <v>60.109774640362197</v>
      </c>
      <c r="O1428">
        <v>59.412893724147501</v>
      </c>
      <c r="P1428">
        <v>-0.12606603238766201</v>
      </c>
      <c r="Q1428">
        <v>0.122138110950227</v>
      </c>
      <c r="R1428">
        <v>0.98976167648058699</v>
      </c>
      <c r="S1428" t="s">
        <v>7011</v>
      </c>
      <c r="T1428" t="s">
        <v>11164</v>
      </c>
      <c r="U1428" t="s">
        <v>11164</v>
      </c>
      <c r="V1428" t="s">
        <v>11164</v>
      </c>
      <c r="W1428" t="s">
        <v>12562</v>
      </c>
      <c r="X1428">
        <v>11</v>
      </c>
      <c r="Y1428" t="s">
        <v>18090</v>
      </c>
      <c r="Z1428" t="s">
        <v>23578</v>
      </c>
      <c r="AA1428">
        <v>0.78733607741940947</v>
      </c>
      <c r="AB1428" t="str">
        <f>HYPERLINK("Melting_Curves/meltCurve_O60547_GMDS.pdf", "Melting_Curves/meltCurve_O60547_GMDS.pdf")</f>
        <v>Melting_Curves/meltCurve_O60547_GMDS.pdf</v>
      </c>
    </row>
    <row r="1429" spans="1:28" x14ac:dyDescent="0.25">
      <c r="A1429" t="s">
        <v>1433</v>
      </c>
      <c r="B1429">
        <v>0.99796759195183404</v>
      </c>
      <c r="C1429">
        <v>0.78727321175707898</v>
      </c>
      <c r="D1429">
        <v>0.88749899694113499</v>
      </c>
      <c r="E1429">
        <v>0.69276175503295701</v>
      </c>
      <c r="F1429">
        <v>0.72584745800629802</v>
      </c>
      <c r="G1429">
        <v>0.78370650965359701</v>
      </c>
      <c r="H1429">
        <v>0.405227360338623</v>
      </c>
      <c r="I1429">
        <v>0.21098486047728601</v>
      </c>
      <c r="J1429">
        <v>0.12811147081385901</v>
      </c>
      <c r="K1429">
        <v>0.151302724653157</v>
      </c>
      <c r="L1429">
        <v>485.60553033208299</v>
      </c>
      <c r="M1429">
        <v>8.8339710438853594</v>
      </c>
      <c r="N1429">
        <v>54.970242477845801</v>
      </c>
      <c r="O1429">
        <v>52.371924022618799</v>
      </c>
      <c r="P1429">
        <v>-4.2202261866629898E-2</v>
      </c>
      <c r="Q1429">
        <v>0</v>
      </c>
      <c r="R1429">
        <v>0.86803014183967098</v>
      </c>
      <c r="S1429" t="s">
        <v>7012</v>
      </c>
      <c r="T1429" t="s">
        <v>11164</v>
      </c>
      <c r="U1429" t="s">
        <v>11164</v>
      </c>
      <c r="V1429" t="s">
        <v>11164</v>
      </c>
      <c r="W1429" t="s">
        <v>12563</v>
      </c>
      <c r="X1429">
        <v>1</v>
      </c>
      <c r="Y1429" t="s">
        <v>18091</v>
      </c>
      <c r="Z1429" t="s">
        <v>23579</v>
      </c>
      <c r="AA1429">
        <v>0.60878847404988479</v>
      </c>
      <c r="AB1429" t="str">
        <f>HYPERLINK("Melting_Curves/meltCurve_O60563_CCNT1.pdf", "Melting_Curves/meltCurve_O60563_CCNT1.pdf")</f>
        <v>Melting_Curves/meltCurve_O60563_CCNT1.pdf</v>
      </c>
    </row>
    <row r="1430" spans="1:28" x14ac:dyDescent="0.25">
      <c r="A1430" t="s">
        <v>1434</v>
      </c>
      <c r="B1430">
        <v>0.99796759195183404</v>
      </c>
      <c r="C1430">
        <v>1.09948569041931</v>
      </c>
      <c r="D1430">
        <v>1.0278409570451199</v>
      </c>
      <c r="E1430">
        <v>0.93885657459219996</v>
      </c>
      <c r="F1430">
        <v>0.79928717413796102</v>
      </c>
      <c r="G1430">
        <v>0.26160255249362602</v>
      </c>
      <c r="H1430">
        <v>0.18056026904483299</v>
      </c>
      <c r="I1430">
        <v>0.147824668219697</v>
      </c>
      <c r="J1430">
        <v>0.13499947207792001</v>
      </c>
      <c r="K1430">
        <v>0.11454416642194</v>
      </c>
      <c r="L1430">
        <v>2114.3260963817502</v>
      </c>
      <c r="M1430">
        <v>40.985150180219797</v>
      </c>
      <c r="N1430">
        <v>51.999139941406</v>
      </c>
      <c r="O1430">
        <v>51.465260905304298</v>
      </c>
      <c r="P1430">
        <v>-0.17151649537847399</v>
      </c>
      <c r="Q1430">
        <v>0.13850517770263901</v>
      </c>
      <c r="R1430">
        <v>0.99112430571485</v>
      </c>
      <c r="S1430" t="s">
        <v>7013</v>
      </c>
      <c r="T1430" t="s">
        <v>11164</v>
      </c>
      <c r="U1430" t="s">
        <v>11164</v>
      </c>
      <c r="V1430" t="s">
        <v>11164</v>
      </c>
      <c r="W1430" t="s">
        <v>12564</v>
      </c>
      <c r="X1430">
        <v>10</v>
      </c>
      <c r="Y1430" t="s">
        <v>18092</v>
      </c>
      <c r="Z1430" t="s">
        <v>23580</v>
      </c>
      <c r="AA1430">
        <v>0.56033074378209669</v>
      </c>
      <c r="AB1430" t="str">
        <f>HYPERLINK("Melting_Curves/meltCurve_O60566_BUB1B.pdf", "Melting_Curves/meltCurve_O60566_BUB1B.pdf")</f>
        <v>Melting_Curves/meltCurve_O60566_BUB1B.pdf</v>
      </c>
    </row>
    <row r="1431" spans="1:28" x14ac:dyDescent="0.25">
      <c r="A1431" t="s">
        <v>1435</v>
      </c>
      <c r="B1431">
        <v>0.99796759195183404</v>
      </c>
      <c r="C1431">
        <v>1.01863208674481</v>
      </c>
      <c r="D1431">
        <v>1.0059106115554399</v>
      </c>
      <c r="E1431">
        <v>0.96121780066908302</v>
      </c>
      <c r="F1431">
        <v>0.87046620886391401</v>
      </c>
      <c r="G1431">
        <v>1.39416490761228</v>
      </c>
      <c r="H1431">
        <v>1.1218645117967101</v>
      </c>
      <c r="I1431">
        <v>0.66672686668852099</v>
      </c>
      <c r="J1431">
        <v>0.32043328989566</v>
      </c>
      <c r="K1431">
        <v>0.245323612799833</v>
      </c>
      <c r="L1431">
        <v>5537.5416574961901</v>
      </c>
      <c r="M1431">
        <v>90.603742367124497</v>
      </c>
      <c r="N1431">
        <v>61.6668143812282</v>
      </c>
      <c r="O1431">
        <v>61.088487700961501</v>
      </c>
      <c r="P1431">
        <v>-0.26820141228510702</v>
      </c>
      <c r="Q1431">
        <v>0.27667370497101701</v>
      </c>
      <c r="R1431">
        <v>0.83143242003778794</v>
      </c>
      <c r="S1431" t="s">
        <v>7014</v>
      </c>
      <c r="T1431" t="s">
        <v>11164</v>
      </c>
      <c r="U1431" t="s">
        <v>11164</v>
      </c>
      <c r="V1431" t="s">
        <v>11164</v>
      </c>
      <c r="W1431" t="s">
        <v>12565</v>
      </c>
      <c r="X1431">
        <v>10</v>
      </c>
      <c r="Y1431" t="s">
        <v>18093</v>
      </c>
      <c r="Z1431" t="s">
        <v>23581</v>
      </c>
      <c r="AA1431">
        <v>0.85877024238829436</v>
      </c>
      <c r="AB1431" t="str">
        <f>HYPERLINK("Melting_Curves/meltCurve_O60568_PLOD3.pdf", "Melting_Curves/meltCurve_O60568_PLOD3.pdf")</f>
        <v>Melting_Curves/meltCurve_O60568_PLOD3.pdf</v>
      </c>
    </row>
    <row r="1432" spans="1:28" x14ac:dyDescent="0.25">
      <c r="A1432" t="s">
        <v>1436</v>
      </c>
      <c r="B1432">
        <v>0.99796759195183404</v>
      </c>
      <c r="C1432">
        <v>0.95001106977847705</v>
      </c>
      <c r="D1432">
        <v>0.87119115323907503</v>
      </c>
      <c r="E1432">
        <v>0.88847269573442</v>
      </c>
      <c r="F1432">
        <v>1.0095576861029201</v>
      </c>
      <c r="G1432">
        <v>0.752524168647563</v>
      </c>
      <c r="H1432">
        <v>0.43307516058260298</v>
      </c>
      <c r="I1432">
        <v>0.52411194165544295</v>
      </c>
      <c r="J1432">
        <v>0.285105222327668</v>
      </c>
      <c r="K1432">
        <v>0.16308883997100301</v>
      </c>
      <c r="L1432">
        <v>667.43628046692402</v>
      </c>
      <c r="M1432">
        <v>11.3353556257116</v>
      </c>
      <c r="N1432">
        <v>58.880929989303503</v>
      </c>
      <c r="O1432">
        <v>57.137683884554903</v>
      </c>
      <c r="P1432">
        <v>-4.9611575218477998E-2</v>
      </c>
      <c r="Q1432">
        <v>0</v>
      </c>
      <c r="R1432">
        <v>0.91720051853010398</v>
      </c>
      <c r="S1432" t="s">
        <v>7015</v>
      </c>
      <c r="T1432" t="s">
        <v>11164</v>
      </c>
      <c r="U1432" t="s">
        <v>11164</v>
      </c>
      <c r="V1432" t="s">
        <v>11164</v>
      </c>
      <c r="W1432" t="s">
        <v>12566</v>
      </c>
      <c r="X1432">
        <v>2</v>
      </c>
      <c r="Y1432" t="s">
        <v>18094</v>
      </c>
      <c r="Z1432" t="s">
        <v>23582</v>
      </c>
      <c r="AA1432">
        <v>0.71950268423823516</v>
      </c>
      <c r="AB1432" t="str">
        <f>HYPERLINK("Melting_Curves/meltCurve_O60613_SEP15.pdf", "Melting_Curves/meltCurve_O60613_SEP15.pdf")</f>
        <v>Melting_Curves/meltCurve_O60613_SEP15.pdf</v>
      </c>
    </row>
    <row r="1433" spans="1:28" x14ac:dyDescent="0.25">
      <c r="A1433" t="s">
        <v>1437</v>
      </c>
      <c r="B1433">
        <v>0.99796759195183404</v>
      </c>
      <c r="C1433">
        <v>1.0965754153963501</v>
      </c>
      <c r="D1433">
        <v>1.0327364538538499</v>
      </c>
      <c r="E1433">
        <v>1.01678935354373</v>
      </c>
      <c r="F1433">
        <v>0.91273528348309496</v>
      </c>
      <c r="G1433">
        <v>0.40556807855122101</v>
      </c>
      <c r="H1433">
        <v>0.31659913685130697</v>
      </c>
      <c r="I1433">
        <v>0.25119225277919299</v>
      </c>
      <c r="J1433">
        <v>0.20843390777041201</v>
      </c>
      <c r="K1433">
        <v>0.15835061952494101</v>
      </c>
      <c r="L1433">
        <v>2241.6747165862598</v>
      </c>
      <c r="M1433">
        <v>42.739411071143699</v>
      </c>
      <c r="N1433">
        <v>53.194377945774399</v>
      </c>
      <c r="O1433">
        <v>52.335391672469598</v>
      </c>
      <c r="P1433">
        <v>-0.15820394916927799</v>
      </c>
      <c r="Q1433">
        <v>0.22510375905878099</v>
      </c>
      <c r="R1433">
        <v>0.98477650482354195</v>
      </c>
      <c r="S1433" t="s">
        <v>7016</v>
      </c>
      <c r="T1433" t="s">
        <v>11164</v>
      </c>
      <c r="U1433" t="s">
        <v>11164</v>
      </c>
      <c r="V1433" t="s">
        <v>11164</v>
      </c>
      <c r="W1433" t="s">
        <v>12567</v>
      </c>
      <c r="X1433">
        <v>1</v>
      </c>
      <c r="Y1433" t="s">
        <v>18095</v>
      </c>
      <c r="Z1433" t="s">
        <v>23583</v>
      </c>
      <c r="AA1433">
        <v>0.62662449190562097</v>
      </c>
      <c r="AB1433" t="str">
        <f>HYPERLINK("Melting_Curves/meltCurve_O60645_3_EXOC3.pdf", "Melting_Curves/meltCurve_O60645_3_EXOC3.pdf")</f>
        <v>Melting_Curves/meltCurve_O60645_3_EXOC3.pdf</v>
      </c>
    </row>
    <row r="1434" spans="1:28" x14ac:dyDescent="0.25">
      <c r="A1434" t="s">
        <v>1438</v>
      </c>
      <c r="B1434">
        <v>0.99796759195183404</v>
      </c>
      <c r="C1434">
        <v>0.97570679069104105</v>
      </c>
      <c r="D1434">
        <v>0.96355427720164699</v>
      </c>
      <c r="E1434">
        <v>0.91223081940871098</v>
      </c>
      <c r="F1434">
        <v>0.82785494834982098</v>
      </c>
      <c r="G1434">
        <v>0.61427723768659903</v>
      </c>
      <c r="H1434">
        <v>0.56049311901727705</v>
      </c>
      <c r="I1434">
        <v>0.53198544923927904</v>
      </c>
      <c r="J1434">
        <v>0.58273711216310398</v>
      </c>
      <c r="K1434">
        <v>0.49484273208427498</v>
      </c>
      <c r="L1434">
        <v>1027.0450889245701</v>
      </c>
      <c r="M1434">
        <v>20.193276888100101</v>
      </c>
      <c r="O1434">
        <v>50.369835553492997</v>
      </c>
      <c r="P1434">
        <v>-4.78424149148041E-2</v>
      </c>
      <c r="Q1434">
        <v>0.52266510764479601</v>
      </c>
      <c r="R1434">
        <v>0.98061657692474702</v>
      </c>
      <c r="S1434" t="s">
        <v>7017</v>
      </c>
      <c r="T1434" t="s">
        <v>11164</v>
      </c>
      <c r="U1434" t="s">
        <v>11164</v>
      </c>
      <c r="V1434" t="s">
        <v>11164</v>
      </c>
      <c r="W1434" t="s">
        <v>12568</v>
      </c>
      <c r="X1434">
        <v>16</v>
      </c>
      <c r="Y1434" t="s">
        <v>18096</v>
      </c>
      <c r="Z1434" t="s">
        <v>23584</v>
      </c>
      <c r="AA1434">
        <v>0.74936241120725056</v>
      </c>
      <c r="AB1434" t="str">
        <f>HYPERLINK("Melting_Curves/meltCurve_O60664_PLIN3.pdf", "Melting_Curves/meltCurve_O60664_PLIN3.pdf")</f>
        <v>Melting_Curves/meltCurve_O60664_PLIN3.pdf</v>
      </c>
    </row>
    <row r="1435" spans="1:28" x14ac:dyDescent="0.25">
      <c r="A1435" t="s">
        <v>1439</v>
      </c>
      <c r="B1435">
        <v>0.99796759195183404</v>
      </c>
      <c r="C1435">
        <v>0.90481660177303902</v>
      </c>
      <c r="D1435">
        <v>0.94920723226146297</v>
      </c>
      <c r="E1435">
        <v>0.93071717604623105</v>
      </c>
      <c r="F1435">
        <v>0.77635355914120197</v>
      </c>
      <c r="G1435">
        <v>0.53457869231124699</v>
      </c>
      <c r="H1435">
        <v>0.44789245143609502</v>
      </c>
      <c r="I1435">
        <v>0.466918658070333</v>
      </c>
      <c r="J1435">
        <v>0.38809446459747199</v>
      </c>
      <c r="K1435">
        <v>0.32167125160724602</v>
      </c>
      <c r="L1435">
        <v>868.21025941248297</v>
      </c>
      <c r="M1435">
        <v>16.811652134905799</v>
      </c>
      <c r="N1435">
        <v>55.765845237027897</v>
      </c>
      <c r="O1435">
        <v>50.929254609601699</v>
      </c>
      <c r="P1435">
        <v>-5.31729958954218E-2</v>
      </c>
      <c r="Q1435">
        <v>0.35571204521928002</v>
      </c>
      <c r="R1435">
        <v>0.97105777574464103</v>
      </c>
      <c r="S1435" t="s">
        <v>7018</v>
      </c>
      <c r="T1435" t="s">
        <v>11164</v>
      </c>
      <c r="U1435" t="s">
        <v>11164</v>
      </c>
      <c r="V1435" t="s">
        <v>11164</v>
      </c>
      <c r="W1435" t="s">
        <v>12569</v>
      </c>
      <c r="X1435">
        <v>16</v>
      </c>
      <c r="Y1435" t="s">
        <v>18096</v>
      </c>
      <c r="Z1435" t="s">
        <v>23585</v>
      </c>
      <c r="AA1435">
        <v>0.68104683164808955</v>
      </c>
      <c r="AB1435" t="str">
        <f>HYPERLINK("Melting_Curves/meltCurve_O60664_3_PLIN3.pdf", "Melting_Curves/meltCurve_O60664_3_PLIN3.pdf")</f>
        <v>Melting_Curves/meltCurve_O60664_3_PLIN3.pdf</v>
      </c>
    </row>
    <row r="1436" spans="1:28" x14ac:dyDescent="0.25">
      <c r="A1436" t="s">
        <v>1440</v>
      </c>
      <c r="B1436">
        <v>0.99796759195183404</v>
      </c>
      <c r="C1436">
        <v>1.0348709310609201</v>
      </c>
      <c r="D1436">
        <v>0.86030336307448696</v>
      </c>
      <c r="E1436">
        <v>0.79556963852541396</v>
      </c>
      <c r="F1436">
        <v>1.16521642420225</v>
      </c>
      <c r="G1436">
        <v>0.41353618342063903</v>
      </c>
      <c r="H1436">
        <v>0.39116960045028598</v>
      </c>
      <c r="I1436">
        <v>0.34738087423925601</v>
      </c>
      <c r="J1436">
        <v>0.23635931055981799</v>
      </c>
      <c r="K1436">
        <v>0.18782727144514699</v>
      </c>
      <c r="L1436">
        <v>13365.903622601099</v>
      </c>
      <c r="M1436">
        <v>250</v>
      </c>
      <c r="N1436">
        <v>53.650504696432201</v>
      </c>
      <c r="O1436">
        <v>53.460193292321499</v>
      </c>
      <c r="P1436">
        <v>-0.82925692809148599</v>
      </c>
      <c r="Q1436">
        <v>0.29068423176906</v>
      </c>
      <c r="R1436">
        <v>0.90267889358242104</v>
      </c>
      <c r="S1436" t="s">
        <v>7019</v>
      </c>
      <c r="T1436" t="s">
        <v>11164</v>
      </c>
      <c r="U1436" t="s">
        <v>11164</v>
      </c>
      <c r="V1436" t="s">
        <v>11164</v>
      </c>
      <c r="W1436" t="s">
        <v>12570</v>
      </c>
      <c r="X1436">
        <v>3</v>
      </c>
      <c r="Y1436" t="s">
        <v>18097</v>
      </c>
      <c r="Z1436" t="s">
        <v>23586</v>
      </c>
      <c r="AA1436">
        <v>0.68001416398580028</v>
      </c>
      <c r="AB1436" t="str">
        <f>HYPERLINK("Melting_Curves/meltCurve_O60671_RAD1.pdf", "Melting_Curves/meltCurve_O60671_RAD1.pdf")</f>
        <v>Melting_Curves/meltCurve_O60671_RAD1.pdf</v>
      </c>
    </row>
    <row r="1437" spans="1:28" x14ac:dyDescent="0.25">
      <c r="A1437" t="s">
        <v>1441</v>
      </c>
      <c r="B1437">
        <v>0.99796759195183404</v>
      </c>
      <c r="C1437">
        <v>1.0188010857052701</v>
      </c>
      <c r="D1437">
        <v>1.0122388105331399</v>
      </c>
      <c r="E1437">
        <v>0.97155109994405198</v>
      </c>
      <c r="F1437">
        <v>0.87978555146165904</v>
      </c>
      <c r="G1437">
        <v>0.43038506558475198</v>
      </c>
      <c r="H1437">
        <v>0.161850521638671</v>
      </c>
      <c r="I1437">
        <v>0.15337031446753099</v>
      </c>
      <c r="J1437">
        <v>7.0558166217716503E-2</v>
      </c>
      <c r="K1437">
        <v>4.7949317209683102E-2</v>
      </c>
      <c r="L1437">
        <v>1659.5270634661999</v>
      </c>
      <c r="M1437">
        <v>31.292463610420398</v>
      </c>
      <c r="N1437">
        <v>53.340299716641603</v>
      </c>
      <c r="O1437">
        <v>52.817633994202097</v>
      </c>
      <c r="P1437">
        <v>-0.13589239956006399</v>
      </c>
      <c r="Q1437">
        <v>8.2529839736671398E-2</v>
      </c>
      <c r="R1437">
        <v>0.99665984556794895</v>
      </c>
      <c r="S1437" t="s">
        <v>7020</v>
      </c>
      <c r="T1437" t="s">
        <v>11164</v>
      </c>
      <c r="U1437" t="s">
        <v>11164</v>
      </c>
      <c r="V1437" t="s">
        <v>11164</v>
      </c>
      <c r="W1437" t="s">
        <v>12571</v>
      </c>
      <c r="X1437">
        <v>9</v>
      </c>
      <c r="Y1437" t="s">
        <v>18098</v>
      </c>
      <c r="Z1437" t="s">
        <v>23587</v>
      </c>
      <c r="AA1437">
        <v>0.57824630820317879</v>
      </c>
      <c r="AB1437" t="str">
        <f>HYPERLINK("Melting_Curves/meltCurve_O60678_PRMT3.pdf", "Melting_Curves/meltCurve_O60678_PRMT3.pdf")</f>
        <v>Melting_Curves/meltCurve_O60678_PRMT3.pdf</v>
      </c>
    </row>
    <row r="1438" spans="1:28" x14ac:dyDescent="0.25">
      <c r="A1438" t="s">
        <v>1442</v>
      </c>
      <c r="B1438">
        <v>0.99796759195183404</v>
      </c>
      <c r="C1438">
        <v>0.951048124500811</v>
      </c>
      <c r="D1438">
        <v>0.92495112046632499</v>
      </c>
      <c r="E1438">
        <v>0.906052523435113</v>
      </c>
      <c r="F1438">
        <v>0.86733316501641999</v>
      </c>
      <c r="G1438">
        <v>1.23455996656392</v>
      </c>
      <c r="H1438">
        <v>0.52141416580924504</v>
      </c>
      <c r="I1438">
        <v>0.320919326393936</v>
      </c>
      <c r="J1438">
        <v>0.192519069500099</v>
      </c>
      <c r="K1438">
        <v>0.16029435425490501</v>
      </c>
      <c r="L1438">
        <v>14288.4474814682</v>
      </c>
      <c r="M1438">
        <v>249.405308784314</v>
      </c>
      <c r="N1438">
        <v>57.427381791177702</v>
      </c>
      <c r="O1438">
        <v>57.286385870942397</v>
      </c>
      <c r="P1438">
        <v>-0.84398104543692398</v>
      </c>
      <c r="Q1438">
        <v>0.224577472040039</v>
      </c>
      <c r="R1438">
        <v>0.91896766737767199</v>
      </c>
      <c r="S1438" t="s">
        <v>7021</v>
      </c>
      <c r="T1438" t="s">
        <v>11164</v>
      </c>
      <c r="U1438" t="s">
        <v>11164</v>
      </c>
      <c r="V1438" t="s">
        <v>11164</v>
      </c>
      <c r="W1438" t="s">
        <v>12572</v>
      </c>
      <c r="X1438">
        <v>8</v>
      </c>
      <c r="Y1438" t="s">
        <v>18099</v>
      </c>
      <c r="Z1438" t="s">
        <v>23588</v>
      </c>
      <c r="AA1438">
        <v>0.74910170806547416</v>
      </c>
      <c r="AB1438" t="str">
        <f>HYPERLINK("Melting_Curves/meltCurve_O60701_UGDH.pdf", "Melting_Curves/meltCurve_O60701_UGDH.pdf")</f>
        <v>Melting_Curves/meltCurve_O60701_UGDH.pdf</v>
      </c>
    </row>
    <row r="1439" spans="1:28" x14ac:dyDescent="0.25">
      <c r="A1439" t="s">
        <v>1443</v>
      </c>
      <c r="B1439">
        <v>0.99796759195183404</v>
      </c>
      <c r="C1439">
        <v>0.88716374079629801</v>
      </c>
      <c r="D1439">
        <v>0.61033175928947003</v>
      </c>
      <c r="E1439">
        <v>0.50550469787527896</v>
      </c>
      <c r="F1439">
        <v>0.468558443758406</v>
      </c>
      <c r="G1439">
        <v>0.38724047081060398</v>
      </c>
      <c r="H1439">
        <v>0.13256238915871699</v>
      </c>
      <c r="I1439">
        <v>4.2363279833108398E-2</v>
      </c>
      <c r="J1439">
        <v>0</v>
      </c>
      <c r="K1439">
        <v>2.8984176213770099E-2</v>
      </c>
      <c r="L1439">
        <v>440.13075564131202</v>
      </c>
      <c r="M1439">
        <v>9.2584739528079592</v>
      </c>
      <c r="N1439">
        <v>47.5381321009733</v>
      </c>
      <c r="O1439">
        <v>45.478253240096201</v>
      </c>
      <c r="P1439">
        <v>-5.0928262216919401E-2</v>
      </c>
      <c r="Q1439">
        <v>0</v>
      </c>
      <c r="R1439">
        <v>0.94713327506167599</v>
      </c>
      <c r="S1439" t="s">
        <v>7022</v>
      </c>
      <c r="T1439" t="s">
        <v>11164</v>
      </c>
      <c r="U1439" t="s">
        <v>11164</v>
      </c>
      <c r="V1439" t="s">
        <v>11164</v>
      </c>
      <c r="W1439" t="s">
        <v>12573</v>
      </c>
      <c r="X1439">
        <v>1</v>
      </c>
      <c r="Y1439" t="s">
        <v>18100</v>
      </c>
      <c r="Z1439" t="s">
        <v>23589</v>
      </c>
      <c r="AA1439">
        <v>0.39714958000002348</v>
      </c>
      <c r="AB1439" t="str">
        <f>HYPERLINK("Melting_Curves/meltCurve_O60704_TPST2.pdf", "Melting_Curves/meltCurve_O60704_TPST2.pdf")</f>
        <v>Melting_Curves/meltCurve_O60704_TPST2.pdf</v>
      </c>
    </row>
    <row r="1440" spans="1:28" x14ac:dyDescent="0.25">
      <c r="A1440" t="s">
        <v>1444</v>
      </c>
      <c r="B1440">
        <v>0.99796759195183404</v>
      </c>
      <c r="C1440">
        <v>1.0364186690730099</v>
      </c>
      <c r="D1440">
        <v>0.99571962372612899</v>
      </c>
      <c r="E1440">
        <v>0.86755076380757201</v>
      </c>
      <c r="F1440">
        <v>0.51781804925299901</v>
      </c>
      <c r="G1440">
        <v>0.30884745320893903</v>
      </c>
      <c r="H1440">
        <v>0.25084514957777498</v>
      </c>
      <c r="I1440">
        <v>0.20381471354862901</v>
      </c>
      <c r="J1440">
        <v>0.18035398885786499</v>
      </c>
      <c r="K1440">
        <v>0.141110145684058</v>
      </c>
      <c r="L1440">
        <v>1154.46768865596</v>
      </c>
      <c r="M1440">
        <v>23.246723195557902</v>
      </c>
      <c r="N1440">
        <v>50.639246859808203</v>
      </c>
      <c r="O1440">
        <v>49.298431648916697</v>
      </c>
      <c r="P1440">
        <v>-9.6573571635316699E-2</v>
      </c>
      <c r="Q1440">
        <v>0.18081561405815599</v>
      </c>
      <c r="R1440">
        <v>0.99555686210272298</v>
      </c>
      <c r="S1440" t="s">
        <v>7023</v>
      </c>
      <c r="T1440" t="s">
        <v>11164</v>
      </c>
      <c r="U1440" t="s">
        <v>11164</v>
      </c>
      <c r="V1440" t="s">
        <v>11164</v>
      </c>
      <c r="W1440" t="s">
        <v>12574</v>
      </c>
      <c r="X1440">
        <v>27</v>
      </c>
      <c r="Y1440" t="s">
        <v>18101</v>
      </c>
      <c r="Z1440" t="s">
        <v>23590</v>
      </c>
      <c r="AA1440">
        <v>0.53474810678312967</v>
      </c>
      <c r="AB1440" t="str">
        <f>HYPERLINK("Melting_Curves/meltCurve_O60716_5_CTNND1.pdf", "Melting_Curves/meltCurve_O60716_5_CTNND1.pdf")</f>
        <v>Melting_Curves/meltCurve_O60716_5_CTNND1.pdf</v>
      </c>
    </row>
    <row r="1441" spans="1:28" x14ac:dyDescent="0.25">
      <c r="A1441" t="s">
        <v>1445</v>
      </c>
      <c r="B1441">
        <v>0.99796759195183404</v>
      </c>
      <c r="C1441">
        <v>1.0101349873632399</v>
      </c>
      <c r="D1441">
        <v>1.08371600821827</v>
      </c>
      <c r="E1441">
        <v>1.01856148463611</v>
      </c>
      <c r="F1441">
        <v>0.85152375818847503</v>
      </c>
      <c r="G1441">
        <v>0.65695134566035396</v>
      </c>
      <c r="H1441">
        <v>0.17785937709935601</v>
      </c>
      <c r="I1441">
        <v>0.10432580280411501</v>
      </c>
      <c r="J1441">
        <v>0.103192713376212</v>
      </c>
      <c r="K1441">
        <v>2.5647155428478199E-2</v>
      </c>
      <c r="L1441">
        <v>1568.40957191385</v>
      </c>
      <c r="M1441">
        <v>28.793938952779602</v>
      </c>
      <c r="N1441">
        <v>54.667232487194902</v>
      </c>
      <c r="O1441">
        <v>54.209427596300102</v>
      </c>
      <c r="P1441">
        <v>-0.12624465825356701</v>
      </c>
      <c r="Q1441">
        <v>4.9300163182751801E-2</v>
      </c>
      <c r="R1441">
        <v>0.98858607008416499</v>
      </c>
      <c r="S1441" t="s">
        <v>7024</v>
      </c>
      <c r="T1441" t="s">
        <v>11164</v>
      </c>
      <c r="U1441" t="s">
        <v>11164</v>
      </c>
      <c r="V1441" t="s">
        <v>11164</v>
      </c>
      <c r="W1441" t="s">
        <v>12575</v>
      </c>
      <c r="X1441">
        <v>1</v>
      </c>
      <c r="Y1441" t="s">
        <v>18102</v>
      </c>
      <c r="Z1441" t="s">
        <v>23591</v>
      </c>
      <c r="AA1441">
        <v>0.60944072599705379</v>
      </c>
      <c r="AB1441" t="str">
        <f>HYPERLINK("Melting_Curves/meltCurve_O60725_ICMT.pdf", "Melting_Curves/meltCurve_O60725_ICMT.pdf")</f>
        <v>Melting_Curves/meltCurve_O60725_ICMT.pdf</v>
      </c>
    </row>
    <row r="1442" spans="1:28" x14ac:dyDescent="0.25">
      <c r="A1442" t="s">
        <v>1446</v>
      </c>
      <c r="B1442">
        <v>0.99796759195183404</v>
      </c>
      <c r="C1442">
        <v>0.99813827039897796</v>
      </c>
      <c r="D1442">
        <v>1.0153882081013801</v>
      </c>
      <c r="E1442">
        <v>0.96399772525962502</v>
      </c>
      <c r="F1442">
        <v>0.81997398393017895</v>
      </c>
      <c r="G1442">
        <v>0.533503523999449</v>
      </c>
      <c r="H1442">
        <v>0.207083979774289</v>
      </c>
      <c r="I1442">
        <v>0.123116524742267</v>
      </c>
      <c r="J1442">
        <v>9.0941077842846302E-2</v>
      </c>
      <c r="K1442">
        <v>6.8578974708628601E-2</v>
      </c>
      <c r="L1442">
        <v>1218.3368845310699</v>
      </c>
      <c r="M1442">
        <v>22.7254258765883</v>
      </c>
      <c r="N1442">
        <v>53.917934519230002</v>
      </c>
      <c r="O1442">
        <v>53.201227408363799</v>
      </c>
      <c r="P1442">
        <v>-0.10031604235087301</v>
      </c>
      <c r="Q1442">
        <v>6.0641244966711902E-2</v>
      </c>
      <c r="R1442">
        <v>0.99885591865540302</v>
      </c>
      <c r="S1442" t="s">
        <v>7025</v>
      </c>
      <c r="T1442" t="s">
        <v>11164</v>
      </c>
      <c r="U1442" t="s">
        <v>11164</v>
      </c>
      <c r="V1442" t="s">
        <v>11164</v>
      </c>
      <c r="W1442" t="s">
        <v>11290</v>
      </c>
      <c r="X1442">
        <v>25</v>
      </c>
      <c r="Y1442" t="s">
        <v>16820</v>
      </c>
      <c r="Z1442" t="s">
        <v>23592</v>
      </c>
      <c r="AA1442">
        <v>0.59038279085881706</v>
      </c>
      <c r="AB1442" t="str">
        <f>HYPERLINK("Melting_Curves/meltCurve_O60749_SNX2.pdf", "Melting_Curves/meltCurve_O60749_SNX2.pdf")</f>
        <v>Melting_Curves/meltCurve_O60749_SNX2.pdf</v>
      </c>
    </row>
    <row r="1443" spans="1:28" x14ac:dyDescent="0.25">
      <c r="A1443" t="s">
        <v>1447</v>
      </c>
      <c r="B1443">
        <v>0.99796759195183404</v>
      </c>
      <c r="C1443">
        <v>0.99777661304106802</v>
      </c>
      <c r="D1443">
        <v>0.99928631750559804</v>
      </c>
      <c r="E1443">
        <v>0.98033986166382803</v>
      </c>
      <c r="F1443">
        <v>0.85085350995228204</v>
      </c>
      <c r="G1443">
        <v>0.643704894676287</v>
      </c>
      <c r="H1443">
        <v>0.203492853882102</v>
      </c>
      <c r="I1443">
        <v>0.124714621003483</v>
      </c>
      <c r="J1443">
        <v>9.5677167954497405E-2</v>
      </c>
      <c r="K1443">
        <v>6.0422911106162699E-2</v>
      </c>
      <c r="L1443">
        <v>1413.56368581025</v>
      </c>
      <c r="M1443">
        <v>25.9914353634395</v>
      </c>
      <c r="N1443">
        <v>54.653102319421002</v>
      </c>
      <c r="O1443">
        <v>54.066869969766998</v>
      </c>
      <c r="P1443">
        <v>-0.113008448932735</v>
      </c>
      <c r="Q1443">
        <v>5.9699067577342897E-2</v>
      </c>
      <c r="R1443">
        <v>0.99512022271719303</v>
      </c>
      <c r="S1443" t="s">
        <v>7026</v>
      </c>
      <c r="T1443" t="s">
        <v>11164</v>
      </c>
      <c r="U1443" t="s">
        <v>11164</v>
      </c>
      <c r="V1443" t="s">
        <v>11164</v>
      </c>
      <c r="W1443" t="s">
        <v>12576</v>
      </c>
      <c r="X1443">
        <v>26</v>
      </c>
      <c r="Y1443" t="s">
        <v>18103</v>
      </c>
      <c r="Z1443" t="s">
        <v>23593</v>
      </c>
      <c r="AA1443">
        <v>0.6122803686613163</v>
      </c>
      <c r="AB1443" t="str">
        <f>HYPERLINK("Melting_Curves/meltCurve_O60763_USO1.pdf", "Melting_Curves/meltCurve_O60763_USO1.pdf")</f>
        <v>Melting_Curves/meltCurve_O60763_USO1.pdf</v>
      </c>
    </row>
    <row r="1444" spans="1:28" x14ac:dyDescent="0.25">
      <c r="A1444" t="s">
        <v>1448</v>
      </c>
      <c r="B1444">
        <v>0.99796759195183404</v>
      </c>
      <c r="C1444">
        <v>0.93776342031739401</v>
      </c>
      <c r="D1444">
        <v>1.0191725664190401</v>
      </c>
      <c r="E1444">
        <v>0.75086932319536004</v>
      </c>
      <c r="F1444">
        <v>0.414815765784871</v>
      </c>
      <c r="G1444">
        <v>0.47580984487341899</v>
      </c>
      <c r="H1444">
        <v>0.22074695152241</v>
      </c>
      <c r="I1444">
        <v>0.24664706507544801</v>
      </c>
      <c r="J1444">
        <v>0.17191729695350899</v>
      </c>
      <c r="K1444">
        <v>0.12875710617951699</v>
      </c>
      <c r="L1444">
        <v>736.37000012548901</v>
      </c>
      <c r="M1444">
        <v>14.9154443120163</v>
      </c>
      <c r="N1444">
        <v>50.658573006655701</v>
      </c>
      <c r="O1444">
        <v>48.507684994798502</v>
      </c>
      <c r="P1444">
        <v>-6.4740125246286695E-2</v>
      </c>
      <c r="Q1444">
        <v>0.157901247562443</v>
      </c>
      <c r="R1444">
        <v>0.96035946013873597</v>
      </c>
      <c r="S1444" t="s">
        <v>7027</v>
      </c>
      <c r="T1444" t="s">
        <v>11164</v>
      </c>
      <c r="U1444" t="s">
        <v>11164</v>
      </c>
      <c r="V1444" t="s">
        <v>11164</v>
      </c>
      <c r="W1444" t="s">
        <v>12577</v>
      </c>
      <c r="X1444">
        <v>8</v>
      </c>
      <c r="Y1444" t="s">
        <v>18104</v>
      </c>
      <c r="Z1444" t="s">
        <v>23594</v>
      </c>
      <c r="AA1444">
        <v>0.52320960949134843</v>
      </c>
      <c r="AB1444" t="str">
        <f>HYPERLINK("Melting_Curves/meltCurve_O60826_CCDC22.pdf", "Melting_Curves/meltCurve_O60826_CCDC22.pdf")</f>
        <v>Melting_Curves/meltCurve_O60826_CCDC22.pdf</v>
      </c>
    </row>
    <row r="1445" spans="1:28" x14ac:dyDescent="0.25">
      <c r="A1445" t="s">
        <v>1449</v>
      </c>
      <c r="B1445">
        <v>0.99796759195183404</v>
      </c>
      <c r="C1445">
        <v>0.99497823474316505</v>
      </c>
      <c r="D1445">
        <v>0.98412344097988103</v>
      </c>
      <c r="E1445">
        <v>0.93893356925315097</v>
      </c>
      <c r="F1445">
        <v>0.81863443314601403</v>
      </c>
      <c r="G1445">
        <v>0.61422719635488499</v>
      </c>
      <c r="H1445">
        <v>0.65645588042231595</v>
      </c>
      <c r="I1445">
        <v>0.64514950922559899</v>
      </c>
      <c r="J1445">
        <v>0.73992321848700604</v>
      </c>
      <c r="K1445">
        <v>1.0531032738685</v>
      </c>
      <c r="L1445">
        <v>1943.25855477296</v>
      </c>
      <c r="M1445">
        <v>40.277336536267903</v>
      </c>
      <c r="O1445">
        <v>48.128472500052403</v>
      </c>
      <c r="P1445">
        <v>-5.3209669442454102E-2</v>
      </c>
      <c r="Q1445">
        <v>0.74567385362880101</v>
      </c>
      <c r="R1445">
        <v>0.487215818851918</v>
      </c>
      <c r="S1445" t="s">
        <v>7028</v>
      </c>
      <c r="T1445" t="s">
        <v>11164</v>
      </c>
      <c r="U1445" t="s">
        <v>11164</v>
      </c>
      <c r="V1445" t="s">
        <v>11164</v>
      </c>
      <c r="W1445" t="s">
        <v>12578</v>
      </c>
      <c r="X1445">
        <v>10</v>
      </c>
      <c r="Y1445" t="s">
        <v>18105</v>
      </c>
      <c r="Z1445" t="s">
        <v>23595</v>
      </c>
      <c r="AA1445">
        <v>0.84185671140988083</v>
      </c>
      <c r="AB1445" t="str">
        <f>HYPERLINK("Melting_Curves/meltCurve_O60828_PQBP1.pdf", "Melting_Curves/meltCurve_O60828_PQBP1.pdf")</f>
        <v>Melting_Curves/meltCurve_O60828_PQBP1.pdf</v>
      </c>
    </row>
    <row r="1446" spans="1:28" x14ac:dyDescent="0.25">
      <c r="A1446" t="s">
        <v>1450</v>
      </c>
      <c r="B1446">
        <v>0.99796759195183404</v>
      </c>
      <c r="C1446">
        <v>1.0987301083499601</v>
      </c>
      <c r="D1446">
        <v>1.0184848060462</v>
      </c>
      <c r="E1446">
        <v>0.84888026960601803</v>
      </c>
      <c r="F1446">
        <v>0.87593426807427299</v>
      </c>
      <c r="G1446">
        <v>0.69494516422285202</v>
      </c>
      <c r="H1446">
        <v>0.74336384955663204</v>
      </c>
      <c r="I1446">
        <v>0.57343675289514795</v>
      </c>
      <c r="J1446">
        <v>0.82541651844645703</v>
      </c>
      <c r="K1446">
        <v>0.63398130687651899</v>
      </c>
      <c r="L1446">
        <v>912.70082301464902</v>
      </c>
      <c r="M1446">
        <v>18.513192266657398</v>
      </c>
      <c r="O1446">
        <v>48.735604163769302</v>
      </c>
      <c r="P1446">
        <v>-3.0281070807035598E-2</v>
      </c>
      <c r="Q1446">
        <v>0.68115685500293899</v>
      </c>
      <c r="R1446">
        <v>0.77749325801346503</v>
      </c>
      <c r="S1446" t="s">
        <v>7029</v>
      </c>
      <c r="T1446" t="s">
        <v>11164</v>
      </c>
      <c r="U1446" t="s">
        <v>11164</v>
      </c>
      <c r="V1446" t="s">
        <v>11164</v>
      </c>
      <c r="W1446" t="s">
        <v>12579</v>
      </c>
      <c r="X1446">
        <v>4</v>
      </c>
      <c r="Y1446" t="s">
        <v>18106</v>
      </c>
      <c r="Z1446" t="s">
        <v>23596</v>
      </c>
      <c r="AA1446">
        <v>0.81670111068720241</v>
      </c>
      <c r="AB1446" t="str">
        <f>HYPERLINK("Melting_Curves/meltCurve_O60830_TIMM17B.pdf", "Melting_Curves/meltCurve_O60830_TIMM17B.pdf")</f>
        <v>Melting_Curves/meltCurve_O60830_TIMM17B.pdf</v>
      </c>
    </row>
    <row r="1447" spans="1:28" x14ac:dyDescent="0.25">
      <c r="A1447" t="s">
        <v>1451</v>
      </c>
      <c r="B1447">
        <v>0.99796759195183404</v>
      </c>
      <c r="C1447">
        <v>0.81883372006479105</v>
      </c>
      <c r="D1447">
        <v>0.77220684296785802</v>
      </c>
      <c r="E1447">
        <v>0.72387370213398805</v>
      </c>
      <c r="F1447">
        <v>0.68040277354107503</v>
      </c>
      <c r="G1447">
        <v>0.55163692793989105</v>
      </c>
      <c r="H1447">
        <v>0.57812336789601804</v>
      </c>
      <c r="I1447">
        <v>0.58413993747308302</v>
      </c>
      <c r="J1447">
        <v>0.92908508971932702</v>
      </c>
      <c r="K1447">
        <v>1.06099349244439</v>
      </c>
      <c r="L1447">
        <v>1855.97493216937</v>
      </c>
      <c r="M1447">
        <v>47.192840388613597</v>
      </c>
      <c r="O1447">
        <v>39.257046635971498</v>
      </c>
      <c r="P1447">
        <v>-7.99276370118919E-2</v>
      </c>
      <c r="Q1447">
        <v>0.73405121752666402</v>
      </c>
      <c r="R1447">
        <v>0.219039671660965</v>
      </c>
      <c r="S1447" t="s">
        <v>7030</v>
      </c>
      <c r="T1447" t="s">
        <v>11164</v>
      </c>
      <c r="U1447" t="s">
        <v>11164</v>
      </c>
      <c r="V1447" t="s">
        <v>11164</v>
      </c>
      <c r="W1447" t="s">
        <v>12580</v>
      </c>
      <c r="X1447">
        <v>3</v>
      </c>
      <c r="Y1447" t="s">
        <v>18107</v>
      </c>
      <c r="Z1447" t="s">
        <v>23597</v>
      </c>
      <c r="AA1447">
        <v>0.75551745356082023</v>
      </c>
      <c r="AB1447" t="str">
        <f>HYPERLINK("Melting_Curves/meltCurve_O60831_PRAF2.pdf", "Melting_Curves/meltCurve_O60831_PRAF2.pdf")</f>
        <v>Melting_Curves/meltCurve_O60831_PRAF2.pdf</v>
      </c>
    </row>
    <row r="1448" spans="1:28" x14ac:dyDescent="0.25">
      <c r="A1448" t="s">
        <v>1452</v>
      </c>
      <c r="B1448">
        <v>0.99796759195183404</v>
      </c>
      <c r="C1448">
        <v>1.05328528119911</v>
      </c>
      <c r="D1448">
        <v>0.90365432295970705</v>
      </c>
      <c r="E1448">
        <v>0.99115708458598994</v>
      </c>
      <c r="F1448">
        <v>0.68671598073895201</v>
      </c>
      <c r="G1448">
        <v>0.88243830723594996</v>
      </c>
      <c r="H1448">
        <v>0.68334770688615398</v>
      </c>
      <c r="I1448">
        <v>0.78353465307287995</v>
      </c>
      <c r="J1448">
        <v>0.52888023099598702</v>
      </c>
      <c r="K1448">
        <v>0.47084931431425803</v>
      </c>
      <c r="L1448">
        <v>363.720603912591</v>
      </c>
      <c r="M1448">
        <v>5.3751134417974598</v>
      </c>
      <c r="O1448">
        <v>60.012453511650797</v>
      </c>
      <c r="P1448">
        <v>-2.2498530264150801E-2</v>
      </c>
      <c r="Q1448">
        <v>0</v>
      </c>
      <c r="R1448">
        <v>0.78600948981261898</v>
      </c>
      <c r="S1448" t="s">
        <v>7031</v>
      </c>
      <c r="T1448" t="s">
        <v>11164</v>
      </c>
      <c r="U1448" t="s">
        <v>11164</v>
      </c>
      <c r="V1448" t="s">
        <v>11164</v>
      </c>
      <c r="W1448" t="s">
        <v>12581</v>
      </c>
      <c r="X1448">
        <v>5</v>
      </c>
      <c r="Y1448" t="s">
        <v>18108</v>
      </c>
      <c r="Z1448" t="s">
        <v>23598</v>
      </c>
      <c r="AA1448">
        <v>0.80390773661709825</v>
      </c>
      <c r="AB1448" t="str">
        <f>HYPERLINK("Melting_Curves/meltCurve_O60832_DKC1.pdf", "Melting_Curves/meltCurve_O60832_DKC1.pdf")</f>
        <v>Melting_Curves/meltCurve_O60832_DKC1.pdf</v>
      </c>
    </row>
    <row r="1449" spans="1:28" x14ac:dyDescent="0.25">
      <c r="A1449" t="s">
        <v>1453</v>
      </c>
      <c r="B1449">
        <v>0.99796759195183404</v>
      </c>
      <c r="C1449">
        <v>0.99286801842311401</v>
      </c>
      <c r="D1449">
        <v>0.95409937250865395</v>
      </c>
      <c r="E1449">
        <v>0.89180868433170102</v>
      </c>
      <c r="F1449">
        <v>0.802332029034316</v>
      </c>
      <c r="G1449">
        <v>0.45759471874380298</v>
      </c>
      <c r="H1449">
        <v>0.24834611657610201</v>
      </c>
      <c r="I1449">
        <v>0.17691509467922001</v>
      </c>
      <c r="J1449">
        <v>0.14716201643274601</v>
      </c>
      <c r="K1449">
        <v>0.107861227441459</v>
      </c>
      <c r="L1449">
        <v>1030.96190506774</v>
      </c>
      <c r="M1449">
        <v>19.523937417602699</v>
      </c>
      <c r="N1449">
        <v>53.454304303307403</v>
      </c>
      <c r="O1449">
        <v>52.260402689217599</v>
      </c>
      <c r="P1449">
        <v>-8.3541077280100698E-2</v>
      </c>
      <c r="Q1449">
        <v>0.10556276017213199</v>
      </c>
      <c r="R1449">
        <v>0.99554474800170001</v>
      </c>
      <c r="S1449" t="s">
        <v>7032</v>
      </c>
      <c r="T1449" t="s">
        <v>11164</v>
      </c>
      <c r="U1449" t="s">
        <v>11164</v>
      </c>
      <c r="V1449" t="s">
        <v>11164</v>
      </c>
      <c r="W1449" t="s">
        <v>12582</v>
      </c>
      <c r="X1449">
        <v>28</v>
      </c>
      <c r="Y1449" t="s">
        <v>18109</v>
      </c>
      <c r="Z1449" t="s">
        <v>23599</v>
      </c>
      <c r="AA1449">
        <v>0.5885197498140583</v>
      </c>
      <c r="AB1449" t="str">
        <f>HYPERLINK("Melting_Curves/meltCurve_O60841_EIF5B.pdf", "Melting_Curves/meltCurve_O60841_EIF5B.pdf")</f>
        <v>Melting_Curves/meltCurve_O60841_EIF5B.pdf</v>
      </c>
    </row>
    <row r="1450" spans="1:28" x14ac:dyDescent="0.25">
      <c r="A1450" t="s">
        <v>1454</v>
      </c>
      <c r="B1450">
        <v>0.99796759195183404</v>
      </c>
      <c r="C1450">
        <v>0.935920075505277</v>
      </c>
      <c r="D1450">
        <v>0.95998764673111003</v>
      </c>
      <c r="E1450">
        <v>0.90876259662388603</v>
      </c>
      <c r="F1450">
        <v>0.742726560175899</v>
      </c>
      <c r="G1450">
        <v>0.52743527970245796</v>
      </c>
      <c r="H1450">
        <v>0.76272393698324503</v>
      </c>
      <c r="I1450">
        <v>0.77404703785628204</v>
      </c>
      <c r="J1450">
        <v>1.2064806168908599</v>
      </c>
      <c r="K1450">
        <v>1.4696701241668699</v>
      </c>
      <c r="L1450">
        <v>15000</v>
      </c>
      <c r="M1450">
        <v>233.766555615203</v>
      </c>
      <c r="O1450">
        <v>64.161901125331298</v>
      </c>
      <c r="P1450">
        <v>0.42782012125669</v>
      </c>
      <c r="Q1450">
        <v>1.4696949754909701</v>
      </c>
      <c r="R1450">
        <v>0.34056009307535001</v>
      </c>
      <c r="S1450" t="s">
        <v>7033</v>
      </c>
      <c r="T1450" t="s">
        <v>11164</v>
      </c>
      <c r="U1450" t="s">
        <v>11164</v>
      </c>
      <c r="V1450" t="s">
        <v>11164</v>
      </c>
      <c r="W1450" t="s">
        <v>12583</v>
      </c>
      <c r="X1450">
        <v>18</v>
      </c>
      <c r="Y1450" t="s">
        <v>18110</v>
      </c>
      <c r="Z1450" t="s">
        <v>23600</v>
      </c>
      <c r="AA1450">
        <v>1.0443012086859429</v>
      </c>
      <c r="AB1450" t="str">
        <f>HYPERLINK("Melting_Curves/meltCurve_O60869_EDF1.pdf", "Melting_Curves/meltCurve_O60869_EDF1.pdf")</f>
        <v>Melting_Curves/meltCurve_O60869_EDF1.pdf</v>
      </c>
    </row>
    <row r="1451" spans="1:28" x14ac:dyDescent="0.25">
      <c r="A1451" t="s">
        <v>1455</v>
      </c>
      <c r="B1451">
        <v>0.99796759195183404</v>
      </c>
      <c r="C1451">
        <v>0.913406722919336</v>
      </c>
      <c r="D1451">
        <v>0.71647832646806098</v>
      </c>
      <c r="E1451">
        <v>0.75089202380939502</v>
      </c>
      <c r="F1451">
        <v>0.61299522588534405</v>
      </c>
      <c r="G1451">
        <v>0.48321231848149698</v>
      </c>
      <c r="H1451">
        <v>0.37638565241356797</v>
      </c>
      <c r="I1451">
        <v>0.256492749356385</v>
      </c>
      <c r="J1451">
        <v>0.307429968011317</v>
      </c>
      <c r="K1451">
        <v>0.14146163048759</v>
      </c>
      <c r="L1451">
        <v>352.76430202924303</v>
      </c>
      <c r="M1451">
        <v>6.6605905106944201</v>
      </c>
      <c r="N1451">
        <v>52.962916937999502</v>
      </c>
      <c r="O1451">
        <v>48.800233386357398</v>
      </c>
      <c r="P1451">
        <v>-3.4197563255322298E-2</v>
      </c>
      <c r="Q1451">
        <v>0</v>
      </c>
      <c r="R1451">
        <v>0.96571234264998596</v>
      </c>
      <c r="S1451" t="s">
        <v>7034</v>
      </c>
      <c r="T1451" t="s">
        <v>11164</v>
      </c>
      <c r="U1451" t="s">
        <v>11164</v>
      </c>
      <c r="V1451" t="s">
        <v>11164</v>
      </c>
      <c r="W1451" t="s">
        <v>12584</v>
      </c>
      <c r="X1451">
        <v>3</v>
      </c>
      <c r="Y1451" t="s">
        <v>18111</v>
      </c>
      <c r="Z1451" t="s">
        <v>23601</v>
      </c>
      <c r="AA1451">
        <v>0.55201106716255666</v>
      </c>
      <c r="AB1451" t="str">
        <f>HYPERLINK("Melting_Curves/meltCurve_O60870_KIN.pdf", "Melting_Curves/meltCurve_O60870_KIN.pdf")</f>
        <v>Melting_Curves/meltCurve_O60870_KIN.pdf</v>
      </c>
    </row>
    <row r="1452" spans="1:28" x14ac:dyDescent="0.25">
      <c r="A1452" t="s">
        <v>1456</v>
      </c>
      <c r="B1452">
        <v>0.99796759195183404</v>
      </c>
      <c r="C1452">
        <v>0.98205664395074699</v>
      </c>
      <c r="D1452">
        <v>0.99987206351722202</v>
      </c>
      <c r="E1452">
        <v>0.920524018347604</v>
      </c>
      <c r="F1452">
        <v>0.74568816435557606</v>
      </c>
      <c r="G1452">
        <v>0.76329843579313295</v>
      </c>
      <c r="H1452">
        <v>0.50278340109391795</v>
      </c>
      <c r="I1452">
        <v>0.26588298529347199</v>
      </c>
      <c r="J1452">
        <v>0.11587413907117999</v>
      </c>
      <c r="K1452">
        <v>8.44942969820901E-2</v>
      </c>
      <c r="L1452">
        <v>794.65221688710199</v>
      </c>
      <c r="M1452">
        <v>13.992211922725501</v>
      </c>
      <c r="N1452">
        <v>56.792466089150999</v>
      </c>
      <c r="O1452">
        <v>55.6701677705965</v>
      </c>
      <c r="P1452">
        <v>-6.2843655704390294E-2</v>
      </c>
      <c r="Q1452">
        <v>0</v>
      </c>
      <c r="R1452">
        <v>0.978511110997628</v>
      </c>
      <c r="S1452" t="s">
        <v>7035</v>
      </c>
      <c r="T1452" t="s">
        <v>11164</v>
      </c>
      <c r="U1452" t="s">
        <v>11164</v>
      </c>
      <c r="V1452" t="s">
        <v>11164</v>
      </c>
      <c r="W1452" t="s">
        <v>12585</v>
      </c>
      <c r="X1452">
        <v>11</v>
      </c>
      <c r="Y1452" t="s">
        <v>18112</v>
      </c>
      <c r="Z1452" t="s">
        <v>23602</v>
      </c>
      <c r="AA1452">
        <v>0.66803184079377753</v>
      </c>
      <c r="AB1452" t="str">
        <f>HYPERLINK("Melting_Curves/meltCurve_O60884_DNAJA2.pdf", "Melting_Curves/meltCurve_O60884_DNAJA2.pdf")</f>
        <v>Melting_Curves/meltCurve_O60884_DNAJA2.pdf</v>
      </c>
    </row>
    <row r="1453" spans="1:28" x14ac:dyDescent="0.25">
      <c r="A1453" t="s">
        <v>1457</v>
      </c>
      <c r="B1453">
        <v>0.99796759195183404</v>
      </c>
      <c r="C1453">
        <v>0.96810269814412397</v>
      </c>
      <c r="D1453">
        <v>0.91161333242564901</v>
      </c>
      <c r="E1453">
        <v>0.84882829223153899</v>
      </c>
      <c r="F1453">
        <v>0.52185420292922202</v>
      </c>
      <c r="G1453">
        <v>0.31180397373735502</v>
      </c>
      <c r="H1453">
        <v>0.22016150184743699</v>
      </c>
      <c r="I1453">
        <v>0.15586519652776501</v>
      </c>
      <c r="J1453">
        <v>0.114357752178499</v>
      </c>
      <c r="K1453">
        <v>0.100239679159094</v>
      </c>
      <c r="L1453">
        <v>839.12927223647603</v>
      </c>
      <c r="M1453">
        <v>16.727508465015099</v>
      </c>
      <c r="N1453">
        <v>50.841001256893797</v>
      </c>
      <c r="O1453">
        <v>49.464134755953602</v>
      </c>
      <c r="P1453">
        <v>-7.6114791429516201E-2</v>
      </c>
      <c r="Q1453">
        <v>9.9757289191366005E-2</v>
      </c>
      <c r="R1453">
        <v>0.99589949443357895</v>
      </c>
      <c r="S1453" t="s">
        <v>7036</v>
      </c>
      <c r="T1453" t="s">
        <v>11164</v>
      </c>
      <c r="U1453" t="s">
        <v>11164</v>
      </c>
      <c r="V1453" t="s">
        <v>11164</v>
      </c>
      <c r="W1453" t="s">
        <v>12586</v>
      </c>
      <c r="X1453">
        <v>11</v>
      </c>
      <c r="Y1453" t="s">
        <v>18113</v>
      </c>
      <c r="Z1453" t="s">
        <v>23603</v>
      </c>
      <c r="AA1453">
        <v>0.51071168605069128</v>
      </c>
      <c r="AB1453" t="str">
        <f>HYPERLINK("Melting_Curves/meltCurve_O60885_BRD4.pdf", "Melting_Curves/meltCurve_O60885_BRD4.pdf")</f>
        <v>Melting_Curves/meltCurve_O60885_BRD4.pdf</v>
      </c>
    </row>
    <row r="1454" spans="1:28" x14ac:dyDescent="0.25">
      <c r="A1454" t="s">
        <v>1458</v>
      </c>
      <c r="B1454">
        <v>0.99796759195183404</v>
      </c>
      <c r="C1454">
        <v>1.0123076169949701</v>
      </c>
      <c r="D1454">
        <v>0.96050926979225204</v>
      </c>
      <c r="E1454">
        <v>0.90559209326474899</v>
      </c>
      <c r="F1454">
        <v>0.85635484386682403</v>
      </c>
      <c r="G1454">
        <v>0.731782543799119</v>
      </c>
      <c r="H1454">
        <v>0.62548227567946402</v>
      </c>
      <c r="I1454">
        <v>0.52290756932496996</v>
      </c>
      <c r="J1454">
        <v>0.67769807055826803</v>
      </c>
      <c r="K1454">
        <v>0.55258569954197001</v>
      </c>
      <c r="L1454">
        <v>795.09919968908696</v>
      </c>
      <c r="M1454">
        <v>15.359655136801599</v>
      </c>
      <c r="O1454">
        <v>50.911773152545003</v>
      </c>
      <c r="P1454">
        <v>-3.3116812396923698E-2</v>
      </c>
      <c r="Q1454">
        <v>0.56095878252843601</v>
      </c>
      <c r="R1454">
        <v>0.94233049738354402</v>
      </c>
      <c r="S1454" t="s">
        <v>7037</v>
      </c>
      <c r="T1454" t="s">
        <v>11164</v>
      </c>
      <c r="U1454" t="s">
        <v>11164</v>
      </c>
      <c r="V1454" t="s">
        <v>11164</v>
      </c>
      <c r="W1454" t="s">
        <v>12587</v>
      </c>
      <c r="X1454">
        <v>3</v>
      </c>
      <c r="Y1454" t="s">
        <v>18114</v>
      </c>
      <c r="Z1454" t="s">
        <v>23604</v>
      </c>
      <c r="AA1454">
        <v>0.78532034772611969</v>
      </c>
      <c r="AB1454" t="str">
        <f>HYPERLINK("Melting_Curves/meltCurve_O60888_3_CUTA.pdf", "Melting_Curves/meltCurve_O60888_3_CUTA.pdf")</f>
        <v>Melting_Curves/meltCurve_O60888_3_CUTA.pdf</v>
      </c>
    </row>
    <row r="1455" spans="1:28" x14ac:dyDescent="0.25">
      <c r="A1455" t="s">
        <v>1459</v>
      </c>
      <c r="B1455">
        <v>0.99796759195183404</v>
      </c>
      <c r="C1455">
        <v>1.0455045451154501</v>
      </c>
      <c r="D1455">
        <v>1.03931848445705</v>
      </c>
      <c r="E1455">
        <v>1.0073403059041</v>
      </c>
      <c r="F1455">
        <v>0.87093022984172697</v>
      </c>
      <c r="G1455">
        <v>0.71987268612254296</v>
      </c>
      <c r="H1455">
        <v>0.67463539266851003</v>
      </c>
      <c r="I1455">
        <v>0.55844779020692503</v>
      </c>
      <c r="J1455">
        <v>0.571234591916014</v>
      </c>
      <c r="K1455">
        <v>0.38493208433902398</v>
      </c>
      <c r="L1455">
        <v>674.30311575259896</v>
      </c>
      <c r="M1455">
        <v>11.9280036424122</v>
      </c>
      <c r="N1455">
        <v>63.655220001901903</v>
      </c>
      <c r="O1455">
        <v>55.012443584350201</v>
      </c>
      <c r="P1455">
        <v>-3.4244134137127097E-2</v>
      </c>
      <c r="Q1455">
        <v>0.36841442484326298</v>
      </c>
      <c r="R1455">
        <v>0.95487429399258295</v>
      </c>
      <c r="S1455" t="s">
        <v>7038</v>
      </c>
      <c r="T1455" t="s">
        <v>11164</v>
      </c>
      <c r="U1455" t="s">
        <v>11164</v>
      </c>
      <c r="V1455" t="s">
        <v>11164</v>
      </c>
      <c r="W1455" t="s">
        <v>12588</v>
      </c>
      <c r="X1455">
        <v>6</v>
      </c>
      <c r="Y1455" t="s">
        <v>18115</v>
      </c>
      <c r="Z1455" t="s">
        <v>23605</v>
      </c>
      <c r="AA1455">
        <v>0.78404883968381489</v>
      </c>
      <c r="AB1455" t="str">
        <f>HYPERLINK("Melting_Curves/meltCurve_O60906_SMPD2.pdf", "Melting_Curves/meltCurve_O60906_SMPD2.pdf")</f>
        <v>Melting_Curves/meltCurve_O60906_SMPD2.pdf</v>
      </c>
    </row>
    <row r="1456" spans="1:28" x14ac:dyDescent="0.25">
      <c r="A1456" t="s">
        <v>1460</v>
      </c>
      <c r="B1456">
        <v>0.99796759195183404</v>
      </c>
      <c r="C1456">
        <v>1.02057457418011</v>
      </c>
      <c r="D1456">
        <v>1.01039767228486</v>
      </c>
      <c r="E1456">
        <v>0.99645187584009298</v>
      </c>
      <c r="F1456">
        <v>0.87875834212156601</v>
      </c>
      <c r="G1456">
        <v>0.84169563182860896</v>
      </c>
      <c r="H1456">
        <v>0.83959855502695802</v>
      </c>
      <c r="I1456">
        <v>0.69618660143228805</v>
      </c>
      <c r="J1456">
        <v>0.74391096954593405</v>
      </c>
      <c r="K1456">
        <v>0.58802449929210798</v>
      </c>
      <c r="L1456">
        <v>449.60816422169199</v>
      </c>
      <c r="M1456">
        <v>6.8756271955900301</v>
      </c>
      <c r="O1456">
        <v>60.530798068215603</v>
      </c>
      <c r="P1456">
        <v>-1.9828249417501699E-2</v>
      </c>
      <c r="Q1456">
        <v>0.30313365218661198</v>
      </c>
      <c r="R1456">
        <v>0.92831919173254995</v>
      </c>
      <c r="S1456" t="s">
        <v>7039</v>
      </c>
      <c r="T1456" t="s">
        <v>11164</v>
      </c>
      <c r="U1456" t="s">
        <v>11164</v>
      </c>
      <c r="V1456" t="s">
        <v>11164</v>
      </c>
      <c r="W1456" t="s">
        <v>12589</v>
      </c>
      <c r="X1456">
        <v>10</v>
      </c>
      <c r="Y1456" t="s">
        <v>18116</v>
      </c>
      <c r="Z1456" t="s">
        <v>23606</v>
      </c>
      <c r="AA1456">
        <v>0.86442547873842079</v>
      </c>
      <c r="AB1456" t="str">
        <f>HYPERLINK("Melting_Curves/meltCurve_O60925_PFDN1.pdf", "Melting_Curves/meltCurve_O60925_PFDN1.pdf")</f>
        <v>Melting_Curves/meltCurve_O60925_PFDN1.pdf</v>
      </c>
    </row>
    <row r="1457" spans="1:28" x14ac:dyDescent="0.25">
      <c r="A1457" t="s">
        <v>1461</v>
      </c>
      <c r="B1457">
        <v>0.99796759195183404</v>
      </c>
      <c r="C1457">
        <v>1.17428359740491</v>
      </c>
      <c r="D1457">
        <v>1.03422588937899</v>
      </c>
      <c r="E1457">
        <v>1.03674049878658</v>
      </c>
      <c r="F1457">
        <v>0.93627411821708295</v>
      </c>
      <c r="G1457">
        <v>0.73373645585422698</v>
      </c>
      <c r="H1457">
        <v>0.76037851359004005</v>
      </c>
      <c r="I1457">
        <v>0.76391493919168996</v>
      </c>
      <c r="J1457">
        <v>0.92103787304346896</v>
      </c>
      <c r="K1457">
        <v>0.99578949419608698</v>
      </c>
      <c r="L1457">
        <v>12573.268756949399</v>
      </c>
      <c r="M1457">
        <v>250</v>
      </c>
      <c r="O1457">
        <v>50.289856579986399</v>
      </c>
      <c r="P1457">
        <v>-0.205096706807432</v>
      </c>
      <c r="Q1457">
        <v>0.83497145658674998</v>
      </c>
      <c r="R1457">
        <v>0.53102424334491605</v>
      </c>
      <c r="S1457" t="s">
        <v>7040</v>
      </c>
      <c r="T1457" t="s">
        <v>11164</v>
      </c>
      <c r="U1457" t="s">
        <v>11164</v>
      </c>
      <c r="V1457" t="s">
        <v>11164</v>
      </c>
      <c r="W1457" t="s">
        <v>12590</v>
      </c>
      <c r="X1457">
        <v>9</v>
      </c>
      <c r="Y1457" t="s">
        <v>18117</v>
      </c>
      <c r="Z1457" t="s">
        <v>23607</v>
      </c>
      <c r="AA1457">
        <v>0.90811058290482627</v>
      </c>
      <c r="AB1457" t="str">
        <f>HYPERLINK("Melting_Curves/meltCurve_O60927_PPP1R11.pdf", "Melting_Curves/meltCurve_O60927_PPP1R11.pdf")</f>
        <v>Melting_Curves/meltCurve_O60927_PPP1R11.pdf</v>
      </c>
    </row>
    <row r="1458" spans="1:28" x14ac:dyDescent="0.25">
      <c r="A1458" t="s">
        <v>1462</v>
      </c>
      <c r="B1458">
        <v>0.99796759195183404</v>
      </c>
      <c r="C1458">
        <v>0.92752725196977004</v>
      </c>
      <c r="D1458">
        <v>0.97643840593179498</v>
      </c>
      <c r="E1458">
        <v>0.851807456556822</v>
      </c>
      <c r="F1458">
        <v>0.63063668617990398</v>
      </c>
      <c r="G1458">
        <v>0.21092703742715199</v>
      </c>
      <c r="H1458">
        <v>0.18429476693416699</v>
      </c>
      <c r="I1458">
        <v>0.147186885786939</v>
      </c>
      <c r="J1458">
        <v>0.123598238992144</v>
      </c>
      <c r="K1458">
        <v>9.5917815161506201E-2</v>
      </c>
      <c r="L1458">
        <v>1223.44069561934</v>
      </c>
      <c r="M1458">
        <v>24.2579570333581</v>
      </c>
      <c r="N1458">
        <v>50.972922743224103</v>
      </c>
      <c r="O1458">
        <v>50.095627245502399</v>
      </c>
      <c r="P1458">
        <v>-0.107380695211219</v>
      </c>
      <c r="Q1458">
        <v>0.112996923168789</v>
      </c>
      <c r="R1458">
        <v>0.98957118003253297</v>
      </c>
      <c r="S1458" t="s">
        <v>7041</v>
      </c>
      <c r="T1458" t="s">
        <v>11164</v>
      </c>
      <c r="U1458" t="s">
        <v>11164</v>
      </c>
      <c r="V1458" t="s">
        <v>11164</v>
      </c>
      <c r="W1458" t="s">
        <v>12591</v>
      </c>
      <c r="X1458">
        <v>12</v>
      </c>
      <c r="Y1458" t="s">
        <v>18118</v>
      </c>
      <c r="Z1458" t="s">
        <v>23608</v>
      </c>
      <c r="AA1458">
        <v>0.51845885467307806</v>
      </c>
      <c r="AB1458" t="str">
        <f>HYPERLINK("Melting_Curves/meltCurve_O60934_NBN.pdf", "Melting_Curves/meltCurve_O60934_NBN.pdf")</f>
        <v>Melting_Curves/meltCurve_O60934_NBN.pdf</v>
      </c>
    </row>
    <row r="1459" spans="1:28" x14ac:dyDescent="0.25">
      <c r="A1459" t="s">
        <v>1463</v>
      </c>
      <c r="B1459">
        <v>0.99796759195183404</v>
      </c>
      <c r="C1459">
        <v>1.0634885584764699</v>
      </c>
      <c r="D1459">
        <v>1.0045909161970601</v>
      </c>
      <c r="E1459">
        <v>0.96397787006580304</v>
      </c>
      <c r="F1459">
        <v>0.731827533620103</v>
      </c>
      <c r="G1459">
        <v>0.24014792371551999</v>
      </c>
      <c r="H1459">
        <v>0.17602145497965199</v>
      </c>
      <c r="I1459">
        <v>0.150766559109385</v>
      </c>
      <c r="J1459">
        <v>0.122530614732906</v>
      </c>
      <c r="K1459">
        <v>9.5574439174425999E-2</v>
      </c>
      <c r="L1459">
        <v>1938.24186955046</v>
      </c>
      <c r="M1459">
        <v>37.8328194994196</v>
      </c>
      <c r="N1459">
        <v>51.6409946194591</v>
      </c>
      <c r="O1459">
        <v>51.089260712299499</v>
      </c>
      <c r="P1459">
        <v>-0.16115427904035801</v>
      </c>
      <c r="Q1459">
        <v>0.12951455087333799</v>
      </c>
      <c r="R1459">
        <v>0.99571677551816595</v>
      </c>
      <c r="S1459" t="s">
        <v>7042</v>
      </c>
      <c r="T1459" t="s">
        <v>11164</v>
      </c>
      <c r="U1459" t="s">
        <v>11164</v>
      </c>
      <c r="V1459" t="s">
        <v>11164</v>
      </c>
      <c r="W1459" t="s">
        <v>12592</v>
      </c>
      <c r="X1459">
        <v>8</v>
      </c>
      <c r="Y1459" t="s">
        <v>18119</v>
      </c>
      <c r="Z1459" t="s">
        <v>23609</v>
      </c>
      <c r="AA1459">
        <v>0.5459065531810201</v>
      </c>
      <c r="AB1459" t="str">
        <f>HYPERLINK("Melting_Curves/meltCurve_O60942_RNGTT.pdf", "Melting_Curves/meltCurve_O60942_RNGTT.pdf")</f>
        <v>Melting_Curves/meltCurve_O60942_RNGTT.pdf</v>
      </c>
    </row>
    <row r="1460" spans="1:28" x14ac:dyDescent="0.25">
      <c r="A1460" t="s">
        <v>1464</v>
      </c>
      <c r="B1460">
        <v>0.99796759195183404</v>
      </c>
      <c r="C1460">
        <v>0.98021396071219402</v>
      </c>
      <c r="D1460">
        <v>0.97044147504275802</v>
      </c>
      <c r="E1460">
        <v>0.85694849711625798</v>
      </c>
      <c r="F1460">
        <v>0.86136096811701102</v>
      </c>
      <c r="G1460">
        <v>0.62613950540033003</v>
      </c>
      <c r="H1460">
        <v>0.25629491539475002</v>
      </c>
      <c r="I1460">
        <v>0.202986638497824</v>
      </c>
      <c r="J1460">
        <v>0.20042260660713199</v>
      </c>
      <c r="K1460">
        <v>0.17787127753030699</v>
      </c>
      <c r="L1460">
        <v>1221.91900931076</v>
      </c>
      <c r="M1460">
        <v>22.724608686460599</v>
      </c>
      <c r="N1460">
        <v>54.672702937215298</v>
      </c>
      <c r="O1460">
        <v>53.359555947721397</v>
      </c>
      <c r="P1460">
        <v>-8.9827967679332807E-2</v>
      </c>
      <c r="Q1460">
        <v>0.15631817070975201</v>
      </c>
      <c r="R1460">
        <v>0.98128932063336505</v>
      </c>
      <c r="S1460" t="s">
        <v>7043</v>
      </c>
      <c r="T1460" t="s">
        <v>11164</v>
      </c>
      <c r="U1460" t="s">
        <v>11164</v>
      </c>
      <c r="V1460" t="s">
        <v>11164</v>
      </c>
      <c r="W1460" t="s">
        <v>12593</v>
      </c>
      <c r="X1460">
        <v>10</v>
      </c>
      <c r="Y1460" t="s">
        <v>18120</v>
      </c>
      <c r="Z1460" t="s">
        <v>23610</v>
      </c>
      <c r="AA1460">
        <v>0.6365562723546816</v>
      </c>
      <c r="AB1460" t="str">
        <f>HYPERLINK("Melting_Curves/meltCurve_O75027_ABCB7.pdf", "Melting_Curves/meltCurve_O75027_ABCB7.pdf")</f>
        <v>Melting_Curves/meltCurve_O75027_ABCB7.pdf</v>
      </c>
    </row>
    <row r="1461" spans="1:28" x14ac:dyDescent="0.25">
      <c r="A1461" t="s">
        <v>1465</v>
      </c>
      <c r="B1461">
        <v>0.99796759195183404</v>
      </c>
      <c r="C1461">
        <v>1.02159587860068</v>
      </c>
      <c r="D1461">
        <v>0.97389359367667905</v>
      </c>
      <c r="E1461">
        <v>0.87793436199994102</v>
      </c>
      <c r="F1461">
        <v>0.56158707617932901</v>
      </c>
      <c r="G1461">
        <v>0.34435815244511497</v>
      </c>
      <c r="H1461">
        <v>0.24285771373930201</v>
      </c>
      <c r="I1461">
        <v>0.176796136270887</v>
      </c>
      <c r="J1461">
        <v>0.18203215427034899</v>
      </c>
      <c r="K1461">
        <v>0.136930750301963</v>
      </c>
      <c r="L1461">
        <v>1016.5971274823499</v>
      </c>
      <c r="M1461">
        <v>20.223292131040601</v>
      </c>
      <c r="N1461">
        <v>51.235020210139297</v>
      </c>
      <c r="O1461">
        <v>49.784846716012503</v>
      </c>
      <c r="P1461">
        <v>-8.5453054174323306E-2</v>
      </c>
      <c r="Q1461">
        <v>0.158567330740264</v>
      </c>
      <c r="R1461">
        <v>0.99760359003301102</v>
      </c>
      <c r="S1461" t="s">
        <v>7044</v>
      </c>
      <c r="T1461" t="s">
        <v>11164</v>
      </c>
      <c r="U1461" t="s">
        <v>11164</v>
      </c>
      <c r="V1461" t="s">
        <v>11164</v>
      </c>
      <c r="W1461" t="s">
        <v>12594</v>
      </c>
      <c r="X1461">
        <v>10</v>
      </c>
      <c r="Y1461" t="s">
        <v>18121</v>
      </c>
      <c r="Z1461" t="s">
        <v>23611</v>
      </c>
      <c r="AA1461">
        <v>0.54158193907354524</v>
      </c>
      <c r="AB1461" t="str">
        <f>HYPERLINK("Melting_Curves/meltCurve_O75044_SRGAP2.pdf", "Melting_Curves/meltCurve_O75044_SRGAP2.pdf")</f>
        <v>Melting_Curves/meltCurve_O75044_SRGAP2.pdf</v>
      </c>
    </row>
    <row r="1462" spans="1:28" x14ac:dyDescent="0.25">
      <c r="A1462" t="s">
        <v>1466</v>
      </c>
      <c r="B1462">
        <v>0.99796759195183404</v>
      </c>
      <c r="C1462">
        <v>1.08795880190218</v>
      </c>
      <c r="D1462">
        <v>0.95057358008444803</v>
      </c>
      <c r="E1462">
        <v>0.93113886309441796</v>
      </c>
      <c r="F1462">
        <v>0.86273768104941495</v>
      </c>
      <c r="G1462">
        <v>0.84097011908725405</v>
      </c>
      <c r="H1462">
        <v>0.51111960679221902</v>
      </c>
      <c r="I1462">
        <v>0.31400697246412101</v>
      </c>
      <c r="J1462">
        <v>0.1942052251951</v>
      </c>
      <c r="K1462">
        <v>0.130587346950682</v>
      </c>
      <c r="L1462">
        <v>902.23837797996396</v>
      </c>
      <c r="M1462">
        <v>15.597657619030199</v>
      </c>
      <c r="N1462">
        <v>57.986070197302297</v>
      </c>
      <c r="O1462">
        <v>56.918694695494501</v>
      </c>
      <c r="P1462">
        <v>-6.7234233164938206E-2</v>
      </c>
      <c r="Q1462">
        <v>1.8685189910053399E-2</v>
      </c>
      <c r="R1462">
        <v>0.98178477621270599</v>
      </c>
      <c r="S1462" t="s">
        <v>7045</v>
      </c>
      <c r="T1462" t="s">
        <v>11164</v>
      </c>
      <c r="U1462" t="s">
        <v>11164</v>
      </c>
      <c r="V1462" t="s">
        <v>11164</v>
      </c>
      <c r="W1462" t="s">
        <v>12595</v>
      </c>
      <c r="X1462">
        <v>3</v>
      </c>
      <c r="Y1462" t="s">
        <v>18122</v>
      </c>
      <c r="Z1462" t="s">
        <v>23612</v>
      </c>
      <c r="AA1462">
        <v>0.70582237436504203</v>
      </c>
      <c r="AB1462" t="str">
        <f>HYPERLINK("Melting_Curves/meltCurve_O75051_PLXNA2.pdf", "Melting_Curves/meltCurve_O75051_PLXNA2.pdf")</f>
        <v>Melting_Curves/meltCurve_O75051_PLXNA2.pdf</v>
      </c>
    </row>
    <row r="1463" spans="1:28" x14ac:dyDescent="0.25">
      <c r="A1463" t="s">
        <v>1467</v>
      </c>
      <c r="B1463">
        <v>0.99796759195183404</v>
      </c>
      <c r="C1463">
        <v>1.0429475719392001</v>
      </c>
      <c r="D1463">
        <v>0.99730886611101599</v>
      </c>
      <c r="E1463">
        <v>1.0929948295390499</v>
      </c>
      <c r="F1463">
        <v>0.96973448889706904</v>
      </c>
      <c r="G1463">
        <v>1.1605970571924999</v>
      </c>
      <c r="H1463">
        <v>1.0170851055596499</v>
      </c>
      <c r="I1463">
        <v>0.60350190294008499</v>
      </c>
      <c r="J1463">
        <v>0.31119822027944799</v>
      </c>
      <c r="K1463">
        <v>0.21983152893209401</v>
      </c>
      <c r="L1463">
        <v>3623.8917396412498</v>
      </c>
      <c r="M1463">
        <v>59.451293833377299</v>
      </c>
      <c r="N1463">
        <v>61.640375563468503</v>
      </c>
      <c r="O1463">
        <v>60.8867866635604</v>
      </c>
      <c r="P1463">
        <v>-0.18510996300816801</v>
      </c>
      <c r="Q1463">
        <v>0.24168203602475</v>
      </c>
      <c r="R1463">
        <v>0.960782732904925</v>
      </c>
      <c r="S1463" t="s">
        <v>7046</v>
      </c>
      <c r="T1463" t="s">
        <v>11164</v>
      </c>
      <c r="U1463" t="s">
        <v>11164</v>
      </c>
      <c r="V1463" t="s">
        <v>11164</v>
      </c>
      <c r="W1463" t="s">
        <v>12596</v>
      </c>
      <c r="X1463">
        <v>3</v>
      </c>
      <c r="Y1463" t="s">
        <v>18123</v>
      </c>
      <c r="Z1463" t="s">
        <v>23613</v>
      </c>
      <c r="AA1463">
        <v>0.84850286407422171</v>
      </c>
      <c r="AB1463" t="str">
        <f>HYPERLINK("Melting_Curves/meltCurve_O75054_IGSF3.pdf", "Melting_Curves/meltCurve_O75054_IGSF3.pdf")</f>
        <v>Melting_Curves/meltCurve_O75054_IGSF3.pdf</v>
      </c>
    </row>
    <row r="1464" spans="1:28" x14ac:dyDescent="0.25">
      <c r="A1464" t="s">
        <v>1468</v>
      </c>
      <c r="B1464">
        <v>0.99796759195183404</v>
      </c>
      <c r="C1464">
        <v>1.6588615255852399</v>
      </c>
      <c r="D1464">
        <v>1.3510533761528301</v>
      </c>
      <c r="E1464">
        <v>1.03275719459169</v>
      </c>
      <c r="F1464">
        <v>1.63773731215116</v>
      </c>
      <c r="G1464">
        <v>0.63508131474474705</v>
      </c>
      <c r="H1464">
        <v>0.92732469776505</v>
      </c>
      <c r="I1464">
        <v>0.81705944353500704</v>
      </c>
      <c r="J1464">
        <v>1.0693762490390699</v>
      </c>
      <c r="K1464">
        <v>0.56635450918286501</v>
      </c>
      <c r="L1464">
        <v>15000</v>
      </c>
      <c r="M1464">
        <v>223.61356898700501</v>
      </c>
      <c r="Q1464">
        <v>0</v>
      </c>
      <c r="R1464">
        <v>0.109174884568998</v>
      </c>
      <c r="S1464" t="s">
        <v>7047</v>
      </c>
      <c r="T1464" t="s">
        <v>11164</v>
      </c>
      <c r="U1464" t="s">
        <v>11164</v>
      </c>
      <c r="V1464" t="s">
        <v>11164</v>
      </c>
      <c r="W1464" t="s">
        <v>12597</v>
      </c>
      <c r="X1464">
        <v>1</v>
      </c>
      <c r="Y1464" t="s">
        <v>18124</v>
      </c>
      <c r="Z1464" t="s">
        <v>23614</v>
      </c>
      <c r="AA1464">
        <v>0.99438619023813624</v>
      </c>
      <c r="AB1464" t="str">
        <f>HYPERLINK("Melting_Curves/meltCurve_O75061_4_DNAJC6.pdf", "Melting_Curves/meltCurve_O75061_4_DNAJC6.pdf")</f>
        <v>Melting_Curves/meltCurve_O75061_4_DNAJC6.pdf</v>
      </c>
    </row>
    <row r="1465" spans="1:28" x14ac:dyDescent="0.25">
      <c r="A1465" t="s">
        <v>1469</v>
      </c>
      <c r="B1465">
        <v>0.99796759195183404</v>
      </c>
      <c r="C1465">
        <v>1.0499206069772</v>
      </c>
      <c r="D1465">
        <v>0.99313846069669898</v>
      </c>
      <c r="E1465">
        <v>0.99716988784325999</v>
      </c>
      <c r="F1465">
        <v>0.91482485763197596</v>
      </c>
      <c r="G1465">
        <v>0.46029083140700999</v>
      </c>
      <c r="H1465">
        <v>0.32559963143083298</v>
      </c>
      <c r="I1465">
        <v>0.28132728978509303</v>
      </c>
      <c r="J1465">
        <v>0.20423113230002901</v>
      </c>
      <c r="K1465">
        <v>0.16809852934089001</v>
      </c>
      <c r="L1465">
        <v>1863.04051485896</v>
      </c>
      <c r="M1465">
        <v>35.306697783843397</v>
      </c>
      <c r="N1465">
        <v>53.690906425968898</v>
      </c>
      <c r="O1465">
        <v>52.598919957997502</v>
      </c>
      <c r="P1465">
        <v>-0.12961791976954501</v>
      </c>
      <c r="Q1465">
        <v>0.22759820441980899</v>
      </c>
      <c r="R1465">
        <v>0.98964270278709798</v>
      </c>
      <c r="S1465" t="s">
        <v>7048</v>
      </c>
      <c r="T1465" t="s">
        <v>11164</v>
      </c>
      <c r="U1465" t="s">
        <v>11164</v>
      </c>
      <c r="V1465" t="s">
        <v>11164</v>
      </c>
      <c r="W1465" t="s">
        <v>12598</v>
      </c>
      <c r="X1465">
        <v>5</v>
      </c>
      <c r="Y1465" t="s">
        <v>18125</v>
      </c>
      <c r="Z1465" t="s">
        <v>23615</v>
      </c>
      <c r="AA1465">
        <v>0.63714481622598718</v>
      </c>
      <c r="AB1465" t="str">
        <f>HYPERLINK("Melting_Curves/meltCurve_O75063_FAM20B.pdf", "Melting_Curves/meltCurve_O75063_FAM20B.pdf")</f>
        <v>Melting_Curves/meltCurve_O75063_FAM20B.pdf</v>
      </c>
    </row>
    <row r="1466" spans="1:28" x14ac:dyDescent="0.25">
      <c r="A1466" t="s">
        <v>1470</v>
      </c>
      <c r="B1466">
        <v>0.99796759195183404</v>
      </c>
      <c r="C1466">
        <v>1.0032662253610101</v>
      </c>
      <c r="D1466">
        <v>1.0009741125629099</v>
      </c>
      <c r="E1466">
        <v>0.92632790924323705</v>
      </c>
      <c r="F1466">
        <v>0.78837733503019503</v>
      </c>
      <c r="G1466">
        <v>0.595154342924891</v>
      </c>
      <c r="H1466">
        <v>0.25051752587703402</v>
      </c>
      <c r="I1466">
        <v>0.159778806815942</v>
      </c>
      <c r="J1466">
        <v>0.120965385743834</v>
      </c>
      <c r="K1466">
        <v>8.2952875470747894E-2</v>
      </c>
      <c r="L1466">
        <v>981.45926207105197</v>
      </c>
      <c r="M1466">
        <v>18.167552416007801</v>
      </c>
      <c r="N1466">
        <v>54.3681990170708</v>
      </c>
      <c r="O1466">
        <v>53.380869112258999</v>
      </c>
      <c r="P1466">
        <v>-8.0449075770486406E-2</v>
      </c>
      <c r="Q1466">
        <v>5.4525957476468601E-2</v>
      </c>
      <c r="R1466">
        <v>0.99580935137844395</v>
      </c>
      <c r="S1466" t="s">
        <v>7049</v>
      </c>
      <c r="T1466" t="s">
        <v>11164</v>
      </c>
      <c r="U1466" t="s">
        <v>11164</v>
      </c>
      <c r="V1466" t="s">
        <v>11164</v>
      </c>
      <c r="W1466" t="s">
        <v>12599</v>
      </c>
      <c r="X1466">
        <v>29</v>
      </c>
      <c r="Y1466" t="s">
        <v>18126</v>
      </c>
      <c r="Z1466" t="s">
        <v>23616</v>
      </c>
      <c r="AA1466">
        <v>0.60382203020535807</v>
      </c>
      <c r="AB1466" t="str">
        <f>HYPERLINK("Melting_Curves/meltCurve_O75083_WDR1.pdf", "Melting_Curves/meltCurve_O75083_WDR1.pdf")</f>
        <v>Melting_Curves/meltCurve_O75083_WDR1.pdf</v>
      </c>
    </row>
    <row r="1467" spans="1:28" x14ac:dyDescent="0.25">
      <c r="A1467" t="s">
        <v>1471</v>
      </c>
      <c r="B1467">
        <v>0.99796759195183404</v>
      </c>
      <c r="C1467">
        <v>0.97167933440685905</v>
      </c>
      <c r="D1467">
        <v>0.99135515949780595</v>
      </c>
      <c r="E1467">
        <v>0.92475161950524498</v>
      </c>
      <c r="F1467">
        <v>0.82395533406440202</v>
      </c>
      <c r="G1467">
        <v>0.74848716154316397</v>
      </c>
      <c r="H1467">
        <v>0.70395039660709302</v>
      </c>
      <c r="I1467">
        <v>0.799393903202821</v>
      </c>
      <c r="J1467">
        <v>0.58974845066200199</v>
      </c>
      <c r="K1467">
        <v>0.316403452990831</v>
      </c>
      <c r="L1467">
        <v>429.47284167612202</v>
      </c>
      <c r="M1467">
        <v>6.5492276679875099</v>
      </c>
      <c r="N1467">
        <v>65.5761050681744</v>
      </c>
      <c r="O1467">
        <v>60.268203220924399</v>
      </c>
      <c r="P1467">
        <v>-2.7231211774773299E-2</v>
      </c>
      <c r="Q1467">
        <v>0</v>
      </c>
      <c r="R1467">
        <v>0.842063538257662</v>
      </c>
      <c r="S1467" t="s">
        <v>7050</v>
      </c>
      <c r="T1467" t="s">
        <v>11164</v>
      </c>
      <c r="U1467" t="s">
        <v>11164</v>
      </c>
      <c r="V1467" t="s">
        <v>11164</v>
      </c>
      <c r="W1467" t="s">
        <v>12600</v>
      </c>
      <c r="X1467">
        <v>4</v>
      </c>
      <c r="Y1467" t="s">
        <v>18127</v>
      </c>
      <c r="Z1467" t="s">
        <v>23617</v>
      </c>
      <c r="AA1467">
        <v>0.80205787494458269</v>
      </c>
      <c r="AB1467" t="str">
        <f>HYPERLINK("Melting_Curves/meltCurve_O75084_FZD7.pdf", "Melting_Curves/meltCurve_O75084_FZD7.pdf")</f>
        <v>Melting_Curves/meltCurve_O75084_FZD7.pdf</v>
      </c>
    </row>
    <row r="1468" spans="1:28" x14ac:dyDescent="0.25">
      <c r="A1468" t="s">
        <v>1472</v>
      </c>
      <c r="B1468">
        <v>0.99796759195183404</v>
      </c>
      <c r="C1468">
        <v>1.1234340915645999</v>
      </c>
      <c r="D1468">
        <v>1.0848741313843799</v>
      </c>
      <c r="E1468">
        <v>0.96510798883973603</v>
      </c>
      <c r="F1468">
        <v>0.84316354413477901</v>
      </c>
      <c r="G1468">
        <v>0.56165655677885695</v>
      </c>
      <c r="H1468">
        <v>0.54508481499726402</v>
      </c>
      <c r="I1468">
        <v>0.42945232734166999</v>
      </c>
      <c r="J1468">
        <v>0.34792289030363699</v>
      </c>
      <c r="K1468">
        <v>0.32959702828003001</v>
      </c>
      <c r="L1468">
        <v>982.95008081107198</v>
      </c>
      <c r="M1468">
        <v>18.534812250552399</v>
      </c>
      <c r="N1468">
        <v>56.628907538273502</v>
      </c>
      <c r="O1468">
        <v>52.426877797823302</v>
      </c>
      <c r="P1468">
        <v>-5.7813762145739703E-2</v>
      </c>
      <c r="Q1468">
        <v>0.34590935016150398</v>
      </c>
      <c r="R1468">
        <v>0.95827045660255605</v>
      </c>
      <c r="S1468" t="s">
        <v>7051</v>
      </c>
      <c r="T1468" t="s">
        <v>11164</v>
      </c>
      <c r="U1468" t="s">
        <v>11164</v>
      </c>
      <c r="V1468" t="s">
        <v>11164</v>
      </c>
      <c r="W1468" t="s">
        <v>12601</v>
      </c>
      <c r="X1468">
        <v>2</v>
      </c>
      <c r="Y1468" t="s">
        <v>18128</v>
      </c>
      <c r="Z1468" t="s">
        <v>23618</v>
      </c>
      <c r="AA1468">
        <v>0.70461150784107074</v>
      </c>
      <c r="AB1468" t="str">
        <f>HYPERLINK("Melting_Curves/meltCurve_O75110_ATP9A.pdf", "Melting_Curves/meltCurve_O75110_ATP9A.pdf")</f>
        <v>Melting_Curves/meltCurve_O75110_ATP9A.pdf</v>
      </c>
    </row>
    <row r="1469" spans="1:28" x14ac:dyDescent="0.25">
      <c r="A1469" t="s">
        <v>1473</v>
      </c>
      <c r="B1469">
        <v>0.99796759195183404</v>
      </c>
      <c r="C1469">
        <v>0.97442001906868103</v>
      </c>
      <c r="D1469">
        <v>0.97024124904814901</v>
      </c>
      <c r="E1469">
        <v>0.90648184833630896</v>
      </c>
      <c r="F1469">
        <v>0.79258442156994202</v>
      </c>
      <c r="G1469">
        <v>0.43219569811113301</v>
      </c>
      <c r="H1469">
        <v>0.37481021515889401</v>
      </c>
      <c r="I1469">
        <v>0.51654111384791102</v>
      </c>
      <c r="J1469">
        <v>0.20881740478923999</v>
      </c>
      <c r="K1469">
        <v>0.155574114916147</v>
      </c>
      <c r="L1469">
        <v>706.34303260667502</v>
      </c>
      <c r="M1469">
        <v>13.350875577844301</v>
      </c>
      <c r="N1469">
        <v>54.837050553858703</v>
      </c>
      <c r="O1469">
        <v>51.761433944980602</v>
      </c>
      <c r="P1469">
        <v>-5.23984227740927E-2</v>
      </c>
      <c r="Q1469">
        <v>0.18753323183537099</v>
      </c>
      <c r="R1469">
        <v>0.92792730669131895</v>
      </c>
      <c r="S1469" t="s">
        <v>7052</v>
      </c>
      <c r="T1469" t="s">
        <v>11164</v>
      </c>
      <c r="U1469" t="s">
        <v>11164</v>
      </c>
      <c r="V1469" t="s">
        <v>11164</v>
      </c>
      <c r="W1469" t="s">
        <v>12602</v>
      </c>
      <c r="X1469">
        <v>10</v>
      </c>
      <c r="Y1469" t="s">
        <v>18129</v>
      </c>
      <c r="Z1469" t="s">
        <v>23619</v>
      </c>
      <c r="AA1469">
        <v>0.63447872050104359</v>
      </c>
      <c r="AB1469" t="str">
        <f>HYPERLINK("Melting_Curves/meltCurve_O75113_N4BP1.pdf", "Melting_Curves/meltCurve_O75113_N4BP1.pdf")</f>
        <v>Melting_Curves/meltCurve_O75113_N4BP1.pdf</v>
      </c>
    </row>
    <row r="1470" spans="1:28" x14ac:dyDescent="0.25">
      <c r="A1470" t="s">
        <v>1474</v>
      </c>
      <c r="B1470">
        <v>0.99796759195183404</v>
      </c>
      <c r="C1470">
        <v>1.0273064330838699</v>
      </c>
      <c r="D1470">
        <v>1.0119173366490699</v>
      </c>
      <c r="E1470">
        <v>0.96262555562168495</v>
      </c>
      <c r="F1470">
        <v>0.85279686253534104</v>
      </c>
      <c r="G1470">
        <v>0.348541273368631</v>
      </c>
      <c r="H1470">
        <v>0.23839290282435199</v>
      </c>
      <c r="I1470">
        <v>0.21337744588362001</v>
      </c>
      <c r="J1470">
        <v>0.15270872973216301</v>
      </c>
      <c r="K1470">
        <v>0.107862219960059</v>
      </c>
      <c r="L1470">
        <v>1936.66748694486</v>
      </c>
      <c r="M1470">
        <v>37.1493278755568</v>
      </c>
      <c r="N1470">
        <v>52.708282520356804</v>
      </c>
      <c r="O1470">
        <v>51.981570068850203</v>
      </c>
      <c r="P1470">
        <v>-0.148845800972883</v>
      </c>
      <c r="Q1470">
        <v>0.166906032473917</v>
      </c>
      <c r="R1470">
        <v>0.99346136220023795</v>
      </c>
      <c r="S1470" t="s">
        <v>7053</v>
      </c>
      <c r="T1470" t="s">
        <v>11164</v>
      </c>
      <c r="U1470" t="s">
        <v>11164</v>
      </c>
      <c r="V1470" t="s">
        <v>11164</v>
      </c>
      <c r="W1470" t="s">
        <v>12603</v>
      </c>
      <c r="X1470">
        <v>16</v>
      </c>
      <c r="Y1470" t="s">
        <v>18130</v>
      </c>
      <c r="Z1470" t="s">
        <v>23620</v>
      </c>
      <c r="AA1470">
        <v>0.5905858869457794</v>
      </c>
      <c r="AB1470" t="str">
        <f>HYPERLINK("Melting_Curves/meltCurve_O75116_ROCK2.pdf", "Melting_Curves/meltCurve_O75116_ROCK2.pdf")</f>
        <v>Melting_Curves/meltCurve_O75116_ROCK2.pdf</v>
      </c>
    </row>
    <row r="1471" spans="1:28" x14ac:dyDescent="0.25">
      <c r="A1471" t="s">
        <v>1475</v>
      </c>
      <c r="B1471">
        <v>0.99796759195183404</v>
      </c>
      <c r="C1471">
        <v>1.06272429008448</v>
      </c>
      <c r="D1471">
        <v>1.0465161631670501</v>
      </c>
      <c r="E1471">
        <v>1.01130307189643</v>
      </c>
      <c r="F1471">
        <v>0.88980884185269105</v>
      </c>
      <c r="G1471">
        <v>0.48827811713693398</v>
      </c>
      <c r="H1471">
        <v>0.17779914172837399</v>
      </c>
      <c r="I1471">
        <v>0.133629673417133</v>
      </c>
      <c r="J1471">
        <v>0.104031006035756</v>
      </c>
      <c r="K1471">
        <v>7.76628283634032E-2</v>
      </c>
      <c r="L1471">
        <v>1702.9466242246999</v>
      </c>
      <c r="M1471">
        <v>31.9217560277316</v>
      </c>
      <c r="N1471">
        <v>53.707938923627701</v>
      </c>
      <c r="O1471">
        <v>53.139471917897403</v>
      </c>
      <c r="P1471">
        <v>-0.13570076797710601</v>
      </c>
      <c r="Q1471">
        <v>9.6411813963020399E-2</v>
      </c>
      <c r="R1471">
        <v>0.99575781745163106</v>
      </c>
      <c r="S1471" t="s">
        <v>7054</v>
      </c>
      <c r="T1471" t="s">
        <v>11164</v>
      </c>
      <c r="U1471" t="s">
        <v>11164</v>
      </c>
      <c r="V1471" t="s">
        <v>11164</v>
      </c>
      <c r="W1471" t="s">
        <v>12604</v>
      </c>
      <c r="X1471">
        <v>24</v>
      </c>
      <c r="Y1471" t="s">
        <v>18131</v>
      </c>
      <c r="Z1471" t="s">
        <v>23621</v>
      </c>
      <c r="AA1471">
        <v>0.59392365747405262</v>
      </c>
      <c r="AB1471" t="str">
        <f>HYPERLINK("Melting_Curves/meltCurve_O75131_CPNE3.pdf", "Melting_Curves/meltCurve_O75131_CPNE3.pdf")</f>
        <v>Melting_Curves/meltCurve_O75131_CPNE3.pdf</v>
      </c>
    </row>
    <row r="1472" spans="1:28" x14ac:dyDescent="0.25">
      <c r="A1472" t="s">
        <v>1476</v>
      </c>
      <c r="B1472">
        <v>0.99796759195183404</v>
      </c>
      <c r="C1472">
        <v>1.02201422697511</v>
      </c>
      <c r="D1472">
        <v>0.97663602358131496</v>
      </c>
      <c r="E1472">
        <v>0.87767680449055396</v>
      </c>
      <c r="F1472">
        <v>0.75572209728804596</v>
      </c>
      <c r="G1472">
        <v>0.60678268783887601</v>
      </c>
      <c r="H1472">
        <v>0.57752034922054596</v>
      </c>
      <c r="I1472">
        <v>0.55419337193972196</v>
      </c>
      <c r="J1472">
        <v>0.77096726033589402</v>
      </c>
      <c r="K1472">
        <v>0.66941432354957398</v>
      </c>
      <c r="L1472">
        <v>1316.2363679806001</v>
      </c>
      <c r="M1472">
        <v>27.3961179454292</v>
      </c>
      <c r="O1472">
        <v>47.790831262313702</v>
      </c>
      <c r="P1472">
        <v>-5.2177286563841699E-2</v>
      </c>
      <c r="Q1472">
        <v>0.63592322554802005</v>
      </c>
      <c r="R1472">
        <v>0.88157632888190995</v>
      </c>
      <c r="S1472" t="s">
        <v>7055</v>
      </c>
      <c r="T1472" t="s">
        <v>11164</v>
      </c>
      <c r="U1472" t="s">
        <v>11164</v>
      </c>
      <c r="V1472" t="s">
        <v>11164</v>
      </c>
      <c r="W1472" t="s">
        <v>12605</v>
      </c>
      <c r="X1472">
        <v>7</v>
      </c>
      <c r="Y1472" t="s">
        <v>18132</v>
      </c>
      <c r="Z1472" t="s">
        <v>23622</v>
      </c>
      <c r="AA1472">
        <v>0.77254797682047538</v>
      </c>
      <c r="AB1472" t="str">
        <f>HYPERLINK("Melting_Curves/meltCurve_O75143_2_ATG13.pdf", "Melting_Curves/meltCurve_O75143_2_ATG13.pdf")</f>
        <v>Melting_Curves/meltCurve_O75143_2_ATG13.pdf</v>
      </c>
    </row>
    <row r="1473" spans="1:28" x14ac:dyDescent="0.25">
      <c r="A1473" t="s">
        <v>1477</v>
      </c>
      <c r="B1473">
        <v>0.99796759195183404</v>
      </c>
      <c r="C1473">
        <v>1.0292639964528001</v>
      </c>
      <c r="D1473">
        <v>0.96318337082518402</v>
      </c>
      <c r="E1473">
        <v>0.91175659645590801</v>
      </c>
      <c r="F1473">
        <v>0.77880160938050902</v>
      </c>
      <c r="G1473">
        <v>0.42669716184718698</v>
      </c>
      <c r="H1473">
        <v>0.17613412694825201</v>
      </c>
      <c r="I1473">
        <v>0.14620774961942501</v>
      </c>
      <c r="J1473">
        <v>0.109147138161878</v>
      </c>
      <c r="K1473">
        <v>8.4174197923799196E-2</v>
      </c>
      <c r="L1473">
        <v>1175.1505805259201</v>
      </c>
      <c r="M1473">
        <v>22.3767085175209</v>
      </c>
      <c r="N1473">
        <v>52.9611781643247</v>
      </c>
      <c r="O1473">
        <v>52.102656264321801</v>
      </c>
      <c r="P1473">
        <v>-9.8178506602499299E-2</v>
      </c>
      <c r="Q1473">
        <v>8.5610973089077794E-2</v>
      </c>
      <c r="R1473">
        <v>0.99668192282185197</v>
      </c>
      <c r="S1473" t="s">
        <v>7056</v>
      </c>
      <c r="T1473" t="s">
        <v>11164</v>
      </c>
      <c r="U1473" t="s">
        <v>11164</v>
      </c>
      <c r="V1473" t="s">
        <v>11164</v>
      </c>
      <c r="W1473" t="s">
        <v>12606</v>
      </c>
      <c r="X1473">
        <v>16</v>
      </c>
      <c r="Y1473" t="s">
        <v>18133</v>
      </c>
      <c r="Z1473" t="s">
        <v>23623</v>
      </c>
      <c r="AA1473">
        <v>0.56833596095885275</v>
      </c>
      <c r="AB1473" t="str">
        <f>HYPERLINK("Melting_Curves/meltCurve_O75146_HIP1R.pdf", "Melting_Curves/meltCurve_O75146_HIP1R.pdf")</f>
        <v>Melting_Curves/meltCurve_O75146_HIP1R.pdf</v>
      </c>
    </row>
    <row r="1474" spans="1:28" x14ac:dyDescent="0.25">
      <c r="A1474" t="s">
        <v>1478</v>
      </c>
      <c r="B1474">
        <v>0.99796759195183404</v>
      </c>
      <c r="C1474">
        <v>1.0248967833421101</v>
      </c>
      <c r="D1474">
        <v>0.94629691183244002</v>
      </c>
      <c r="E1474">
        <v>0.89964735527273798</v>
      </c>
      <c r="F1474">
        <v>0.59397502261295698</v>
      </c>
      <c r="G1474">
        <v>0.300719068882984</v>
      </c>
      <c r="H1474">
        <v>0.234131680222568</v>
      </c>
      <c r="I1474">
        <v>0.18395210494206901</v>
      </c>
      <c r="J1474">
        <v>0.15516094382926501</v>
      </c>
      <c r="K1474">
        <v>0.16370014661737001</v>
      </c>
      <c r="L1474">
        <v>1176.2663969477601</v>
      </c>
      <c r="M1474">
        <v>23.379203835415399</v>
      </c>
      <c r="N1474">
        <v>51.188199531108502</v>
      </c>
      <c r="O1474">
        <v>49.948744299172603</v>
      </c>
      <c r="P1474">
        <v>-9.77305615086876E-2</v>
      </c>
      <c r="Q1474">
        <v>0.16482474767834501</v>
      </c>
      <c r="R1474">
        <v>0.99736550483723196</v>
      </c>
      <c r="S1474" t="s">
        <v>7057</v>
      </c>
      <c r="T1474" t="s">
        <v>11164</v>
      </c>
      <c r="U1474" t="s">
        <v>11164</v>
      </c>
      <c r="V1474" t="s">
        <v>11164</v>
      </c>
      <c r="W1474" t="s">
        <v>12607</v>
      </c>
      <c r="X1474">
        <v>26</v>
      </c>
      <c r="Y1474" t="s">
        <v>18134</v>
      </c>
      <c r="Z1474" t="s">
        <v>23624</v>
      </c>
      <c r="AA1474">
        <v>0.54374027564326455</v>
      </c>
      <c r="AB1474" t="str">
        <f>HYPERLINK("Melting_Curves/meltCurve_O75150_RNF40.pdf", "Melting_Curves/meltCurve_O75150_RNF40.pdf")</f>
        <v>Melting_Curves/meltCurve_O75150_RNF40.pdf</v>
      </c>
    </row>
    <row r="1475" spans="1:28" x14ac:dyDescent="0.25">
      <c r="A1475" t="s">
        <v>1479</v>
      </c>
      <c r="B1475">
        <v>0.99796759195183404</v>
      </c>
      <c r="C1475">
        <v>0.99905785903194899</v>
      </c>
      <c r="D1475">
        <v>0.94597982105600498</v>
      </c>
      <c r="E1475">
        <v>0.89243805673498999</v>
      </c>
      <c r="F1475">
        <v>0.81272396584401996</v>
      </c>
      <c r="G1475">
        <v>0.32326584159937399</v>
      </c>
      <c r="H1475">
        <v>0.24740002733428601</v>
      </c>
      <c r="I1475">
        <v>0.20881404616816701</v>
      </c>
      <c r="J1475">
        <v>0.155444961721797</v>
      </c>
      <c r="K1475">
        <v>0.12740425020101301</v>
      </c>
      <c r="L1475">
        <v>1646.8805302625599</v>
      </c>
      <c r="M1475">
        <v>31.804965518172299</v>
      </c>
      <c r="N1475">
        <v>52.454103019604901</v>
      </c>
      <c r="O1475">
        <v>51.577194051368302</v>
      </c>
      <c r="P1475">
        <v>-0.12832013066293099</v>
      </c>
      <c r="Q1475">
        <v>0.16763210757524799</v>
      </c>
      <c r="R1475">
        <v>0.98679507199112504</v>
      </c>
      <c r="S1475" t="s">
        <v>7058</v>
      </c>
      <c r="T1475" t="s">
        <v>11164</v>
      </c>
      <c r="U1475" t="s">
        <v>11164</v>
      </c>
      <c r="V1475" t="s">
        <v>11164</v>
      </c>
      <c r="W1475" t="s">
        <v>12608</v>
      </c>
      <c r="X1475">
        <v>13</v>
      </c>
      <c r="Y1475" t="s">
        <v>18135</v>
      </c>
      <c r="Z1475" t="s">
        <v>23625</v>
      </c>
      <c r="AA1475">
        <v>0.58240724007092559</v>
      </c>
      <c r="AB1475" t="str">
        <f>HYPERLINK("Melting_Curves/meltCurve_O75155_CAND2.pdf", "Melting_Curves/meltCurve_O75155_CAND2.pdf")</f>
        <v>Melting_Curves/meltCurve_O75155_CAND2.pdf</v>
      </c>
    </row>
    <row r="1476" spans="1:28" x14ac:dyDescent="0.25">
      <c r="A1476" t="s">
        <v>1480</v>
      </c>
      <c r="B1476">
        <v>0.99796759195183404</v>
      </c>
      <c r="C1476">
        <v>0.92135762051319803</v>
      </c>
      <c r="D1476">
        <v>0.93538481152501995</v>
      </c>
      <c r="E1476">
        <v>0.87821084701145302</v>
      </c>
      <c r="F1476">
        <v>0.71043028173132206</v>
      </c>
      <c r="G1476">
        <v>0.64128495354658299</v>
      </c>
      <c r="H1476">
        <v>0.53770351271826</v>
      </c>
      <c r="I1476">
        <v>0.413592646374144</v>
      </c>
      <c r="J1476">
        <v>0.51124604589348099</v>
      </c>
      <c r="K1476">
        <v>0.49714890284379998</v>
      </c>
      <c r="L1476">
        <v>640.62634816624097</v>
      </c>
      <c r="M1476">
        <v>12.7316710474903</v>
      </c>
      <c r="N1476">
        <v>60.735468307903297</v>
      </c>
      <c r="O1476">
        <v>49.124626322325099</v>
      </c>
      <c r="P1476">
        <v>-3.6051278116267398E-2</v>
      </c>
      <c r="Q1476">
        <v>0.44369712145150803</v>
      </c>
      <c r="R1476">
        <v>0.96499081296935096</v>
      </c>
      <c r="S1476" t="s">
        <v>7059</v>
      </c>
      <c r="T1476" t="s">
        <v>11164</v>
      </c>
      <c r="U1476" t="s">
        <v>11164</v>
      </c>
      <c r="V1476" t="s">
        <v>11164</v>
      </c>
      <c r="W1476" t="s">
        <v>12609</v>
      </c>
      <c r="X1476">
        <v>7</v>
      </c>
      <c r="Y1476" t="s">
        <v>18136</v>
      </c>
      <c r="Z1476" t="s">
        <v>23626</v>
      </c>
      <c r="AA1476">
        <v>0.704885554536683</v>
      </c>
      <c r="AB1476" t="str">
        <f>HYPERLINK("Melting_Curves/meltCurve_O75157_2_TSC22D2.pdf", "Melting_Curves/meltCurve_O75157_2_TSC22D2.pdf")</f>
        <v>Melting_Curves/meltCurve_O75157_2_TSC22D2.pdf</v>
      </c>
    </row>
    <row r="1477" spans="1:28" x14ac:dyDescent="0.25">
      <c r="A1477" t="s">
        <v>1481</v>
      </c>
      <c r="B1477">
        <v>0.99796759195183404</v>
      </c>
      <c r="C1477">
        <v>1.08802341182117</v>
      </c>
      <c r="D1477">
        <v>1.0077309753252</v>
      </c>
      <c r="E1477">
        <v>0.99881776960522695</v>
      </c>
      <c r="F1477">
        <v>0.59316343782554404</v>
      </c>
      <c r="G1477">
        <v>0.41019498711034402</v>
      </c>
      <c r="H1477">
        <v>0.335962679696654</v>
      </c>
      <c r="I1477">
        <v>0.23793441792235001</v>
      </c>
      <c r="J1477">
        <v>0.21067397411219199</v>
      </c>
      <c r="K1477">
        <v>0.186045322188991</v>
      </c>
      <c r="L1477">
        <v>1219.14984016228</v>
      </c>
      <c r="M1477">
        <v>24.049863695663401</v>
      </c>
      <c r="N1477">
        <v>51.9983488316266</v>
      </c>
      <c r="O1477">
        <v>50.346005229736399</v>
      </c>
      <c r="P1477">
        <v>-9.2354708461294996E-2</v>
      </c>
      <c r="Q1477">
        <v>0.22667046486907999</v>
      </c>
      <c r="R1477">
        <v>0.97911167838362301</v>
      </c>
      <c r="S1477" t="s">
        <v>7060</v>
      </c>
      <c r="T1477" t="s">
        <v>11164</v>
      </c>
      <c r="U1477" t="s">
        <v>11164</v>
      </c>
      <c r="V1477" t="s">
        <v>11164</v>
      </c>
      <c r="W1477" t="s">
        <v>12610</v>
      </c>
      <c r="X1477">
        <v>5</v>
      </c>
      <c r="Y1477" t="s">
        <v>18137</v>
      </c>
      <c r="Z1477" t="s">
        <v>23627</v>
      </c>
      <c r="AA1477">
        <v>0.58694946387634117</v>
      </c>
      <c r="AB1477" t="str">
        <f>HYPERLINK("Melting_Curves/meltCurve_O75164_KDM4A.pdf", "Melting_Curves/meltCurve_O75164_KDM4A.pdf")</f>
        <v>Melting_Curves/meltCurve_O75164_KDM4A.pdf</v>
      </c>
    </row>
    <row r="1478" spans="1:28" x14ac:dyDescent="0.25">
      <c r="A1478" t="s">
        <v>1482</v>
      </c>
      <c r="B1478">
        <v>0.99796759195183404</v>
      </c>
      <c r="C1478">
        <v>0.97133319109410998</v>
      </c>
      <c r="D1478">
        <v>0.98032480693559099</v>
      </c>
      <c r="E1478">
        <v>0.90448605044242503</v>
      </c>
      <c r="F1478">
        <v>0.76380956845649906</v>
      </c>
      <c r="G1478">
        <v>0.99493378280021605</v>
      </c>
      <c r="H1478">
        <v>0.91300042543146398</v>
      </c>
      <c r="I1478">
        <v>0.51529380716078199</v>
      </c>
      <c r="J1478">
        <v>0.21820531150744099</v>
      </c>
      <c r="K1478">
        <v>0.10143866768816</v>
      </c>
      <c r="L1478">
        <v>2130.3519275548401</v>
      </c>
      <c r="M1478">
        <v>34.974398797464502</v>
      </c>
      <c r="N1478">
        <v>61.174193740083602</v>
      </c>
      <c r="O1478">
        <v>60.713644684022</v>
      </c>
      <c r="P1478">
        <v>-0.13398161596806599</v>
      </c>
      <c r="Q1478">
        <v>6.9664242391720102E-2</v>
      </c>
      <c r="R1478">
        <v>0.93578935500027005</v>
      </c>
      <c r="S1478" t="s">
        <v>7061</v>
      </c>
      <c r="T1478" t="s">
        <v>11164</v>
      </c>
      <c r="U1478" t="s">
        <v>11164</v>
      </c>
      <c r="V1478" t="s">
        <v>11164</v>
      </c>
      <c r="W1478" t="s">
        <v>12611</v>
      </c>
      <c r="X1478">
        <v>4</v>
      </c>
      <c r="Y1478" t="s">
        <v>18138</v>
      </c>
      <c r="Z1478" t="s">
        <v>23628</v>
      </c>
      <c r="AA1478">
        <v>0.81348009741734661</v>
      </c>
      <c r="AB1478" t="str">
        <f>HYPERLINK("Melting_Curves/meltCurve_O75170_6_PPP6R2.pdf", "Melting_Curves/meltCurve_O75170_6_PPP6R2.pdf")</f>
        <v>Melting_Curves/meltCurve_O75170_6_PPP6R2.pdf</v>
      </c>
    </row>
    <row r="1479" spans="1:28" x14ac:dyDescent="0.25">
      <c r="A1479" t="s">
        <v>1483</v>
      </c>
      <c r="B1479">
        <v>0.99796759195183404</v>
      </c>
      <c r="C1479">
        <v>0.98041268726318198</v>
      </c>
      <c r="D1479">
        <v>0.90998857108903197</v>
      </c>
      <c r="E1479">
        <v>0.79611546022693203</v>
      </c>
      <c r="F1479">
        <v>0.64794833636012605</v>
      </c>
      <c r="G1479">
        <v>0.59991584945207799</v>
      </c>
      <c r="H1479">
        <v>0.33707830664499999</v>
      </c>
      <c r="I1479">
        <v>0.23173126240410899</v>
      </c>
      <c r="J1479">
        <v>0.14220386818626299</v>
      </c>
      <c r="K1479">
        <v>0.104498770574701</v>
      </c>
      <c r="L1479">
        <v>541.77869709509196</v>
      </c>
      <c r="M1479">
        <v>10.0428493023299</v>
      </c>
      <c r="N1479">
        <v>53.946719122392402</v>
      </c>
      <c r="O1479">
        <v>51.938678697715801</v>
      </c>
      <c r="P1479">
        <v>-4.8363067337011997E-2</v>
      </c>
      <c r="Q1479">
        <v>0</v>
      </c>
      <c r="R1479">
        <v>0.98844093049521597</v>
      </c>
      <c r="S1479" t="s">
        <v>7062</v>
      </c>
      <c r="T1479" t="s">
        <v>11164</v>
      </c>
      <c r="U1479" t="s">
        <v>11164</v>
      </c>
      <c r="V1479" t="s">
        <v>11164</v>
      </c>
      <c r="W1479" t="s">
        <v>12612</v>
      </c>
      <c r="X1479">
        <v>10</v>
      </c>
      <c r="Y1479" t="s">
        <v>18139</v>
      </c>
      <c r="Z1479" t="s">
        <v>23629</v>
      </c>
      <c r="AA1479">
        <v>0.58277749092522979</v>
      </c>
      <c r="AB1479" t="str">
        <f>HYPERLINK("Melting_Curves/meltCurve_O75175_CNOT3.pdf", "Melting_Curves/meltCurve_O75175_CNOT3.pdf")</f>
        <v>Melting_Curves/meltCurve_O75175_CNOT3.pdf</v>
      </c>
    </row>
    <row r="1480" spans="1:28" x14ac:dyDescent="0.25">
      <c r="A1480" t="s">
        <v>1484</v>
      </c>
      <c r="B1480">
        <v>0.99796759195183404</v>
      </c>
      <c r="C1480">
        <v>0.96696960859511505</v>
      </c>
      <c r="D1480">
        <v>0.932117087533057</v>
      </c>
      <c r="E1480">
        <v>0.86201376566898302</v>
      </c>
      <c r="F1480">
        <v>0.67017703081134805</v>
      </c>
      <c r="G1480">
        <v>0.29334397124155598</v>
      </c>
      <c r="H1480">
        <v>0.21492097897317899</v>
      </c>
      <c r="I1480">
        <v>0.15985330679336601</v>
      </c>
      <c r="J1480">
        <v>0.11975953839717</v>
      </c>
      <c r="K1480">
        <v>0.11490205308997201</v>
      </c>
      <c r="L1480">
        <v>1012.67920611886</v>
      </c>
      <c r="M1480">
        <v>19.860255478974601</v>
      </c>
      <c r="N1480">
        <v>51.641242376516601</v>
      </c>
      <c r="O1480">
        <v>50.481710078678297</v>
      </c>
      <c r="P1480">
        <v>-8.7465091536652106E-2</v>
      </c>
      <c r="Q1480">
        <v>0.110738593111714</v>
      </c>
      <c r="R1480">
        <v>0.99356012982792796</v>
      </c>
      <c r="S1480" t="s">
        <v>7063</v>
      </c>
      <c r="T1480" t="s">
        <v>11164</v>
      </c>
      <c r="U1480" t="s">
        <v>11164</v>
      </c>
      <c r="V1480" t="s">
        <v>11164</v>
      </c>
      <c r="W1480" t="s">
        <v>12613</v>
      </c>
      <c r="X1480">
        <v>17</v>
      </c>
      <c r="Y1480" t="s">
        <v>18140</v>
      </c>
      <c r="Z1480" t="s">
        <v>23630</v>
      </c>
      <c r="AA1480">
        <v>0.53721838828492041</v>
      </c>
      <c r="AB1480" t="str">
        <f>HYPERLINK("Melting_Curves/meltCurve_O75179_2_ANKRD17.pdf", "Melting_Curves/meltCurve_O75179_2_ANKRD17.pdf")</f>
        <v>Melting_Curves/meltCurve_O75179_2_ANKRD17.pdf</v>
      </c>
    </row>
    <row r="1481" spans="1:28" x14ac:dyDescent="0.25">
      <c r="A1481" t="s">
        <v>1485</v>
      </c>
      <c r="B1481">
        <v>0.99796759195183404</v>
      </c>
      <c r="C1481">
        <v>1.1162509634601501</v>
      </c>
      <c r="D1481">
        <v>1.0130433571694999</v>
      </c>
      <c r="E1481">
        <v>0.94899003918347502</v>
      </c>
      <c r="F1481">
        <v>0.73040108875485898</v>
      </c>
      <c r="G1481">
        <v>0.23429422969073099</v>
      </c>
      <c r="H1481">
        <v>0.15762101684705801</v>
      </c>
      <c r="I1481">
        <v>0.141686813332463</v>
      </c>
      <c r="J1481">
        <v>9.1916871827482399E-2</v>
      </c>
      <c r="K1481">
        <v>8.4655907051741794E-2</v>
      </c>
      <c r="L1481">
        <v>1850.73334761096</v>
      </c>
      <c r="M1481">
        <v>36.085213157411403</v>
      </c>
      <c r="N1481">
        <v>51.645441111897298</v>
      </c>
      <c r="O1481">
        <v>51.131111328435303</v>
      </c>
      <c r="P1481">
        <v>-0.15693114721305401</v>
      </c>
      <c r="Q1481">
        <v>0.110545470522384</v>
      </c>
      <c r="R1481">
        <v>0.99013990422934905</v>
      </c>
      <c r="S1481" t="s">
        <v>7064</v>
      </c>
      <c r="T1481" t="s">
        <v>11164</v>
      </c>
      <c r="U1481" t="s">
        <v>11164</v>
      </c>
      <c r="V1481" t="s">
        <v>11164</v>
      </c>
      <c r="W1481" t="s">
        <v>12614</v>
      </c>
      <c r="X1481">
        <v>8</v>
      </c>
      <c r="Y1481" t="s">
        <v>18141</v>
      </c>
      <c r="Z1481" t="s">
        <v>23631</v>
      </c>
      <c r="AA1481">
        <v>0.53802604871269777</v>
      </c>
      <c r="AB1481" t="str">
        <f>HYPERLINK("Melting_Curves/meltCurve_O75191_XYLB.pdf", "Melting_Curves/meltCurve_O75191_XYLB.pdf")</f>
        <v>Melting_Curves/meltCurve_O75191_XYLB.pdf</v>
      </c>
    </row>
    <row r="1482" spans="1:28" x14ac:dyDescent="0.25">
      <c r="A1482" t="s">
        <v>1486</v>
      </c>
      <c r="B1482">
        <v>0.99796759195183404</v>
      </c>
      <c r="C1482">
        <v>0.88863254537193104</v>
      </c>
      <c r="D1482">
        <v>0.88035271776041202</v>
      </c>
      <c r="E1482">
        <v>0.96689903517221298</v>
      </c>
      <c r="F1482">
        <v>0.84618225242493605</v>
      </c>
      <c r="G1482">
        <v>0.48079244178993702</v>
      </c>
      <c r="H1482">
        <v>0.48725480526932802</v>
      </c>
      <c r="I1482">
        <v>0.31082990047622799</v>
      </c>
      <c r="J1482">
        <v>0.38396009993705099</v>
      </c>
      <c r="K1482">
        <v>0.212758274193451</v>
      </c>
      <c r="L1482">
        <v>890.021832246136</v>
      </c>
      <c r="M1482">
        <v>16.840772659508399</v>
      </c>
      <c r="N1482">
        <v>55.342570615688402</v>
      </c>
      <c r="O1482">
        <v>52.120890132596301</v>
      </c>
      <c r="P1482">
        <v>-5.9304944116282003E-2</v>
      </c>
      <c r="Q1482">
        <v>0.26586987725140898</v>
      </c>
      <c r="R1482">
        <v>0.93196478712544295</v>
      </c>
      <c r="S1482" t="s">
        <v>7065</v>
      </c>
      <c r="T1482" t="s">
        <v>11164</v>
      </c>
      <c r="U1482" t="s">
        <v>11164</v>
      </c>
      <c r="V1482" t="s">
        <v>11164</v>
      </c>
      <c r="W1482" t="s">
        <v>12615</v>
      </c>
      <c r="X1482">
        <v>3</v>
      </c>
      <c r="Y1482" t="s">
        <v>18142</v>
      </c>
      <c r="Z1482" t="s">
        <v>23632</v>
      </c>
      <c r="AA1482">
        <v>0.66539882728549216</v>
      </c>
      <c r="AB1482" t="str">
        <f>HYPERLINK("Melting_Curves/meltCurve_O75208_COQ9.pdf", "Melting_Curves/meltCurve_O75208_COQ9.pdf")</f>
        <v>Melting_Curves/meltCurve_O75208_COQ9.pdf</v>
      </c>
    </row>
    <row r="1483" spans="1:28" x14ac:dyDescent="0.25">
      <c r="A1483" t="s">
        <v>1487</v>
      </c>
      <c r="B1483">
        <v>0.99796759195183404</v>
      </c>
      <c r="C1483">
        <v>0.97514830133360897</v>
      </c>
      <c r="D1483">
        <v>1.0205165022524401</v>
      </c>
      <c r="E1483">
        <v>0.93965994156292798</v>
      </c>
      <c r="F1483">
        <v>0.84381689930579196</v>
      </c>
      <c r="G1483">
        <v>0.47926422402566898</v>
      </c>
      <c r="H1483">
        <v>0.44536200805677401</v>
      </c>
      <c r="I1483">
        <v>0.29268457501477302</v>
      </c>
      <c r="J1483">
        <v>0.16321965491899701</v>
      </c>
      <c r="K1483">
        <v>0.12593851029561601</v>
      </c>
      <c r="L1483">
        <v>781.09329066939995</v>
      </c>
      <c r="M1483">
        <v>14.334735213823199</v>
      </c>
      <c r="N1483">
        <v>55.244934777961198</v>
      </c>
      <c r="O1483">
        <v>53.462024351219704</v>
      </c>
      <c r="P1483">
        <v>-6.1074278406989597E-2</v>
      </c>
      <c r="Q1483">
        <v>8.8993108879098101E-2</v>
      </c>
      <c r="R1483">
        <v>0.98123170457751296</v>
      </c>
      <c r="S1483" t="s">
        <v>7066</v>
      </c>
      <c r="T1483" t="s">
        <v>11164</v>
      </c>
      <c r="U1483" t="s">
        <v>11164</v>
      </c>
      <c r="V1483" t="s">
        <v>11164</v>
      </c>
      <c r="W1483" t="s">
        <v>12616</v>
      </c>
      <c r="X1483">
        <v>9</v>
      </c>
      <c r="Y1483" t="s">
        <v>18143</v>
      </c>
      <c r="Z1483" t="s">
        <v>23633</v>
      </c>
      <c r="AA1483">
        <v>0.63430029970665747</v>
      </c>
      <c r="AB1483" t="str">
        <f>HYPERLINK("Melting_Curves/meltCurve_O75223_GGCT.pdf", "Melting_Curves/meltCurve_O75223_GGCT.pdf")</f>
        <v>Melting_Curves/meltCurve_O75223_GGCT.pdf</v>
      </c>
    </row>
    <row r="1484" spans="1:28" x14ac:dyDescent="0.25">
      <c r="A1484" t="s">
        <v>1488</v>
      </c>
      <c r="B1484">
        <v>0.99796759195183404</v>
      </c>
      <c r="C1484">
        <v>0.96434265619767701</v>
      </c>
      <c r="D1484">
        <v>0.92907823944638401</v>
      </c>
      <c r="E1484">
        <v>0.92089405763563303</v>
      </c>
      <c r="F1484">
        <v>0.70539728714415495</v>
      </c>
      <c r="G1484">
        <v>0.777631469291724</v>
      </c>
      <c r="H1484">
        <v>0.47191121008946801</v>
      </c>
      <c r="I1484">
        <v>0.34079879734843599</v>
      </c>
      <c r="J1484">
        <v>0.14565457625933401</v>
      </c>
      <c r="K1484">
        <v>0.113398785808001</v>
      </c>
      <c r="L1484">
        <v>665.91577685866105</v>
      </c>
      <c r="M1484">
        <v>11.717490891661299</v>
      </c>
      <c r="N1484">
        <v>56.830919177560297</v>
      </c>
      <c r="O1484">
        <v>55.251391812340202</v>
      </c>
      <c r="P1484">
        <v>-5.30330014523821E-2</v>
      </c>
      <c r="Q1484">
        <v>0</v>
      </c>
      <c r="R1484">
        <v>0.96463412099263202</v>
      </c>
      <c r="S1484" t="s">
        <v>7067</v>
      </c>
      <c r="T1484" t="s">
        <v>11164</v>
      </c>
      <c r="U1484" t="s">
        <v>11164</v>
      </c>
      <c r="V1484" t="s">
        <v>11164</v>
      </c>
      <c r="W1484" t="s">
        <v>12617</v>
      </c>
      <c r="X1484">
        <v>7</v>
      </c>
      <c r="Y1484" t="s">
        <v>18144</v>
      </c>
      <c r="Z1484" t="s">
        <v>23634</v>
      </c>
      <c r="AA1484">
        <v>0.66606601593156145</v>
      </c>
      <c r="AB1484" t="str">
        <f>HYPERLINK("Melting_Curves/meltCurve_O75306_2_NDUFS2.pdf", "Melting_Curves/meltCurve_O75306_2_NDUFS2.pdf")</f>
        <v>Melting_Curves/meltCurve_O75306_2_NDUFS2.pdf</v>
      </c>
    </row>
    <row r="1485" spans="1:28" x14ac:dyDescent="0.25">
      <c r="A1485" t="s">
        <v>1489</v>
      </c>
      <c r="B1485">
        <v>0.99796759195183404</v>
      </c>
      <c r="C1485">
        <v>1.0783376747946201</v>
      </c>
      <c r="D1485">
        <v>0.99290942854180197</v>
      </c>
      <c r="E1485">
        <v>0.91792295984970895</v>
      </c>
      <c r="F1485">
        <v>0.79091313541288599</v>
      </c>
      <c r="G1485">
        <v>0.60226494391110497</v>
      </c>
      <c r="H1485">
        <v>0.32733306906219101</v>
      </c>
      <c r="I1485">
        <v>0.19941634471476999</v>
      </c>
      <c r="J1485">
        <v>0.177817188495273</v>
      </c>
      <c r="K1485">
        <v>0.15405842627312799</v>
      </c>
      <c r="L1485">
        <v>919.49184026509295</v>
      </c>
      <c r="M1485">
        <v>17.042567639140699</v>
      </c>
      <c r="N1485">
        <v>54.766355082189499</v>
      </c>
      <c r="O1485">
        <v>53.226270157304697</v>
      </c>
      <c r="P1485">
        <v>-7.1098756694825904E-2</v>
      </c>
      <c r="Q1485">
        <v>0.111850093603637</v>
      </c>
      <c r="R1485">
        <v>0.99245443228166397</v>
      </c>
      <c r="S1485" t="s">
        <v>7068</v>
      </c>
      <c r="T1485" t="s">
        <v>11164</v>
      </c>
      <c r="U1485" t="s">
        <v>11164</v>
      </c>
      <c r="V1485" t="s">
        <v>11164</v>
      </c>
      <c r="W1485" t="s">
        <v>12618</v>
      </c>
      <c r="X1485">
        <v>23</v>
      </c>
      <c r="Y1485" t="s">
        <v>18145</v>
      </c>
      <c r="Z1485" t="s">
        <v>23635</v>
      </c>
      <c r="AA1485">
        <v>0.62667865376563092</v>
      </c>
      <c r="AB1485" t="str">
        <f>HYPERLINK("Melting_Curves/meltCurve_O75312_ZNF259.pdf", "Melting_Curves/meltCurve_O75312_ZNF259.pdf")</f>
        <v>Melting_Curves/meltCurve_O75312_ZNF259.pdf</v>
      </c>
    </row>
    <row r="1486" spans="1:28" x14ac:dyDescent="0.25">
      <c r="A1486" t="s">
        <v>1490</v>
      </c>
      <c r="B1486">
        <v>0.99796759195183404</v>
      </c>
      <c r="C1486">
        <v>1.00485208753111</v>
      </c>
      <c r="D1486">
        <v>0.988997791540011</v>
      </c>
      <c r="E1486">
        <v>0.98118567192325301</v>
      </c>
      <c r="F1486">
        <v>0.88035751275816199</v>
      </c>
      <c r="G1486">
        <v>0.93566228856946798</v>
      </c>
      <c r="H1486">
        <v>0.522386292559465</v>
      </c>
      <c r="I1486">
        <v>0.22528290890386499</v>
      </c>
      <c r="J1486">
        <v>0.15097139003586499</v>
      </c>
      <c r="K1486">
        <v>0.11001555573164699</v>
      </c>
      <c r="L1486">
        <v>1875.38701829917</v>
      </c>
      <c r="M1486">
        <v>32.774883975776397</v>
      </c>
      <c r="N1486">
        <v>57.6813675980626</v>
      </c>
      <c r="O1486">
        <v>57.008489796253301</v>
      </c>
      <c r="P1486">
        <v>-0.127164170509248</v>
      </c>
      <c r="Q1486">
        <v>0.11524885234762</v>
      </c>
      <c r="R1486">
        <v>0.98925548570737298</v>
      </c>
      <c r="S1486" t="s">
        <v>7069</v>
      </c>
      <c r="T1486" t="s">
        <v>11164</v>
      </c>
      <c r="U1486" t="s">
        <v>11164</v>
      </c>
      <c r="V1486" t="s">
        <v>11164</v>
      </c>
      <c r="W1486" t="s">
        <v>12619</v>
      </c>
      <c r="X1486">
        <v>12</v>
      </c>
      <c r="Y1486" t="s">
        <v>18146</v>
      </c>
      <c r="Z1486" t="s">
        <v>23636</v>
      </c>
      <c r="AA1486">
        <v>0.71618001116001995</v>
      </c>
      <c r="AB1486" t="str">
        <f>HYPERLINK("Melting_Curves/meltCurve_O75323_GBAS.pdf", "Melting_Curves/meltCurve_O75323_GBAS.pdf")</f>
        <v>Melting_Curves/meltCurve_O75323_GBAS.pdf</v>
      </c>
    </row>
    <row r="1487" spans="1:28" x14ac:dyDescent="0.25">
      <c r="A1487" t="s">
        <v>1491</v>
      </c>
      <c r="B1487">
        <v>0.99796759195183404</v>
      </c>
      <c r="C1487">
        <v>0.98795159557775702</v>
      </c>
      <c r="D1487">
        <v>0.94129110997894205</v>
      </c>
      <c r="E1487">
        <v>0.96608450134137103</v>
      </c>
      <c r="F1487">
        <v>0.65003872708071697</v>
      </c>
      <c r="G1487">
        <v>0.34859318138415302</v>
      </c>
      <c r="H1487">
        <v>0.23666797709218301</v>
      </c>
      <c r="I1487">
        <v>0.18817908853822299</v>
      </c>
      <c r="J1487">
        <v>0.13061251280775801</v>
      </c>
      <c r="K1487">
        <v>0.104841162393465</v>
      </c>
      <c r="L1487">
        <v>1143.54475538321</v>
      </c>
      <c r="M1487">
        <v>22.299732830108699</v>
      </c>
      <c r="N1487">
        <v>52.0053574990174</v>
      </c>
      <c r="O1487">
        <v>50.873603538634299</v>
      </c>
      <c r="P1487">
        <v>-9.4950787930752997E-2</v>
      </c>
      <c r="Q1487">
        <v>0.133552573096544</v>
      </c>
      <c r="R1487">
        <v>0.99393966762414199</v>
      </c>
      <c r="S1487" t="s">
        <v>7070</v>
      </c>
      <c r="T1487" t="s">
        <v>11164</v>
      </c>
      <c r="U1487" t="s">
        <v>11164</v>
      </c>
      <c r="V1487" t="s">
        <v>11164</v>
      </c>
      <c r="W1487" t="s">
        <v>12620</v>
      </c>
      <c r="X1487">
        <v>10</v>
      </c>
      <c r="Y1487" t="s">
        <v>18147</v>
      </c>
      <c r="Z1487" t="s">
        <v>23637</v>
      </c>
      <c r="AA1487">
        <v>0.5554044970663099</v>
      </c>
      <c r="AB1487" t="str">
        <f>HYPERLINK("Melting_Curves/meltCurve_O75330_2_HMMR.pdf", "Melting_Curves/meltCurve_O75330_2_HMMR.pdf")</f>
        <v>Melting_Curves/meltCurve_O75330_2_HMMR.pdf</v>
      </c>
    </row>
    <row r="1488" spans="1:28" x14ac:dyDescent="0.25">
      <c r="A1488" t="s">
        <v>1492</v>
      </c>
      <c r="B1488">
        <v>0.99796759195183404</v>
      </c>
      <c r="C1488">
        <v>1.00927056736686</v>
      </c>
      <c r="D1488">
        <v>0.968216432164556</v>
      </c>
      <c r="E1488">
        <v>0.94927667206584898</v>
      </c>
      <c r="F1488">
        <v>0.79080924129428098</v>
      </c>
      <c r="G1488">
        <v>0.59375618922249895</v>
      </c>
      <c r="H1488">
        <v>0.37964983852915102</v>
      </c>
      <c r="I1488">
        <v>0.21898607923171101</v>
      </c>
      <c r="J1488">
        <v>0.153767225693065</v>
      </c>
      <c r="K1488">
        <v>0.10877908874073</v>
      </c>
      <c r="L1488">
        <v>793.30281740032694</v>
      </c>
      <c r="M1488">
        <v>14.455504643008</v>
      </c>
      <c r="N1488">
        <v>55.231535238174899</v>
      </c>
      <c r="O1488">
        <v>53.860773617507299</v>
      </c>
      <c r="P1488">
        <v>-6.4146763316889802E-2</v>
      </c>
      <c r="Q1488">
        <v>4.4076154006407998E-2</v>
      </c>
      <c r="R1488">
        <v>0.99926367240424896</v>
      </c>
      <c r="S1488" t="s">
        <v>7071</v>
      </c>
      <c r="T1488" t="s">
        <v>11164</v>
      </c>
      <c r="U1488" t="s">
        <v>11164</v>
      </c>
      <c r="V1488" t="s">
        <v>11164</v>
      </c>
      <c r="W1488" t="s">
        <v>12621</v>
      </c>
      <c r="X1488">
        <v>7</v>
      </c>
      <c r="Y1488" t="s">
        <v>18148</v>
      </c>
      <c r="Z1488" t="s">
        <v>23638</v>
      </c>
      <c r="AA1488">
        <v>0.62771656774206119</v>
      </c>
      <c r="AB1488" t="str">
        <f>HYPERLINK("Melting_Curves/meltCurve_O75340_PDCD6.pdf", "Melting_Curves/meltCurve_O75340_PDCD6.pdf")</f>
        <v>Melting_Curves/meltCurve_O75340_PDCD6.pdf</v>
      </c>
    </row>
    <row r="1489" spans="1:28" x14ac:dyDescent="0.25">
      <c r="A1489" t="s">
        <v>1493</v>
      </c>
      <c r="B1489">
        <v>0.99796759195183404</v>
      </c>
      <c r="C1489">
        <v>1.0624410725484801</v>
      </c>
      <c r="D1489">
        <v>1.0429801745096601</v>
      </c>
      <c r="E1489">
        <v>1.07152604557743</v>
      </c>
      <c r="F1489">
        <v>0.95325736616720003</v>
      </c>
      <c r="G1489">
        <v>0.78271254963807801</v>
      </c>
      <c r="H1489">
        <v>0.82384304797613805</v>
      </c>
      <c r="I1489">
        <v>0.76606006677137795</v>
      </c>
      <c r="J1489">
        <v>1.06467178672492</v>
      </c>
      <c r="K1489">
        <v>1.0690639066477401</v>
      </c>
      <c r="L1489">
        <v>12555.3381544447</v>
      </c>
      <c r="M1489">
        <v>250</v>
      </c>
      <c r="O1489">
        <v>50.218133918556703</v>
      </c>
      <c r="P1489">
        <v>-0.122876076519272</v>
      </c>
      <c r="Q1489">
        <v>0.90127027427849804</v>
      </c>
      <c r="R1489">
        <v>0.26525632763756701</v>
      </c>
      <c r="S1489" t="s">
        <v>7072</v>
      </c>
      <c r="T1489" t="s">
        <v>11164</v>
      </c>
      <c r="U1489" t="s">
        <v>11164</v>
      </c>
      <c r="V1489" t="s">
        <v>11164</v>
      </c>
      <c r="W1489" t="s">
        <v>12622</v>
      </c>
      <c r="X1489">
        <v>21</v>
      </c>
      <c r="Y1489" t="s">
        <v>18149</v>
      </c>
      <c r="Z1489" t="s">
        <v>23639</v>
      </c>
      <c r="AA1489">
        <v>0.94479032667602958</v>
      </c>
      <c r="AB1489" t="str">
        <f>HYPERLINK("Melting_Curves/meltCurve_O75347_TBCA.pdf", "Melting_Curves/meltCurve_O75347_TBCA.pdf")</f>
        <v>Melting_Curves/meltCurve_O75347_TBCA.pdf</v>
      </c>
    </row>
    <row r="1490" spans="1:28" x14ac:dyDescent="0.25">
      <c r="A1490" t="s">
        <v>1494</v>
      </c>
      <c r="B1490">
        <v>0.99796759195183404</v>
      </c>
      <c r="C1490">
        <v>1.0498048300326599</v>
      </c>
      <c r="D1490">
        <v>0.96595166832563395</v>
      </c>
      <c r="E1490">
        <v>0.94331926116230502</v>
      </c>
      <c r="F1490">
        <v>0.86386285737523605</v>
      </c>
      <c r="G1490">
        <v>0.80721126538652299</v>
      </c>
      <c r="H1490">
        <v>0.61449060772757902</v>
      </c>
      <c r="I1490">
        <v>0.42037939096618798</v>
      </c>
      <c r="J1490">
        <v>0.41670069096661799</v>
      </c>
      <c r="K1490">
        <v>0.33460969957950298</v>
      </c>
      <c r="L1490">
        <v>744.48917584300295</v>
      </c>
      <c r="M1490">
        <v>13.0232362687475</v>
      </c>
      <c r="N1490">
        <v>60.126843251519396</v>
      </c>
      <c r="O1490">
        <v>55.868705367782802</v>
      </c>
      <c r="P1490">
        <v>-4.44907538908451E-2</v>
      </c>
      <c r="Q1490">
        <v>0.236685995961495</v>
      </c>
      <c r="R1490">
        <v>0.98541674098215104</v>
      </c>
      <c r="S1490" t="s">
        <v>7073</v>
      </c>
      <c r="T1490" t="s">
        <v>11164</v>
      </c>
      <c r="U1490" t="s">
        <v>11164</v>
      </c>
      <c r="V1490" t="s">
        <v>11164</v>
      </c>
      <c r="W1490" t="s">
        <v>12623</v>
      </c>
      <c r="X1490">
        <v>6</v>
      </c>
      <c r="Y1490" t="s">
        <v>18150</v>
      </c>
      <c r="Z1490" t="s">
        <v>23640</v>
      </c>
      <c r="AA1490">
        <v>0.75400086472039152</v>
      </c>
      <c r="AB1490" t="str">
        <f>HYPERLINK("Melting_Curves/meltCurve_O75348_ATP6V1G1.pdf", "Melting_Curves/meltCurve_O75348_ATP6V1G1.pdf")</f>
        <v>Melting_Curves/meltCurve_O75348_ATP6V1G1.pdf</v>
      </c>
    </row>
    <row r="1491" spans="1:28" x14ac:dyDescent="0.25">
      <c r="A1491" t="s">
        <v>1495</v>
      </c>
      <c r="B1491">
        <v>0.99796759195183404</v>
      </c>
      <c r="C1491">
        <v>0.99587017513652498</v>
      </c>
      <c r="D1491">
        <v>0.97681275308156301</v>
      </c>
      <c r="E1491">
        <v>0.924469557360728</v>
      </c>
      <c r="F1491">
        <v>0.84761505276256099</v>
      </c>
      <c r="G1491">
        <v>0.409948603523481</v>
      </c>
      <c r="H1491">
        <v>0.26181817151304299</v>
      </c>
      <c r="I1491">
        <v>0.228810170696464</v>
      </c>
      <c r="J1491">
        <v>0.17050292238468401</v>
      </c>
      <c r="K1491">
        <v>9.7412850195153E-2</v>
      </c>
      <c r="L1491">
        <v>1396.6664804337299</v>
      </c>
      <c r="M1491">
        <v>26.601006073705999</v>
      </c>
      <c r="N1491">
        <v>53.259987308204103</v>
      </c>
      <c r="O1491">
        <v>52.210263036062202</v>
      </c>
      <c r="P1491">
        <v>-0.107352963644836</v>
      </c>
      <c r="Q1491">
        <v>0.15719497617227801</v>
      </c>
      <c r="R1491">
        <v>0.99038262459986304</v>
      </c>
      <c r="S1491" t="s">
        <v>7074</v>
      </c>
      <c r="T1491" t="s">
        <v>11164</v>
      </c>
      <c r="U1491" t="s">
        <v>11164</v>
      </c>
      <c r="V1491" t="s">
        <v>11164</v>
      </c>
      <c r="W1491" t="s">
        <v>12624</v>
      </c>
      <c r="X1491">
        <v>15</v>
      </c>
      <c r="Y1491" t="s">
        <v>18151</v>
      </c>
      <c r="Z1491" t="s">
        <v>23641</v>
      </c>
      <c r="AA1491">
        <v>0.59944498136836677</v>
      </c>
      <c r="AB1491" t="str">
        <f>HYPERLINK("Melting_Curves/meltCurve_O75351_VPS4B.pdf", "Melting_Curves/meltCurve_O75351_VPS4B.pdf")</f>
        <v>Melting_Curves/meltCurve_O75351_VPS4B.pdf</v>
      </c>
    </row>
    <row r="1492" spans="1:28" x14ac:dyDescent="0.25">
      <c r="A1492" t="s">
        <v>1496</v>
      </c>
      <c r="B1492">
        <v>0.99796759195183404</v>
      </c>
      <c r="C1492">
        <v>0.969189187720777</v>
      </c>
      <c r="D1492">
        <v>1.0444934722997601</v>
      </c>
      <c r="E1492">
        <v>0.96253162756535204</v>
      </c>
      <c r="F1492">
        <v>0.77154573720695396</v>
      </c>
      <c r="G1492">
        <v>0.55734069698225996</v>
      </c>
      <c r="H1492">
        <v>0.48817875945356898</v>
      </c>
      <c r="I1492">
        <v>0.35707200472339301</v>
      </c>
      <c r="J1492">
        <v>0.38495596559226197</v>
      </c>
      <c r="K1492">
        <v>0.33558992456297099</v>
      </c>
      <c r="L1492">
        <v>1022.50640480889</v>
      </c>
      <c r="M1492">
        <v>19.647607759032699</v>
      </c>
      <c r="N1492">
        <v>55.436264868231603</v>
      </c>
      <c r="O1492">
        <v>51.512159432295299</v>
      </c>
      <c r="P1492">
        <v>-6.1998031997690398E-2</v>
      </c>
      <c r="Q1492">
        <v>0.34983618398465</v>
      </c>
      <c r="R1492">
        <v>0.98846053312966198</v>
      </c>
      <c r="S1492" t="s">
        <v>7075</v>
      </c>
      <c r="T1492" t="s">
        <v>11164</v>
      </c>
      <c r="U1492" t="s">
        <v>11164</v>
      </c>
      <c r="V1492" t="s">
        <v>11164</v>
      </c>
      <c r="W1492" t="s">
        <v>12625</v>
      </c>
      <c r="X1492">
        <v>5</v>
      </c>
      <c r="Y1492" t="s">
        <v>18152</v>
      </c>
      <c r="Z1492" t="s">
        <v>23642</v>
      </c>
      <c r="AA1492">
        <v>0.68445844950660395</v>
      </c>
      <c r="AB1492" t="str">
        <f>HYPERLINK("Melting_Curves/meltCurve_O75368_SH3BGRL.pdf", "Melting_Curves/meltCurve_O75368_SH3BGRL.pdf")</f>
        <v>Melting_Curves/meltCurve_O75368_SH3BGRL.pdf</v>
      </c>
    </row>
    <row r="1493" spans="1:28" x14ac:dyDescent="0.25">
      <c r="A1493" t="s">
        <v>1497</v>
      </c>
      <c r="B1493">
        <v>0.99796759195183404</v>
      </c>
      <c r="C1493">
        <v>0.94631680387597905</v>
      </c>
      <c r="D1493">
        <v>0.93192015954931795</v>
      </c>
      <c r="E1493">
        <v>0.88415333856920397</v>
      </c>
      <c r="F1493">
        <v>0.74895647921349295</v>
      </c>
      <c r="G1493">
        <v>0.65935763692312299</v>
      </c>
      <c r="H1493">
        <v>0.30895368853851601</v>
      </c>
      <c r="I1493">
        <v>0.18102496335381199</v>
      </c>
      <c r="J1493">
        <v>0.13862389254670299</v>
      </c>
      <c r="K1493">
        <v>0.10204803876205901</v>
      </c>
      <c r="L1493">
        <v>717.47129866993805</v>
      </c>
      <c r="M1493">
        <v>13.0711542316084</v>
      </c>
      <c r="N1493">
        <v>54.889666725832697</v>
      </c>
      <c r="O1493">
        <v>53.652600188752501</v>
      </c>
      <c r="P1493">
        <v>-6.0916968009063099E-2</v>
      </c>
      <c r="Q1493">
        <v>0</v>
      </c>
      <c r="R1493">
        <v>0.98526979122035696</v>
      </c>
      <c r="S1493" t="s">
        <v>7076</v>
      </c>
      <c r="T1493" t="s">
        <v>11164</v>
      </c>
      <c r="U1493" t="s">
        <v>11164</v>
      </c>
      <c r="V1493" t="s">
        <v>11164</v>
      </c>
      <c r="W1493" t="s">
        <v>12626</v>
      </c>
      <c r="X1493">
        <v>95</v>
      </c>
      <c r="Y1493" t="s">
        <v>18153</v>
      </c>
      <c r="Z1493" t="s">
        <v>23643</v>
      </c>
      <c r="AA1493">
        <v>0.61113262147168401</v>
      </c>
      <c r="AB1493" t="str">
        <f>HYPERLINK("Melting_Curves/meltCurve_O75369_8_FLNB.pdf", "Melting_Curves/meltCurve_O75369_8_FLNB.pdf")</f>
        <v>Melting_Curves/meltCurve_O75369_8_FLNB.pdf</v>
      </c>
    </row>
    <row r="1494" spans="1:28" x14ac:dyDescent="0.25">
      <c r="A1494" t="s">
        <v>1498</v>
      </c>
      <c r="B1494">
        <v>0.99796759195183404</v>
      </c>
      <c r="C1494">
        <v>0.95958066010019405</v>
      </c>
      <c r="D1494">
        <v>0.93179968709605399</v>
      </c>
      <c r="E1494">
        <v>0.73858185597792303</v>
      </c>
      <c r="F1494">
        <v>0.56421857207716697</v>
      </c>
      <c r="G1494">
        <v>0.44490904660770297</v>
      </c>
      <c r="H1494">
        <v>0.34382138499217502</v>
      </c>
      <c r="I1494">
        <v>0.27235616823557701</v>
      </c>
      <c r="J1494">
        <v>0.18109829201550301</v>
      </c>
      <c r="K1494">
        <v>0.13132383031730099</v>
      </c>
      <c r="L1494">
        <v>511.04554802513701</v>
      </c>
      <c r="M1494">
        <v>9.9142398021944391</v>
      </c>
      <c r="N1494">
        <v>52.389646267284803</v>
      </c>
      <c r="O1494">
        <v>49.580943292517802</v>
      </c>
      <c r="P1494">
        <v>-4.6327677129374099E-2</v>
      </c>
      <c r="Q1494">
        <v>7.37299216626362E-2</v>
      </c>
      <c r="R1494">
        <v>0.99336577886794697</v>
      </c>
      <c r="S1494" t="s">
        <v>7077</v>
      </c>
      <c r="T1494" t="s">
        <v>11164</v>
      </c>
      <c r="U1494" t="s">
        <v>11164</v>
      </c>
      <c r="V1494" t="s">
        <v>11164</v>
      </c>
      <c r="W1494" t="s">
        <v>12627</v>
      </c>
      <c r="X1494">
        <v>11</v>
      </c>
      <c r="Y1494" t="s">
        <v>18154</v>
      </c>
      <c r="Z1494" t="s">
        <v>23644</v>
      </c>
      <c r="AA1494">
        <v>0.54934870490888865</v>
      </c>
      <c r="AB1494" t="str">
        <f>HYPERLINK("Melting_Curves/meltCurve_O75376_NCOR1.pdf", "Melting_Curves/meltCurve_O75376_NCOR1.pdf")</f>
        <v>Melting_Curves/meltCurve_O75376_NCOR1.pdf</v>
      </c>
    </row>
    <row r="1495" spans="1:28" x14ac:dyDescent="0.25">
      <c r="A1495" t="s">
        <v>1499</v>
      </c>
      <c r="B1495">
        <v>0.99796759195183404</v>
      </c>
      <c r="C1495">
        <v>1.01411802728714</v>
      </c>
      <c r="D1495">
        <v>1.0266405007441399</v>
      </c>
      <c r="E1495">
        <v>0.91437339177431798</v>
      </c>
      <c r="F1495">
        <v>0.87641139156900505</v>
      </c>
      <c r="G1495">
        <v>0.58383975543246303</v>
      </c>
      <c r="H1495">
        <v>0.53566901802624101</v>
      </c>
      <c r="I1495">
        <v>0.477227031564951</v>
      </c>
      <c r="J1495">
        <v>0.48509539349578101</v>
      </c>
      <c r="K1495">
        <v>0.37334687318037502</v>
      </c>
      <c r="L1495">
        <v>1090.7630417888199</v>
      </c>
      <c r="M1495">
        <v>20.8693733668878</v>
      </c>
      <c r="N1495">
        <v>57.748817828431399</v>
      </c>
      <c r="O1495">
        <v>51.793406273385301</v>
      </c>
      <c r="P1495">
        <v>-5.73134220739046E-2</v>
      </c>
      <c r="Q1495">
        <v>0.43105608718642402</v>
      </c>
      <c r="R1495">
        <v>0.97566851616342498</v>
      </c>
      <c r="S1495" t="s">
        <v>7078</v>
      </c>
      <c r="T1495" t="s">
        <v>11164</v>
      </c>
      <c r="U1495" t="s">
        <v>11164</v>
      </c>
      <c r="V1495" t="s">
        <v>11164</v>
      </c>
      <c r="W1495" t="s">
        <v>12628</v>
      </c>
      <c r="X1495">
        <v>6</v>
      </c>
      <c r="Y1495" t="s">
        <v>18155</v>
      </c>
      <c r="Z1495" t="s">
        <v>23645</v>
      </c>
      <c r="AA1495">
        <v>0.72741478330588183</v>
      </c>
      <c r="AB1495" t="str">
        <f>HYPERLINK("Melting_Curves/meltCurve_O75379_VAMP4.pdf", "Melting_Curves/meltCurve_O75379_VAMP4.pdf")</f>
        <v>Melting_Curves/meltCurve_O75379_VAMP4.pdf</v>
      </c>
    </row>
    <row r="1496" spans="1:28" x14ac:dyDescent="0.25">
      <c r="A1496" t="s">
        <v>1500</v>
      </c>
      <c r="B1496">
        <v>0.99796759195183404</v>
      </c>
      <c r="C1496">
        <v>0.96193873253903395</v>
      </c>
      <c r="D1496">
        <v>0.94768831916944496</v>
      </c>
      <c r="E1496">
        <v>0.92621399198161602</v>
      </c>
      <c r="F1496">
        <v>0.77380235126645702</v>
      </c>
      <c r="G1496">
        <v>0.80655556520958105</v>
      </c>
      <c r="H1496">
        <v>1.11742407420963</v>
      </c>
      <c r="I1496">
        <v>1.10883434961572</v>
      </c>
      <c r="J1496">
        <v>1.6477717354657799</v>
      </c>
      <c r="K1496">
        <v>2.0137411746847298</v>
      </c>
      <c r="L1496">
        <v>15000</v>
      </c>
      <c r="M1496">
        <v>244.62258625242299</v>
      </c>
      <c r="O1496">
        <v>61.314848061142698</v>
      </c>
      <c r="P1496">
        <v>0.49870174677972101</v>
      </c>
      <c r="Q1496">
        <v>1.5</v>
      </c>
      <c r="R1496">
        <v>0.71620270096010497</v>
      </c>
      <c r="S1496" t="s">
        <v>7079</v>
      </c>
      <c r="T1496" t="s">
        <v>11164</v>
      </c>
      <c r="U1496" t="s">
        <v>11164</v>
      </c>
      <c r="V1496" t="s">
        <v>11164</v>
      </c>
      <c r="W1496" t="s">
        <v>12629</v>
      </c>
      <c r="X1496">
        <v>6</v>
      </c>
      <c r="Y1496" t="s">
        <v>18156</v>
      </c>
      <c r="Z1496" t="s">
        <v>23646</v>
      </c>
      <c r="AA1496">
        <v>1.0946279768145639</v>
      </c>
      <c r="AB1496" t="str">
        <f>HYPERLINK("Melting_Curves/meltCurve_O75380_NDUFS6.pdf", "Melting_Curves/meltCurve_O75380_NDUFS6.pdf")</f>
        <v>Melting_Curves/meltCurve_O75380_NDUFS6.pdf</v>
      </c>
    </row>
    <row r="1497" spans="1:28" x14ac:dyDescent="0.25">
      <c r="A1497" t="s">
        <v>1501</v>
      </c>
      <c r="B1497">
        <v>0.99796759195183404</v>
      </c>
      <c r="C1497">
        <v>0.89190101209415196</v>
      </c>
      <c r="D1497">
        <v>1.0579720770182599</v>
      </c>
      <c r="E1497">
        <v>1.11584790342659</v>
      </c>
      <c r="F1497">
        <v>1.06635557284288</v>
      </c>
      <c r="G1497">
        <v>0.60460924136540295</v>
      </c>
      <c r="H1497">
        <v>0.55201948534683298</v>
      </c>
      <c r="I1497">
        <v>0.40074026978866101</v>
      </c>
      <c r="J1497">
        <v>0.467001061484553</v>
      </c>
      <c r="K1497">
        <v>0.24169964889908199</v>
      </c>
      <c r="L1497">
        <v>5268.14335494229</v>
      </c>
      <c r="M1497">
        <v>98.646402131741297</v>
      </c>
      <c r="N1497">
        <v>54.381189721333897</v>
      </c>
      <c r="O1497">
        <v>53.382400859613902</v>
      </c>
      <c r="P1497">
        <v>-0.27025643771879498</v>
      </c>
      <c r="Q1497">
        <v>0.415004309443048</v>
      </c>
      <c r="R1497">
        <v>0.90907567325867</v>
      </c>
      <c r="S1497" t="s">
        <v>7080</v>
      </c>
      <c r="T1497" t="s">
        <v>11164</v>
      </c>
      <c r="U1497" t="s">
        <v>11164</v>
      </c>
      <c r="V1497" t="s">
        <v>11164</v>
      </c>
      <c r="W1497" t="s">
        <v>12630</v>
      </c>
      <c r="X1497">
        <v>1</v>
      </c>
      <c r="Y1497" t="s">
        <v>18157</v>
      </c>
      <c r="Z1497" t="s">
        <v>23647</v>
      </c>
      <c r="AA1497">
        <v>0.7352386274872853</v>
      </c>
      <c r="AB1497" t="str">
        <f>HYPERLINK("Melting_Curves/meltCurve_O75387_SLC43A1.pdf", "Melting_Curves/meltCurve_O75387_SLC43A1.pdf")</f>
        <v>Melting_Curves/meltCurve_O75387_SLC43A1.pdf</v>
      </c>
    </row>
    <row r="1498" spans="1:28" x14ac:dyDescent="0.25">
      <c r="A1498" t="s">
        <v>1502</v>
      </c>
      <c r="B1498">
        <v>0.99796759195183404</v>
      </c>
      <c r="C1498">
        <v>0.99806903391907298</v>
      </c>
      <c r="D1498">
        <v>0.96057627177530502</v>
      </c>
      <c r="E1498">
        <v>0.92691501921184105</v>
      </c>
      <c r="F1498">
        <v>0.84495574647198901</v>
      </c>
      <c r="G1498">
        <v>0.60109338517817401</v>
      </c>
      <c r="H1498">
        <v>0.541104393469101</v>
      </c>
      <c r="I1498">
        <v>0.37075779270846498</v>
      </c>
      <c r="J1498">
        <v>0.38559401880923599</v>
      </c>
      <c r="K1498">
        <v>0.31525895658911601</v>
      </c>
      <c r="L1498">
        <v>760.46180727951298</v>
      </c>
      <c r="M1498">
        <v>14.1155930974644</v>
      </c>
      <c r="N1498">
        <v>57.3645647240592</v>
      </c>
      <c r="O1498">
        <v>52.827196292248999</v>
      </c>
      <c r="P1498">
        <v>-4.7555175849634403E-2</v>
      </c>
      <c r="Q1498">
        <v>0.28819577042866401</v>
      </c>
      <c r="R1498">
        <v>0.98938286325523295</v>
      </c>
      <c r="S1498" t="s">
        <v>7081</v>
      </c>
      <c r="T1498" t="s">
        <v>11164</v>
      </c>
      <c r="U1498" t="s">
        <v>11164</v>
      </c>
      <c r="V1498" t="s">
        <v>11164</v>
      </c>
      <c r="W1498" t="s">
        <v>12631</v>
      </c>
      <c r="X1498">
        <v>9</v>
      </c>
      <c r="Y1498" t="s">
        <v>18158</v>
      </c>
      <c r="Z1498" t="s">
        <v>23648</v>
      </c>
      <c r="AA1498">
        <v>0.70075043334879439</v>
      </c>
      <c r="AB1498" t="str">
        <f>HYPERLINK("Melting_Curves/meltCurve_O75391_SPAG7.pdf", "Melting_Curves/meltCurve_O75391_SPAG7.pdf")</f>
        <v>Melting_Curves/meltCurve_O75391_SPAG7.pdf</v>
      </c>
    </row>
    <row r="1499" spans="1:28" x14ac:dyDescent="0.25">
      <c r="A1499" t="s">
        <v>1503</v>
      </c>
      <c r="B1499">
        <v>0.99796759195183404</v>
      </c>
      <c r="C1499">
        <v>1.05012688294354</v>
      </c>
      <c r="D1499">
        <v>1.11628289617696</v>
      </c>
      <c r="E1499">
        <v>1.07786306135603</v>
      </c>
      <c r="F1499">
        <v>0.93960529303042095</v>
      </c>
      <c r="G1499">
        <v>0.50606981390154204</v>
      </c>
      <c r="H1499">
        <v>0.27994970834427702</v>
      </c>
      <c r="I1499">
        <v>0.15288280684443201</v>
      </c>
      <c r="J1499">
        <v>8.9470036135551198E-2</v>
      </c>
      <c r="K1499">
        <v>6.4179992349569406E-2</v>
      </c>
      <c r="L1499">
        <v>1544.00906715105</v>
      </c>
      <c r="M1499">
        <v>28.6731354764615</v>
      </c>
      <c r="N1499">
        <v>54.2548289876637</v>
      </c>
      <c r="O1499">
        <v>53.588745990301099</v>
      </c>
      <c r="P1499">
        <v>-0.12084437541962</v>
      </c>
      <c r="Q1499">
        <v>9.6597169884017703E-2</v>
      </c>
      <c r="R1499">
        <v>0.98200466936662401</v>
      </c>
      <c r="S1499" t="s">
        <v>7082</v>
      </c>
      <c r="T1499" t="s">
        <v>11164</v>
      </c>
      <c r="U1499" t="s">
        <v>11164</v>
      </c>
      <c r="V1499" t="s">
        <v>11164</v>
      </c>
      <c r="W1499" t="s">
        <v>12632</v>
      </c>
      <c r="X1499">
        <v>11</v>
      </c>
      <c r="Y1499" t="s">
        <v>18159</v>
      </c>
      <c r="Z1499" t="s">
        <v>23649</v>
      </c>
      <c r="AA1499">
        <v>0.61022370138997528</v>
      </c>
      <c r="AB1499" t="str">
        <f>HYPERLINK("Melting_Curves/meltCurve_O75396_SEC22B.pdf", "Melting_Curves/meltCurve_O75396_SEC22B.pdf")</f>
        <v>Melting_Curves/meltCurve_O75396_SEC22B.pdf</v>
      </c>
    </row>
    <row r="1500" spans="1:28" x14ac:dyDescent="0.25">
      <c r="A1500" t="s">
        <v>1504</v>
      </c>
      <c r="B1500">
        <v>0.99796759195183404</v>
      </c>
      <c r="C1500">
        <v>1.1301461489765099</v>
      </c>
      <c r="D1500">
        <v>1.1523809323994101</v>
      </c>
      <c r="E1500">
        <v>1.1007495578620701</v>
      </c>
      <c r="F1500">
        <v>0.68674251201891601</v>
      </c>
      <c r="G1500">
        <v>0.45533190499922099</v>
      </c>
      <c r="H1500">
        <v>0.406569512530919</v>
      </c>
      <c r="I1500">
        <v>0.34930092200069002</v>
      </c>
      <c r="J1500">
        <v>0.28801769771761698</v>
      </c>
      <c r="K1500">
        <v>0.24045844936490501</v>
      </c>
      <c r="L1500">
        <v>1667.5062299035999</v>
      </c>
      <c r="M1500">
        <v>32.745215688690699</v>
      </c>
      <c r="N1500">
        <v>52.559840467064198</v>
      </c>
      <c r="O1500">
        <v>50.7348681568103</v>
      </c>
      <c r="P1500">
        <v>-0.10978852415844199</v>
      </c>
      <c r="Q1500">
        <v>0.31958546867922499</v>
      </c>
      <c r="R1500">
        <v>0.941634626524814</v>
      </c>
      <c r="S1500" t="s">
        <v>7083</v>
      </c>
      <c r="T1500" t="s">
        <v>11164</v>
      </c>
      <c r="U1500" t="s">
        <v>11164</v>
      </c>
      <c r="V1500" t="s">
        <v>11164</v>
      </c>
      <c r="W1500" t="s">
        <v>12633</v>
      </c>
      <c r="X1500">
        <v>3</v>
      </c>
      <c r="Y1500" t="s">
        <v>18160</v>
      </c>
      <c r="Z1500" t="s">
        <v>23650</v>
      </c>
      <c r="AA1500">
        <v>0.6389458553722499</v>
      </c>
      <c r="AB1500" t="str">
        <f>HYPERLINK("Melting_Curves/meltCurve_O75400_2_PRPF40A.pdf", "Melting_Curves/meltCurve_O75400_2_PRPF40A.pdf")</f>
        <v>Melting_Curves/meltCurve_O75400_2_PRPF40A.pdf</v>
      </c>
    </row>
    <row r="1501" spans="1:28" x14ac:dyDescent="0.25">
      <c r="A1501" t="s">
        <v>1505</v>
      </c>
      <c r="B1501">
        <v>0.99796759195183404</v>
      </c>
      <c r="C1501">
        <v>1.1184956886276001</v>
      </c>
      <c r="D1501">
        <v>1.0774907231348501</v>
      </c>
      <c r="E1501">
        <v>0.95615934353124699</v>
      </c>
      <c r="F1501">
        <v>0.59490335294969499</v>
      </c>
      <c r="G1501">
        <v>0.26104216464472901</v>
      </c>
      <c r="H1501">
        <v>0.18991802545445899</v>
      </c>
      <c r="I1501">
        <v>0.15656973251221901</v>
      </c>
      <c r="J1501">
        <v>0.10518056031615799</v>
      </c>
      <c r="K1501">
        <v>7.6235973860173598E-2</v>
      </c>
      <c r="L1501">
        <v>1470.0726799729</v>
      </c>
      <c r="M1501">
        <v>29.0516643776878</v>
      </c>
      <c r="N1501">
        <v>51.096627397502402</v>
      </c>
      <c r="O1501">
        <v>50.364068377389003</v>
      </c>
      <c r="P1501">
        <v>-0.12653377824532699</v>
      </c>
      <c r="Q1501">
        <v>0.122568850865805</v>
      </c>
      <c r="R1501">
        <v>0.98477207283096102</v>
      </c>
      <c r="S1501" t="s">
        <v>7084</v>
      </c>
      <c r="T1501" t="s">
        <v>11164</v>
      </c>
      <c r="U1501" t="s">
        <v>11164</v>
      </c>
      <c r="V1501" t="s">
        <v>11164</v>
      </c>
      <c r="W1501" t="s">
        <v>12634</v>
      </c>
      <c r="X1501">
        <v>4</v>
      </c>
      <c r="Y1501" t="s">
        <v>18161</v>
      </c>
      <c r="Z1501" t="s">
        <v>23651</v>
      </c>
      <c r="AA1501">
        <v>0.52618355423283847</v>
      </c>
      <c r="AB1501" t="str">
        <f>HYPERLINK("Melting_Curves/meltCurve_O75419_2_CDC45.pdf", "Melting_Curves/meltCurve_O75419_2_CDC45.pdf")</f>
        <v>Melting_Curves/meltCurve_O75419_2_CDC45.pdf</v>
      </c>
    </row>
    <row r="1502" spans="1:28" x14ac:dyDescent="0.25">
      <c r="A1502" t="s">
        <v>1506</v>
      </c>
      <c r="B1502">
        <v>0.99796759195183404</v>
      </c>
      <c r="C1502">
        <v>1.05953493571907</v>
      </c>
      <c r="D1502">
        <v>1.03283518345312</v>
      </c>
      <c r="E1502">
        <v>0.87285289543528799</v>
      </c>
      <c r="F1502">
        <v>0.68004904402247102</v>
      </c>
      <c r="G1502">
        <v>0.57697245609435599</v>
      </c>
      <c r="H1502">
        <v>0.39673633277156301</v>
      </c>
      <c r="I1502">
        <v>0.31802089705133402</v>
      </c>
      <c r="J1502">
        <v>0.26233578514523198</v>
      </c>
      <c r="K1502">
        <v>0.22938753036973</v>
      </c>
      <c r="L1502">
        <v>720.76829413709595</v>
      </c>
      <c r="M1502">
        <v>13.6878888060244</v>
      </c>
      <c r="N1502">
        <v>54.715882838933901</v>
      </c>
      <c r="O1502">
        <v>51.571605283661398</v>
      </c>
      <c r="P1502">
        <v>-5.3008530283088003E-2</v>
      </c>
      <c r="Q1502">
        <v>0.201238488713054</v>
      </c>
      <c r="R1502">
        <v>0.98641018752673704</v>
      </c>
      <c r="S1502" t="s">
        <v>7085</v>
      </c>
      <c r="T1502" t="s">
        <v>11164</v>
      </c>
      <c r="U1502" t="s">
        <v>11164</v>
      </c>
      <c r="V1502" t="s">
        <v>11164</v>
      </c>
      <c r="W1502" t="s">
        <v>12635</v>
      </c>
      <c r="X1502">
        <v>5</v>
      </c>
      <c r="Y1502" t="s">
        <v>18162</v>
      </c>
      <c r="Z1502" t="s">
        <v>23652</v>
      </c>
      <c r="AA1502">
        <v>0.63408914582189502</v>
      </c>
      <c r="AB1502" t="str">
        <f>HYPERLINK("Melting_Curves/meltCurve_O75420_GIGYF1.pdf", "Melting_Curves/meltCurve_O75420_GIGYF1.pdf")</f>
        <v>Melting_Curves/meltCurve_O75420_GIGYF1.pdf</v>
      </c>
    </row>
    <row r="1503" spans="1:28" x14ac:dyDescent="0.25">
      <c r="A1503" t="s">
        <v>1507</v>
      </c>
      <c r="B1503">
        <v>0.99796759195183404</v>
      </c>
      <c r="C1503">
        <v>1.15118385532446</v>
      </c>
      <c r="D1503">
        <v>1.13417975273356</v>
      </c>
      <c r="E1503">
        <v>0.77996531139908898</v>
      </c>
      <c r="F1503">
        <v>0.67898757441888602</v>
      </c>
      <c r="G1503">
        <v>0.376556373693198</v>
      </c>
      <c r="H1503">
        <v>0.25642473454118497</v>
      </c>
      <c r="I1503">
        <v>0.26815748952123097</v>
      </c>
      <c r="J1503">
        <v>0.151523693662098</v>
      </c>
      <c r="K1503">
        <v>0.12403938725645799</v>
      </c>
      <c r="L1503">
        <v>932.58095743045999</v>
      </c>
      <c r="M1503">
        <v>18.243430188549599</v>
      </c>
      <c r="N1503">
        <v>52.166727045057598</v>
      </c>
      <c r="O1503">
        <v>50.516391977868302</v>
      </c>
      <c r="P1503">
        <v>-7.6436648200577703E-2</v>
      </c>
      <c r="Q1503">
        <v>0.15342170830476501</v>
      </c>
      <c r="R1503">
        <v>0.95416698943774803</v>
      </c>
      <c r="S1503" t="s">
        <v>7086</v>
      </c>
      <c r="T1503" t="s">
        <v>11164</v>
      </c>
      <c r="U1503" t="s">
        <v>11164</v>
      </c>
      <c r="V1503" t="s">
        <v>11164</v>
      </c>
      <c r="W1503" t="s">
        <v>12636</v>
      </c>
      <c r="X1503">
        <v>2</v>
      </c>
      <c r="Y1503" t="s">
        <v>18163</v>
      </c>
      <c r="Z1503" t="s">
        <v>23653</v>
      </c>
      <c r="AA1503">
        <v>0.56467127569880193</v>
      </c>
      <c r="AB1503" t="str">
        <f>HYPERLINK("Melting_Curves/meltCurve_O75427_LRCH4.pdf", "Melting_Curves/meltCurve_O75427_LRCH4.pdf")</f>
        <v>Melting_Curves/meltCurve_O75427_LRCH4.pdf</v>
      </c>
    </row>
    <row r="1504" spans="1:28" x14ac:dyDescent="0.25">
      <c r="A1504" t="s">
        <v>1508</v>
      </c>
      <c r="B1504">
        <v>0.99796759195183404</v>
      </c>
      <c r="C1504">
        <v>1.01325385708313</v>
      </c>
      <c r="D1504">
        <v>1.01561038667431</v>
      </c>
      <c r="E1504">
        <v>0.88084514380234602</v>
      </c>
      <c r="F1504">
        <v>0.86435282660606505</v>
      </c>
      <c r="G1504">
        <v>0.86217734134581003</v>
      </c>
      <c r="H1504">
        <v>0.66597619139318898</v>
      </c>
      <c r="I1504">
        <v>0.42887184059008698</v>
      </c>
      <c r="J1504">
        <v>0.399453009593502</v>
      </c>
      <c r="K1504">
        <v>0.30444452681939399</v>
      </c>
      <c r="L1504">
        <v>645.18105472860498</v>
      </c>
      <c r="M1504">
        <v>10.7332783226848</v>
      </c>
      <c r="N1504">
        <v>60.860813363546498</v>
      </c>
      <c r="O1504">
        <v>58.1364904293889</v>
      </c>
      <c r="P1504">
        <v>-4.3310689698453399E-2</v>
      </c>
      <c r="Q1504">
        <v>6.1983303772472499E-2</v>
      </c>
      <c r="R1504">
        <v>0.97252402464995702</v>
      </c>
      <c r="S1504" t="s">
        <v>7087</v>
      </c>
      <c r="T1504" t="s">
        <v>11164</v>
      </c>
      <c r="U1504" t="s">
        <v>11164</v>
      </c>
      <c r="V1504" t="s">
        <v>11164</v>
      </c>
      <c r="W1504" t="s">
        <v>12637</v>
      </c>
      <c r="X1504">
        <v>8</v>
      </c>
      <c r="Y1504" t="s">
        <v>18164</v>
      </c>
      <c r="Z1504" t="s">
        <v>23654</v>
      </c>
      <c r="AA1504">
        <v>0.76251133496671109</v>
      </c>
      <c r="AB1504" t="str">
        <f>HYPERLINK("Melting_Curves/meltCurve_O75436_VPS26A.pdf", "Melting_Curves/meltCurve_O75436_VPS26A.pdf")</f>
        <v>Melting_Curves/meltCurve_O75436_VPS26A.pdf</v>
      </c>
    </row>
    <row r="1505" spans="1:28" x14ac:dyDescent="0.25">
      <c r="A1505" t="s">
        <v>1509</v>
      </c>
      <c r="B1505">
        <v>0.99796759195183404</v>
      </c>
      <c r="C1505">
        <v>1.00007566233922</v>
      </c>
      <c r="D1505">
        <v>0.93260337009549599</v>
      </c>
      <c r="E1505">
        <v>0.90102197027068498</v>
      </c>
      <c r="F1505">
        <v>0.878992096239266</v>
      </c>
      <c r="G1505">
        <v>0.65419501076542896</v>
      </c>
      <c r="H1505">
        <v>0.74674206561419498</v>
      </c>
      <c r="I1505">
        <v>0.92282459073426504</v>
      </c>
      <c r="J1505">
        <v>1.60618989218829</v>
      </c>
      <c r="K1505">
        <v>1.84997862193985</v>
      </c>
      <c r="L1505">
        <v>11056.5039158331</v>
      </c>
      <c r="M1505">
        <v>177.00918665928</v>
      </c>
      <c r="O1505">
        <v>62.454909452754201</v>
      </c>
      <c r="P1505">
        <v>0.354273966596169</v>
      </c>
      <c r="Q1505">
        <v>1.5</v>
      </c>
      <c r="R1505">
        <v>0.72383648123430899</v>
      </c>
      <c r="S1505" t="s">
        <v>7088</v>
      </c>
      <c r="T1505" t="s">
        <v>11164</v>
      </c>
      <c r="U1505" t="s">
        <v>11164</v>
      </c>
      <c r="V1505" t="s">
        <v>11164</v>
      </c>
      <c r="W1505" t="s">
        <v>12638</v>
      </c>
      <c r="X1505">
        <v>4</v>
      </c>
      <c r="Y1505" t="s">
        <v>18165</v>
      </c>
      <c r="Z1505" t="s">
        <v>23655</v>
      </c>
      <c r="AA1505">
        <v>1.075509320499112</v>
      </c>
      <c r="AB1505" t="str">
        <f>HYPERLINK("Melting_Curves/meltCurve_O75438_NDUFB1.pdf", "Melting_Curves/meltCurve_O75438_NDUFB1.pdf")</f>
        <v>Melting_Curves/meltCurve_O75438_NDUFB1.pdf</v>
      </c>
    </row>
    <row r="1506" spans="1:28" x14ac:dyDescent="0.25">
      <c r="A1506" t="s">
        <v>1510</v>
      </c>
      <c r="B1506">
        <v>0.99796759195183404</v>
      </c>
      <c r="C1506">
        <v>0.97943790199598202</v>
      </c>
      <c r="D1506">
        <v>0.97231572008649403</v>
      </c>
      <c r="E1506">
        <v>0.938820125830785</v>
      </c>
      <c r="F1506">
        <v>0.77374007027854397</v>
      </c>
      <c r="G1506">
        <v>0.75192685780829704</v>
      </c>
      <c r="H1506">
        <v>0.32389296543562801</v>
      </c>
      <c r="I1506">
        <v>0.13614380719476099</v>
      </c>
      <c r="J1506">
        <v>0.10133733685207701</v>
      </c>
      <c r="K1506">
        <v>7.3820204630377001E-2</v>
      </c>
      <c r="L1506">
        <v>966.23740930318604</v>
      </c>
      <c r="M1506">
        <v>17.380072239116899</v>
      </c>
      <c r="N1506">
        <v>55.594558036464498</v>
      </c>
      <c r="O1506">
        <v>54.874238303126099</v>
      </c>
      <c r="P1506">
        <v>-7.9185903753725001E-2</v>
      </c>
      <c r="Q1506">
        <v>0</v>
      </c>
      <c r="R1506">
        <v>0.98132607870154098</v>
      </c>
      <c r="S1506" t="s">
        <v>7089</v>
      </c>
      <c r="T1506" t="s">
        <v>11164</v>
      </c>
      <c r="U1506" t="s">
        <v>11164</v>
      </c>
      <c r="V1506" t="s">
        <v>11164</v>
      </c>
      <c r="W1506" t="s">
        <v>12639</v>
      </c>
      <c r="X1506">
        <v>21</v>
      </c>
      <c r="Y1506" t="s">
        <v>18166</v>
      </c>
      <c r="Z1506" t="s">
        <v>23656</v>
      </c>
      <c r="AA1506">
        <v>0.63178274892253117</v>
      </c>
      <c r="AB1506" t="str">
        <f>HYPERLINK("Melting_Curves/meltCurve_O75439_PMPCB.pdf", "Melting_Curves/meltCurve_O75439_PMPCB.pdf")</f>
        <v>Melting_Curves/meltCurve_O75439_PMPCB.pdf</v>
      </c>
    </row>
    <row r="1507" spans="1:28" x14ac:dyDescent="0.25">
      <c r="A1507" t="s">
        <v>1511</v>
      </c>
      <c r="B1507">
        <v>0.99796759195183404</v>
      </c>
      <c r="C1507">
        <v>1.0207340766548201</v>
      </c>
      <c r="D1507">
        <v>0.99452229255656699</v>
      </c>
      <c r="E1507">
        <v>0.92288549365624695</v>
      </c>
      <c r="F1507">
        <v>0.68609255288942395</v>
      </c>
      <c r="G1507">
        <v>0.27939662538397497</v>
      </c>
      <c r="H1507">
        <v>0.16307571817959801</v>
      </c>
      <c r="I1507">
        <v>0.12798047265030499</v>
      </c>
      <c r="J1507">
        <v>0.111447226018293</v>
      </c>
      <c r="K1507">
        <v>8.6536677800152395E-2</v>
      </c>
      <c r="L1507">
        <v>1384.4276164610501</v>
      </c>
      <c r="M1507">
        <v>27.028708442284099</v>
      </c>
      <c r="N1507">
        <v>51.665670946981898</v>
      </c>
      <c r="O1507">
        <v>50.942718608196898</v>
      </c>
      <c r="P1507">
        <v>-0.11886866848673799</v>
      </c>
      <c r="Q1507">
        <v>0.103851608088928</v>
      </c>
      <c r="R1507">
        <v>0.99872769194122302</v>
      </c>
      <c r="S1507" t="s">
        <v>7090</v>
      </c>
      <c r="T1507" t="s">
        <v>11164</v>
      </c>
      <c r="U1507" t="s">
        <v>11164</v>
      </c>
      <c r="V1507" t="s">
        <v>11164</v>
      </c>
      <c r="W1507" t="s">
        <v>12640</v>
      </c>
      <c r="X1507">
        <v>8</v>
      </c>
      <c r="Y1507" t="s">
        <v>18167</v>
      </c>
      <c r="Z1507" t="s">
        <v>23657</v>
      </c>
      <c r="AA1507">
        <v>0.53548687574721954</v>
      </c>
      <c r="AB1507" t="str">
        <f>HYPERLINK("Melting_Curves/meltCurve_O75449_KATNA1.pdf", "Melting_Curves/meltCurve_O75449_KATNA1.pdf")</f>
        <v>Melting_Curves/meltCurve_O75449_KATNA1.pdf</v>
      </c>
    </row>
    <row r="1508" spans="1:28" x14ac:dyDescent="0.25">
      <c r="A1508" t="s">
        <v>1512</v>
      </c>
      <c r="B1508">
        <v>0.99796759195183404</v>
      </c>
      <c r="C1508">
        <v>0.908300899101387</v>
      </c>
      <c r="D1508">
        <v>0.90000316500980304</v>
      </c>
      <c r="E1508">
        <v>0.87694086204052002</v>
      </c>
      <c r="F1508">
        <v>0.75044762614764704</v>
      </c>
      <c r="G1508">
        <v>0.45823359838963501</v>
      </c>
      <c r="H1508">
        <v>0.27438250374790402</v>
      </c>
      <c r="I1508">
        <v>0.20389850928745401</v>
      </c>
      <c r="J1508">
        <v>0.13932096528024199</v>
      </c>
      <c r="K1508">
        <v>0.12556219732301899</v>
      </c>
      <c r="L1508">
        <v>739.62164498720801</v>
      </c>
      <c r="M1508">
        <v>13.992684076794401</v>
      </c>
      <c r="N1508">
        <v>53.420970670423699</v>
      </c>
      <c r="O1508">
        <v>51.813265500124203</v>
      </c>
      <c r="P1508">
        <v>-6.2892969831667797E-2</v>
      </c>
      <c r="Q1508">
        <v>6.8582389289065598E-2</v>
      </c>
      <c r="R1508">
        <v>0.98725309323985699</v>
      </c>
      <c r="S1508" t="s">
        <v>7091</v>
      </c>
      <c r="T1508" t="s">
        <v>11164</v>
      </c>
      <c r="U1508" t="s">
        <v>11164</v>
      </c>
      <c r="V1508" t="s">
        <v>11164</v>
      </c>
      <c r="W1508" t="s">
        <v>12641</v>
      </c>
      <c r="X1508">
        <v>10</v>
      </c>
      <c r="Y1508" t="s">
        <v>18168</v>
      </c>
      <c r="Z1508" t="s">
        <v>23658</v>
      </c>
      <c r="AA1508">
        <v>0.57885408972148045</v>
      </c>
      <c r="AB1508" t="str">
        <f>HYPERLINK("Melting_Curves/meltCurve_O75475_PSIP1.pdf", "Melting_Curves/meltCurve_O75475_PSIP1.pdf")</f>
        <v>Melting_Curves/meltCurve_O75475_PSIP1.pdf</v>
      </c>
    </row>
    <row r="1509" spans="1:28" x14ac:dyDescent="0.25">
      <c r="A1509" t="s">
        <v>1513</v>
      </c>
      <c r="B1509">
        <v>0.99796759195183404</v>
      </c>
      <c r="C1509">
        <v>1.0420691987666499</v>
      </c>
      <c r="D1509">
        <v>0.99395351018393996</v>
      </c>
      <c r="E1509">
        <v>0.93405045135077702</v>
      </c>
      <c r="F1509">
        <v>0.83298506301486896</v>
      </c>
      <c r="G1509">
        <v>1.06161199530955</v>
      </c>
      <c r="H1509">
        <v>0.87549236694701704</v>
      </c>
      <c r="I1509">
        <v>0.55259808789347198</v>
      </c>
      <c r="J1509">
        <v>0.29994146131959198</v>
      </c>
      <c r="K1509">
        <v>0.163472364012345</v>
      </c>
      <c r="L1509">
        <v>1823.5902857659901</v>
      </c>
      <c r="M1509">
        <v>29.881296487289401</v>
      </c>
      <c r="N1509">
        <v>61.563539391318102</v>
      </c>
      <c r="O1509">
        <v>60.756451770007097</v>
      </c>
      <c r="P1509">
        <v>-0.108879559442114</v>
      </c>
      <c r="Q1509">
        <v>0.114484023521256</v>
      </c>
      <c r="R1509">
        <v>0.95743101366174399</v>
      </c>
      <c r="S1509" t="s">
        <v>7092</v>
      </c>
      <c r="T1509" t="s">
        <v>11164</v>
      </c>
      <c r="U1509" t="s">
        <v>11164</v>
      </c>
      <c r="V1509" t="s">
        <v>11164</v>
      </c>
      <c r="W1509" t="s">
        <v>12642</v>
      </c>
      <c r="X1509">
        <v>11</v>
      </c>
      <c r="Y1509" t="s">
        <v>18169</v>
      </c>
      <c r="Z1509" t="s">
        <v>23659</v>
      </c>
      <c r="AA1509">
        <v>0.82515178806791101</v>
      </c>
      <c r="AB1509" t="str">
        <f>HYPERLINK("Melting_Curves/meltCurve_O75489_NDUFS3.pdf", "Melting_Curves/meltCurve_O75489_NDUFS3.pdf")</f>
        <v>Melting_Curves/meltCurve_O75489_NDUFS3.pdf</v>
      </c>
    </row>
    <row r="1510" spans="1:28" x14ac:dyDescent="0.25">
      <c r="A1510" t="s">
        <v>1514</v>
      </c>
      <c r="B1510">
        <v>0.99796759195183404</v>
      </c>
      <c r="C1510">
        <v>0.96693981405579199</v>
      </c>
      <c r="D1510">
        <v>0.95331797617797698</v>
      </c>
      <c r="E1510">
        <v>0.87837756383671295</v>
      </c>
      <c r="F1510">
        <v>0.80955400420295998</v>
      </c>
      <c r="G1510">
        <v>0.60203847734612903</v>
      </c>
      <c r="H1510">
        <v>0.49529167492919501</v>
      </c>
      <c r="I1510">
        <v>0.58841949625658596</v>
      </c>
      <c r="J1510">
        <v>0.65972328538506297</v>
      </c>
      <c r="K1510">
        <v>0.52999094227216403</v>
      </c>
      <c r="L1510">
        <v>1043.13629778223</v>
      </c>
      <c r="M1510">
        <v>21.024067349968401</v>
      </c>
      <c r="O1510">
        <v>49.173945539885999</v>
      </c>
      <c r="P1510">
        <v>-4.7078053889700801E-2</v>
      </c>
      <c r="Q1510">
        <v>0.55956156885616104</v>
      </c>
      <c r="R1510">
        <v>0.92516414255828405</v>
      </c>
      <c r="S1510" t="s">
        <v>7093</v>
      </c>
      <c r="T1510" t="s">
        <v>11164</v>
      </c>
      <c r="U1510" t="s">
        <v>11164</v>
      </c>
      <c r="V1510" t="s">
        <v>11164</v>
      </c>
      <c r="W1510" t="s">
        <v>12643</v>
      </c>
      <c r="X1510">
        <v>2</v>
      </c>
      <c r="Y1510" t="s">
        <v>18170</v>
      </c>
      <c r="Z1510" t="s">
        <v>23660</v>
      </c>
      <c r="AA1510">
        <v>0.75009035001609026</v>
      </c>
      <c r="AB1510" t="str">
        <f>HYPERLINK("Melting_Curves/meltCurve_O75506_HSBP1.pdf", "Melting_Curves/meltCurve_O75506_HSBP1.pdf")</f>
        <v>Melting_Curves/meltCurve_O75506_HSBP1.pdf</v>
      </c>
    </row>
    <row r="1511" spans="1:28" x14ac:dyDescent="0.25">
      <c r="A1511" t="s">
        <v>1515</v>
      </c>
      <c r="B1511">
        <v>0.99796759195183404</v>
      </c>
      <c r="C1511">
        <v>1.0165186313283801</v>
      </c>
      <c r="D1511">
        <v>1.0317600398234601</v>
      </c>
      <c r="E1511">
        <v>0.92929452582439598</v>
      </c>
      <c r="F1511">
        <v>0.82930431884129396</v>
      </c>
      <c r="G1511">
        <v>0.70983469835250401</v>
      </c>
      <c r="H1511">
        <v>0.44197085860337498</v>
      </c>
      <c r="I1511">
        <v>0.27624267879983799</v>
      </c>
      <c r="J1511">
        <v>0.12870657068047101</v>
      </c>
      <c r="K1511">
        <v>7.8838872223444004E-2</v>
      </c>
      <c r="L1511">
        <v>827.14580856372697</v>
      </c>
      <c r="M1511">
        <v>14.6226958568986</v>
      </c>
      <c r="N1511">
        <v>56.565890614870902</v>
      </c>
      <c r="O1511">
        <v>55.5395605978403</v>
      </c>
      <c r="P1511">
        <v>-6.5828428845880194E-2</v>
      </c>
      <c r="Q1511">
        <v>0</v>
      </c>
      <c r="R1511">
        <v>0.99519637294882302</v>
      </c>
      <c r="S1511" t="s">
        <v>7094</v>
      </c>
      <c r="T1511" t="s">
        <v>11164</v>
      </c>
      <c r="U1511" t="s">
        <v>11164</v>
      </c>
      <c r="V1511" t="s">
        <v>11164</v>
      </c>
      <c r="W1511" t="s">
        <v>12644</v>
      </c>
      <c r="X1511">
        <v>14</v>
      </c>
      <c r="Y1511" t="s">
        <v>18171</v>
      </c>
      <c r="Z1511" t="s">
        <v>23661</v>
      </c>
      <c r="AA1511">
        <v>0.66173634532301207</v>
      </c>
      <c r="AB1511" t="str">
        <f>HYPERLINK("Melting_Curves/meltCurve_O75521_2_ECI2.pdf", "Melting_Curves/meltCurve_O75521_2_ECI2.pdf")</f>
        <v>Melting_Curves/meltCurve_O75521_2_ECI2.pdf</v>
      </c>
    </row>
    <row r="1512" spans="1:28" x14ac:dyDescent="0.25">
      <c r="A1512" t="s">
        <v>1516</v>
      </c>
      <c r="B1512">
        <v>0.99796759195183404</v>
      </c>
      <c r="C1512">
        <v>0.905254840863568</v>
      </c>
      <c r="D1512">
        <v>0.71092722170074996</v>
      </c>
      <c r="E1512">
        <v>1.12938534921849</v>
      </c>
      <c r="F1512">
        <v>1.01416398279502</v>
      </c>
      <c r="G1512">
        <v>1.10686660272472</v>
      </c>
      <c r="H1512">
        <v>0.53700415418483205</v>
      </c>
      <c r="I1512">
        <v>0.60017007360840302</v>
      </c>
      <c r="J1512">
        <v>0.44129718696981401</v>
      </c>
      <c r="K1512">
        <v>0.80714065099974697</v>
      </c>
      <c r="L1512">
        <v>5664.2863587482498</v>
      </c>
      <c r="M1512">
        <v>101.666296314728</v>
      </c>
      <c r="O1512">
        <v>55.692964892666701</v>
      </c>
      <c r="P1512">
        <v>-0.185702129005648</v>
      </c>
      <c r="Q1512">
        <v>0.59308841534248902</v>
      </c>
      <c r="R1512">
        <v>0.63230994810394803</v>
      </c>
      <c r="S1512" t="s">
        <v>7095</v>
      </c>
      <c r="T1512" t="s">
        <v>11164</v>
      </c>
      <c r="U1512" t="s">
        <v>11164</v>
      </c>
      <c r="V1512" t="s">
        <v>11164</v>
      </c>
      <c r="W1512" t="s">
        <v>12645</v>
      </c>
      <c r="X1512">
        <v>1</v>
      </c>
      <c r="Y1512" t="s">
        <v>18172</v>
      </c>
      <c r="Z1512" t="s">
        <v>23662</v>
      </c>
      <c r="AA1512">
        <v>0.84716742939149381</v>
      </c>
      <c r="AB1512" t="str">
        <f>HYPERLINK("Melting_Curves/meltCurve_O75526_RBMXL2.pdf", "Melting_Curves/meltCurve_O75526_RBMXL2.pdf")</f>
        <v>Melting_Curves/meltCurve_O75526_RBMXL2.pdf</v>
      </c>
    </row>
    <row r="1513" spans="1:28" x14ac:dyDescent="0.25">
      <c r="A1513" t="s">
        <v>1517</v>
      </c>
      <c r="B1513">
        <v>0.99796759195183404</v>
      </c>
      <c r="C1513">
        <v>1.0426814576469301</v>
      </c>
      <c r="D1513">
        <v>1.0165671354035799</v>
      </c>
      <c r="E1513">
        <v>1.0668257710186499</v>
      </c>
      <c r="F1513">
        <v>1.60355618961622</v>
      </c>
      <c r="G1513">
        <v>0.64332675091316704</v>
      </c>
      <c r="H1513">
        <v>0.51007236325896999</v>
      </c>
      <c r="I1513">
        <v>0.28424752679958998</v>
      </c>
      <c r="J1513">
        <v>0.177081477173469</v>
      </c>
      <c r="K1513">
        <v>0.20311815060413899</v>
      </c>
      <c r="L1513">
        <v>1867.3224965895599</v>
      </c>
      <c r="M1513">
        <v>33.4894204532321</v>
      </c>
      <c r="N1513">
        <v>56.700714173566901</v>
      </c>
      <c r="O1513">
        <v>55.560887632579004</v>
      </c>
      <c r="P1513">
        <v>-0.118534135169009</v>
      </c>
      <c r="Q1513">
        <v>0.21338331386832901</v>
      </c>
      <c r="R1513">
        <v>0.77817162832134901</v>
      </c>
      <c r="S1513" t="s">
        <v>7096</v>
      </c>
      <c r="T1513" t="s">
        <v>11164</v>
      </c>
      <c r="U1513" t="s">
        <v>11164</v>
      </c>
      <c r="V1513" t="s">
        <v>11164</v>
      </c>
      <c r="W1513" t="s">
        <v>12646</v>
      </c>
      <c r="X1513">
        <v>8</v>
      </c>
      <c r="Y1513" t="s">
        <v>18173</v>
      </c>
      <c r="Z1513" t="s">
        <v>23663</v>
      </c>
      <c r="AA1513">
        <v>0.70933991068639679</v>
      </c>
      <c r="AB1513" t="str">
        <f>HYPERLINK("Melting_Curves/meltCurve_O75531_BANF1.pdf", "Melting_Curves/meltCurve_O75531_BANF1.pdf")</f>
        <v>Melting_Curves/meltCurve_O75531_BANF1.pdf</v>
      </c>
    </row>
    <row r="1514" spans="1:28" x14ac:dyDescent="0.25">
      <c r="A1514" t="s">
        <v>1518</v>
      </c>
      <c r="B1514">
        <v>0.99796759195183404</v>
      </c>
      <c r="C1514">
        <v>1.0179645325134401</v>
      </c>
      <c r="D1514">
        <v>0.98718800367442405</v>
      </c>
      <c r="E1514">
        <v>0.93052497505558596</v>
      </c>
      <c r="F1514">
        <v>0.83595517730758395</v>
      </c>
      <c r="G1514">
        <v>0.77105169690467401</v>
      </c>
      <c r="H1514">
        <v>0.57421841163123999</v>
      </c>
      <c r="I1514">
        <v>0.41610084092319299</v>
      </c>
      <c r="J1514">
        <v>0.35377784213423202</v>
      </c>
      <c r="K1514">
        <v>0.26187750519790098</v>
      </c>
      <c r="L1514">
        <v>619.60656213034804</v>
      </c>
      <c r="M1514">
        <v>10.6060491046593</v>
      </c>
      <c r="N1514">
        <v>59.3521551065202</v>
      </c>
      <c r="O1514">
        <v>56.458016067642099</v>
      </c>
      <c r="P1514">
        <v>-4.3378460803315297E-2</v>
      </c>
      <c r="Q1514">
        <v>7.6711237215249098E-2</v>
      </c>
      <c r="R1514">
        <v>0.99532552308414102</v>
      </c>
      <c r="S1514" t="s">
        <v>7097</v>
      </c>
      <c r="T1514" t="s">
        <v>11164</v>
      </c>
      <c r="U1514" t="s">
        <v>11164</v>
      </c>
      <c r="V1514" t="s">
        <v>11164</v>
      </c>
      <c r="W1514" t="s">
        <v>12647</v>
      </c>
      <c r="X1514">
        <v>10</v>
      </c>
      <c r="Y1514" t="s">
        <v>18174</v>
      </c>
      <c r="Z1514" t="s">
        <v>23664</v>
      </c>
      <c r="AA1514">
        <v>0.72740548818397699</v>
      </c>
      <c r="AB1514" t="str">
        <f>HYPERLINK("Melting_Curves/meltCurve_O75533_SF3B1.pdf", "Melting_Curves/meltCurve_O75533_SF3B1.pdf")</f>
        <v>Melting_Curves/meltCurve_O75533_SF3B1.pdf</v>
      </c>
    </row>
    <row r="1515" spans="1:28" x14ac:dyDescent="0.25">
      <c r="A1515" t="s">
        <v>1519</v>
      </c>
      <c r="B1515">
        <v>0.99796759195183404</v>
      </c>
      <c r="C1515">
        <v>1.0120891125043601</v>
      </c>
      <c r="D1515">
        <v>1.0032018312404201</v>
      </c>
      <c r="E1515">
        <v>0.90311240710261198</v>
      </c>
      <c r="F1515">
        <v>0.47935160722032799</v>
      </c>
      <c r="G1515">
        <v>0.24263933431370499</v>
      </c>
      <c r="H1515">
        <v>0.164484647428357</v>
      </c>
      <c r="I1515">
        <v>0.140755567136368</v>
      </c>
      <c r="J1515">
        <v>0.118715889346013</v>
      </c>
      <c r="K1515">
        <v>9.1402127802741803E-2</v>
      </c>
      <c r="L1515">
        <v>1395.9584829036</v>
      </c>
      <c r="M1515">
        <v>28.0903653992298</v>
      </c>
      <c r="N1515">
        <v>50.211193490007197</v>
      </c>
      <c r="O1515">
        <v>49.445465996209798</v>
      </c>
      <c r="P1515">
        <v>-0.124224393387427</v>
      </c>
      <c r="Q1515">
        <v>0.12535405603684899</v>
      </c>
      <c r="R1515">
        <v>0.997623684903435</v>
      </c>
      <c r="S1515" t="s">
        <v>7098</v>
      </c>
      <c r="T1515" t="s">
        <v>11164</v>
      </c>
      <c r="U1515" t="s">
        <v>11164</v>
      </c>
      <c r="V1515" t="s">
        <v>11164</v>
      </c>
      <c r="W1515" t="s">
        <v>12648</v>
      </c>
      <c r="X1515">
        <v>24</v>
      </c>
      <c r="Y1515" t="s">
        <v>18175</v>
      </c>
      <c r="Z1515" t="s">
        <v>23665</v>
      </c>
      <c r="AA1515">
        <v>0.50156222434868181</v>
      </c>
      <c r="AB1515" t="str">
        <f>HYPERLINK("Melting_Curves/meltCurve_O75534_2_CSDE1.pdf", "Melting_Curves/meltCurve_O75534_2_CSDE1.pdf")</f>
        <v>Melting_Curves/meltCurve_O75534_2_CSDE1.pdf</v>
      </c>
    </row>
    <row r="1516" spans="1:28" x14ac:dyDescent="0.25">
      <c r="A1516" t="s">
        <v>1520</v>
      </c>
      <c r="B1516">
        <v>0.99796759195183404</v>
      </c>
      <c r="C1516">
        <v>0.87486142538219602</v>
      </c>
      <c r="D1516">
        <v>0.86128808963029002</v>
      </c>
      <c r="E1516">
        <v>0.76034513830112704</v>
      </c>
      <c r="F1516">
        <v>0.72776434529911704</v>
      </c>
      <c r="G1516">
        <v>0.64709754828045096</v>
      </c>
      <c r="H1516">
        <v>0.49570823562885202</v>
      </c>
      <c r="I1516">
        <v>0.53197874209225504</v>
      </c>
      <c r="J1516">
        <v>0.52340965124824501</v>
      </c>
      <c r="K1516">
        <v>0.44835007845288399</v>
      </c>
      <c r="L1516">
        <v>348.39630607381002</v>
      </c>
      <c r="M1516">
        <v>6.85715698392442</v>
      </c>
      <c r="N1516">
        <v>62.768376053034302</v>
      </c>
      <c r="O1516">
        <v>47.013018077383897</v>
      </c>
      <c r="P1516">
        <v>-2.3214268172593901E-2</v>
      </c>
      <c r="Q1516">
        <v>0.36463712129164999</v>
      </c>
      <c r="R1516">
        <v>0.96242690237393402</v>
      </c>
      <c r="S1516" t="s">
        <v>7099</v>
      </c>
      <c r="T1516" t="s">
        <v>11164</v>
      </c>
      <c r="U1516" t="s">
        <v>11164</v>
      </c>
      <c r="V1516" t="s">
        <v>11164</v>
      </c>
      <c r="W1516" t="s">
        <v>12649</v>
      </c>
      <c r="X1516">
        <v>3</v>
      </c>
      <c r="Y1516" t="s">
        <v>18176</v>
      </c>
      <c r="Z1516" t="s">
        <v>23666</v>
      </c>
      <c r="AA1516">
        <v>0.68152596560469425</v>
      </c>
      <c r="AB1516" t="str">
        <f>HYPERLINK("Melting_Curves/meltCurve_O75554_WBP4.pdf", "Melting_Curves/meltCurve_O75554_WBP4.pdf")</f>
        <v>Melting_Curves/meltCurve_O75554_WBP4.pdf</v>
      </c>
    </row>
    <row r="1517" spans="1:28" x14ac:dyDescent="0.25">
      <c r="A1517" t="s">
        <v>1521</v>
      </c>
      <c r="B1517">
        <v>0.99796759195183404</v>
      </c>
      <c r="C1517">
        <v>0.86221469985307997</v>
      </c>
      <c r="D1517">
        <v>0.77712587731090799</v>
      </c>
      <c r="E1517">
        <v>0.65272669735401001</v>
      </c>
      <c r="F1517">
        <v>0.84816859873917105</v>
      </c>
      <c r="G1517">
        <v>0.39504251266346402</v>
      </c>
      <c r="H1517">
        <v>0.273392966070513</v>
      </c>
      <c r="I1517">
        <v>0.17817945775715099</v>
      </c>
      <c r="J1517">
        <v>0.13589242065964599</v>
      </c>
      <c r="K1517">
        <v>5.7664756798414402E-2</v>
      </c>
      <c r="L1517">
        <v>483.27120014159499</v>
      </c>
      <c r="M1517">
        <v>9.2541492924442501</v>
      </c>
      <c r="N1517">
        <v>52.2221097492084</v>
      </c>
      <c r="O1517">
        <v>49.957278901801303</v>
      </c>
      <c r="P1517">
        <v>-4.6340577002549697E-2</v>
      </c>
      <c r="Q1517">
        <v>0</v>
      </c>
      <c r="R1517">
        <v>0.90818111975605198</v>
      </c>
      <c r="S1517" t="s">
        <v>7100</v>
      </c>
      <c r="T1517" t="s">
        <v>11164</v>
      </c>
      <c r="U1517" t="s">
        <v>11164</v>
      </c>
      <c r="V1517" t="s">
        <v>11164</v>
      </c>
      <c r="W1517" t="s">
        <v>12650</v>
      </c>
      <c r="X1517">
        <v>3</v>
      </c>
      <c r="Y1517" t="s">
        <v>18177</v>
      </c>
      <c r="Z1517" t="s">
        <v>23667</v>
      </c>
      <c r="AA1517">
        <v>0.53386639402288205</v>
      </c>
      <c r="AB1517" t="str">
        <f>HYPERLINK("Melting_Curves/meltCurve_O75570_MTRF1.pdf", "Melting_Curves/meltCurve_O75570_MTRF1.pdf")</f>
        <v>Melting_Curves/meltCurve_O75570_MTRF1.pdf</v>
      </c>
    </row>
    <row r="1518" spans="1:28" x14ac:dyDescent="0.25">
      <c r="A1518" t="s">
        <v>1522</v>
      </c>
      <c r="B1518">
        <v>0.99796759195183404</v>
      </c>
      <c r="C1518">
        <v>1.07420336270086</v>
      </c>
      <c r="D1518">
        <v>0.96566376325160497</v>
      </c>
      <c r="E1518">
        <v>0.94990288916954402</v>
      </c>
      <c r="F1518">
        <v>0.72235962540529397</v>
      </c>
      <c r="G1518">
        <v>0.31604918544857502</v>
      </c>
      <c r="H1518">
        <v>0.24088468919883299</v>
      </c>
      <c r="I1518">
        <v>0.199979674612101</v>
      </c>
      <c r="J1518">
        <v>0.14968208157164301</v>
      </c>
      <c r="K1518">
        <v>0.119397457944095</v>
      </c>
      <c r="L1518">
        <v>1431.64830503442</v>
      </c>
      <c r="M1518">
        <v>27.876338857644999</v>
      </c>
      <c r="N1518">
        <v>52.068009492781002</v>
      </c>
      <c r="O1518">
        <v>51.095004861713498</v>
      </c>
      <c r="P1518">
        <v>-0.114807786801513</v>
      </c>
      <c r="Q1518">
        <v>0.15827496271710301</v>
      </c>
      <c r="R1518">
        <v>0.99188781219688105</v>
      </c>
      <c r="S1518" t="s">
        <v>7101</v>
      </c>
      <c r="T1518" t="s">
        <v>11164</v>
      </c>
      <c r="U1518" t="s">
        <v>11164</v>
      </c>
      <c r="V1518" t="s">
        <v>11164</v>
      </c>
      <c r="W1518" t="s">
        <v>12651</v>
      </c>
      <c r="X1518">
        <v>8</v>
      </c>
      <c r="Y1518" t="s">
        <v>18178</v>
      </c>
      <c r="Z1518" t="s">
        <v>23668</v>
      </c>
      <c r="AA1518">
        <v>0.56716829883386188</v>
      </c>
      <c r="AB1518" t="str">
        <f>HYPERLINK("Melting_Curves/meltCurve_O75582_RPS6KA5.pdf", "Melting_Curves/meltCurve_O75582_RPS6KA5.pdf")</f>
        <v>Melting_Curves/meltCurve_O75582_RPS6KA5.pdf</v>
      </c>
    </row>
    <row r="1519" spans="1:28" x14ac:dyDescent="0.25">
      <c r="A1519" t="s">
        <v>1523</v>
      </c>
      <c r="B1519">
        <v>0.99796759195183404</v>
      </c>
      <c r="C1519">
        <v>0.98599994135159996</v>
      </c>
      <c r="D1519">
        <v>0.93382898250241997</v>
      </c>
      <c r="E1519">
        <v>0.99060051788916903</v>
      </c>
      <c r="F1519">
        <v>0.78648963605903599</v>
      </c>
      <c r="G1519">
        <v>0.59929995762131205</v>
      </c>
      <c r="H1519">
        <v>0.47218714111719101</v>
      </c>
      <c r="I1519">
        <v>0.27048151462464598</v>
      </c>
      <c r="J1519">
        <v>0.105620440422178</v>
      </c>
      <c r="K1519">
        <v>6.1782690757456099E-2</v>
      </c>
      <c r="L1519">
        <v>753.99976780087297</v>
      </c>
      <c r="M1519">
        <v>13.4855245016509</v>
      </c>
      <c r="N1519">
        <v>55.911786832624401</v>
      </c>
      <c r="O1519">
        <v>54.725266799794397</v>
      </c>
      <c r="P1519">
        <v>-6.16150036204536E-2</v>
      </c>
      <c r="Q1519">
        <v>0</v>
      </c>
      <c r="R1519">
        <v>0.98806953825355504</v>
      </c>
      <c r="S1519" t="s">
        <v>7102</v>
      </c>
      <c r="T1519" t="s">
        <v>11164</v>
      </c>
      <c r="U1519" t="s">
        <v>11164</v>
      </c>
      <c r="V1519" t="s">
        <v>11164</v>
      </c>
      <c r="W1519" t="s">
        <v>12652</v>
      </c>
      <c r="X1519">
        <v>3</v>
      </c>
      <c r="Y1519" t="s">
        <v>18179</v>
      </c>
      <c r="Z1519" t="s">
        <v>23669</v>
      </c>
      <c r="AA1519">
        <v>0.64174824527747676</v>
      </c>
      <c r="AB1519" t="str">
        <f>HYPERLINK("Melting_Curves/meltCurve_O75600_GCAT.pdf", "Melting_Curves/meltCurve_O75600_GCAT.pdf")</f>
        <v>Melting_Curves/meltCurve_O75600_GCAT.pdf</v>
      </c>
    </row>
    <row r="1520" spans="1:28" x14ac:dyDescent="0.25">
      <c r="A1520" t="s">
        <v>1524</v>
      </c>
      <c r="B1520">
        <v>0.99796759195183404</v>
      </c>
      <c r="C1520">
        <v>1.0137288507517199</v>
      </c>
      <c r="D1520">
        <v>0.92056674211752099</v>
      </c>
      <c r="E1520">
        <v>0.93782743123178403</v>
      </c>
      <c r="F1520">
        <v>0.80733727270958899</v>
      </c>
      <c r="G1520">
        <v>0.63402978317229797</v>
      </c>
      <c r="H1520">
        <v>0.498785629594516</v>
      </c>
      <c r="I1520">
        <v>0.40710578197858599</v>
      </c>
      <c r="J1520">
        <v>0.44201407339321303</v>
      </c>
      <c r="K1520">
        <v>0.445134263497451</v>
      </c>
      <c r="L1520">
        <v>931.29685991856695</v>
      </c>
      <c r="M1520">
        <v>17.873785918446799</v>
      </c>
      <c r="N1520">
        <v>57.600849077223302</v>
      </c>
      <c r="O1520">
        <v>51.4649854173813</v>
      </c>
      <c r="P1520">
        <v>-5.1300958363389701E-2</v>
      </c>
      <c r="Q1520">
        <v>0.40917522430761999</v>
      </c>
      <c r="R1520">
        <v>0.98680188845082195</v>
      </c>
      <c r="S1520" t="s">
        <v>7103</v>
      </c>
      <c r="T1520" t="s">
        <v>11164</v>
      </c>
      <c r="U1520" t="s">
        <v>11164</v>
      </c>
      <c r="V1520" t="s">
        <v>11164</v>
      </c>
      <c r="W1520" t="s">
        <v>12653</v>
      </c>
      <c r="X1520">
        <v>2</v>
      </c>
      <c r="Y1520" t="s">
        <v>18180</v>
      </c>
      <c r="Z1520" t="s">
        <v>23670</v>
      </c>
      <c r="AA1520">
        <v>0.71562939292513794</v>
      </c>
      <c r="AB1520" t="str">
        <f>HYPERLINK("Melting_Curves/meltCurve_O75607_NPM3.pdf", "Melting_Curves/meltCurve_O75607_NPM3.pdf")</f>
        <v>Melting_Curves/meltCurve_O75607_NPM3.pdf</v>
      </c>
    </row>
    <row r="1521" spans="1:28" x14ac:dyDescent="0.25">
      <c r="A1521" t="s">
        <v>1525</v>
      </c>
      <c r="B1521">
        <v>0.99796759195183404</v>
      </c>
      <c r="C1521">
        <v>0.85637011008438002</v>
      </c>
      <c r="D1521">
        <v>0.912289038944607</v>
      </c>
      <c r="E1521">
        <v>0.84368935715077098</v>
      </c>
      <c r="F1521">
        <v>0.73112812832983498</v>
      </c>
      <c r="G1521">
        <v>0.495666510055571</v>
      </c>
      <c r="H1521">
        <v>0.45524494435292201</v>
      </c>
      <c r="I1521">
        <v>0.36516755136948698</v>
      </c>
      <c r="J1521">
        <v>0.15457628456091699</v>
      </c>
      <c r="K1521">
        <v>6.5798455081606297E-2</v>
      </c>
      <c r="L1521">
        <v>511.02778256347301</v>
      </c>
      <c r="M1521">
        <v>9.3160759178216708</v>
      </c>
      <c r="N1521">
        <v>54.854402934709697</v>
      </c>
      <c r="O1521">
        <v>52.504737623167401</v>
      </c>
      <c r="P1521">
        <v>-4.4386529245051598E-2</v>
      </c>
      <c r="Q1521">
        <v>0</v>
      </c>
      <c r="R1521">
        <v>0.96091338284900296</v>
      </c>
      <c r="S1521" t="s">
        <v>7104</v>
      </c>
      <c r="T1521" t="s">
        <v>11164</v>
      </c>
      <c r="U1521" t="s">
        <v>11164</v>
      </c>
      <c r="V1521" t="s">
        <v>11164</v>
      </c>
      <c r="W1521" t="s">
        <v>12654</v>
      </c>
      <c r="X1521">
        <v>9</v>
      </c>
      <c r="Y1521" t="s">
        <v>18181</v>
      </c>
      <c r="Z1521" t="s">
        <v>23671</v>
      </c>
      <c r="AA1521">
        <v>0.60689241389645532</v>
      </c>
      <c r="AB1521" t="str">
        <f>HYPERLINK("Melting_Curves/meltCurve_O75608_2_LYPLA1.pdf", "Melting_Curves/meltCurve_O75608_2_LYPLA1.pdf")</f>
        <v>Melting_Curves/meltCurve_O75608_2_LYPLA1.pdf</v>
      </c>
    </row>
    <row r="1522" spans="1:28" x14ac:dyDescent="0.25">
      <c r="A1522" t="s">
        <v>1526</v>
      </c>
      <c r="B1522">
        <v>0.99796759195183404</v>
      </c>
      <c r="C1522">
        <v>0.93521740900771999</v>
      </c>
      <c r="D1522">
        <v>0.99635143081426303</v>
      </c>
      <c r="E1522">
        <v>0.76886633980989905</v>
      </c>
      <c r="F1522">
        <v>0.45454468865860198</v>
      </c>
      <c r="G1522">
        <v>0.20325303610104001</v>
      </c>
      <c r="H1522">
        <v>0.146580995637764</v>
      </c>
      <c r="I1522">
        <v>0.115817025662908</v>
      </c>
      <c r="J1522">
        <v>0.117861201392977</v>
      </c>
      <c r="K1522">
        <v>7.2084124060644905E-2</v>
      </c>
      <c r="L1522">
        <v>1048.9459145303699</v>
      </c>
      <c r="M1522">
        <v>21.357660573834998</v>
      </c>
      <c r="N1522">
        <v>49.604251174845899</v>
      </c>
      <c r="O1522">
        <v>48.688846799298098</v>
      </c>
      <c r="P1522">
        <v>-9.9219916800500796E-2</v>
      </c>
      <c r="Q1522">
        <v>9.5260074305225803E-2</v>
      </c>
      <c r="R1522">
        <v>0.99553684968488299</v>
      </c>
      <c r="S1522" t="s">
        <v>7105</v>
      </c>
      <c r="T1522" t="s">
        <v>11164</v>
      </c>
      <c r="U1522" t="s">
        <v>11164</v>
      </c>
      <c r="V1522" t="s">
        <v>11164</v>
      </c>
      <c r="W1522" t="s">
        <v>12655</v>
      </c>
      <c r="X1522">
        <v>4</v>
      </c>
      <c r="Y1522" t="s">
        <v>18182</v>
      </c>
      <c r="Z1522" t="s">
        <v>23672</v>
      </c>
      <c r="AA1522">
        <v>0.47113945309879379</v>
      </c>
      <c r="AB1522" t="str">
        <f>HYPERLINK("Melting_Curves/meltCurve_O75616_ERAL1.pdf", "Melting_Curves/meltCurve_O75616_ERAL1.pdf")</f>
        <v>Melting_Curves/meltCurve_O75616_ERAL1.pdf</v>
      </c>
    </row>
    <row r="1523" spans="1:28" x14ac:dyDescent="0.25">
      <c r="A1523" t="s">
        <v>1527</v>
      </c>
      <c r="B1523">
        <v>0.99796759195183404</v>
      </c>
      <c r="C1523">
        <v>0.842101336352298</v>
      </c>
      <c r="D1523">
        <v>1.0325819171175401</v>
      </c>
      <c r="E1523">
        <v>0.97702915645837796</v>
      </c>
      <c r="F1523">
        <v>0.741389408176791</v>
      </c>
      <c r="G1523">
        <v>0.61266137348135796</v>
      </c>
      <c r="H1523">
        <v>0.65269882191232897</v>
      </c>
      <c r="I1523">
        <v>0.598130222328079</v>
      </c>
      <c r="J1523">
        <v>0.56360310163777905</v>
      </c>
      <c r="K1523">
        <v>0.50418622364110199</v>
      </c>
      <c r="L1523">
        <v>1761.93806600739</v>
      </c>
      <c r="M1523">
        <v>35.471294033565499</v>
      </c>
      <c r="O1523">
        <v>49.515145097568002</v>
      </c>
      <c r="P1523">
        <v>-7.5371890967594807E-2</v>
      </c>
      <c r="Q1523">
        <v>0.57914843340078304</v>
      </c>
      <c r="R1523">
        <v>0.89209113460672795</v>
      </c>
      <c r="S1523" t="s">
        <v>7106</v>
      </c>
      <c r="T1523" t="s">
        <v>11164</v>
      </c>
      <c r="U1523" t="s">
        <v>11164</v>
      </c>
      <c r="V1523" t="s">
        <v>11164</v>
      </c>
      <c r="W1523" t="s">
        <v>12656</v>
      </c>
      <c r="X1523">
        <v>1</v>
      </c>
      <c r="Y1523" t="s">
        <v>18183</v>
      </c>
      <c r="Z1523" t="s">
        <v>23673</v>
      </c>
      <c r="AA1523">
        <v>0.75875782494209254</v>
      </c>
      <c r="AB1523" t="str">
        <f>HYPERLINK("Melting_Curves/meltCurve_O75629_CREG1.pdf", "Melting_Curves/meltCurve_O75629_CREG1.pdf")</f>
        <v>Melting_Curves/meltCurve_O75629_CREG1.pdf</v>
      </c>
    </row>
    <row r="1524" spans="1:28" x14ac:dyDescent="0.25">
      <c r="A1524" t="s">
        <v>1528</v>
      </c>
      <c r="B1524">
        <v>0.99796759195183404</v>
      </c>
      <c r="C1524">
        <v>1.01696554167174</v>
      </c>
      <c r="D1524">
        <v>0.998733250424921</v>
      </c>
      <c r="E1524">
        <v>0.89587318539566296</v>
      </c>
      <c r="F1524">
        <v>0.83693508552329299</v>
      </c>
      <c r="G1524">
        <v>0.470946589317984</v>
      </c>
      <c r="H1524">
        <v>0.20781942317407801</v>
      </c>
      <c r="I1524">
        <v>0.195942498173445</v>
      </c>
      <c r="J1524">
        <v>0.137778888557092</v>
      </c>
      <c r="K1524">
        <v>8.0606528262286703E-2</v>
      </c>
      <c r="L1524">
        <v>1215.0058988773401</v>
      </c>
      <c r="M1524">
        <v>22.9344871029957</v>
      </c>
      <c r="N1524">
        <v>53.542537633541301</v>
      </c>
      <c r="O1524">
        <v>52.579400086249699</v>
      </c>
      <c r="P1524">
        <v>-9.7323332680959704E-2</v>
      </c>
      <c r="Q1524">
        <v>0.107526486637143</v>
      </c>
      <c r="R1524">
        <v>0.99285212546511503</v>
      </c>
      <c r="S1524" t="s">
        <v>7107</v>
      </c>
      <c r="T1524" t="s">
        <v>11164</v>
      </c>
      <c r="U1524" t="s">
        <v>11164</v>
      </c>
      <c r="V1524" t="s">
        <v>11164</v>
      </c>
      <c r="W1524" t="s">
        <v>12657</v>
      </c>
      <c r="X1524">
        <v>6</v>
      </c>
      <c r="Y1524" t="s">
        <v>18184</v>
      </c>
      <c r="Z1524" t="s">
        <v>23674</v>
      </c>
      <c r="AA1524">
        <v>0.5919487062055625</v>
      </c>
      <c r="AB1524" t="str">
        <f>HYPERLINK("Melting_Curves/meltCurve_O75648_TRMU.pdf", "Melting_Curves/meltCurve_O75648_TRMU.pdf")</f>
        <v>Melting_Curves/meltCurve_O75648_TRMU.pdf</v>
      </c>
    </row>
    <row r="1525" spans="1:28" x14ac:dyDescent="0.25">
      <c r="A1525" t="s">
        <v>1529</v>
      </c>
      <c r="B1525">
        <v>0.99796759195183404</v>
      </c>
      <c r="C1525">
        <v>0.98801907677220002</v>
      </c>
      <c r="D1525">
        <v>1.0341989599122601</v>
      </c>
      <c r="E1525">
        <v>0.98267655896834005</v>
      </c>
      <c r="F1525">
        <v>0.84461182848051197</v>
      </c>
      <c r="G1525">
        <v>0.51427494897358295</v>
      </c>
      <c r="H1525">
        <v>0.21709395572540899</v>
      </c>
      <c r="I1525">
        <v>0.14025559491248099</v>
      </c>
      <c r="J1525">
        <v>9.4520647877604003E-2</v>
      </c>
      <c r="K1525">
        <v>7.6445344703318999E-2</v>
      </c>
      <c r="L1525">
        <v>1317.6631073670001</v>
      </c>
      <c r="M1525">
        <v>24.619442498823702</v>
      </c>
      <c r="N1525">
        <v>53.901730860345303</v>
      </c>
      <c r="O1525">
        <v>53.171850416336</v>
      </c>
      <c r="P1525">
        <v>-0.10652278152412301</v>
      </c>
      <c r="Q1525">
        <v>7.9762343836804403E-2</v>
      </c>
      <c r="R1525">
        <v>0.998730138012209</v>
      </c>
      <c r="S1525" t="s">
        <v>7108</v>
      </c>
      <c r="T1525" t="s">
        <v>11164</v>
      </c>
      <c r="U1525" t="s">
        <v>11164</v>
      </c>
      <c r="V1525" t="s">
        <v>11164</v>
      </c>
      <c r="W1525" t="s">
        <v>12658</v>
      </c>
      <c r="X1525">
        <v>12</v>
      </c>
      <c r="Y1525" t="s">
        <v>18185</v>
      </c>
      <c r="Z1525" t="s">
        <v>23675</v>
      </c>
      <c r="AA1525">
        <v>0.59484576350859464</v>
      </c>
      <c r="AB1525" t="str">
        <f>HYPERLINK("Melting_Curves/meltCurve_O75663_TIPRL.pdf", "Melting_Curves/meltCurve_O75663_TIPRL.pdf")</f>
        <v>Melting_Curves/meltCurve_O75663_TIPRL.pdf</v>
      </c>
    </row>
    <row r="1526" spans="1:28" x14ac:dyDescent="0.25">
      <c r="A1526" t="s">
        <v>1530</v>
      </c>
      <c r="B1526">
        <v>0.99796759195183404</v>
      </c>
      <c r="C1526">
        <v>1.01133312434538</v>
      </c>
      <c r="D1526">
        <v>0.99667023796149101</v>
      </c>
      <c r="E1526">
        <v>0.96215548548898</v>
      </c>
      <c r="F1526">
        <v>0.83334076470776697</v>
      </c>
      <c r="G1526">
        <v>0.61996698385134297</v>
      </c>
      <c r="H1526">
        <v>0.236132103445097</v>
      </c>
      <c r="I1526">
        <v>0.17741782316406299</v>
      </c>
      <c r="J1526">
        <v>0.12825132867411301</v>
      </c>
      <c r="K1526">
        <v>0.117716574326273</v>
      </c>
      <c r="L1526">
        <v>1247.44833964487</v>
      </c>
      <c r="M1526">
        <v>23.0896046582975</v>
      </c>
      <c r="N1526">
        <v>54.566237957452202</v>
      </c>
      <c r="O1526">
        <v>53.626049577649603</v>
      </c>
      <c r="P1526">
        <v>-9.6652356887567598E-2</v>
      </c>
      <c r="Q1526">
        <v>0.102108741681447</v>
      </c>
      <c r="R1526">
        <v>0.99541959183442197</v>
      </c>
      <c r="S1526" t="s">
        <v>7109</v>
      </c>
      <c r="T1526" t="s">
        <v>11164</v>
      </c>
      <c r="U1526" t="s">
        <v>11164</v>
      </c>
      <c r="V1526" t="s">
        <v>11164</v>
      </c>
      <c r="W1526" t="s">
        <v>12659</v>
      </c>
      <c r="X1526">
        <v>13</v>
      </c>
      <c r="Y1526" t="s">
        <v>18186</v>
      </c>
      <c r="Z1526" t="s">
        <v>23676</v>
      </c>
      <c r="AA1526">
        <v>0.62057439443609297</v>
      </c>
      <c r="AB1526" t="str">
        <f>HYPERLINK("Melting_Curves/meltCurve_O75688_PPM1B.pdf", "Melting_Curves/meltCurve_O75688_PPM1B.pdf")</f>
        <v>Melting_Curves/meltCurve_O75688_PPM1B.pdf</v>
      </c>
    </row>
    <row r="1527" spans="1:28" x14ac:dyDescent="0.25">
      <c r="A1527" t="s">
        <v>1531</v>
      </c>
      <c r="B1527">
        <v>0.99796759195183404</v>
      </c>
      <c r="C1527">
        <v>0.93933980961561203</v>
      </c>
      <c r="D1527">
        <v>1.0454543061716099</v>
      </c>
      <c r="E1527">
        <v>0.99792852817373701</v>
      </c>
      <c r="F1527">
        <v>0.90162989927906501</v>
      </c>
      <c r="G1527">
        <v>0.54521104167568601</v>
      </c>
      <c r="H1527">
        <v>0.29515448326320698</v>
      </c>
      <c r="I1527">
        <v>0.18102783532924399</v>
      </c>
      <c r="J1527">
        <v>0.168750087793619</v>
      </c>
      <c r="K1527">
        <v>7.1229528488439706E-2</v>
      </c>
      <c r="L1527">
        <v>1329.42005722215</v>
      </c>
      <c r="M1527">
        <v>24.650731515607799</v>
      </c>
      <c r="N1527">
        <v>54.520010404235798</v>
      </c>
      <c r="O1527">
        <v>53.579090422355002</v>
      </c>
      <c r="P1527">
        <v>-0.101560719350467</v>
      </c>
      <c r="Q1527">
        <v>0.117031706974306</v>
      </c>
      <c r="R1527">
        <v>0.99184121374173895</v>
      </c>
      <c r="S1527" t="s">
        <v>7110</v>
      </c>
      <c r="T1527" t="s">
        <v>11164</v>
      </c>
      <c r="U1527" t="s">
        <v>11164</v>
      </c>
      <c r="V1527" t="s">
        <v>11164</v>
      </c>
      <c r="W1527" t="s">
        <v>12660</v>
      </c>
      <c r="X1527">
        <v>1</v>
      </c>
      <c r="Y1527" t="s">
        <v>18187</v>
      </c>
      <c r="Z1527" t="s">
        <v>23677</v>
      </c>
      <c r="AA1527">
        <v>0.62322306253143678</v>
      </c>
      <c r="AB1527" t="str">
        <f>HYPERLINK("Melting_Curves/meltCurve_O75689_ADAP1.pdf", "Melting_Curves/meltCurve_O75689_ADAP1.pdf")</f>
        <v>Melting_Curves/meltCurve_O75689_ADAP1.pdf</v>
      </c>
    </row>
    <row r="1528" spans="1:28" x14ac:dyDescent="0.25">
      <c r="A1528" t="s">
        <v>1532</v>
      </c>
      <c r="B1528">
        <v>0.99796759195183404</v>
      </c>
      <c r="C1528">
        <v>1.06878870857172</v>
      </c>
      <c r="D1528">
        <v>0.91194614297448895</v>
      </c>
      <c r="E1528">
        <v>1.0706585649359699</v>
      </c>
      <c r="F1528">
        <v>0.80059985357754704</v>
      </c>
      <c r="G1528">
        <v>0.47498242912598498</v>
      </c>
      <c r="H1528">
        <v>0.20223595610804601</v>
      </c>
      <c r="I1528">
        <v>8.8133649754418703E-2</v>
      </c>
      <c r="J1528">
        <v>0.103439885313445</v>
      </c>
      <c r="K1528">
        <v>7.8324035389024493E-2</v>
      </c>
      <c r="L1528">
        <v>1368.4835969081901</v>
      </c>
      <c r="M1528">
        <v>25.754263806542799</v>
      </c>
      <c r="N1528">
        <v>53.482503185824697</v>
      </c>
      <c r="O1528">
        <v>52.818920576254101</v>
      </c>
      <c r="P1528">
        <v>-0.11253870362310101</v>
      </c>
      <c r="Q1528">
        <v>7.6796986025442104E-2</v>
      </c>
      <c r="R1528">
        <v>0.98638064677625803</v>
      </c>
      <c r="S1528" t="s">
        <v>7111</v>
      </c>
      <c r="T1528" t="s">
        <v>11164</v>
      </c>
      <c r="U1528" t="s">
        <v>11164</v>
      </c>
      <c r="V1528" t="s">
        <v>11164</v>
      </c>
      <c r="W1528" t="s">
        <v>12661</v>
      </c>
      <c r="X1528">
        <v>4</v>
      </c>
      <c r="Y1528" t="s">
        <v>18188</v>
      </c>
      <c r="Z1528" t="s">
        <v>23678</v>
      </c>
      <c r="AA1528">
        <v>0.58110670691304145</v>
      </c>
      <c r="AB1528" t="str">
        <f>HYPERLINK("Melting_Curves/meltCurve_O75695_RP2.pdf", "Melting_Curves/meltCurve_O75695_RP2.pdf")</f>
        <v>Melting_Curves/meltCurve_O75695_RP2.pdf</v>
      </c>
    </row>
    <row r="1529" spans="1:28" x14ac:dyDescent="0.25">
      <c r="A1529" t="s">
        <v>1533</v>
      </c>
      <c r="B1529">
        <v>0.99796759195183404</v>
      </c>
      <c r="C1529">
        <v>0.95079895143141602</v>
      </c>
      <c r="D1529">
        <v>0.90727151315527799</v>
      </c>
      <c r="E1529">
        <v>0.88257996168048702</v>
      </c>
      <c r="F1529">
        <v>0.76539701499881596</v>
      </c>
      <c r="G1529">
        <v>0.41495829799058298</v>
      </c>
      <c r="H1529">
        <v>0.301443195443857</v>
      </c>
      <c r="I1529">
        <v>0.25675642768021101</v>
      </c>
      <c r="J1529">
        <v>0.19030257343981799</v>
      </c>
      <c r="K1529">
        <v>0.162017503880626</v>
      </c>
      <c r="L1529">
        <v>866.64282414278796</v>
      </c>
      <c r="M1529">
        <v>16.6444857422205</v>
      </c>
      <c r="N1529">
        <v>53.2578732651466</v>
      </c>
      <c r="O1529">
        <v>51.333691019861597</v>
      </c>
      <c r="P1529">
        <v>-6.8476870690391795E-2</v>
      </c>
      <c r="Q1529">
        <v>0.155291543059908</v>
      </c>
      <c r="R1529">
        <v>0.98659142289427104</v>
      </c>
      <c r="S1529" t="s">
        <v>7112</v>
      </c>
      <c r="T1529" t="s">
        <v>11164</v>
      </c>
      <c r="U1529" t="s">
        <v>11164</v>
      </c>
      <c r="V1529" t="s">
        <v>11164</v>
      </c>
      <c r="W1529" t="s">
        <v>12662</v>
      </c>
      <c r="X1529">
        <v>11</v>
      </c>
      <c r="Y1529" t="s">
        <v>18189</v>
      </c>
      <c r="Z1529" t="s">
        <v>23679</v>
      </c>
      <c r="AA1529">
        <v>0.59373365610526208</v>
      </c>
      <c r="AB1529" t="str">
        <f>HYPERLINK("Melting_Curves/meltCurve_O75717_WDHD1.pdf", "Melting_Curves/meltCurve_O75717_WDHD1.pdf")</f>
        <v>Melting_Curves/meltCurve_O75717_WDHD1.pdf</v>
      </c>
    </row>
    <row r="1530" spans="1:28" x14ac:dyDescent="0.25">
      <c r="A1530" t="s">
        <v>1534</v>
      </c>
      <c r="B1530">
        <v>0.99796759195183404</v>
      </c>
      <c r="C1530">
        <v>0.953351860698467</v>
      </c>
      <c r="D1530">
        <v>0.93569418424733397</v>
      </c>
      <c r="E1530">
        <v>0.84024897850675295</v>
      </c>
      <c r="F1530">
        <v>0.81022923161767901</v>
      </c>
      <c r="G1530">
        <v>0.762800313918783</v>
      </c>
      <c r="H1530">
        <v>0.64176110718172796</v>
      </c>
      <c r="I1530">
        <v>0.51476829860140705</v>
      </c>
      <c r="J1530">
        <v>0.63282923716827799</v>
      </c>
      <c r="K1530">
        <v>0.422377381526161</v>
      </c>
      <c r="L1530">
        <v>321.02857863798198</v>
      </c>
      <c r="M1530">
        <v>5.0430996500462504</v>
      </c>
      <c r="N1530">
        <v>65.326583219592393</v>
      </c>
      <c r="O1530">
        <v>55.668985705120001</v>
      </c>
      <c r="P1530">
        <v>-2.1404941637783299E-2</v>
      </c>
      <c r="Q1530">
        <v>6.0464302859452902E-2</v>
      </c>
      <c r="R1530">
        <v>0.93507894627879096</v>
      </c>
      <c r="S1530" t="s">
        <v>7113</v>
      </c>
      <c r="T1530" t="s">
        <v>11164</v>
      </c>
      <c r="U1530" t="s">
        <v>11164</v>
      </c>
      <c r="V1530" t="s">
        <v>11164</v>
      </c>
      <c r="W1530" t="s">
        <v>12663</v>
      </c>
      <c r="X1530">
        <v>17</v>
      </c>
      <c r="Y1530" t="s">
        <v>18190</v>
      </c>
      <c r="Z1530" t="s">
        <v>23680</v>
      </c>
      <c r="AA1530">
        <v>0.75430090547964512</v>
      </c>
      <c r="AB1530" t="str">
        <f>HYPERLINK("Melting_Curves/meltCurve_O75746_SLC25A12.pdf", "Melting_Curves/meltCurve_O75746_SLC25A12.pdf")</f>
        <v>Melting_Curves/meltCurve_O75746_SLC25A12.pdf</v>
      </c>
    </row>
    <row r="1531" spans="1:28" x14ac:dyDescent="0.25">
      <c r="A1531" t="s">
        <v>1535</v>
      </c>
      <c r="B1531">
        <v>0.99796759195183404</v>
      </c>
      <c r="C1531">
        <v>1.0060916811023399</v>
      </c>
      <c r="D1531">
        <v>0.95784859090512398</v>
      </c>
      <c r="E1531">
        <v>0.91666022753531196</v>
      </c>
      <c r="F1531">
        <v>0.83202312847467497</v>
      </c>
      <c r="G1531">
        <v>0.60213201303047403</v>
      </c>
      <c r="H1531">
        <v>0.66520422108563204</v>
      </c>
      <c r="I1531">
        <v>0.55238490808121699</v>
      </c>
      <c r="J1531">
        <v>0.71196590580306496</v>
      </c>
      <c r="K1531">
        <v>0.56584792935789296</v>
      </c>
      <c r="L1531">
        <v>1261.63338680262</v>
      </c>
      <c r="M1531">
        <v>25.275222924501001</v>
      </c>
      <c r="O1531">
        <v>49.606497374591399</v>
      </c>
      <c r="P1531">
        <v>-4.9721931786993502E-2</v>
      </c>
      <c r="Q1531">
        <v>0.60965738945029302</v>
      </c>
      <c r="R1531">
        <v>0.91559291574783497</v>
      </c>
      <c r="S1531" t="s">
        <v>7114</v>
      </c>
      <c r="T1531" t="s">
        <v>11164</v>
      </c>
      <c r="U1531" t="s">
        <v>11164</v>
      </c>
      <c r="V1531" t="s">
        <v>11164</v>
      </c>
      <c r="W1531" t="s">
        <v>12664</v>
      </c>
      <c r="X1531">
        <v>6</v>
      </c>
      <c r="Y1531" t="s">
        <v>18191</v>
      </c>
      <c r="Z1531" t="s">
        <v>23681</v>
      </c>
      <c r="AA1531">
        <v>0.78105046207141149</v>
      </c>
      <c r="AB1531" t="str">
        <f>HYPERLINK("Melting_Curves/meltCurve_O75781_PALM.pdf", "Melting_Curves/meltCurve_O75781_PALM.pdf")</f>
        <v>Melting_Curves/meltCurve_O75781_PALM.pdf</v>
      </c>
    </row>
    <row r="1532" spans="1:28" x14ac:dyDescent="0.25">
      <c r="A1532" t="s">
        <v>1536</v>
      </c>
      <c r="B1532">
        <v>0.99796759195183404</v>
      </c>
      <c r="C1532">
        <v>1.07433619065025</v>
      </c>
      <c r="D1532">
        <v>1.01421239318304</v>
      </c>
      <c r="E1532">
        <v>0.86914659767562596</v>
      </c>
      <c r="F1532">
        <v>0.77738936841718398</v>
      </c>
      <c r="G1532">
        <v>0.43476481018067298</v>
      </c>
      <c r="H1532">
        <v>0.24633503207204399</v>
      </c>
      <c r="I1532">
        <v>0.14358125900590199</v>
      </c>
      <c r="J1532">
        <v>0.13642991432326501</v>
      </c>
      <c r="K1532">
        <v>7.9773150920170802E-2</v>
      </c>
      <c r="L1532">
        <v>984.22435237080003</v>
      </c>
      <c r="M1532">
        <v>18.675267431774301</v>
      </c>
      <c r="N1532">
        <v>53.200369267517203</v>
      </c>
      <c r="O1532">
        <v>52.108894249258597</v>
      </c>
      <c r="P1532">
        <v>-8.2411376409798606E-2</v>
      </c>
      <c r="Q1532">
        <v>8.0241961169895307E-2</v>
      </c>
      <c r="R1532">
        <v>0.99160226791305595</v>
      </c>
      <c r="S1532" t="s">
        <v>7115</v>
      </c>
      <c r="T1532" t="s">
        <v>11164</v>
      </c>
      <c r="U1532" t="s">
        <v>11164</v>
      </c>
      <c r="V1532" t="s">
        <v>11164</v>
      </c>
      <c r="W1532" t="s">
        <v>12665</v>
      </c>
      <c r="X1532">
        <v>10</v>
      </c>
      <c r="Y1532" t="s">
        <v>18192</v>
      </c>
      <c r="Z1532" t="s">
        <v>23682</v>
      </c>
      <c r="AA1532">
        <v>0.57453860589780903</v>
      </c>
      <c r="AB1532" t="str">
        <f>HYPERLINK("Melting_Curves/meltCurve_O75792_RNASEH2A.pdf", "Melting_Curves/meltCurve_O75792_RNASEH2A.pdf")</f>
        <v>Melting_Curves/meltCurve_O75792_RNASEH2A.pdf</v>
      </c>
    </row>
    <row r="1533" spans="1:28" x14ac:dyDescent="0.25">
      <c r="A1533" t="s">
        <v>1537</v>
      </c>
      <c r="B1533">
        <v>0.99796759195183404</v>
      </c>
      <c r="C1533">
        <v>0.87736300367916098</v>
      </c>
      <c r="D1533">
        <v>0.73675709165310999</v>
      </c>
      <c r="E1533">
        <v>0.77410224853385101</v>
      </c>
      <c r="F1533">
        <v>0.52236255467563997</v>
      </c>
      <c r="G1533">
        <v>0.29775612279229802</v>
      </c>
      <c r="H1533">
        <v>0.17045089405156</v>
      </c>
      <c r="I1533">
        <v>9.8929791409792703E-2</v>
      </c>
      <c r="J1533">
        <v>8.9581999910881602E-2</v>
      </c>
      <c r="K1533">
        <v>8.6496100641491103E-2</v>
      </c>
      <c r="L1533">
        <v>519.74106678135797</v>
      </c>
      <c r="M1533">
        <v>10.409786335811001</v>
      </c>
      <c r="N1533">
        <v>49.928116968986998</v>
      </c>
      <c r="O1533">
        <v>48.191036185957103</v>
      </c>
      <c r="P1533">
        <v>-5.40252192815147E-2</v>
      </c>
      <c r="Q1533">
        <v>0</v>
      </c>
      <c r="R1533">
        <v>0.97538376723689602</v>
      </c>
      <c r="S1533" t="s">
        <v>7116</v>
      </c>
      <c r="T1533" t="s">
        <v>11164</v>
      </c>
      <c r="U1533" t="s">
        <v>11164</v>
      </c>
      <c r="V1533" t="s">
        <v>11164</v>
      </c>
      <c r="W1533" t="s">
        <v>12666</v>
      </c>
      <c r="X1533">
        <v>4</v>
      </c>
      <c r="Y1533" t="s">
        <v>18193</v>
      </c>
      <c r="Z1533" t="s">
        <v>23683</v>
      </c>
      <c r="AA1533">
        <v>0.46378850835347391</v>
      </c>
      <c r="AB1533" t="str">
        <f>HYPERLINK("Melting_Curves/meltCurve_O75794_CDC123.pdf", "Melting_Curves/meltCurve_O75794_CDC123.pdf")</f>
        <v>Melting_Curves/meltCurve_O75794_CDC123.pdf</v>
      </c>
    </row>
    <row r="1534" spans="1:28" x14ac:dyDescent="0.25">
      <c r="A1534" t="s">
        <v>1538</v>
      </c>
      <c r="B1534">
        <v>0.99796759195183404</v>
      </c>
      <c r="C1534">
        <v>1.1774975681136299</v>
      </c>
      <c r="D1534">
        <v>0.92196522261317504</v>
      </c>
      <c r="E1534">
        <v>1.0887077569844801</v>
      </c>
      <c r="F1534">
        <v>0.94883125029488502</v>
      </c>
      <c r="G1534">
        <v>0.31701035967644597</v>
      </c>
      <c r="H1534">
        <v>0.24945468298424001</v>
      </c>
      <c r="I1534">
        <v>0.210488597138625</v>
      </c>
      <c r="J1534">
        <v>0.27686843223968099</v>
      </c>
      <c r="K1534">
        <v>0.24678083403259601</v>
      </c>
      <c r="L1534">
        <v>3675.2777063326498</v>
      </c>
      <c r="M1534">
        <v>70.576596237311094</v>
      </c>
      <c r="N1534">
        <v>52.5786200727959</v>
      </c>
      <c r="O1534">
        <v>52.033258195251399</v>
      </c>
      <c r="P1534">
        <v>-0.25578844598471201</v>
      </c>
      <c r="Q1534">
        <v>0.245670430361628</v>
      </c>
      <c r="R1534">
        <v>0.96862266030388999</v>
      </c>
      <c r="S1534" t="s">
        <v>7117</v>
      </c>
      <c r="T1534" t="s">
        <v>11164</v>
      </c>
      <c r="U1534" t="s">
        <v>11164</v>
      </c>
      <c r="V1534" t="s">
        <v>11164</v>
      </c>
      <c r="W1534" t="s">
        <v>12667</v>
      </c>
      <c r="X1534">
        <v>2</v>
      </c>
      <c r="Y1534" t="s">
        <v>18194</v>
      </c>
      <c r="Z1534" t="s">
        <v>23684</v>
      </c>
      <c r="AA1534">
        <v>0.6255887891165961</v>
      </c>
      <c r="AB1534" t="str">
        <f>HYPERLINK("Melting_Curves/meltCurve_O75808_SOLH.pdf", "Melting_Curves/meltCurve_O75808_SOLH.pdf")</f>
        <v>Melting_Curves/meltCurve_O75808_SOLH.pdf</v>
      </c>
    </row>
    <row r="1535" spans="1:28" x14ac:dyDescent="0.25">
      <c r="A1535" t="s">
        <v>1539</v>
      </c>
      <c r="B1535">
        <v>0.99796759195183404</v>
      </c>
      <c r="C1535">
        <v>1.0191515545987</v>
      </c>
      <c r="D1535">
        <v>1.0168858594780199</v>
      </c>
      <c r="E1535">
        <v>0.900437363434204</v>
      </c>
      <c r="F1535">
        <v>0.750277352218781</v>
      </c>
      <c r="G1535">
        <v>0.76941051726187204</v>
      </c>
      <c r="H1535">
        <v>0.46896084555943901</v>
      </c>
      <c r="I1535">
        <v>0.30127583365428101</v>
      </c>
      <c r="J1535">
        <v>0.239763263154747</v>
      </c>
      <c r="K1535">
        <v>0.19291060106788799</v>
      </c>
      <c r="L1535">
        <v>647.19061200359397</v>
      </c>
      <c r="M1535">
        <v>11.363708816123401</v>
      </c>
      <c r="N1535">
        <v>57.208083101135003</v>
      </c>
      <c r="O1535">
        <v>55.274257266615301</v>
      </c>
      <c r="P1535">
        <v>-5.0139306885762097E-2</v>
      </c>
      <c r="Q1535">
        <v>2.4759105269971E-2</v>
      </c>
      <c r="R1535">
        <v>0.97914412507375503</v>
      </c>
      <c r="S1535" t="s">
        <v>7118</v>
      </c>
      <c r="T1535" t="s">
        <v>11164</v>
      </c>
      <c r="U1535" t="s">
        <v>11164</v>
      </c>
      <c r="V1535" t="s">
        <v>11164</v>
      </c>
      <c r="W1535" t="s">
        <v>12668</v>
      </c>
      <c r="X1535">
        <v>13</v>
      </c>
      <c r="Y1535" t="s">
        <v>18195</v>
      </c>
      <c r="Z1535" t="s">
        <v>23685</v>
      </c>
      <c r="AA1535">
        <v>0.67683996810311597</v>
      </c>
      <c r="AB1535" t="str">
        <f>HYPERLINK("Melting_Curves/meltCurve_O75821_EIF3G.pdf", "Melting_Curves/meltCurve_O75821_EIF3G.pdf")</f>
        <v>Melting_Curves/meltCurve_O75821_EIF3G.pdf</v>
      </c>
    </row>
    <row r="1536" spans="1:28" x14ac:dyDescent="0.25">
      <c r="A1536" t="s">
        <v>1540</v>
      </c>
      <c r="B1536">
        <v>0.99796759195183404</v>
      </c>
      <c r="C1536">
        <v>1.01293959656764</v>
      </c>
      <c r="D1536">
        <v>1.0114621515183899</v>
      </c>
      <c r="E1536">
        <v>0.98942011119417494</v>
      </c>
      <c r="F1536">
        <v>0.87152722176933395</v>
      </c>
      <c r="G1536">
        <v>1.33443257718147</v>
      </c>
      <c r="H1536">
        <v>0.89096798540519995</v>
      </c>
      <c r="I1536">
        <v>0.48260942760727998</v>
      </c>
      <c r="J1536">
        <v>0.35413053384097698</v>
      </c>
      <c r="K1536">
        <v>0.32903177717503401</v>
      </c>
      <c r="L1536">
        <v>3151.6746715545</v>
      </c>
      <c r="M1536">
        <v>52.997725298787003</v>
      </c>
      <c r="N1536">
        <v>60.745019169044198</v>
      </c>
      <c r="O1536">
        <v>59.3836231249132</v>
      </c>
      <c r="P1536">
        <v>-0.14817422705779401</v>
      </c>
      <c r="Q1536">
        <v>0.33588723114577501</v>
      </c>
      <c r="R1536">
        <v>0.86592084277845804</v>
      </c>
      <c r="S1536" t="s">
        <v>7119</v>
      </c>
      <c r="T1536" t="s">
        <v>11164</v>
      </c>
      <c r="U1536" t="s">
        <v>11164</v>
      </c>
      <c r="V1536" t="s">
        <v>11164</v>
      </c>
      <c r="W1536" t="s">
        <v>12669</v>
      </c>
      <c r="X1536">
        <v>6</v>
      </c>
      <c r="Y1536" t="s">
        <v>18196</v>
      </c>
      <c r="Z1536" t="s">
        <v>23686</v>
      </c>
      <c r="AA1536">
        <v>0.83473039441720032</v>
      </c>
      <c r="AB1536" t="str">
        <f>HYPERLINK("Melting_Curves/meltCurve_O75822_EIF3J.pdf", "Melting_Curves/meltCurve_O75822_EIF3J.pdf")</f>
        <v>Melting_Curves/meltCurve_O75822_EIF3J.pdf</v>
      </c>
    </row>
    <row r="1537" spans="1:28" x14ac:dyDescent="0.25">
      <c r="A1537" t="s">
        <v>1541</v>
      </c>
      <c r="B1537">
        <v>0.99796759195183404</v>
      </c>
      <c r="C1537">
        <v>0.97115075272626605</v>
      </c>
      <c r="D1537">
        <v>1.0011632118717599</v>
      </c>
      <c r="E1537">
        <v>0.92406094860477705</v>
      </c>
      <c r="F1537">
        <v>0.81226003932742896</v>
      </c>
      <c r="G1537">
        <v>0.55564700530213595</v>
      </c>
      <c r="H1537">
        <v>0.335932911547138</v>
      </c>
      <c r="I1537">
        <v>0.142277839856879</v>
      </c>
      <c r="J1537">
        <v>9.6402654416663E-2</v>
      </c>
      <c r="K1537">
        <v>8.5371858621997296E-2</v>
      </c>
      <c r="L1537">
        <v>895.96043192097898</v>
      </c>
      <c r="M1537">
        <v>16.460620655377401</v>
      </c>
      <c r="N1537">
        <v>54.611879597548899</v>
      </c>
      <c r="O1537">
        <v>53.646219581575998</v>
      </c>
      <c r="P1537">
        <v>-7.4674243386096906E-2</v>
      </c>
      <c r="Q1537">
        <v>2.65956746841455E-2</v>
      </c>
      <c r="R1537">
        <v>0.99817841975452604</v>
      </c>
      <c r="S1537" t="s">
        <v>7120</v>
      </c>
      <c r="T1537" t="s">
        <v>11164</v>
      </c>
      <c r="U1537" t="s">
        <v>11164</v>
      </c>
      <c r="V1537" t="s">
        <v>11164</v>
      </c>
      <c r="W1537" t="s">
        <v>12670</v>
      </c>
      <c r="X1537">
        <v>12</v>
      </c>
      <c r="Y1537" t="s">
        <v>18197</v>
      </c>
      <c r="Z1537" t="s">
        <v>23687</v>
      </c>
      <c r="AA1537">
        <v>0.6061637612429055</v>
      </c>
      <c r="AB1537" t="str">
        <f>HYPERLINK("Melting_Curves/meltCurve_O75828_CBR3.pdf", "Melting_Curves/meltCurve_O75828_CBR3.pdf")</f>
        <v>Melting_Curves/meltCurve_O75828_CBR3.pdf</v>
      </c>
    </row>
    <row r="1538" spans="1:28" x14ac:dyDescent="0.25">
      <c r="A1538" t="s">
        <v>1542</v>
      </c>
      <c r="B1538">
        <v>0.99796759195183404</v>
      </c>
      <c r="C1538">
        <v>1.13012139349981</v>
      </c>
      <c r="D1538">
        <v>1.08068710866314</v>
      </c>
      <c r="E1538">
        <v>0.98616214763528898</v>
      </c>
      <c r="F1538">
        <v>0.93259040366199497</v>
      </c>
      <c r="G1538">
        <v>0.28885037167653299</v>
      </c>
      <c r="H1538">
        <v>0.25501741956924101</v>
      </c>
      <c r="I1538">
        <v>0.26956000672718999</v>
      </c>
      <c r="J1538">
        <v>0.21563036552534301</v>
      </c>
      <c r="K1538">
        <v>0.18534661920217299</v>
      </c>
      <c r="L1538">
        <v>3621.52759601873</v>
      </c>
      <c r="M1538">
        <v>69.806778643313606</v>
      </c>
      <c r="N1538">
        <v>52.344003849741199</v>
      </c>
      <c r="O1538">
        <v>51.836784200547903</v>
      </c>
      <c r="P1538">
        <v>-0.25891274518286</v>
      </c>
      <c r="Q1538">
        <v>0.230951414981731</v>
      </c>
      <c r="R1538">
        <v>0.98210761470448604</v>
      </c>
      <c r="S1538" t="s">
        <v>7121</v>
      </c>
      <c r="T1538" t="s">
        <v>11164</v>
      </c>
      <c r="U1538" t="s">
        <v>11164</v>
      </c>
      <c r="V1538" t="s">
        <v>11164</v>
      </c>
      <c r="W1538" t="s">
        <v>12671</v>
      </c>
      <c r="X1538">
        <v>2</v>
      </c>
      <c r="Y1538" t="s">
        <v>18198</v>
      </c>
      <c r="Z1538" t="s">
        <v>23688</v>
      </c>
      <c r="AA1538">
        <v>0.61328227741212726</v>
      </c>
      <c r="AB1538" t="str">
        <f>HYPERLINK("Melting_Curves/meltCurve_O75832_PSMD10.pdf", "Melting_Curves/meltCurve_O75832_PSMD10.pdf")</f>
        <v>Melting_Curves/meltCurve_O75832_PSMD10.pdf</v>
      </c>
    </row>
    <row r="1539" spans="1:28" x14ac:dyDescent="0.25">
      <c r="A1539" t="s">
        <v>1543</v>
      </c>
      <c r="B1539">
        <v>0.99796759195183404</v>
      </c>
      <c r="C1539">
        <v>0.91967397699201803</v>
      </c>
      <c r="D1539">
        <v>0.91841644027680702</v>
      </c>
      <c r="E1539">
        <v>0.88470913516192395</v>
      </c>
      <c r="F1539">
        <v>0.79008021408511198</v>
      </c>
      <c r="G1539">
        <v>0.53629354880423596</v>
      </c>
      <c r="H1539">
        <v>0.59947012987384296</v>
      </c>
      <c r="I1539">
        <v>0.53377152885525603</v>
      </c>
      <c r="J1539">
        <v>0.55611681859259698</v>
      </c>
      <c r="K1539">
        <v>0.220876788942163</v>
      </c>
      <c r="L1539">
        <v>349.90126707591702</v>
      </c>
      <c r="M1539">
        <v>5.7968566680574796</v>
      </c>
      <c r="N1539">
        <v>60.360517278584602</v>
      </c>
      <c r="O1539">
        <v>54.338711321006798</v>
      </c>
      <c r="P1539">
        <v>-2.67676304387259E-2</v>
      </c>
      <c r="Q1539">
        <v>0</v>
      </c>
      <c r="R1539">
        <v>0.88276183700296396</v>
      </c>
      <c r="S1539" t="s">
        <v>7122</v>
      </c>
      <c r="T1539" t="s">
        <v>11164</v>
      </c>
      <c r="U1539" t="s">
        <v>11164</v>
      </c>
      <c r="V1539" t="s">
        <v>11164</v>
      </c>
      <c r="W1539" t="s">
        <v>12672</v>
      </c>
      <c r="X1539">
        <v>10</v>
      </c>
      <c r="Y1539" t="s">
        <v>18199</v>
      </c>
      <c r="Z1539" t="s">
        <v>23689</v>
      </c>
      <c r="AA1539">
        <v>0.70023603868168283</v>
      </c>
      <c r="AB1539" t="str">
        <f>HYPERLINK("Melting_Curves/meltCurve_O75844_ZMPSTE24.pdf", "Melting_Curves/meltCurve_O75844_ZMPSTE24.pdf")</f>
        <v>Melting_Curves/meltCurve_O75844_ZMPSTE24.pdf</v>
      </c>
    </row>
    <row r="1540" spans="1:28" x14ac:dyDescent="0.25">
      <c r="A1540" t="s">
        <v>1544</v>
      </c>
      <c r="B1540">
        <v>0.99796759195183404</v>
      </c>
      <c r="C1540">
        <v>0.94212848372422098</v>
      </c>
      <c r="D1540">
        <v>0.91714504528736496</v>
      </c>
      <c r="E1540">
        <v>0.92282493211233096</v>
      </c>
      <c r="F1540">
        <v>0.79878456634851402</v>
      </c>
      <c r="G1540">
        <v>0.674626418591601</v>
      </c>
      <c r="H1540">
        <v>0.56460735910816595</v>
      </c>
      <c r="I1540">
        <v>0.43062562337939198</v>
      </c>
      <c r="J1540">
        <v>0.117717429415907</v>
      </c>
      <c r="K1540">
        <v>8.2674975396976297E-2</v>
      </c>
      <c r="L1540">
        <v>686.75877575940297</v>
      </c>
      <c r="M1540">
        <v>11.968568765057499</v>
      </c>
      <c r="N1540">
        <v>57.380192278591203</v>
      </c>
      <c r="O1540">
        <v>55.848703684304503</v>
      </c>
      <c r="P1540">
        <v>-5.3588905260162703E-2</v>
      </c>
      <c r="Q1540">
        <v>0</v>
      </c>
      <c r="R1540">
        <v>0.96131594197438897</v>
      </c>
      <c r="S1540" t="s">
        <v>7123</v>
      </c>
      <c r="T1540" t="s">
        <v>11164</v>
      </c>
      <c r="U1540" t="s">
        <v>11164</v>
      </c>
      <c r="V1540" t="s">
        <v>11164</v>
      </c>
      <c r="W1540" t="s">
        <v>12673</v>
      </c>
      <c r="X1540">
        <v>22</v>
      </c>
      <c r="Y1540" t="s">
        <v>18200</v>
      </c>
      <c r="Z1540" t="s">
        <v>23690</v>
      </c>
      <c r="AA1540">
        <v>0.68174448491114814</v>
      </c>
      <c r="AB1540" t="str">
        <f>HYPERLINK("Melting_Curves/meltCurve_O75874_IDH1.pdf", "Melting_Curves/meltCurve_O75874_IDH1.pdf")</f>
        <v>Melting_Curves/meltCurve_O75874_IDH1.pdf</v>
      </c>
    </row>
    <row r="1541" spans="1:28" x14ac:dyDescent="0.25">
      <c r="A1541" t="s">
        <v>1545</v>
      </c>
      <c r="B1541">
        <v>0.99796759195183404</v>
      </c>
      <c r="C1541">
        <v>0.95302854574418505</v>
      </c>
      <c r="D1541">
        <v>0.79645656131777498</v>
      </c>
      <c r="E1541">
        <v>0.88256649640193896</v>
      </c>
      <c r="F1541">
        <v>0.93593333992363903</v>
      </c>
      <c r="G1541">
        <v>0.881719706311064</v>
      </c>
      <c r="H1541">
        <v>0.82064628099644898</v>
      </c>
      <c r="I1541">
        <v>0.60040826974152095</v>
      </c>
      <c r="J1541">
        <v>0.54081249340642801</v>
      </c>
      <c r="K1541">
        <v>0.395425587730099</v>
      </c>
      <c r="L1541">
        <v>563.84283309239504</v>
      </c>
      <c r="M1541">
        <v>8.7026683725656202</v>
      </c>
      <c r="N1541">
        <v>64.789649280142598</v>
      </c>
      <c r="O1541">
        <v>61.6414511337844</v>
      </c>
      <c r="P1541">
        <v>-3.5324628205545598E-2</v>
      </c>
      <c r="Q1541">
        <v>0</v>
      </c>
      <c r="R1541">
        <v>0.85255664131824305</v>
      </c>
      <c r="S1541" t="s">
        <v>7124</v>
      </c>
      <c r="T1541" t="s">
        <v>11164</v>
      </c>
      <c r="U1541" t="s">
        <v>11164</v>
      </c>
      <c r="V1541" t="s">
        <v>11164</v>
      </c>
      <c r="W1541" t="s">
        <v>12674</v>
      </c>
      <c r="X1541">
        <v>2</v>
      </c>
      <c r="Y1541" t="s">
        <v>18201</v>
      </c>
      <c r="Z1541" t="s">
        <v>23691</v>
      </c>
      <c r="AA1541">
        <v>0.82328233351246227</v>
      </c>
      <c r="AB1541" t="str">
        <f>HYPERLINK("Melting_Curves/meltCurve_O75882_3_ATRN.pdf", "Melting_Curves/meltCurve_O75882_3_ATRN.pdf")</f>
        <v>Melting_Curves/meltCurve_O75882_3_ATRN.pdf</v>
      </c>
    </row>
    <row r="1542" spans="1:28" x14ac:dyDescent="0.25">
      <c r="A1542" t="s">
        <v>1546</v>
      </c>
      <c r="B1542">
        <v>0.99796759195183404</v>
      </c>
      <c r="C1542">
        <v>0.87957835753176095</v>
      </c>
      <c r="D1542">
        <v>0.88524583025943604</v>
      </c>
      <c r="E1542">
        <v>0.80876924003513995</v>
      </c>
      <c r="F1542">
        <v>0.69323760134666601</v>
      </c>
      <c r="G1542">
        <v>0.42995529772355801</v>
      </c>
      <c r="H1542">
        <v>0.230057548942422</v>
      </c>
      <c r="I1542">
        <v>0.192759960217042</v>
      </c>
      <c r="J1542">
        <v>0.142905390682177</v>
      </c>
      <c r="K1542">
        <v>9.1688817033250394E-2</v>
      </c>
      <c r="L1542">
        <v>570.01920676919895</v>
      </c>
      <c r="M1542">
        <v>10.832816071982901</v>
      </c>
      <c r="N1542">
        <v>52.6196699891346</v>
      </c>
      <c r="O1542">
        <v>50.921731085770197</v>
      </c>
      <c r="P1542">
        <v>-5.3202691728695899E-2</v>
      </c>
      <c r="Q1542">
        <v>0</v>
      </c>
      <c r="R1542">
        <v>0.98446778395693302</v>
      </c>
      <c r="S1542" t="s">
        <v>7125</v>
      </c>
      <c r="T1542" t="s">
        <v>11164</v>
      </c>
      <c r="U1542" t="s">
        <v>11164</v>
      </c>
      <c r="V1542" t="s">
        <v>11164</v>
      </c>
      <c r="W1542" t="s">
        <v>12675</v>
      </c>
      <c r="X1542">
        <v>3</v>
      </c>
      <c r="Y1542" t="s">
        <v>18202</v>
      </c>
      <c r="Z1542" t="s">
        <v>23692</v>
      </c>
      <c r="AA1542">
        <v>0.54404760071960334</v>
      </c>
      <c r="AB1542" t="str">
        <f>HYPERLINK("Melting_Curves/meltCurve_O75884_RBBP9.pdf", "Melting_Curves/meltCurve_O75884_RBBP9.pdf")</f>
        <v>Melting_Curves/meltCurve_O75884_RBBP9.pdf</v>
      </c>
    </row>
    <row r="1543" spans="1:28" x14ac:dyDescent="0.25">
      <c r="A1543" t="s">
        <v>1547</v>
      </c>
      <c r="B1543">
        <v>0.99796759195183404</v>
      </c>
      <c r="C1543">
        <v>0.96711873529603398</v>
      </c>
      <c r="D1543">
        <v>0.98121964876531598</v>
      </c>
      <c r="E1543">
        <v>0.95586984136003195</v>
      </c>
      <c r="F1543">
        <v>0.82002858854399296</v>
      </c>
      <c r="G1543">
        <v>0.45315153257740098</v>
      </c>
      <c r="H1543">
        <v>0.25909485452504799</v>
      </c>
      <c r="I1543">
        <v>0.226429482892571</v>
      </c>
      <c r="J1543">
        <v>0.15146658231087201</v>
      </c>
      <c r="K1543">
        <v>0.102019430104851</v>
      </c>
      <c r="L1543">
        <v>1213.6550782802699</v>
      </c>
      <c r="M1543">
        <v>22.988780657633299</v>
      </c>
      <c r="N1543">
        <v>53.542709121338298</v>
      </c>
      <c r="O1543">
        <v>52.3987555893098</v>
      </c>
      <c r="P1543">
        <v>-9.4596597928092996E-2</v>
      </c>
      <c r="Q1543">
        <v>0.137553128086049</v>
      </c>
      <c r="R1543">
        <v>0.99494593932412401</v>
      </c>
      <c r="S1543" t="s">
        <v>7126</v>
      </c>
      <c r="T1543" t="s">
        <v>11164</v>
      </c>
      <c r="U1543" t="s">
        <v>11164</v>
      </c>
      <c r="V1543" t="s">
        <v>11164</v>
      </c>
      <c r="W1543" t="s">
        <v>12676</v>
      </c>
      <c r="X1543">
        <v>8</v>
      </c>
      <c r="Y1543" t="s">
        <v>18203</v>
      </c>
      <c r="Z1543" t="s">
        <v>23693</v>
      </c>
      <c r="AA1543">
        <v>0.60037933977198676</v>
      </c>
      <c r="AB1543" t="str">
        <f>HYPERLINK("Melting_Curves/meltCurve_O75886_STAM2.pdf", "Melting_Curves/meltCurve_O75886_STAM2.pdf")</f>
        <v>Melting_Curves/meltCurve_O75886_STAM2.pdf</v>
      </c>
    </row>
    <row r="1544" spans="1:28" x14ac:dyDescent="0.25">
      <c r="A1544" t="s">
        <v>1548</v>
      </c>
      <c r="B1544">
        <v>0.99796759195183404</v>
      </c>
      <c r="C1544">
        <v>0.98979228862328394</v>
      </c>
      <c r="D1544">
        <v>0.99734430647299299</v>
      </c>
      <c r="E1544">
        <v>1.0141532517690801</v>
      </c>
      <c r="F1544">
        <v>0.85620576734192499</v>
      </c>
      <c r="G1544">
        <v>0.60611284400722498</v>
      </c>
      <c r="H1544">
        <v>0.68236492424932105</v>
      </c>
      <c r="I1544">
        <v>0.61687662078854399</v>
      </c>
      <c r="J1544">
        <v>0.63748565090801002</v>
      </c>
      <c r="K1544">
        <v>0.47404698339930901</v>
      </c>
      <c r="L1544">
        <v>4486.1963497107499</v>
      </c>
      <c r="M1544">
        <v>88.799960886318999</v>
      </c>
      <c r="O1544">
        <v>50.494646039635001</v>
      </c>
      <c r="P1544">
        <v>-0.17453316648421699</v>
      </c>
      <c r="Q1544">
        <v>0.60301830756752295</v>
      </c>
      <c r="R1544">
        <v>0.93503699099849602</v>
      </c>
      <c r="S1544" t="s">
        <v>7127</v>
      </c>
      <c r="T1544" t="s">
        <v>11164</v>
      </c>
      <c r="U1544" t="s">
        <v>11164</v>
      </c>
      <c r="V1544" t="s">
        <v>11164</v>
      </c>
      <c r="W1544" t="s">
        <v>12677</v>
      </c>
      <c r="X1544">
        <v>9</v>
      </c>
      <c r="Y1544" t="s">
        <v>18204</v>
      </c>
      <c r="Z1544" t="s">
        <v>23694</v>
      </c>
      <c r="AA1544">
        <v>0.78220745351941123</v>
      </c>
      <c r="AB1544" t="str">
        <f>HYPERLINK("Melting_Curves/meltCurve_O75915_ARL6IP5.pdf", "Melting_Curves/meltCurve_O75915_ARL6IP5.pdf")</f>
        <v>Melting_Curves/meltCurve_O75915_ARL6IP5.pdf</v>
      </c>
    </row>
    <row r="1545" spans="1:28" x14ac:dyDescent="0.25">
      <c r="A1545" t="s">
        <v>1549</v>
      </c>
      <c r="B1545">
        <v>0.99796759195183404</v>
      </c>
      <c r="C1545">
        <v>0.97430375734449703</v>
      </c>
      <c r="D1545">
        <v>0.93951004534425697</v>
      </c>
      <c r="E1545">
        <v>0.85680852333542201</v>
      </c>
      <c r="F1545">
        <v>0.59486677149915002</v>
      </c>
      <c r="G1545">
        <v>0.29737147472564601</v>
      </c>
      <c r="H1545">
        <v>0.19659214288486901</v>
      </c>
      <c r="I1545">
        <v>0.18570919811575101</v>
      </c>
      <c r="J1545">
        <v>0.126703985900671</v>
      </c>
      <c r="K1545">
        <v>0.114111227827164</v>
      </c>
      <c r="L1545">
        <v>979.46579895925197</v>
      </c>
      <c r="M1545">
        <v>19.424516878087601</v>
      </c>
      <c r="N1545">
        <v>51.154861450149497</v>
      </c>
      <c r="O1545">
        <v>49.898884680218401</v>
      </c>
      <c r="P1545">
        <v>-8.5533090787792102E-2</v>
      </c>
      <c r="Q1545">
        <v>0.121141369244914</v>
      </c>
      <c r="R1545">
        <v>0.99716135711547504</v>
      </c>
      <c r="S1545" t="s">
        <v>7128</v>
      </c>
      <c r="T1545" t="s">
        <v>11164</v>
      </c>
      <c r="U1545" t="s">
        <v>11164</v>
      </c>
      <c r="V1545" t="s">
        <v>11164</v>
      </c>
      <c r="W1545" t="s">
        <v>12678</v>
      </c>
      <c r="X1545">
        <v>2</v>
      </c>
      <c r="Y1545" t="s">
        <v>18205</v>
      </c>
      <c r="Z1545" t="s">
        <v>23695</v>
      </c>
      <c r="AA1545">
        <v>0.52655025881707718</v>
      </c>
      <c r="AB1545" t="str">
        <f>HYPERLINK("Melting_Curves/meltCurve_O75928_3_PIAS2.pdf", "Melting_Curves/meltCurve_O75928_3_PIAS2.pdf")</f>
        <v>Melting_Curves/meltCurve_O75928_3_PIAS2.pdf</v>
      </c>
    </row>
    <row r="1546" spans="1:28" x14ac:dyDescent="0.25">
      <c r="A1546" t="s">
        <v>1550</v>
      </c>
      <c r="B1546">
        <v>0.99796759195183404</v>
      </c>
      <c r="C1546">
        <v>0.984316685931657</v>
      </c>
      <c r="D1546">
        <v>1.04365179395819</v>
      </c>
      <c r="E1546">
        <v>0.88118213560959402</v>
      </c>
      <c r="F1546">
        <v>0.93751207926375801</v>
      </c>
      <c r="G1546">
        <v>1.16407597719974</v>
      </c>
      <c r="H1546">
        <v>0.77365037782506496</v>
      </c>
      <c r="I1546">
        <v>0.43475408566333001</v>
      </c>
      <c r="J1546">
        <v>0.202956953862451</v>
      </c>
      <c r="K1546">
        <v>0.35289857143671299</v>
      </c>
      <c r="L1546">
        <v>2722.25627597117</v>
      </c>
      <c r="M1546">
        <v>46.434351517620001</v>
      </c>
      <c r="N1546">
        <v>59.728437861368498</v>
      </c>
      <c r="O1546">
        <v>58.517488319963597</v>
      </c>
      <c r="P1546">
        <v>-0.141282871993856</v>
      </c>
      <c r="Q1546">
        <v>0.287810934802331</v>
      </c>
      <c r="R1546">
        <v>0.930690415586099</v>
      </c>
      <c r="S1546" t="s">
        <v>7129</v>
      </c>
      <c r="T1546" t="s">
        <v>11164</v>
      </c>
      <c r="U1546" t="s">
        <v>11164</v>
      </c>
      <c r="V1546" t="s">
        <v>11164</v>
      </c>
      <c r="W1546" t="s">
        <v>12679</v>
      </c>
      <c r="X1546">
        <v>4</v>
      </c>
      <c r="Y1546" t="s">
        <v>18206</v>
      </c>
      <c r="Z1546" t="s">
        <v>23696</v>
      </c>
      <c r="AA1546">
        <v>0.8032154109918056</v>
      </c>
      <c r="AB1546" t="str">
        <f>HYPERLINK("Melting_Curves/meltCurve_O75934_BCAS2.pdf", "Melting_Curves/meltCurve_O75934_BCAS2.pdf")</f>
        <v>Melting_Curves/meltCurve_O75934_BCAS2.pdf</v>
      </c>
    </row>
    <row r="1547" spans="1:28" x14ac:dyDescent="0.25">
      <c r="A1547" t="s">
        <v>1551</v>
      </c>
      <c r="B1547">
        <v>0.99796759195183404</v>
      </c>
      <c r="C1547">
        <v>0.97303809146905995</v>
      </c>
      <c r="D1547">
        <v>0.97829950740883798</v>
      </c>
      <c r="E1547">
        <v>0.97626687685010105</v>
      </c>
      <c r="F1547">
        <v>0.775892854232342</v>
      </c>
      <c r="G1547">
        <v>0.414919759588881</v>
      </c>
      <c r="H1547">
        <v>0.25041086280309299</v>
      </c>
      <c r="I1547">
        <v>0.15769555781193201</v>
      </c>
      <c r="J1547">
        <v>0.14304177829034601</v>
      </c>
      <c r="K1547">
        <v>0.130427414008984</v>
      </c>
      <c r="L1547">
        <v>1275.6250420896499</v>
      </c>
      <c r="M1547">
        <v>24.372619333937202</v>
      </c>
      <c r="N1547">
        <v>53.023563797731903</v>
      </c>
      <c r="O1547">
        <v>51.989918855158898</v>
      </c>
      <c r="P1547">
        <v>-0.101369974546216</v>
      </c>
      <c r="Q1547">
        <v>0.13507230499283801</v>
      </c>
      <c r="R1547">
        <v>0.99838825314632895</v>
      </c>
      <c r="S1547" t="s">
        <v>7130</v>
      </c>
      <c r="T1547" t="s">
        <v>11164</v>
      </c>
      <c r="U1547" t="s">
        <v>11164</v>
      </c>
      <c r="V1547" t="s">
        <v>11164</v>
      </c>
      <c r="W1547" t="s">
        <v>12680</v>
      </c>
      <c r="X1547">
        <v>21</v>
      </c>
      <c r="Y1547" t="s">
        <v>18207</v>
      </c>
      <c r="Z1547" t="s">
        <v>23697</v>
      </c>
      <c r="AA1547">
        <v>0.585307444602986</v>
      </c>
      <c r="AB1547" t="str">
        <f>HYPERLINK("Melting_Curves/meltCurve_O75937_DNAJC8.pdf", "Melting_Curves/meltCurve_O75937_DNAJC8.pdf")</f>
        <v>Melting_Curves/meltCurve_O75937_DNAJC8.pdf</v>
      </c>
    </row>
    <row r="1548" spans="1:28" x14ac:dyDescent="0.25">
      <c r="A1548" t="s">
        <v>1552</v>
      </c>
      <c r="B1548">
        <v>0.99796759195183404</v>
      </c>
      <c r="C1548">
        <v>1.0474997563989299</v>
      </c>
      <c r="D1548">
        <v>1.11993891654277</v>
      </c>
      <c r="E1548">
        <v>1.01953024471458</v>
      </c>
      <c r="F1548">
        <v>0.91598286897070802</v>
      </c>
      <c r="G1548">
        <v>0.56779925402494202</v>
      </c>
      <c r="H1548">
        <v>0.84161527260025804</v>
      </c>
      <c r="I1548">
        <v>0.81622413697217</v>
      </c>
      <c r="J1548">
        <v>0.98767479984997897</v>
      </c>
      <c r="K1548">
        <v>0.862576160260215</v>
      </c>
      <c r="L1548">
        <v>12559.1446991257</v>
      </c>
      <c r="M1548">
        <v>250</v>
      </c>
      <c r="O1548">
        <v>50.233364001896199</v>
      </c>
      <c r="P1548">
        <v>-0.22995432536333099</v>
      </c>
      <c r="Q1548">
        <v>0.81517793098870595</v>
      </c>
      <c r="R1548">
        <v>0.49811187846796801</v>
      </c>
      <c r="S1548" t="s">
        <v>7131</v>
      </c>
      <c r="T1548" t="s">
        <v>11164</v>
      </c>
      <c r="U1548" t="s">
        <v>11164</v>
      </c>
      <c r="V1548" t="s">
        <v>11164</v>
      </c>
      <c r="W1548" t="s">
        <v>12681</v>
      </c>
      <c r="X1548">
        <v>6</v>
      </c>
      <c r="Y1548" t="s">
        <v>18208</v>
      </c>
      <c r="Z1548" t="s">
        <v>23698</v>
      </c>
      <c r="AA1548">
        <v>0.89674128837812495</v>
      </c>
      <c r="AB1548" t="str">
        <f>HYPERLINK("Melting_Curves/meltCurve_O75940_SMNDC1.pdf", "Melting_Curves/meltCurve_O75940_SMNDC1.pdf")</f>
        <v>Melting_Curves/meltCurve_O75940_SMNDC1.pdf</v>
      </c>
    </row>
    <row r="1549" spans="1:28" x14ac:dyDescent="0.25">
      <c r="A1549" t="s">
        <v>1553</v>
      </c>
      <c r="B1549">
        <v>0.99796759195183404</v>
      </c>
      <c r="C1549">
        <v>1.0211225656794001</v>
      </c>
      <c r="D1549">
        <v>0.95686010013320799</v>
      </c>
      <c r="E1549">
        <v>0.89117179132151203</v>
      </c>
      <c r="F1549">
        <v>0.76078568530643798</v>
      </c>
      <c r="G1549">
        <v>1.5233035731840401</v>
      </c>
      <c r="H1549">
        <v>1.3480535225085899</v>
      </c>
      <c r="I1549">
        <v>2.1720574233668999</v>
      </c>
      <c r="J1549">
        <v>1.28044291857124</v>
      </c>
      <c r="K1549">
        <v>1.6512509248262801</v>
      </c>
      <c r="L1549">
        <v>8763.0136178157409</v>
      </c>
      <c r="M1549">
        <v>167.63333263132299</v>
      </c>
      <c r="O1549">
        <v>52.267439880805597</v>
      </c>
      <c r="P1549">
        <v>0.40090280638485098</v>
      </c>
      <c r="Q1549">
        <v>1.5</v>
      </c>
      <c r="R1549">
        <v>0.62877099096864597</v>
      </c>
      <c r="S1549" t="s">
        <v>7132</v>
      </c>
      <c r="T1549" t="s">
        <v>11164</v>
      </c>
      <c r="U1549" t="s">
        <v>11164</v>
      </c>
      <c r="V1549" t="s">
        <v>11164</v>
      </c>
      <c r="W1549" t="s">
        <v>12682</v>
      </c>
      <c r="X1549">
        <v>10</v>
      </c>
      <c r="Y1549" t="s">
        <v>18209</v>
      </c>
      <c r="Z1549" t="s">
        <v>23699</v>
      </c>
      <c r="AA1549">
        <v>1.245316490274758</v>
      </c>
      <c r="AB1549" t="str">
        <f>HYPERLINK("Melting_Curves/meltCurve_O75947_ATP5H.pdf", "Melting_Curves/meltCurve_O75947_ATP5H.pdf")</f>
        <v>Melting_Curves/meltCurve_O75947_ATP5H.pdf</v>
      </c>
    </row>
    <row r="1550" spans="1:28" x14ac:dyDescent="0.25">
      <c r="A1550" t="s">
        <v>1554</v>
      </c>
      <c r="B1550">
        <v>0.99796759195183404</v>
      </c>
      <c r="C1550">
        <v>0.98459322508479896</v>
      </c>
      <c r="D1550">
        <v>0.93085260056571695</v>
      </c>
      <c r="E1550">
        <v>0.86981208263055398</v>
      </c>
      <c r="F1550">
        <v>0.743193629172755</v>
      </c>
      <c r="G1550">
        <v>1.1012948672884599</v>
      </c>
      <c r="H1550">
        <v>1.0243802014271799</v>
      </c>
      <c r="I1550">
        <v>1.3680730933497101</v>
      </c>
      <c r="J1550">
        <v>0.76118807792296495</v>
      </c>
      <c r="K1550">
        <v>0.44751832263455499</v>
      </c>
      <c r="L1550">
        <v>15000</v>
      </c>
      <c r="M1550">
        <v>233.73654133677499</v>
      </c>
      <c r="N1550">
        <v>64.799582077102798</v>
      </c>
      <c r="O1550">
        <v>64.170125459355901</v>
      </c>
      <c r="P1550">
        <v>-0.50312462538699199</v>
      </c>
      <c r="Q1550">
        <v>0.44748788842276499</v>
      </c>
      <c r="R1550">
        <v>0.56381549956228905</v>
      </c>
      <c r="S1550" t="s">
        <v>7133</v>
      </c>
      <c r="T1550" t="s">
        <v>11164</v>
      </c>
      <c r="U1550" t="s">
        <v>11164</v>
      </c>
      <c r="V1550" t="s">
        <v>11164</v>
      </c>
      <c r="W1550" t="s">
        <v>12683</v>
      </c>
      <c r="X1550">
        <v>4</v>
      </c>
      <c r="Y1550" t="s">
        <v>18210</v>
      </c>
      <c r="Z1550" t="s">
        <v>23700</v>
      </c>
      <c r="AA1550">
        <v>0.94803932284756032</v>
      </c>
      <c r="AB1550" t="str">
        <f>HYPERLINK("Melting_Curves/meltCurve_O75964_ATP5L.pdf", "Melting_Curves/meltCurve_O75964_ATP5L.pdf")</f>
        <v>Melting_Curves/meltCurve_O75964_ATP5L.pdf</v>
      </c>
    </row>
    <row r="1551" spans="1:28" x14ac:dyDescent="0.25">
      <c r="A1551" t="s">
        <v>1555</v>
      </c>
      <c r="B1551">
        <v>0.99796759195183404</v>
      </c>
      <c r="C1551">
        <v>1.0343715470175601</v>
      </c>
      <c r="D1551">
        <v>1.01894294869882</v>
      </c>
      <c r="E1551">
        <v>0.95173786005446903</v>
      </c>
      <c r="F1551">
        <v>0.83513685023464701</v>
      </c>
      <c r="G1551">
        <v>0.686825558856753</v>
      </c>
      <c r="H1551">
        <v>0.42771606692083303</v>
      </c>
      <c r="I1551">
        <v>0.369561622164017</v>
      </c>
      <c r="J1551">
        <v>0.24565545748311801</v>
      </c>
      <c r="K1551">
        <v>0.15997334165212801</v>
      </c>
      <c r="L1551">
        <v>765.62675027800697</v>
      </c>
      <c r="M1551">
        <v>13.6796433330762</v>
      </c>
      <c r="N1551">
        <v>56.902071653106098</v>
      </c>
      <c r="O1551">
        <v>54.812939830640097</v>
      </c>
      <c r="P1551">
        <v>-5.6127998340768002E-2</v>
      </c>
      <c r="Q1551">
        <v>0.100533617458452</v>
      </c>
      <c r="R1551">
        <v>0.99215130911587002</v>
      </c>
      <c r="S1551" t="s">
        <v>7134</v>
      </c>
      <c r="T1551" t="s">
        <v>11164</v>
      </c>
      <c r="U1551" t="s">
        <v>11164</v>
      </c>
      <c r="V1551" t="s">
        <v>11164</v>
      </c>
      <c r="W1551" t="s">
        <v>12684</v>
      </c>
      <c r="X1551">
        <v>20</v>
      </c>
      <c r="Y1551" t="s">
        <v>18211</v>
      </c>
      <c r="Z1551" t="s">
        <v>23701</v>
      </c>
      <c r="AA1551">
        <v>0.67935310960978701</v>
      </c>
      <c r="AB1551" t="str">
        <f>HYPERLINK("Melting_Curves/meltCurve_O75976_CPD.pdf", "Melting_Curves/meltCurve_O75976_CPD.pdf")</f>
        <v>Melting_Curves/meltCurve_O75976_CPD.pdf</v>
      </c>
    </row>
    <row r="1552" spans="1:28" x14ac:dyDescent="0.25">
      <c r="A1552" t="s">
        <v>1556</v>
      </c>
      <c r="B1552">
        <v>0.99796759195183404</v>
      </c>
      <c r="C1552">
        <v>1.0346459655709399</v>
      </c>
      <c r="D1552">
        <v>1.06584414031122</v>
      </c>
      <c r="E1552">
        <v>1.00321855039021</v>
      </c>
      <c r="F1552">
        <v>0.83630665939095405</v>
      </c>
      <c r="G1552">
        <v>0.37062233373953102</v>
      </c>
      <c r="H1552">
        <v>0.236323419770086</v>
      </c>
      <c r="I1552">
        <v>0.18197485737637101</v>
      </c>
      <c r="J1552">
        <v>0.138466866384897</v>
      </c>
      <c r="K1552">
        <v>9.8326845192889104E-2</v>
      </c>
      <c r="L1552">
        <v>1717.30222580195</v>
      </c>
      <c r="M1552">
        <v>32.832674843992201</v>
      </c>
      <c r="N1552">
        <v>52.862537976154499</v>
      </c>
      <c r="O1552">
        <v>52.111775895205703</v>
      </c>
      <c r="P1552">
        <v>-0.134448877647243</v>
      </c>
      <c r="Q1552">
        <v>0.14641882594002301</v>
      </c>
      <c r="R1552">
        <v>0.992650733872813</v>
      </c>
      <c r="S1552" t="s">
        <v>7135</v>
      </c>
      <c r="T1552" t="s">
        <v>11164</v>
      </c>
      <c r="U1552" t="s">
        <v>11164</v>
      </c>
      <c r="V1552" t="s">
        <v>11164</v>
      </c>
      <c r="W1552" t="s">
        <v>12685</v>
      </c>
      <c r="X1552">
        <v>13</v>
      </c>
      <c r="Y1552" t="s">
        <v>18212</v>
      </c>
      <c r="Z1552" t="s">
        <v>23702</v>
      </c>
      <c r="AA1552">
        <v>0.58641958236141511</v>
      </c>
      <c r="AB1552" t="str">
        <f>HYPERLINK("Melting_Curves/meltCurve_O76003_GLRX3.pdf", "Melting_Curves/meltCurve_O76003_GLRX3.pdf")</f>
        <v>Melting_Curves/meltCurve_O76003_GLRX3.pdf</v>
      </c>
    </row>
    <row r="1553" spans="1:28" x14ac:dyDescent="0.25">
      <c r="A1553" t="s">
        <v>1557</v>
      </c>
      <c r="B1553">
        <v>0.99796759195183404</v>
      </c>
      <c r="C1553">
        <v>0.89025449227255105</v>
      </c>
      <c r="D1553">
        <v>0.90308119101558504</v>
      </c>
      <c r="E1553">
        <v>0.83794423189914202</v>
      </c>
      <c r="F1553">
        <v>0.76048375568401805</v>
      </c>
      <c r="G1553">
        <v>0.64622497169965298</v>
      </c>
      <c r="H1553">
        <v>0.24123280905467101</v>
      </c>
      <c r="I1553">
        <v>0.16882326549760801</v>
      </c>
      <c r="J1553">
        <v>0.15253607622221599</v>
      </c>
      <c r="K1553">
        <v>0.119721387153004</v>
      </c>
      <c r="L1553">
        <v>671.55527367579998</v>
      </c>
      <c r="M1553">
        <v>12.3491285040532</v>
      </c>
      <c r="N1553">
        <v>54.380802310937497</v>
      </c>
      <c r="O1553">
        <v>53.013786233476601</v>
      </c>
      <c r="P1553">
        <v>-5.8248020514413801E-2</v>
      </c>
      <c r="Q1553">
        <v>0</v>
      </c>
      <c r="R1553">
        <v>0.96344493383312202</v>
      </c>
      <c r="S1553" t="s">
        <v>7136</v>
      </c>
      <c r="T1553" t="s">
        <v>11164</v>
      </c>
      <c r="U1553" t="s">
        <v>11164</v>
      </c>
      <c r="V1553" t="s">
        <v>11164</v>
      </c>
      <c r="W1553" t="s">
        <v>12686</v>
      </c>
      <c r="X1553">
        <v>5</v>
      </c>
      <c r="Y1553" t="s">
        <v>18213</v>
      </c>
      <c r="Z1553" t="s">
        <v>23703</v>
      </c>
      <c r="AA1553">
        <v>0.5959102463649677</v>
      </c>
      <c r="AB1553" t="str">
        <f>HYPERLINK("Melting_Curves/meltCurve_O76024_WFS1.pdf", "Melting_Curves/meltCurve_O76024_WFS1.pdf")</f>
        <v>Melting_Curves/meltCurve_O76024_WFS1.pdf</v>
      </c>
    </row>
    <row r="1554" spans="1:28" x14ac:dyDescent="0.25">
      <c r="A1554" t="s">
        <v>1558</v>
      </c>
      <c r="B1554">
        <v>0.99796759195183404</v>
      </c>
      <c r="C1554">
        <v>0.96054773423439599</v>
      </c>
      <c r="D1554">
        <v>0.97188267110908999</v>
      </c>
      <c r="E1554">
        <v>0.83092244183172503</v>
      </c>
      <c r="F1554">
        <v>0.67886644252262196</v>
      </c>
      <c r="G1554">
        <v>0.358501802942293</v>
      </c>
      <c r="H1554">
        <v>0.21553599440493901</v>
      </c>
      <c r="I1554">
        <v>0.16542270300206499</v>
      </c>
      <c r="J1554">
        <v>0.135512652951844</v>
      </c>
      <c r="K1554">
        <v>8.1472428599449406E-2</v>
      </c>
      <c r="L1554">
        <v>842.90997654206603</v>
      </c>
      <c r="M1554">
        <v>16.363958520979999</v>
      </c>
      <c r="N1554">
        <v>52.072192362408003</v>
      </c>
      <c r="O1554">
        <v>50.759332086136503</v>
      </c>
      <c r="P1554">
        <v>-7.4076787540324304E-2</v>
      </c>
      <c r="Q1554">
        <v>8.0951400111533497E-2</v>
      </c>
      <c r="R1554">
        <v>0.99575237930548499</v>
      </c>
      <c r="S1554" t="s">
        <v>7137</v>
      </c>
      <c r="T1554" t="s">
        <v>11164</v>
      </c>
      <c r="U1554" t="s">
        <v>11164</v>
      </c>
      <c r="V1554" t="s">
        <v>11164</v>
      </c>
      <c r="W1554" t="s">
        <v>12687</v>
      </c>
      <c r="X1554">
        <v>14</v>
      </c>
      <c r="Y1554" t="s">
        <v>18214</v>
      </c>
      <c r="Z1554" t="s">
        <v>23704</v>
      </c>
      <c r="AA1554">
        <v>0.54160730190080686</v>
      </c>
      <c r="AB1554" t="str">
        <f>HYPERLINK("Melting_Curves/meltCurve_O76031_CLPX.pdf", "Melting_Curves/meltCurve_O76031_CLPX.pdf")</f>
        <v>Melting_Curves/meltCurve_O76031_CLPX.pdf</v>
      </c>
    </row>
    <row r="1555" spans="1:28" x14ac:dyDescent="0.25">
      <c r="A1555" t="s">
        <v>1559</v>
      </c>
      <c r="B1555">
        <v>0.99796759195183404</v>
      </c>
      <c r="C1555">
        <v>1.04625397667651</v>
      </c>
      <c r="D1555">
        <v>1.0443773877410001</v>
      </c>
      <c r="E1555">
        <v>0.94917979981473999</v>
      </c>
      <c r="F1555">
        <v>0.87063360917636601</v>
      </c>
      <c r="G1555">
        <v>0.62670929873695203</v>
      </c>
      <c r="H1555">
        <v>0.51169017250783499</v>
      </c>
      <c r="I1555">
        <v>0.45868868112364602</v>
      </c>
      <c r="J1555">
        <v>0.55177651269817496</v>
      </c>
      <c r="K1555">
        <v>0.51184799740639497</v>
      </c>
      <c r="L1555">
        <v>1608.8587740278001</v>
      </c>
      <c r="M1555">
        <v>31.0558224978707</v>
      </c>
      <c r="O1555">
        <v>51.591999790167897</v>
      </c>
      <c r="P1555">
        <v>-7.4880773293750702E-2</v>
      </c>
      <c r="Q1555">
        <v>0.50241512416231005</v>
      </c>
      <c r="R1555">
        <v>0.98076146104578998</v>
      </c>
      <c r="S1555" t="s">
        <v>7138</v>
      </c>
      <c r="T1555" t="s">
        <v>11164</v>
      </c>
      <c r="U1555" t="s">
        <v>11164</v>
      </c>
      <c r="V1555" t="s">
        <v>11164</v>
      </c>
      <c r="W1555" t="s">
        <v>12688</v>
      </c>
      <c r="X1555">
        <v>6</v>
      </c>
      <c r="Y1555" t="s">
        <v>18215</v>
      </c>
      <c r="Z1555" t="s">
        <v>23705</v>
      </c>
      <c r="AA1555">
        <v>0.7509098025580303</v>
      </c>
      <c r="AB1555" t="str">
        <f>HYPERLINK("Melting_Curves/meltCurve_O76041_2_NEBL.pdf", "Melting_Curves/meltCurve_O76041_2_NEBL.pdf")</f>
        <v>Melting_Curves/meltCurve_O76041_2_NEBL.pdf</v>
      </c>
    </row>
    <row r="1556" spans="1:28" x14ac:dyDescent="0.25">
      <c r="A1556" t="s">
        <v>1560</v>
      </c>
      <c r="B1556">
        <v>0.99796759195183404</v>
      </c>
      <c r="C1556">
        <v>0.84679741989041601</v>
      </c>
      <c r="D1556">
        <v>0.80537706969552403</v>
      </c>
      <c r="E1556">
        <v>0.80073295822570301</v>
      </c>
      <c r="F1556">
        <v>0.69992490584752698</v>
      </c>
      <c r="G1556">
        <v>0.45773698418676301</v>
      </c>
      <c r="H1556">
        <v>0.59993301134119803</v>
      </c>
      <c r="I1556">
        <v>0.56744774088263195</v>
      </c>
      <c r="J1556">
        <v>0.57490704580723095</v>
      </c>
      <c r="K1556">
        <v>0.66237390159569998</v>
      </c>
      <c r="L1556">
        <v>518.99959666719599</v>
      </c>
      <c r="M1556">
        <v>11.722626870282699</v>
      </c>
      <c r="O1556">
        <v>43.0438439133085</v>
      </c>
      <c r="P1556">
        <v>-2.9447474904379999E-2</v>
      </c>
      <c r="Q1556">
        <v>0.56760614845498802</v>
      </c>
      <c r="R1556">
        <v>0.803110609000385</v>
      </c>
      <c r="S1556" t="s">
        <v>7139</v>
      </c>
      <c r="T1556" t="s">
        <v>11164</v>
      </c>
      <c r="U1556" t="s">
        <v>11164</v>
      </c>
      <c r="V1556" t="s">
        <v>11164</v>
      </c>
      <c r="W1556" t="s">
        <v>12689</v>
      </c>
      <c r="X1556">
        <v>1</v>
      </c>
      <c r="Y1556" t="s">
        <v>18216</v>
      </c>
      <c r="Z1556" t="s">
        <v>23706</v>
      </c>
      <c r="AA1556">
        <v>0.6895795209983866</v>
      </c>
      <c r="AB1556" t="str">
        <f>HYPERLINK("Melting_Curves/meltCurve_O76070_SNCG.pdf", "Melting_Curves/meltCurve_O76070_SNCG.pdf")</f>
        <v>Melting_Curves/meltCurve_O76070_SNCG.pdf</v>
      </c>
    </row>
    <row r="1557" spans="1:28" x14ac:dyDescent="0.25">
      <c r="A1557" t="s">
        <v>1561</v>
      </c>
      <c r="B1557">
        <v>0.99796759195183404</v>
      </c>
      <c r="C1557">
        <v>0.97431587936771402</v>
      </c>
      <c r="D1557">
        <v>0.952006448535616</v>
      </c>
      <c r="E1557">
        <v>0.90973253750305505</v>
      </c>
      <c r="F1557">
        <v>0.80742281570431396</v>
      </c>
      <c r="G1557">
        <v>0.59643377784297902</v>
      </c>
      <c r="H1557">
        <v>0.41450619517099402</v>
      </c>
      <c r="I1557">
        <v>0.28164409979129901</v>
      </c>
      <c r="J1557">
        <v>0.26910432803868001</v>
      </c>
      <c r="K1557">
        <v>0.13060071843641999</v>
      </c>
      <c r="L1557">
        <v>663.488459695654</v>
      </c>
      <c r="M1557">
        <v>12.0116058215458</v>
      </c>
      <c r="N1557">
        <v>55.876488273688899</v>
      </c>
      <c r="O1557">
        <v>53.773074011766198</v>
      </c>
      <c r="P1557">
        <v>-5.2271841367840598E-2</v>
      </c>
      <c r="Q1557">
        <v>6.4190839568622093E-2</v>
      </c>
      <c r="R1557">
        <v>0.99425945922637504</v>
      </c>
      <c r="S1557" t="s">
        <v>7140</v>
      </c>
      <c r="T1557" t="s">
        <v>11164</v>
      </c>
      <c r="U1557" t="s">
        <v>11164</v>
      </c>
      <c r="V1557" t="s">
        <v>11164</v>
      </c>
      <c r="W1557" t="s">
        <v>12690</v>
      </c>
      <c r="X1557">
        <v>8</v>
      </c>
      <c r="Y1557" t="s">
        <v>18217</v>
      </c>
      <c r="Z1557" t="s">
        <v>23707</v>
      </c>
      <c r="AA1557">
        <v>0.64544220904651961</v>
      </c>
      <c r="AB1557" t="str">
        <f>HYPERLINK("Melting_Curves/meltCurve_O76071_CIAO1.pdf", "Melting_Curves/meltCurve_O76071_CIAO1.pdf")</f>
        <v>Melting_Curves/meltCurve_O76071_CIAO1.pdf</v>
      </c>
    </row>
    <row r="1558" spans="1:28" x14ac:dyDescent="0.25">
      <c r="A1558" t="s">
        <v>1562</v>
      </c>
      <c r="B1558">
        <v>0.99796759195183404</v>
      </c>
      <c r="C1558">
        <v>1.0986396486616301</v>
      </c>
      <c r="D1558">
        <v>1.0815389841910701</v>
      </c>
      <c r="E1558">
        <v>0.91168581616646704</v>
      </c>
      <c r="F1558">
        <v>0.83832383092858198</v>
      </c>
      <c r="G1558">
        <v>0.86584793382213598</v>
      </c>
      <c r="H1558">
        <v>0.51549227223217298</v>
      </c>
      <c r="I1558">
        <v>0.28585161706901102</v>
      </c>
      <c r="J1558">
        <v>0.352839425663037</v>
      </c>
      <c r="K1558">
        <v>0.28241045478658999</v>
      </c>
      <c r="L1558">
        <v>1395.6924540936</v>
      </c>
      <c r="M1558">
        <v>24.956268361580101</v>
      </c>
      <c r="N1558">
        <v>57.722536722260799</v>
      </c>
      <c r="O1558">
        <v>55.5701463447799</v>
      </c>
      <c r="P1558">
        <v>-8.1950388056177104E-2</v>
      </c>
      <c r="Q1558">
        <v>0.27009386455156598</v>
      </c>
      <c r="R1558">
        <v>0.94943615343839605</v>
      </c>
      <c r="S1558" t="s">
        <v>7141</v>
      </c>
      <c r="T1558" t="s">
        <v>11164</v>
      </c>
      <c r="U1558" t="s">
        <v>11164</v>
      </c>
      <c r="V1558" t="s">
        <v>11164</v>
      </c>
      <c r="W1558" t="s">
        <v>12691</v>
      </c>
      <c r="X1558">
        <v>2</v>
      </c>
      <c r="Y1558" t="s">
        <v>18218</v>
      </c>
      <c r="Z1558" t="s">
        <v>23708</v>
      </c>
      <c r="AA1558">
        <v>0.736514011971103</v>
      </c>
      <c r="AB1558" t="str">
        <f>HYPERLINK("Melting_Curves/meltCurve_O76075_2_DFFB.pdf", "Melting_Curves/meltCurve_O76075_2_DFFB.pdf")</f>
        <v>Melting_Curves/meltCurve_O76075_2_DFFB.pdf</v>
      </c>
    </row>
    <row r="1559" spans="1:28" x14ac:dyDescent="0.25">
      <c r="A1559" t="s">
        <v>1563</v>
      </c>
      <c r="B1559">
        <v>0.99796759195183404</v>
      </c>
      <c r="C1559">
        <v>1.0664085883778101</v>
      </c>
      <c r="D1559">
        <v>0.98864093690917099</v>
      </c>
      <c r="E1559">
        <v>1.09154805918213</v>
      </c>
      <c r="F1559">
        <v>0.92801881545456899</v>
      </c>
      <c r="G1559">
        <v>0.69468043407276803</v>
      </c>
      <c r="H1559">
        <v>0.81332850183599703</v>
      </c>
      <c r="I1559">
        <v>0.74819736546714599</v>
      </c>
      <c r="J1559">
        <v>0.90975297287842705</v>
      </c>
      <c r="K1559">
        <v>0.90437783256674698</v>
      </c>
      <c r="L1559">
        <v>12573.0601907811</v>
      </c>
      <c r="M1559">
        <v>250</v>
      </c>
      <c r="O1559">
        <v>50.289022369371501</v>
      </c>
      <c r="P1559">
        <v>-0.23107997533892699</v>
      </c>
      <c r="Q1559">
        <v>0.81406742334655002</v>
      </c>
      <c r="R1559">
        <v>0.681703318188567</v>
      </c>
      <c r="S1559" t="s">
        <v>7142</v>
      </c>
      <c r="T1559" t="s">
        <v>11164</v>
      </c>
      <c r="U1559" t="s">
        <v>11164</v>
      </c>
      <c r="V1559" t="s">
        <v>11164</v>
      </c>
      <c r="W1559" t="s">
        <v>12692</v>
      </c>
      <c r="X1559">
        <v>7</v>
      </c>
      <c r="Y1559" t="s">
        <v>18219</v>
      </c>
      <c r="Z1559" t="s">
        <v>23709</v>
      </c>
      <c r="AA1559">
        <v>0.89646585329904804</v>
      </c>
      <c r="AB1559" t="str">
        <f>HYPERLINK("Melting_Curves/meltCurve_O76080_ZFAND5.pdf", "Melting_Curves/meltCurve_O76080_ZFAND5.pdf")</f>
        <v>Melting_Curves/meltCurve_O76080_ZFAND5.pdf</v>
      </c>
    </row>
    <row r="1560" spans="1:28" x14ac:dyDescent="0.25">
      <c r="A1560" t="s">
        <v>1564</v>
      </c>
      <c r="B1560">
        <v>0.99796759195183404</v>
      </c>
      <c r="C1560">
        <v>1.0599894389427</v>
      </c>
      <c r="D1560">
        <v>1.1416827249883099</v>
      </c>
      <c r="E1560">
        <v>1.10475981112598</v>
      </c>
      <c r="F1560">
        <v>0.82370436964974203</v>
      </c>
      <c r="G1560">
        <v>0.688174804113734</v>
      </c>
      <c r="H1560">
        <v>0.740174529120183</v>
      </c>
      <c r="I1560">
        <v>0.65714522100557105</v>
      </c>
      <c r="J1560">
        <v>0.86248522283409601</v>
      </c>
      <c r="K1560">
        <v>0.63547104212088901</v>
      </c>
      <c r="L1560">
        <v>12524.9401244725</v>
      </c>
      <c r="M1560">
        <v>250</v>
      </c>
      <c r="O1560">
        <v>50.096557817445699</v>
      </c>
      <c r="P1560">
        <v>-0.35345474489099299</v>
      </c>
      <c r="Q1560">
        <v>0.71669016236877603</v>
      </c>
      <c r="R1560">
        <v>0.79804408204336397</v>
      </c>
      <c r="S1560" t="s">
        <v>7143</v>
      </c>
      <c r="T1560" t="s">
        <v>11164</v>
      </c>
      <c r="U1560" t="s">
        <v>11164</v>
      </c>
      <c r="V1560" t="s">
        <v>11164</v>
      </c>
      <c r="W1560" t="s">
        <v>12693</v>
      </c>
      <c r="X1560">
        <v>4</v>
      </c>
      <c r="Y1560" t="s">
        <v>18220</v>
      </c>
      <c r="Z1560" t="s">
        <v>23710</v>
      </c>
      <c r="AA1560">
        <v>0.8404247728434231</v>
      </c>
      <c r="AB1560" t="str">
        <f>HYPERLINK("Melting_Curves/meltCurve_O76095_2_JTB.pdf", "Melting_Curves/meltCurve_O76095_2_JTB.pdf")</f>
        <v>Melting_Curves/meltCurve_O76095_2_JTB.pdf</v>
      </c>
    </row>
    <row r="1561" spans="1:28" x14ac:dyDescent="0.25">
      <c r="A1561" t="s">
        <v>1565</v>
      </c>
      <c r="B1561">
        <v>0.99796759195183404</v>
      </c>
      <c r="C1561">
        <v>0.928179647491854</v>
      </c>
      <c r="D1561">
        <v>0.95672036665017302</v>
      </c>
      <c r="E1561">
        <v>0.95309704715925303</v>
      </c>
      <c r="F1561">
        <v>0.78717774253589001</v>
      </c>
      <c r="G1561">
        <v>0.64172600488288101</v>
      </c>
      <c r="H1561">
        <v>0.60000532730245004</v>
      </c>
      <c r="I1561">
        <v>0.42692358443367801</v>
      </c>
      <c r="J1561">
        <v>0.26368241910092</v>
      </c>
      <c r="K1561">
        <v>0.147398339755209</v>
      </c>
      <c r="L1561">
        <v>575.66573728481103</v>
      </c>
      <c r="M1561">
        <v>9.9137164831193303</v>
      </c>
      <c r="N1561">
        <v>58.067601428879598</v>
      </c>
      <c r="O1561">
        <v>55.8530206027419</v>
      </c>
      <c r="P1561">
        <v>-4.4396426707646201E-2</v>
      </c>
      <c r="Q1561">
        <v>0</v>
      </c>
      <c r="R1561">
        <v>0.97673339725136699</v>
      </c>
      <c r="S1561" t="s">
        <v>7144</v>
      </c>
      <c r="T1561" t="s">
        <v>11164</v>
      </c>
      <c r="U1561" t="s">
        <v>11164</v>
      </c>
      <c r="V1561" t="s">
        <v>11164</v>
      </c>
      <c r="W1561" t="s">
        <v>12694</v>
      </c>
      <c r="X1561">
        <v>10</v>
      </c>
      <c r="Y1561" t="s">
        <v>18221</v>
      </c>
      <c r="Z1561" t="s">
        <v>23711</v>
      </c>
      <c r="AA1561">
        <v>0.69270732464936668</v>
      </c>
      <c r="AB1561" t="str">
        <f>HYPERLINK("Melting_Curves/meltCurve_O94760_DDAH1.pdf", "Melting_Curves/meltCurve_O94760_DDAH1.pdf")</f>
        <v>Melting_Curves/meltCurve_O94760_DDAH1.pdf</v>
      </c>
    </row>
    <row r="1562" spans="1:28" x14ac:dyDescent="0.25">
      <c r="A1562" t="s">
        <v>1566</v>
      </c>
      <c r="B1562">
        <v>0.99796759195183404</v>
      </c>
      <c r="C1562">
        <v>0.99253570195534002</v>
      </c>
      <c r="D1562">
        <v>1.1177303346808201</v>
      </c>
      <c r="E1562">
        <v>0.94819984185459305</v>
      </c>
      <c r="F1562">
        <v>0.796378914503302</v>
      </c>
      <c r="G1562">
        <v>0.64699959528413598</v>
      </c>
      <c r="H1562">
        <v>0.60261798168352698</v>
      </c>
      <c r="I1562">
        <v>0.60988394282590996</v>
      </c>
      <c r="J1562">
        <v>0.44712576819310901</v>
      </c>
      <c r="K1562">
        <v>0.32836822180684999</v>
      </c>
      <c r="L1562">
        <v>578.12496865529704</v>
      </c>
      <c r="M1562">
        <v>10.2805294717539</v>
      </c>
      <c r="N1562">
        <v>61.040755063807801</v>
      </c>
      <c r="O1562">
        <v>54.231834357842601</v>
      </c>
      <c r="P1562">
        <v>-3.4258381479931502E-2</v>
      </c>
      <c r="Q1562">
        <v>0.27743719819062201</v>
      </c>
      <c r="R1562">
        <v>0.92611955205152197</v>
      </c>
      <c r="S1562" t="s">
        <v>7145</v>
      </c>
      <c r="T1562" t="s">
        <v>11164</v>
      </c>
      <c r="U1562" t="s">
        <v>11164</v>
      </c>
      <c r="V1562" t="s">
        <v>11164</v>
      </c>
      <c r="W1562" t="s">
        <v>12695</v>
      </c>
      <c r="X1562">
        <v>2</v>
      </c>
      <c r="Y1562" t="s">
        <v>18222</v>
      </c>
      <c r="Z1562" t="s">
        <v>23712</v>
      </c>
      <c r="AA1562">
        <v>0.74454123201161593</v>
      </c>
      <c r="AB1562" t="str">
        <f>HYPERLINK("Melting_Curves/meltCurve_O94761_RECQL4.pdf", "Melting_Curves/meltCurve_O94761_RECQL4.pdf")</f>
        <v>Melting_Curves/meltCurve_O94761_RECQL4.pdf</v>
      </c>
    </row>
    <row r="1563" spans="1:28" x14ac:dyDescent="0.25">
      <c r="A1563" t="s">
        <v>1567</v>
      </c>
      <c r="B1563">
        <v>0.99796759195183404</v>
      </c>
      <c r="C1563">
        <v>0.92072049926774202</v>
      </c>
      <c r="D1563">
        <v>0.83022727750333403</v>
      </c>
      <c r="E1563">
        <v>0.84807084905045105</v>
      </c>
      <c r="F1563">
        <v>0.81880101939899896</v>
      </c>
      <c r="G1563">
        <v>0.99544501855079204</v>
      </c>
      <c r="H1563">
        <v>1.1545232172716799</v>
      </c>
      <c r="I1563">
        <v>0.97962730845428203</v>
      </c>
      <c r="J1563">
        <v>0.63798211154521001</v>
      </c>
      <c r="K1563">
        <v>0.60000672769637897</v>
      </c>
      <c r="L1563">
        <v>6557.9683816366896</v>
      </c>
      <c r="M1563">
        <v>104.55730811273899</v>
      </c>
      <c r="O1563">
        <v>62.698327015835403</v>
      </c>
      <c r="P1563">
        <v>-0.16692000348685199</v>
      </c>
      <c r="Q1563">
        <v>0.59962214174733997</v>
      </c>
      <c r="R1563">
        <v>0.55516522127466195</v>
      </c>
      <c r="S1563" t="s">
        <v>7146</v>
      </c>
      <c r="T1563" t="s">
        <v>11164</v>
      </c>
      <c r="U1563" t="s">
        <v>11164</v>
      </c>
      <c r="V1563" t="s">
        <v>11164</v>
      </c>
      <c r="W1563" t="s">
        <v>12696</v>
      </c>
      <c r="X1563">
        <v>2</v>
      </c>
      <c r="Y1563" t="s">
        <v>18223</v>
      </c>
      <c r="Z1563" t="s">
        <v>23713</v>
      </c>
      <c r="AA1563">
        <v>0.94313701439872943</v>
      </c>
      <c r="AB1563" t="str">
        <f>HYPERLINK("Melting_Curves/meltCurve_O94763_URI1.pdf", "Melting_Curves/meltCurve_O94763_URI1.pdf")</f>
        <v>Melting_Curves/meltCurve_O94763_URI1.pdf</v>
      </c>
    </row>
    <row r="1564" spans="1:28" x14ac:dyDescent="0.25">
      <c r="A1564" t="s">
        <v>1568</v>
      </c>
      <c r="B1564">
        <v>0.99796759195183404</v>
      </c>
      <c r="C1564">
        <v>1.0324924753856799</v>
      </c>
      <c r="D1564">
        <v>1.08051182573436</v>
      </c>
      <c r="E1564">
        <v>0.86882118064279501</v>
      </c>
      <c r="F1564">
        <v>0.96878844692264998</v>
      </c>
      <c r="G1564">
        <v>0.79756299166353695</v>
      </c>
      <c r="H1564">
        <v>0.43506843043489202</v>
      </c>
      <c r="I1564">
        <v>0.31478890223532602</v>
      </c>
      <c r="J1564">
        <v>0.442437629989473</v>
      </c>
      <c r="K1564">
        <v>0.37830257621740099</v>
      </c>
      <c r="L1564">
        <v>2626.46735972753</v>
      </c>
      <c r="M1564">
        <v>48.107217267387703</v>
      </c>
      <c r="N1564">
        <v>56.246408687065603</v>
      </c>
      <c r="O1564">
        <v>54.502027316767702</v>
      </c>
      <c r="P1564">
        <v>-0.137231020227565</v>
      </c>
      <c r="Q1564">
        <v>0.378109000369107</v>
      </c>
      <c r="R1564">
        <v>0.95939769559675703</v>
      </c>
      <c r="S1564" t="s">
        <v>7147</v>
      </c>
      <c r="T1564" t="s">
        <v>11164</v>
      </c>
      <c r="U1564" t="s">
        <v>11164</v>
      </c>
      <c r="V1564" t="s">
        <v>11164</v>
      </c>
      <c r="W1564" t="s">
        <v>12697</v>
      </c>
      <c r="X1564">
        <v>7</v>
      </c>
      <c r="Y1564" t="s">
        <v>18224</v>
      </c>
      <c r="Z1564" t="s">
        <v>23714</v>
      </c>
      <c r="AA1564">
        <v>0.74448477888021902</v>
      </c>
      <c r="AB1564" t="str">
        <f>HYPERLINK("Melting_Curves/meltCurve_O94766_B3GAT3.pdf", "Melting_Curves/meltCurve_O94766_B3GAT3.pdf")</f>
        <v>Melting_Curves/meltCurve_O94766_B3GAT3.pdf</v>
      </c>
    </row>
    <row r="1565" spans="1:28" x14ac:dyDescent="0.25">
      <c r="A1565" t="s">
        <v>1569</v>
      </c>
      <c r="B1565">
        <v>0.99796759195183404</v>
      </c>
      <c r="C1565">
        <v>0.97151973055527896</v>
      </c>
      <c r="D1565">
        <v>0.89757684310043695</v>
      </c>
      <c r="E1565">
        <v>0.84853582522008997</v>
      </c>
      <c r="F1565">
        <v>0.88975151424892396</v>
      </c>
      <c r="G1565">
        <v>0.83841509832063499</v>
      </c>
      <c r="H1565">
        <v>0.41765186103017299</v>
      </c>
      <c r="I1565">
        <v>0.249242249896267</v>
      </c>
      <c r="J1565">
        <v>0.139094945510604</v>
      </c>
      <c r="K1565">
        <v>0.104894691724954</v>
      </c>
      <c r="L1565">
        <v>1162.70218199704</v>
      </c>
      <c r="M1565">
        <v>20.538808170015599</v>
      </c>
      <c r="N1565">
        <v>56.983723641326499</v>
      </c>
      <c r="O1565">
        <v>56.081549786323798</v>
      </c>
      <c r="P1565">
        <v>-8.5791527029738399E-2</v>
      </c>
      <c r="Q1565">
        <v>6.3006712585072802E-2</v>
      </c>
      <c r="R1565">
        <v>0.96524395507655603</v>
      </c>
      <c r="S1565" t="s">
        <v>7148</v>
      </c>
      <c r="T1565" t="s">
        <v>11164</v>
      </c>
      <c r="U1565" t="s">
        <v>11164</v>
      </c>
      <c r="V1565" t="s">
        <v>11164</v>
      </c>
      <c r="W1565" t="s">
        <v>12698</v>
      </c>
      <c r="X1565">
        <v>5</v>
      </c>
      <c r="Y1565" t="s">
        <v>18225</v>
      </c>
      <c r="Z1565" t="s">
        <v>23715</v>
      </c>
      <c r="AA1565">
        <v>0.68417853168508069</v>
      </c>
      <c r="AB1565" t="str">
        <f>HYPERLINK("Melting_Curves/meltCurve_O94776_MTA2.pdf", "Melting_Curves/meltCurve_O94776_MTA2.pdf")</f>
        <v>Melting_Curves/meltCurve_O94776_MTA2.pdf</v>
      </c>
    </row>
    <row r="1566" spans="1:28" x14ac:dyDescent="0.25">
      <c r="A1566" t="s">
        <v>1570</v>
      </c>
      <c r="B1566">
        <v>0.99796759195183404</v>
      </c>
      <c r="C1566">
        <v>1.18885165252294</v>
      </c>
      <c r="D1566">
        <v>1.1212624458873801</v>
      </c>
      <c r="E1566">
        <v>1.01090522636089</v>
      </c>
      <c r="F1566">
        <v>0.684275058408092</v>
      </c>
      <c r="G1566">
        <v>0.25814775979372301</v>
      </c>
      <c r="H1566">
        <v>0.28491427807150399</v>
      </c>
      <c r="I1566">
        <v>0.43607064313211202</v>
      </c>
      <c r="J1566">
        <v>0.33755135771799299</v>
      </c>
      <c r="K1566">
        <v>0.365669545182296</v>
      </c>
      <c r="L1566">
        <v>12554.857783682401</v>
      </c>
      <c r="M1566">
        <v>250</v>
      </c>
      <c r="N1566">
        <v>50.444965942488999</v>
      </c>
      <c r="O1566">
        <v>50.216202235893697</v>
      </c>
      <c r="P1566">
        <v>-0.82584038868582899</v>
      </c>
      <c r="Q1566">
        <v>0.33647071157257202</v>
      </c>
      <c r="R1566">
        <v>0.94494735596323798</v>
      </c>
      <c r="S1566" t="s">
        <v>7149</v>
      </c>
      <c r="T1566" t="s">
        <v>11164</v>
      </c>
      <c r="U1566" t="s">
        <v>11164</v>
      </c>
      <c r="V1566" t="s">
        <v>11164</v>
      </c>
      <c r="W1566" t="s">
        <v>12699</v>
      </c>
      <c r="X1566">
        <v>3</v>
      </c>
      <c r="Y1566" t="s">
        <v>18226</v>
      </c>
      <c r="Z1566" t="s">
        <v>23716</v>
      </c>
      <c r="AA1566">
        <v>0.62891184908332842</v>
      </c>
      <c r="AB1566" t="str">
        <f>HYPERLINK("Melting_Curves/meltCurve_O94782_USP1.pdf", "Melting_Curves/meltCurve_O94782_USP1.pdf")</f>
        <v>Melting_Curves/meltCurve_O94782_USP1.pdf</v>
      </c>
    </row>
    <row r="1567" spans="1:28" x14ac:dyDescent="0.25">
      <c r="A1567" t="s">
        <v>1571</v>
      </c>
      <c r="B1567">
        <v>0.99796759195183404</v>
      </c>
      <c r="C1567">
        <v>1.01426379367784</v>
      </c>
      <c r="D1567">
        <v>1.00502881701152</v>
      </c>
      <c r="E1567">
        <v>1.1803788982133001</v>
      </c>
      <c r="F1567">
        <v>1.17099687302394</v>
      </c>
      <c r="G1567">
        <v>1.27236335329011</v>
      </c>
      <c r="H1567">
        <v>0.76069757761774504</v>
      </c>
      <c r="I1567">
        <v>0.40944425839182802</v>
      </c>
      <c r="J1567">
        <v>0.18497386739309199</v>
      </c>
      <c r="K1567">
        <v>0.12264817755120801</v>
      </c>
      <c r="L1567">
        <v>2253.09379384567</v>
      </c>
      <c r="M1567">
        <v>37.8231748626173</v>
      </c>
      <c r="N1567">
        <v>60.0262496685774</v>
      </c>
      <c r="O1567">
        <v>59.4033492850443</v>
      </c>
      <c r="P1567">
        <v>-0.13926145543867599</v>
      </c>
      <c r="Q1567">
        <v>0.12513157223937599</v>
      </c>
      <c r="R1567">
        <v>0.90702814650187602</v>
      </c>
      <c r="S1567" t="s">
        <v>7150</v>
      </c>
      <c r="T1567" t="s">
        <v>11164</v>
      </c>
      <c r="U1567" t="s">
        <v>11164</v>
      </c>
      <c r="V1567" t="s">
        <v>11164</v>
      </c>
      <c r="W1567" t="s">
        <v>12700</v>
      </c>
      <c r="X1567">
        <v>7</v>
      </c>
      <c r="Y1567" t="s">
        <v>18227</v>
      </c>
      <c r="Z1567" t="s">
        <v>23717</v>
      </c>
      <c r="AA1567">
        <v>0.78640700689125298</v>
      </c>
      <c r="AB1567" t="str">
        <f>HYPERLINK("Melting_Curves/meltCurve_O94788_2_ALDH1A2.pdf", "Melting_Curves/meltCurve_O94788_2_ALDH1A2.pdf")</f>
        <v>Melting_Curves/meltCurve_O94788_2_ALDH1A2.pdf</v>
      </c>
    </row>
    <row r="1568" spans="1:28" x14ac:dyDescent="0.25">
      <c r="A1568" t="s">
        <v>1572</v>
      </c>
      <c r="B1568">
        <v>0.99796759195183404</v>
      </c>
      <c r="C1568">
        <v>0.97266207385630399</v>
      </c>
      <c r="D1568">
        <v>0.94734673566974303</v>
      </c>
      <c r="E1568">
        <v>0.98240490875450703</v>
      </c>
      <c r="F1568">
        <v>0.43182757895838098</v>
      </c>
      <c r="G1568">
        <v>0.21181354685672299</v>
      </c>
      <c r="H1568">
        <v>0.166033932500463</v>
      </c>
      <c r="I1568">
        <v>0.14629607266762101</v>
      </c>
      <c r="J1568">
        <v>0.110923377784911</v>
      </c>
      <c r="K1568">
        <v>8.0938226623807202E-2</v>
      </c>
      <c r="L1568">
        <v>2275.7723083311898</v>
      </c>
      <c r="M1568">
        <v>45.930330880038397</v>
      </c>
      <c r="N1568">
        <v>49.895836435717001</v>
      </c>
      <c r="O1568">
        <v>49.454703497991503</v>
      </c>
      <c r="P1568">
        <v>-0.20040486197688601</v>
      </c>
      <c r="Q1568">
        <v>0.13687094068892899</v>
      </c>
      <c r="R1568">
        <v>0.99245571864663495</v>
      </c>
      <c r="S1568" t="s">
        <v>7151</v>
      </c>
      <c r="T1568" t="s">
        <v>11164</v>
      </c>
      <c r="U1568" t="s">
        <v>11164</v>
      </c>
      <c r="V1568" t="s">
        <v>11164</v>
      </c>
      <c r="W1568" t="s">
        <v>12701</v>
      </c>
      <c r="X1568">
        <v>20</v>
      </c>
      <c r="Y1568" t="s">
        <v>18228</v>
      </c>
      <c r="Z1568" t="s">
        <v>23718</v>
      </c>
      <c r="AA1568">
        <v>0.50013677043630445</v>
      </c>
      <c r="AB1568" t="str">
        <f>HYPERLINK("Melting_Curves/meltCurve_O94804_STK10.pdf", "Melting_Curves/meltCurve_O94804_STK10.pdf")</f>
        <v>Melting_Curves/meltCurve_O94804_STK10.pdf</v>
      </c>
    </row>
    <row r="1569" spans="1:28" x14ac:dyDescent="0.25">
      <c r="A1569" t="s">
        <v>1573</v>
      </c>
      <c r="B1569">
        <v>0.99796759195183404</v>
      </c>
      <c r="C1569">
        <v>0.94431548640367802</v>
      </c>
      <c r="D1569">
        <v>0.85711606243963201</v>
      </c>
      <c r="E1569">
        <v>0.92431172909673398</v>
      </c>
      <c r="F1569">
        <v>0.82604627102860295</v>
      </c>
      <c r="G1569">
        <v>0.56842966708476905</v>
      </c>
      <c r="H1569">
        <v>0.46851856420858401</v>
      </c>
      <c r="I1569">
        <v>0.33685168282744599</v>
      </c>
      <c r="J1569">
        <v>0.37711322953842802</v>
      </c>
      <c r="K1569">
        <v>0.39974063786000102</v>
      </c>
      <c r="L1569">
        <v>907.69842367809701</v>
      </c>
      <c r="M1569">
        <v>17.389729996299</v>
      </c>
      <c r="N1569">
        <v>55.973960523836702</v>
      </c>
      <c r="O1569">
        <v>51.521806018063401</v>
      </c>
      <c r="P1569">
        <v>-5.5244821005692502E-2</v>
      </c>
      <c r="Q1569">
        <v>0.34532591214853597</v>
      </c>
      <c r="R1569">
        <v>0.95762586377279701</v>
      </c>
      <c r="S1569" t="s">
        <v>7152</v>
      </c>
      <c r="T1569" t="s">
        <v>11164</v>
      </c>
      <c r="U1569" t="s">
        <v>11164</v>
      </c>
      <c r="V1569" t="s">
        <v>11164</v>
      </c>
      <c r="W1569" t="s">
        <v>12702</v>
      </c>
      <c r="X1569">
        <v>7</v>
      </c>
      <c r="Y1569" t="s">
        <v>18229</v>
      </c>
      <c r="Z1569" t="s">
        <v>23719</v>
      </c>
      <c r="AA1569">
        <v>0.68728293597271728</v>
      </c>
      <c r="AB1569" t="str">
        <f>HYPERLINK("Melting_Curves/meltCurve_O94811_TPPP.pdf", "Melting_Curves/meltCurve_O94811_TPPP.pdf")</f>
        <v>Melting_Curves/meltCurve_O94811_TPPP.pdf</v>
      </c>
    </row>
    <row r="1570" spans="1:28" x14ac:dyDescent="0.25">
      <c r="A1570" t="s">
        <v>1574</v>
      </c>
      <c r="B1570">
        <v>0.99796759195183404</v>
      </c>
      <c r="C1570">
        <v>1.05311824495065</v>
      </c>
      <c r="D1570">
        <v>1.0143653309715599</v>
      </c>
      <c r="E1570">
        <v>1.0039575313865701</v>
      </c>
      <c r="F1570">
        <v>0.94826822128134602</v>
      </c>
      <c r="G1570">
        <v>0.50353142186755395</v>
      </c>
      <c r="H1570">
        <v>0.34930203658877201</v>
      </c>
      <c r="I1570">
        <v>0.26489603261237299</v>
      </c>
      <c r="J1570">
        <v>0.194393760036736</v>
      </c>
      <c r="K1570">
        <v>0.121017987391184</v>
      </c>
      <c r="L1570">
        <v>1530.7430830313001</v>
      </c>
      <c r="M1570">
        <v>28.6255768159693</v>
      </c>
      <c r="N1570">
        <v>54.391389469517001</v>
      </c>
      <c r="O1570">
        <v>53.215732060517297</v>
      </c>
      <c r="P1570">
        <v>-0.108744639927412</v>
      </c>
      <c r="Q1570">
        <v>0.19136928408252901</v>
      </c>
      <c r="R1570">
        <v>0.984759740031941</v>
      </c>
      <c r="S1570" t="s">
        <v>7153</v>
      </c>
      <c r="T1570" t="s">
        <v>11164</v>
      </c>
      <c r="U1570" t="s">
        <v>11164</v>
      </c>
      <c r="V1570" t="s">
        <v>11164</v>
      </c>
      <c r="W1570" t="s">
        <v>12703</v>
      </c>
      <c r="X1570">
        <v>8</v>
      </c>
      <c r="Y1570" t="s">
        <v>18230</v>
      </c>
      <c r="Z1570" t="s">
        <v>23720</v>
      </c>
      <c r="AA1570">
        <v>0.64105288291588092</v>
      </c>
      <c r="AB1570" t="str">
        <f>HYPERLINK("Melting_Curves/meltCurve_O94819_KBTBD11.pdf", "Melting_Curves/meltCurve_O94819_KBTBD11.pdf")</f>
        <v>Melting_Curves/meltCurve_O94819_KBTBD11.pdf</v>
      </c>
    </row>
    <row r="1571" spans="1:28" x14ac:dyDescent="0.25">
      <c r="A1571" t="s">
        <v>1575</v>
      </c>
      <c r="B1571">
        <v>0.99796759195183404</v>
      </c>
      <c r="C1571">
        <v>0.98013141019717498</v>
      </c>
      <c r="D1571">
        <v>0.92556758227551605</v>
      </c>
      <c r="E1571">
        <v>0.95032065305887004</v>
      </c>
      <c r="F1571">
        <v>0.78195337390647601</v>
      </c>
      <c r="G1571">
        <v>0.37972234501177199</v>
      </c>
      <c r="H1571">
        <v>0.26692484341887601</v>
      </c>
      <c r="I1571">
        <v>0.23959950277696401</v>
      </c>
      <c r="J1571">
        <v>0.20261009770932001</v>
      </c>
      <c r="K1571">
        <v>0.113962621135226</v>
      </c>
      <c r="L1571">
        <v>1349.0205442526601</v>
      </c>
      <c r="M1571">
        <v>25.996686732287699</v>
      </c>
      <c r="N1571">
        <v>52.791379533981903</v>
      </c>
      <c r="O1571">
        <v>51.587882467419099</v>
      </c>
      <c r="P1571">
        <v>-0.103444324275834</v>
      </c>
      <c r="Q1571">
        <v>0.17890887452596499</v>
      </c>
      <c r="R1571">
        <v>0.98834477651875396</v>
      </c>
      <c r="S1571" t="s">
        <v>7154</v>
      </c>
      <c r="T1571" t="s">
        <v>11164</v>
      </c>
      <c r="U1571" t="s">
        <v>11164</v>
      </c>
      <c r="V1571" t="s">
        <v>11164</v>
      </c>
      <c r="W1571" t="s">
        <v>12704</v>
      </c>
      <c r="X1571">
        <v>3</v>
      </c>
      <c r="Y1571" t="s">
        <v>18231</v>
      </c>
      <c r="Z1571" t="s">
        <v>23721</v>
      </c>
      <c r="AA1571">
        <v>0.59327265153177311</v>
      </c>
      <c r="AB1571" t="str">
        <f>HYPERLINK("Melting_Curves/meltCurve_O94822_LTN1.pdf", "Melting_Curves/meltCurve_O94822_LTN1.pdf")</f>
        <v>Melting_Curves/meltCurve_O94822_LTN1.pdf</v>
      </c>
    </row>
    <row r="1572" spans="1:28" x14ac:dyDescent="0.25">
      <c r="A1572" t="s">
        <v>1576</v>
      </c>
      <c r="B1572">
        <v>0.99796759195183404</v>
      </c>
      <c r="C1572">
        <v>1.0183172739147599</v>
      </c>
      <c r="D1572">
        <v>1.0175873151584101</v>
      </c>
      <c r="E1572">
        <v>0.98618078893862104</v>
      </c>
      <c r="F1572">
        <v>0.85480186628183397</v>
      </c>
      <c r="G1572">
        <v>0.27481653826323998</v>
      </c>
      <c r="H1572">
        <v>0.149667887841203</v>
      </c>
      <c r="I1572">
        <v>0.115249531983363</v>
      </c>
      <c r="J1572">
        <v>9.3136866671248902E-2</v>
      </c>
      <c r="K1572">
        <v>6.5670285015310095E-2</v>
      </c>
      <c r="L1572">
        <v>2234.1060820120401</v>
      </c>
      <c r="M1572">
        <v>42.894072021758497</v>
      </c>
      <c r="N1572">
        <v>52.355891876865002</v>
      </c>
      <c r="O1572">
        <v>51.971453700959898</v>
      </c>
      <c r="P1572">
        <v>-0.18575103377104599</v>
      </c>
      <c r="Q1572">
        <v>9.9760623416818794E-2</v>
      </c>
      <c r="R1572">
        <v>0.99815009012122402</v>
      </c>
      <c r="S1572" t="s">
        <v>7155</v>
      </c>
      <c r="T1572" t="s">
        <v>11164</v>
      </c>
      <c r="U1572" t="s">
        <v>11164</v>
      </c>
      <c r="V1572" t="s">
        <v>11164</v>
      </c>
      <c r="W1572" t="s">
        <v>12705</v>
      </c>
      <c r="X1572">
        <v>26</v>
      </c>
      <c r="Y1572" t="s">
        <v>18232</v>
      </c>
      <c r="Z1572" t="s">
        <v>23722</v>
      </c>
      <c r="AA1572">
        <v>0.55522026530019097</v>
      </c>
      <c r="AB1572" t="str">
        <f>HYPERLINK("Melting_Curves/meltCurve_O94826_TOMM70A.pdf", "Melting_Curves/meltCurve_O94826_TOMM70A.pdf")</f>
        <v>Melting_Curves/meltCurve_O94826_TOMM70A.pdf</v>
      </c>
    </row>
    <row r="1573" spans="1:28" x14ac:dyDescent="0.25">
      <c r="A1573" t="s">
        <v>1577</v>
      </c>
      <c r="B1573">
        <v>0.99796759195183404</v>
      </c>
      <c r="C1573">
        <v>1.0327923337829299</v>
      </c>
      <c r="D1573">
        <v>0.99148753604700601</v>
      </c>
      <c r="E1573">
        <v>0.89886586455874495</v>
      </c>
      <c r="F1573">
        <v>0.86486697452630401</v>
      </c>
      <c r="G1573">
        <v>0.58321235587075704</v>
      </c>
      <c r="H1573">
        <v>0.34281572705992303</v>
      </c>
      <c r="I1573">
        <v>0.30454890697378501</v>
      </c>
      <c r="J1573">
        <v>0.26117200756084802</v>
      </c>
      <c r="K1573">
        <v>0.23099275792424001</v>
      </c>
      <c r="L1573">
        <v>1123.1765175074199</v>
      </c>
      <c r="M1573">
        <v>21.066518295523601</v>
      </c>
      <c r="N1573">
        <v>54.936309151300698</v>
      </c>
      <c r="O1573">
        <v>52.842272145893702</v>
      </c>
      <c r="P1573">
        <v>-7.6604051225955205E-2</v>
      </c>
      <c r="Q1573">
        <v>0.231420248976686</v>
      </c>
      <c r="R1573">
        <v>0.99244649814281005</v>
      </c>
      <c r="S1573" t="s">
        <v>7156</v>
      </c>
      <c r="T1573" t="s">
        <v>11164</v>
      </c>
      <c r="U1573" t="s">
        <v>11164</v>
      </c>
      <c r="V1573" t="s">
        <v>11164</v>
      </c>
      <c r="W1573" t="s">
        <v>12706</v>
      </c>
      <c r="X1573">
        <v>8</v>
      </c>
      <c r="Y1573" t="s">
        <v>18233</v>
      </c>
      <c r="Z1573" t="s">
        <v>23723</v>
      </c>
      <c r="AA1573">
        <v>0.65830605195014003</v>
      </c>
      <c r="AB1573" t="str">
        <f>HYPERLINK("Melting_Curves/meltCurve_O94829_IPO13.pdf", "Melting_Curves/meltCurve_O94829_IPO13.pdf")</f>
        <v>Melting_Curves/meltCurve_O94829_IPO13.pdf</v>
      </c>
    </row>
    <row r="1574" spans="1:28" x14ac:dyDescent="0.25">
      <c r="A1574" t="s">
        <v>1578</v>
      </c>
      <c r="B1574">
        <v>0.99796759195183404</v>
      </c>
      <c r="C1574">
        <v>1.03988959947961</v>
      </c>
      <c r="D1574">
        <v>0.85929536676376095</v>
      </c>
      <c r="E1574">
        <v>0.97291203259928505</v>
      </c>
      <c r="F1574">
        <v>0.75852105479027299</v>
      </c>
      <c r="G1574">
        <v>0.88678680107785701</v>
      </c>
      <c r="H1574">
        <v>0.94375618785260795</v>
      </c>
      <c r="I1574">
        <v>0.92427248633464199</v>
      </c>
      <c r="J1574">
        <v>0.49771737785718601</v>
      </c>
      <c r="K1574">
        <v>0.13480836111619901</v>
      </c>
      <c r="L1574">
        <v>3077.1624217394701</v>
      </c>
      <c r="M1574">
        <v>48.078318560336498</v>
      </c>
      <c r="N1574">
        <v>64.095809508421397</v>
      </c>
      <c r="O1574">
        <v>63.892662195253102</v>
      </c>
      <c r="P1574">
        <v>-0.18180413186258801</v>
      </c>
      <c r="Q1574">
        <v>3.35816409106428E-2</v>
      </c>
      <c r="R1574">
        <v>0.864616634946764</v>
      </c>
      <c r="S1574" t="s">
        <v>7157</v>
      </c>
      <c r="T1574" t="s">
        <v>11164</v>
      </c>
      <c r="U1574" t="s">
        <v>11164</v>
      </c>
      <c r="V1574" t="s">
        <v>11164</v>
      </c>
      <c r="W1574" t="s">
        <v>12707</v>
      </c>
      <c r="X1574">
        <v>3</v>
      </c>
      <c r="Y1574" t="s">
        <v>18234</v>
      </c>
      <c r="Z1574" t="s">
        <v>23724</v>
      </c>
      <c r="AA1574">
        <v>0.90098693093100457</v>
      </c>
      <c r="AB1574" t="str">
        <f>HYPERLINK("Melting_Curves/meltCurve_O94830_DDHD2.pdf", "Melting_Curves/meltCurve_O94830_DDHD2.pdf")</f>
        <v>Melting_Curves/meltCurve_O94830_DDHD2.pdf</v>
      </c>
    </row>
    <row r="1575" spans="1:28" x14ac:dyDescent="0.25">
      <c r="A1575" t="s">
        <v>1579</v>
      </c>
      <c r="B1575">
        <v>0.99796759195183404</v>
      </c>
      <c r="C1575">
        <v>1.02983599695628</v>
      </c>
      <c r="D1575">
        <v>0.91580134473748698</v>
      </c>
      <c r="E1575">
        <v>0.82393816073146298</v>
      </c>
      <c r="F1575">
        <v>0.71715386149614002</v>
      </c>
      <c r="G1575">
        <v>0.36269905584059697</v>
      </c>
      <c r="H1575">
        <v>0.24665743776065599</v>
      </c>
      <c r="I1575">
        <v>0.19245609636928401</v>
      </c>
      <c r="J1575">
        <v>0.14515469905513101</v>
      </c>
      <c r="K1575">
        <v>0.103290035280098</v>
      </c>
      <c r="L1575">
        <v>795.66462483099303</v>
      </c>
      <c r="M1575">
        <v>15.389103233658499</v>
      </c>
      <c r="N1575">
        <v>52.382507107671998</v>
      </c>
      <c r="O1575">
        <v>50.853657500687397</v>
      </c>
      <c r="P1575">
        <v>-6.8815970808288204E-2</v>
      </c>
      <c r="Q1575">
        <v>9.0467066755079206E-2</v>
      </c>
      <c r="R1575">
        <v>0.98999698730472796</v>
      </c>
      <c r="S1575" t="s">
        <v>7158</v>
      </c>
      <c r="T1575" t="s">
        <v>11164</v>
      </c>
      <c r="U1575" t="s">
        <v>11164</v>
      </c>
      <c r="V1575" t="s">
        <v>11164</v>
      </c>
      <c r="W1575" t="s">
        <v>12708</v>
      </c>
      <c r="X1575">
        <v>16</v>
      </c>
      <c r="Y1575" t="s">
        <v>18235</v>
      </c>
      <c r="Z1575" t="s">
        <v>23725</v>
      </c>
      <c r="AA1575">
        <v>0.55338628057155403</v>
      </c>
      <c r="AB1575" t="str">
        <f>HYPERLINK("Melting_Curves/meltCurve_O94832_MYO1D.pdf", "Melting_Curves/meltCurve_O94832_MYO1D.pdf")</f>
        <v>Melting_Curves/meltCurve_O94832_MYO1D.pdf</v>
      </c>
    </row>
    <row r="1576" spans="1:28" x14ac:dyDescent="0.25">
      <c r="A1576" t="s">
        <v>1580</v>
      </c>
      <c r="B1576">
        <v>0.99796759195183404</v>
      </c>
      <c r="C1576">
        <v>0.87682014913342599</v>
      </c>
      <c r="D1576">
        <v>1.1988996051965899</v>
      </c>
      <c r="E1576">
        <v>0.71690141276598396</v>
      </c>
      <c r="F1576">
        <v>0.17235775445429299</v>
      </c>
      <c r="G1576">
        <v>0.79287881436425001</v>
      </c>
      <c r="H1576">
        <v>0.183574575114272</v>
      </c>
      <c r="I1576">
        <v>0</v>
      </c>
      <c r="J1576">
        <v>0</v>
      </c>
      <c r="K1576">
        <v>0.174946077970762</v>
      </c>
      <c r="L1576">
        <v>602.48917484157596</v>
      </c>
      <c r="M1576">
        <v>11.8162325757843</v>
      </c>
      <c r="N1576">
        <v>51.083331183174899</v>
      </c>
      <c r="O1576">
        <v>49.593648413219597</v>
      </c>
      <c r="P1576">
        <v>-5.8932539112774802E-2</v>
      </c>
      <c r="Q1576">
        <v>1.0875304053805801E-2</v>
      </c>
      <c r="R1576">
        <v>0.74166153529513501</v>
      </c>
      <c r="S1576" t="s">
        <v>7159</v>
      </c>
      <c r="T1576" t="s">
        <v>11164</v>
      </c>
      <c r="U1576" t="s">
        <v>11164</v>
      </c>
      <c r="V1576" t="s">
        <v>11164</v>
      </c>
      <c r="W1576" t="s">
        <v>12709</v>
      </c>
      <c r="X1576">
        <v>1</v>
      </c>
      <c r="Y1576" t="s">
        <v>18236</v>
      </c>
      <c r="Z1576" t="s">
        <v>23726</v>
      </c>
      <c r="AA1576">
        <v>0.49824856648899052</v>
      </c>
      <c r="AB1576" t="str">
        <f>HYPERLINK("Melting_Curves/meltCurve_O94851_5_MICAL2.pdf", "Melting_Curves/meltCurve_O94851_5_MICAL2.pdf")</f>
        <v>Melting_Curves/meltCurve_O94851_5_MICAL2.pdf</v>
      </c>
    </row>
    <row r="1577" spans="1:28" x14ac:dyDescent="0.25">
      <c r="A1577" t="s">
        <v>1581</v>
      </c>
      <c r="B1577">
        <v>0.99796759195183404</v>
      </c>
      <c r="C1577">
        <v>1.1477343939058</v>
      </c>
      <c r="D1577">
        <v>1.0312888951158199</v>
      </c>
      <c r="E1577">
        <v>0.93011715748673196</v>
      </c>
      <c r="F1577">
        <v>0.88625023687239002</v>
      </c>
      <c r="G1577">
        <v>0.54714175342723204</v>
      </c>
      <c r="H1577">
        <v>0.16738366673112701</v>
      </c>
      <c r="I1577">
        <v>0.11963636931565901</v>
      </c>
      <c r="J1577">
        <v>4.2623693859037699E-2</v>
      </c>
      <c r="K1577">
        <v>3.4398817085156498E-2</v>
      </c>
      <c r="L1577">
        <v>1445.57443350381</v>
      </c>
      <c r="M1577">
        <v>26.8072756953379</v>
      </c>
      <c r="N1577">
        <v>54.087568408480102</v>
      </c>
      <c r="O1577">
        <v>53.627307624722398</v>
      </c>
      <c r="P1577">
        <v>-0.120125851431738</v>
      </c>
      <c r="Q1577">
        <v>3.8774343707584799E-2</v>
      </c>
      <c r="R1577">
        <v>0.98470490020967305</v>
      </c>
      <c r="S1577" t="s">
        <v>7160</v>
      </c>
      <c r="T1577" t="s">
        <v>11164</v>
      </c>
      <c r="U1577" t="s">
        <v>11164</v>
      </c>
      <c r="V1577" t="s">
        <v>11164</v>
      </c>
      <c r="W1577" t="s">
        <v>12710</v>
      </c>
      <c r="X1577">
        <v>6</v>
      </c>
      <c r="Y1577" t="s">
        <v>18237</v>
      </c>
      <c r="Z1577" t="s">
        <v>23727</v>
      </c>
      <c r="AA1577">
        <v>0.5885373832352111</v>
      </c>
      <c r="AB1577" t="str">
        <f>HYPERLINK("Melting_Curves/meltCurve_O94855_SEC24D.pdf", "Melting_Curves/meltCurve_O94855_SEC24D.pdf")</f>
        <v>Melting_Curves/meltCurve_O94855_SEC24D.pdf</v>
      </c>
    </row>
    <row r="1578" spans="1:28" x14ac:dyDescent="0.25">
      <c r="A1578" t="s">
        <v>1582</v>
      </c>
      <c r="B1578">
        <v>0.99796759195183404</v>
      </c>
      <c r="C1578">
        <v>0.94559674979119701</v>
      </c>
      <c r="D1578">
        <v>0.84749379808358505</v>
      </c>
      <c r="E1578">
        <v>1.00212527414185</v>
      </c>
      <c r="F1578">
        <v>0.80621729864049696</v>
      </c>
      <c r="G1578">
        <v>0.45260653076110802</v>
      </c>
      <c r="H1578">
        <v>0.39758407844893801</v>
      </c>
      <c r="I1578">
        <v>0.37162618416930998</v>
      </c>
      <c r="J1578">
        <v>0.26250283671297597</v>
      </c>
      <c r="K1578">
        <v>0.24751099184917799</v>
      </c>
      <c r="L1578">
        <v>1356.87364219251</v>
      </c>
      <c r="M1578">
        <v>26.154793724319401</v>
      </c>
      <c r="N1578">
        <v>53.702290083301897</v>
      </c>
      <c r="O1578">
        <v>51.578155774117597</v>
      </c>
      <c r="P1578">
        <v>-8.9464118718136407E-2</v>
      </c>
      <c r="Q1578">
        <v>0.29430261552537901</v>
      </c>
      <c r="R1578">
        <v>0.95624427046326799</v>
      </c>
      <c r="S1578" t="s">
        <v>7161</v>
      </c>
      <c r="T1578" t="s">
        <v>11164</v>
      </c>
      <c r="U1578" t="s">
        <v>11164</v>
      </c>
      <c r="V1578" t="s">
        <v>11164</v>
      </c>
      <c r="W1578" t="s">
        <v>12711</v>
      </c>
      <c r="X1578">
        <v>4</v>
      </c>
      <c r="Y1578" t="s">
        <v>18238</v>
      </c>
      <c r="Z1578" t="s">
        <v>23728</v>
      </c>
      <c r="AA1578">
        <v>0.65005204204900258</v>
      </c>
      <c r="AB1578" t="str">
        <f>HYPERLINK("Melting_Curves/meltCurve_O94864_2_SUPT7L.pdf", "Melting_Curves/meltCurve_O94864_2_SUPT7L.pdf")</f>
        <v>Melting_Curves/meltCurve_O94864_2_SUPT7L.pdf</v>
      </c>
    </row>
    <row r="1579" spans="1:28" x14ac:dyDescent="0.25">
      <c r="A1579" t="s">
        <v>1583</v>
      </c>
      <c r="B1579">
        <v>0.99796759195183404</v>
      </c>
      <c r="C1579">
        <v>0.99655221246633297</v>
      </c>
      <c r="D1579">
        <v>0.95201409942706905</v>
      </c>
      <c r="E1579">
        <v>0.876430514610265</v>
      </c>
      <c r="F1579">
        <v>0.71459524058386703</v>
      </c>
      <c r="G1579">
        <v>0.231387883224767</v>
      </c>
      <c r="H1579">
        <v>0.206167841599882</v>
      </c>
      <c r="I1579">
        <v>0.20062840289468101</v>
      </c>
      <c r="J1579">
        <v>0.12345725898163</v>
      </c>
      <c r="K1579">
        <v>9.4077749699450597E-2</v>
      </c>
      <c r="L1579">
        <v>1505.81624179703</v>
      </c>
      <c r="M1579">
        <v>29.525819142068698</v>
      </c>
      <c r="N1579">
        <v>51.558553573897797</v>
      </c>
      <c r="O1579">
        <v>50.767731071036501</v>
      </c>
      <c r="P1579">
        <v>-0.12549551518927901</v>
      </c>
      <c r="Q1579">
        <v>0.136880068189351</v>
      </c>
      <c r="R1579">
        <v>0.98611002110754997</v>
      </c>
      <c r="S1579" t="s">
        <v>7162</v>
      </c>
      <c r="T1579" t="s">
        <v>11164</v>
      </c>
      <c r="U1579" t="s">
        <v>11164</v>
      </c>
      <c r="V1579" t="s">
        <v>11164</v>
      </c>
      <c r="W1579" t="s">
        <v>12712</v>
      </c>
      <c r="X1579">
        <v>16</v>
      </c>
      <c r="Y1579" t="s">
        <v>18239</v>
      </c>
      <c r="Z1579" t="s">
        <v>23729</v>
      </c>
      <c r="AA1579">
        <v>0.54521559623117311</v>
      </c>
      <c r="AB1579" t="str">
        <f>HYPERLINK("Melting_Curves/meltCurve_O94874_UFL1.pdf", "Melting_Curves/meltCurve_O94874_UFL1.pdf")</f>
        <v>Melting_Curves/meltCurve_O94874_UFL1.pdf</v>
      </c>
    </row>
    <row r="1580" spans="1:28" x14ac:dyDescent="0.25">
      <c r="A1580" t="s">
        <v>1584</v>
      </c>
      <c r="B1580">
        <v>0.99796759195183404</v>
      </c>
      <c r="C1580">
        <v>0.98319872935841401</v>
      </c>
      <c r="D1580">
        <v>1.0180890208709401</v>
      </c>
      <c r="E1580">
        <v>0.89220896697529495</v>
      </c>
      <c r="F1580">
        <v>0.85399806760522001</v>
      </c>
      <c r="G1580">
        <v>0.56895916223213205</v>
      </c>
      <c r="H1580">
        <v>0.51824682694230895</v>
      </c>
      <c r="I1580">
        <v>0.39383920049544602</v>
      </c>
      <c r="J1580">
        <v>0.51140925340367804</v>
      </c>
      <c r="K1580">
        <v>0.39610414472919703</v>
      </c>
      <c r="L1580">
        <v>1115.1396320830199</v>
      </c>
      <c r="M1580">
        <v>21.524245829838499</v>
      </c>
      <c r="N1580">
        <v>56.871888853520403</v>
      </c>
      <c r="O1580">
        <v>51.367562858579099</v>
      </c>
      <c r="P1580">
        <v>-6.0086748662069901E-2</v>
      </c>
      <c r="Q1580">
        <v>0.42642645283719</v>
      </c>
      <c r="R1580">
        <v>0.96902959484092599</v>
      </c>
      <c r="S1580" t="s">
        <v>7163</v>
      </c>
      <c r="T1580" t="s">
        <v>11164</v>
      </c>
      <c r="U1580" t="s">
        <v>11164</v>
      </c>
      <c r="V1580" t="s">
        <v>11164</v>
      </c>
      <c r="W1580" t="s">
        <v>12713</v>
      </c>
      <c r="X1580">
        <v>1</v>
      </c>
      <c r="Y1580" t="s">
        <v>18240</v>
      </c>
      <c r="Z1580" t="s">
        <v>23730</v>
      </c>
      <c r="AA1580">
        <v>0.7161469431509675</v>
      </c>
      <c r="AB1580" t="str">
        <f>HYPERLINK("Melting_Curves/meltCurve_O94880_PHF14.pdf", "Melting_Curves/meltCurve_O94880_PHF14.pdf")</f>
        <v>Melting_Curves/meltCurve_O94880_PHF14.pdf</v>
      </c>
    </row>
    <row r="1581" spans="1:28" x14ac:dyDescent="0.25">
      <c r="A1581" t="s">
        <v>1585</v>
      </c>
      <c r="B1581">
        <v>0.99796759195183404</v>
      </c>
      <c r="C1581">
        <v>1.0587622570567901</v>
      </c>
      <c r="D1581">
        <v>1.08734877140348</v>
      </c>
      <c r="E1581">
        <v>0.90565575039634705</v>
      </c>
      <c r="F1581">
        <v>0.72558556564166699</v>
      </c>
      <c r="G1581">
        <v>0.409219220845845</v>
      </c>
      <c r="H1581">
        <v>0.33280738324825099</v>
      </c>
      <c r="I1581">
        <v>0.19787585063815799</v>
      </c>
      <c r="J1581">
        <v>0.21615080708378501</v>
      </c>
      <c r="K1581">
        <v>7.7496558833547002E-2</v>
      </c>
      <c r="L1581">
        <v>960.44939455855001</v>
      </c>
      <c r="M1581">
        <v>18.396851187588702</v>
      </c>
      <c r="N1581">
        <v>53.141663924548901</v>
      </c>
      <c r="O1581">
        <v>51.602132537510897</v>
      </c>
      <c r="P1581">
        <v>-7.68156019033472E-2</v>
      </c>
      <c r="Q1581">
        <v>0.138185309795572</v>
      </c>
      <c r="R1581">
        <v>0.979880006640651</v>
      </c>
      <c r="S1581" t="s">
        <v>7164</v>
      </c>
      <c r="T1581" t="s">
        <v>11164</v>
      </c>
      <c r="U1581" t="s">
        <v>11164</v>
      </c>
      <c r="V1581" t="s">
        <v>11164</v>
      </c>
      <c r="W1581" t="s">
        <v>12714</v>
      </c>
      <c r="X1581">
        <v>3</v>
      </c>
      <c r="Y1581" t="s">
        <v>18241</v>
      </c>
      <c r="Z1581" t="s">
        <v>23731</v>
      </c>
      <c r="AA1581">
        <v>0.58759665808891559</v>
      </c>
      <c r="AB1581" t="str">
        <f>HYPERLINK("Melting_Curves/meltCurve_O94885_SASH1.pdf", "Melting_Curves/meltCurve_O94885_SASH1.pdf")</f>
        <v>Melting_Curves/meltCurve_O94885_SASH1.pdf</v>
      </c>
    </row>
    <row r="1582" spans="1:28" x14ac:dyDescent="0.25">
      <c r="A1582" t="s">
        <v>1586</v>
      </c>
      <c r="B1582">
        <v>0.99796759195183404</v>
      </c>
      <c r="C1582">
        <v>0.99273887569417496</v>
      </c>
      <c r="D1582">
        <v>0.97261987568984798</v>
      </c>
      <c r="E1582">
        <v>0.886720116878845</v>
      </c>
      <c r="F1582">
        <v>0.824933149441334</v>
      </c>
      <c r="G1582">
        <v>0.56983940582371295</v>
      </c>
      <c r="H1582">
        <v>0.39465675884155399</v>
      </c>
      <c r="I1582">
        <v>0.245472021530033</v>
      </c>
      <c r="J1582">
        <v>0.193986069961612</v>
      </c>
      <c r="K1582">
        <v>0.12535237161730101</v>
      </c>
      <c r="L1582">
        <v>729.79467785812699</v>
      </c>
      <c r="M1582">
        <v>13.3073979177918</v>
      </c>
      <c r="N1582">
        <v>55.343922367674402</v>
      </c>
      <c r="O1582">
        <v>53.647233673999402</v>
      </c>
      <c r="P1582">
        <v>-5.8492980095824203E-2</v>
      </c>
      <c r="Q1582">
        <v>5.6921413937827701E-2</v>
      </c>
      <c r="R1582">
        <v>0.99716452334014005</v>
      </c>
      <c r="S1582" t="s">
        <v>7165</v>
      </c>
      <c r="T1582" t="s">
        <v>11164</v>
      </c>
      <c r="U1582" t="s">
        <v>11164</v>
      </c>
      <c r="V1582" t="s">
        <v>11164</v>
      </c>
      <c r="W1582" t="s">
        <v>12715</v>
      </c>
      <c r="X1582">
        <v>12</v>
      </c>
      <c r="Y1582" t="s">
        <v>18242</v>
      </c>
      <c r="Z1582" t="s">
        <v>23732</v>
      </c>
      <c r="AA1582">
        <v>0.63187930405058701</v>
      </c>
      <c r="AB1582" t="str">
        <f>HYPERLINK("Melting_Curves/meltCurve_O94888_UBXN7.pdf", "Melting_Curves/meltCurve_O94888_UBXN7.pdf")</f>
        <v>Melting_Curves/meltCurve_O94888_UBXN7.pdf</v>
      </c>
    </row>
    <row r="1583" spans="1:28" x14ac:dyDescent="0.25">
      <c r="A1583" t="s">
        <v>1587</v>
      </c>
      <c r="B1583">
        <v>0.99796759195183404</v>
      </c>
      <c r="C1583">
        <v>1.0728199375304901</v>
      </c>
      <c r="D1583">
        <v>1.07107539382238</v>
      </c>
      <c r="E1583">
        <v>0.99700449150630399</v>
      </c>
      <c r="F1583">
        <v>0.70664113004494999</v>
      </c>
      <c r="G1583">
        <v>0.34714840168050198</v>
      </c>
      <c r="H1583">
        <v>0.22862090761871401</v>
      </c>
      <c r="I1583">
        <v>0.193715667265632</v>
      </c>
      <c r="J1583">
        <v>0.168173935248664</v>
      </c>
      <c r="K1583">
        <v>0.12312365512259001</v>
      </c>
      <c r="L1583">
        <v>1486.2542588384499</v>
      </c>
      <c r="M1583">
        <v>28.909500997280901</v>
      </c>
      <c r="N1583">
        <v>52.130984677245102</v>
      </c>
      <c r="O1583">
        <v>51.166472610652697</v>
      </c>
      <c r="P1583">
        <v>-0.117992583039171</v>
      </c>
      <c r="Q1583">
        <v>0.16467342499161899</v>
      </c>
      <c r="R1583">
        <v>0.99015524746210404</v>
      </c>
      <c r="S1583" t="s">
        <v>7166</v>
      </c>
      <c r="T1583" t="s">
        <v>11164</v>
      </c>
      <c r="U1583" t="s">
        <v>11164</v>
      </c>
      <c r="V1583" t="s">
        <v>11164</v>
      </c>
      <c r="W1583" t="s">
        <v>12716</v>
      </c>
      <c r="X1583">
        <v>7</v>
      </c>
      <c r="Y1583" t="s">
        <v>18243</v>
      </c>
      <c r="Z1583" t="s">
        <v>23733</v>
      </c>
      <c r="AA1583">
        <v>0.57154557344757639</v>
      </c>
      <c r="AB1583" t="str">
        <f>HYPERLINK("Melting_Curves/meltCurve_O94903_PROSC.pdf", "Melting_Curves/meltCurve_O94903_PROSC.pdf")</f>
        <v>Melting_Curves/meltCurve_O94903_PROSC.pdf</v>
      </c>
    </row>
    <row r="1584" spans="1:28" x14ac:dyDescent="0.25">
      <c r="A1584" t="s">
        <v>1588</v>
      </c>
      <c r="B1584">
        <v>0.99796759195183404</v>
      </c>
      <c r="C1584">
        <v>1.0314015225930699</v>
      </c>
      <c r="D1584">
        <v>1.04702512465724</v>
      </c>
      <c r="E1584">
        <v>0.87323494830485404</v>
      </c>
      <c r="F1584">
        <v>0.54452955694017702</v>
      </c>
      <c r="G1584">
        <v>0.40400866079123698</v>
      </c>
      <c r="H1584">
        <v>0.33057269432987402</v>
      </c>
      <c r="I1584">
        <v>0.268099348083505</v>
      </c>
      <c r="J1584">
        <v>0.205607779280328</v>
      </c>
      <c r="K1584">
        <v>0.126088755529425</v>
      </c>
      <c r="L1584">
        <v>920.70926010832602</v>
      </c>
      <c r="M1584">
        <v>18.285606556312899</v>
      </c>
      <c r="N1584">
        <v>51.755267060832402</v>
      </c>
      <c r="O1584">
        <v>49.7609629424148</v>
      </c>
      <c r="P1584">
        <v>-7.3910691333365294E-2</v>
      </c>
      <c r="Q1584">
        <v>0.195499048095226</v>
      </c>
      <c r="R1584">
        <v>0.98022544383509902</v>
      </c>
      <c r="S1584" t="s">
        <v>7167</v>
      </c>
      <c r="T1584" t="s">
        <v>11164</v>
      </c>
      <c r="U1584" t="s">
        <v>11164</v>
      </c>
      <c r="V1584" t="s">
        <v>11164</v>
      </c>
      <c r="W1584" t="s">
        <v>12717</v>
      </c>
      <c r="X1584">
        <v>6</v>
      </c>
      <c r="Y1584" t="s">
        <v>18244</v>
      </c>
      <c r="Z1584" t="s">
        <v>23734</v>
      </c>
      <c r="AA1584">
        <v>0.56584210778145327</v>
      </c>
      <c r="AB1584" t="str">
        <f>HYPERLINK("Melting_Curves/meltCurve_O94913_PCF11.pdf", "Melting_Curves/meltCurve_O94913_PCF11.pdf")</f>
        <v>Melting_Curves/meltCurve_O94913_PCF11.pdf</v>
      </c>
    </row>
    <row r="1585" spans="1:28" x14ac:dyDescent="0.25">
      <c r="A1585" t="s">
        <v>1589</v>
      </c>
      <c r="B1585">
        <v>0.99796759195183404</v>
      </c>
      <c r="C1585">
        <v>0.96587626021444295</v>
      </c>
      <c r="D1585">
        <v>0.99565223770715405</v>
      </c>
      <c r="E1585">
        <v>0.90849713456389303</v>
      </c>
      <c r="F1585">
        <v>0.82533319732931998</v>
      </c>
      <c r="G1585">
        <v>0.66067196718732502</v>
      </c>
      <c r="H1585">
        <v>0.625830161526854</v>
      </c>
      <c r="I1585">
        <v>0.55727388644218001</v>
      </c>
      <c r="J1585">
        <v>0.55789578715272803</v>
      </c>
      <c r="K1585">
        <v>0.23095561396609199</v>
      </c>
      <c r="L1585">
        <v>431.26358330591501</v>
      </c>
      <c r="M1585">
        <v>7.0095755883508897</v>
      </c>
      <c r="N1585">
        <v>61.524920397205697</v>
      </c>
      <c r="O1585">
        <v>57.104696329655702</v>
      </c>
      <c r="P1585">
        <v>-3.0743995371153399E-2</v>
      </c>
      <c r="Q1585">
        <v>0</v>
      </c>
      <c r="R1585">
        <v>0.925250304192345</v>
      </c>
      <c r="S1585" t="s">
        <v>7168</v>
      </c>
      <c r="T1585" t="s">
        <v>11164</v>
      </c>
      <c r="U1585" t="s">
        <v>11164</v>
      </c>
      <c r="V1585" t="s">
        <v>11164</v>
      </c>
      <c r="W1585" t="s">
        <v>12718</v>
      </c>
      <c r="X1585">
        <v>8</v>
      </c>
      <c r="Y1585" t="s">
        <v>18245</v>
      </c>
      <c r="Z1585" t="s">
        <v>23735</v>
      </c>
      <c r="AA1585">
        <v>0.74150761974189727</v>
      </c>
      <c r="AB1585" t="str">
        <f>HYPERLINK("Melting_Curves/meltCurve_O94919_ENDOD1.pdf", "Melting_Curves/meltCurve_O94919_ENDOD1.pdf")</f>
        <v>Melting_Curves/meltCurve_O94919_ENDOD1.pdf</v>
      </c>
    </row>
    <row r="1586" spans="1:28" x14ac:dyDescent="0.25">
      <c r="A1586" t="s">
        <v>1590</v>
      </c>
      <c r="B1586">
        <v>0.99796759195183404</v>
      </c>
      <c r="C1586">
        <v>1.01529725259179</v>
      </c>
      <c r="D1586">
        <v>0.98230369744620605</v>
      </c>
      <c r="E1586">
        <v>0.92363006834670203</v>
      </c>
      <c r="F1586">
        <v>0.76124407427413399</v>
      </c>
      <c r="G1586">
        <v>0.385633177118686</v>
      </c>
      <c r="H1586">
        <v>0.15708708939690499</v>
      </c>
      <c r="I1586">
        <v>0.114620888410011</v>
      </c>
      <c r="J1586">
        <v>8.5521828457541305E-2</v>
      </c>
      <c r="K1586">
        <v>5.7786486124814102E-2</v>
      </c>
      <c r="L1586">
        <v>1219.9804113508701</v>
      </c>
      <c r="M1586">
        <v>23.3113523494562</v>
      </c>
      <c r="N1586">
        <v>52.647489099565099</v>
      </c>
      <c r="O1586">
        <v>51.9536146751648</v>
      </c>
      <c r="P1586">
        <v>-0.104910429269192</v>
      </c>
      <c r="Q1586">
        <v>6.4768240743242E-2</v>
      </c>
      <c r="R1586">
        <v>0.99876703289022795</v>
      </c>
      <c r="S1586" t="s">
        <v>7169</v>
      </c>
      <c r="T1586" t="s">
        <v>11164</v>
      </c>
      <c r="U1586" t="s">
        <v>11164</v>
      </c>
      <c r="V1586" t="s">
        <v>11164</v>
      </c>
      <c r="W1586" t="s">
        <v>12719</v>
      </c>
      <c r="X1586">
        <v>14</v>
      </c>
      <c r="Y1586" t="s">
        <v>18246</v>
      </c>
      <c r="Z1586" t="s">
        <v>23736</v>
      </c>
      <c r="AA1586">
        <v>0.55215997919160165</v>
      </c>
      <c r="AB1586" t="str">
        <f>HYPERLINK("Melting_Curves/meltCurve_O94925_3_GLS.pdf", "Melting_Curves/meltCurve_O94925_3_GLS.pdf")</f>
        <v>Melting_Curves/meltCurve_O94925_3_GLS.pdf</v>
      </c>
    </row>
    <row r="1587" spans="1:28" x14ac:dyDescent="0.25">
      <c r="A1587" t="s">
        <v>1591</v>
      </c>
      <c r="B1587">
        <v>0.99796759195183404</v>
      </c>
      <c r="C1587">
        <v>0.83548466262566001</v>
      </c>
      <c r="D1587">
        <v>0.85510476133501401</v>
      </c>
      <c r="E1587">
        <v>0.61843141670342505</v>
      </c>
      <c r="F1587">
        <v>0.435330183852571</v>
      </c>
      <c r="G1587">
        <v>0.21298070475817699</v>
      </c>
      <c r="H1587">
        <v>0.15786723129545899</v>
      </c>
      <c r="I1587">
        <v>0.16366882738590299</v>
      </c>
      <c r="J1587">
        <v>0.11769365815994499</v>
      </c>
      <c r="K1587">
        <v>0.11760306952109099</v>
      </c>
      <c r="L1587">
        <v>601.23671130334503</v>
      </c>
      <c r="M1587">
        <v>12.5852866140497</v>
      </c>
      <c r="N1587">
        <v>48.456639775174303</v>
      </c>
      <c r="O1587">
        <v>46.614947949192803</v>
      </c>
      <c r="P1587">
        <v>-6.2017948285919798E-2</v>
      </c>
      <c r="Q1587">
        <v>8.1344822240599704E-2</v>
      </c>
      <c r="R1587">
        <v>0.98593975931422195</v>
      </c>
      <c r="S1587" t="s">
        <v>7170</v>
      </c>
      <c r="T1587" t="s">
        <v>11164</v>
      </c>
      <c r="U1587" t="s">
        <v>11164</v>
      </c>
      <c r="V1587" t="s">
        <v>11164</v>
      </c>
      <c r="W1587" t="s">
        <v>12720</v>
      </c>
      <c r="X1587">
        <v>2</v>
      </c>
      <c r="Y1587" t="s">
        <v>18247</v>
      </c>
      <c r="Z1587" t="s">
        <v>23737</v>
      </c>
      <c r="AA1587">
        <v>0.43828911900176409</v>
      </c>
      <c r="AB1587" t="str">
        <f>HYPERLINK("Melting_Curves/meltCurve_O94927_HAUS5.pdf", "Melting_Curves/meltCurve_O94927_HAUS5.pdf")</f>
        <v>Melting_Curves/meltCurve_O94927_HAUS5.pdf</v>
      </c>
    </row>
    <row r="1588" spans="1:28" x14ac:dyDescent="0.25">
      <c r="A1588" t="s">
        <v>1592</v>
      </c>
      <c r="B1588">
        <v>0.99796759195183404</v>
      </c>
      <c r="C1588">
        <v>1.01290532691766</v>
      </c>
      <c r="D1588">
        <v>1.1177706040944599</v>
      </c>
      <c r="E1588">
        <v>0.88550171893387197</v>
      </c>
      <c r="F1588">
        <v>1.08330710661945</v>
      </c>
      <c r="G1588">
        <v>1.0865105911572399</v>
      </c>
      <c r="H1588">
        <v>0.94924372529873202</v>
      </c>
      <c r="I1588">
        <v>0.45474677294067301</v>
      </c>
      <c r="J1588">
        <v>8.1461159251493206E-2</v>
      </c>
      <c r="K1588">
        <v>0.14159244030898999</v>
      </c>
      <c r="L1588">
        <v>4170.4573181635096</v>
      </c>
      <c r="M1588">
        <v>68.836121379432598</v>
      </c>
      <c r="N1588">
        <v>60.7888211495181</v>
      </c>
      <c r="O1588">
        <v>60.534235282515297</v>
      </c>
      <c r="P1588">
        <v>-0.25502852716702401</v>
      </c>
      <c r="Q1588">
        <v>0.10291562362871499</v>
      </c>
      <c r="R1588">
        <v>0.96828140660625595</v>
      </c>
      <c r="S1588" t="s">
        <v>7171</v>
      </c>
      <c r="T1588" t="s">
        <v>11164</v>
      </c>
      <c r="U1588" t="s">
        <v>11164</v>
      </c>
      <c r="V1588" t="s">
        <v>11164</v>
      </c>
      <c r="W1588" t="s">
        <v>12721</v>
      </c>
      <c r="X1588">
        <v>2</v>
      </c>
      <c r="Y1588" t="s">
        <v>18248</v>
      </c>
      <c r="Z1588" t="s">
        <v>23738</v>
      </c>
      <c r="AA1588">
        <v>0.8093984027812976</v>
      </c>
      <c r="AB1588" t="str">
        <f>HYPERLINK("Melting_Curves/meltCurve_O94967_2_WDR47.pdf", "Melting_Curves/meltCurve_O94967_2_WDR47.pdf")</f>
        <v>Melting_Curves/meltCurve_O94967_2_WDR47.pdf</v>
      </c>
    </row>
    <row r="1589" spans="1:28" x14ac:dyDescent="0.25">
      <c r="A1589" t="s">
        <v>1593</v>
      </c>
      <c r="B1589">
        <v>0.99796759195183404</v>
      </c>
      <c r="C1589">
        <v>0.97933112213963003</v>
      </c>
      <c r="D1589">
        <v>0.97629728953858197</v>
      </c>
      <c r="E1589">
        <v>0.82988387768230598</v>
      </c>
      <c r="F1589">
        <v>0.85060915361190403</v>
      </c>
      <c r="G1589">
        <v>0.76733643846579103</v>
      </c>
      <c r="H1589">
        <v>0.47802822415270901</v>
      </c>
      <c r="I1589">
        <v>0.26002784693224301</v>
      </c>
      <c r="J1589">
        <v>0.19657707861488999</v>
      </c>
      <c r="K1589">
        <v>0.16239390987077401</v>
      </c>
      <c r="L1589">
        <v>720.36788138845395</v>
      </c>
      <c r="M1589">
        <v>12.603928326373101</v>
      </c>
      <c r="N1589">
        <v>57.154235152880901</v>
      </c>
      <c r="O1589">
        <v>55.772741617082701</v>
      </c>
      <c r="P1589">
        <v>-5.6508076702045801E-2</v>
      </c>
      <c r="Q1589">
        <v>0</v>
      </c>
      <c r="R1589">
        <v>0.97743634508986599</v>
      </c>
      <c r="S1589" t="s">
        <v>7172</v>
      </c>
      <c r="T1589" t="s">
        <v>11164</v>
      </c>
      <c r="U1589" t="s">
        <v>11164</v>
      </c>
      <c r="V1589" t="s">
        <v>11164</v>
      </c>
      <c r="W1589" t="s">
        <v>12722</v>
      </c>
      <c r="X1589">
        <v>13</v>
      </c>
      <c r="Y1589" t="s">
        <v>18249</v>
      </c>
      <c r="Z1589" t="s">
        <v>23739</v>
      </c>
      <c r="AA1589">
        <v>0.67672164865896156</v>
      </c>
      <c r="AB1589" t="str">
        <f>HYPERLINK("Melting_Curves/meltCurve_O94973_AP2A2.pdf", "Melting_Curves/meltCurve_O94973_AP2A2.pdf")</f>
        <v>Melting_Curves/meltCurve_O94973_AP2A2.pdf</v>
      </c>
    </row>
    <row r="1590" spans="1:28" x14ac:dyDescent="0.25">
      <c r="A1590" t="s">
        <v>1594</v>
      </c>
      <c r="B1590">
        <v>0.99796759195183404</v>
      </c>
      <c r="C1590">
        <v>0.97199441853741098</v>
      </c>
      <c r="D1590">
        <v>0.97543972755931097</v>
      </c>
      <c r="E1590">
        <v>0.95115065739793303</v>
      </c>
      <c r="F1590">
        <v>0.83329365247665299</v>
      </c>
      <c r="G1590">
        <v>0.76985221713143204</v>
      </c>
      <c r="H1590">
        <v>0.70157681132940697</v>
      </c>
      <c r="I1590">
        <v>0.67175003239785303</v>
      </c>
      <c r="J1590">
        <v>0.66918680026672805</v>
      </c>
      <c r="K1590">
        <v>0.68407421274729197</v>
      </c>
      <c r="L1590">
        <v>846.59774686798005</v>
      </c>
      <c r="M1590">
        <v>16.7017854289928</v>
      </c>
      <c r="O1590">
        <v>49.979100360064201</v>
      </c>
      <c r="P1590">
        <v>-2.8046619268529999E-2</v>
      </c>
      <c r="Q1590">
        <v>0.66431082952727305</v>
      </c>
      <c r="R1590">
        <v>0.99110734496270403</v>
      </c>
      <c r="S1590" t="s">
        <v>7173</v>
      </c>
      <c r="T1590" t="s">
        <v>11164</v>
      </c>
      <c r="U1590" t="s">
        <v>11164</v>
      </c>
      <c r="V1590" t="s">
        <v>11164</v>
      </c>
      <c r="W1590" t="s">
        <v>12723</v>
      </c>
      <c r="X1590">
        <v>11</v>
      </c>
      <c r="Y1590" t="s">
        <v>18250</v>
      </c>
      <c r="Z1590" t="s">
        <v>23740</v>
      </c>
      <c r="AA1590">
        <v>0.82336101033396725</v>
      </c>
      <c r="AB1590" t="str">
        <f>HYPERLINK("Melting_Curves/meltCurve_O94992_HEXIM1.pdf", "Melting_Curves/meltCurve_O94992_HEXIM1.pdf")</f>
        <v>Melting_Curves/meltCurve_O94992_HEXIM1.pdf</v>
      </c>
    </row>
    <row r="1591" spans="1:28" x14ac:dyDescent="0.25">
      <c r="A1591" t="s">
        <v>1595</v>
      </c>
      <c r="B1591">
        <v>0.99796759195183404</v>
      </c>
      <c r="C1591">
        <v>0.93566680558758297</v>
      </c>
      <c r="D1591">
        <v>0.92766191340769499</v>
      </c>
      <c r="E1591">
        <v>0.91855352179157901</v>
      </c>
      <c r="F1591">
        <v>0.77869270778833599</v>
      </c>
      <c r="G1591">
        <v>0.48092597417880201</v>
      </c>
      <c r="H1591">
        <v>0.36241676933365902</v>
      </c>
      <c r="I1591">
        <v>0.21691590926607099</v>
      </c>
      <c r="J1591">
        <v>0.177511397038047</v>
      </c>
      <c r="K1591">
        <v>0.13372889222170201</v>
      </c>
      <c r="L1591">
        <v>774.94033582575798</v>
      </c>
      <c r="M1591">
        <v>14.503684982965099</v>
      </c>
      <c r="N1591">
        <v>54.217773127551901</v>
      </c>
      <c r="O1591">
        <v>52.445651374085102</v>
      </c>
      <c r="P1591">
        <v>-6.2579911273338507E-2</v>
      </c>
      <c r="Q1591">
        <v>9.4942839759067102E-2</v>
      </c>
      <c r="R1591">
        <v>0.99149143880913104</v>
      </c>
      <c r="S1591" t="s">
        <v>7174</v>
      </c>
      <c r="T1591" t="s">
        <v>11164</v>
      </c>
      <c r="U1591" t="s">
        <v>11164</v>
      </c>
      <c r="V1591" t="s">
        <v>11164</v>
      </c>
      <c r="W1591" t="s">
        <v>12724</v>
      </c>
      <c r="X1591">
        <v>2</v>
      </c>
      <c r="Y1591" t="s">
        <v>18251</v>
      </c>
      <c r="Z1591" t="s">
        <v>23741</v>
      </c>
      <c r="AA1591">
        <v>0.60662557259050298</v>
      </c>
      <c r="AB1591" t="str">
        <f>HYPERLINK("Melting_Curves/meltCurve_O95057_DIRAS1.pdf", "Melting_Curves/meltCurve_O95057_DIRAS1.pdf")</f>
        <v>Melting_Curves/meltCurve_O95057_DIRAS1.pdf</v>
      </c>
    </row>
    <row r="1592" spans="1:28" x14ac:dyDescent="0.25">
      <c r="A1592" t="s">
        <v>1596</v>
      </c>
      <c r="B1592">
        <v>0.99796759195183404</v>
      </c>
      <c r="C1592">
        <v>1.08809337656956</v>
      </c>
      <c r="D1592">
        <v>1.0035889785894201</v>
      </c>
      <c r="E1592">
        <v>0.94523083275098596</v>
      </c>
      <c r="F1592">
        <v>0.69022582024613199</v>
      </c>
      <c r="G1592">
        <v>0.475778063728161</v>
      </c>
      <c r="H1592">
        <v>0.31723934135117299</v>
      </c>
      <c r="I1592">
        <v>0.262243953060108</v>
      </c>
      <c r="J1592">
        <v>0.18023141085168201</v>
      </c>
      <c r="K1592">
        <v>0.13208738872794801</v>
      </c>
      <c r="L1592">
        <v>892.89642139882005</v>
      </c>
      <c r="M1592">
        <v>17.048178492484499</v>
      </c>
      <c r="N1592">
        <v>53.4846145418703</v>
      </c>
      <c r="O1592">
        <v>51.670175515652403</v>
      </c>
      <c r="P1592">
        <v>-7.0202167539387794E-2</v>
      </c>
      <c r="Q1592">
        <v>0.14896793086281501</v>
      </c>
      <c r="R1592">
        <v>0.98833356940268302</v>
      </c>
      <c r="S1592" t="s">
        <v>7175</v>
      </c>
      <c r="T1592" t="s">
        <v>11164</v>
      </c>
      <c r="U1592" t="s">
        <v>11164</v>
      </c>
      <c r="V1592" t="s">
        <v>11164</v>
      </c>
      <c r="W1592" t="s">
        <v>12725</v>
      </c>
      <c r="X1592">
        <v>5</v>
      </c>
      <c r="Y1592" t="s">
        <v>18252</v>
      </c>
      <c r="Z1592" t="s">
        <v>23742</v>
      </c>
      <c r="AA1592">
        <v>0.59877807186908205</v>
      </c>
      <c r="AB1592" t="str">
        <f>HYPERLINK("Melting_Curves/meltCurve_O95067_CCNB2.pdf", "Melting_Curves/meltCurve_O95067_CCNB2.pdf")</f>
        <v>Melting_Curves/meltCurve_O95067_CCNB2.pdf</v>
      </c>
    </row>
    <row r="1593" spans="1:28" x14ac:dyDescent="0.25">
      <c r="A1593" t="s">
        <v>1597</v>
      </c>
      <c r="B1593">
        <v>0.99796759195183404</v>
      </c>
      <c r="C1593">
        <v>0.98697152932085397</v>
      </c>
      <c r="D1593">
        <v>1.04073346546727</v>
      </c>
      <c r="E1593">
        <v>0.90503398249092704</v>
      </c>
      <c r="F1593">
        <v>0.66751717762264196</v>
      </c>
      <c r="G1593">
        <v>0.28461911625248498</v>
      </c>
      <c r="H1593">
        <v>0.220179342495851</v>
      </c>
      <c r="I1593">
        <v>0.15281493570049801</v>
      </c>
      <c r="J1593">
        <v>0.123714799626614</v>
      </c>
      <c r="K1593">
        <v>0.116296353047811</v>
      </c>
      <c r="L1593">
        <v>1290.2258905660501</v>
      </c>
      <c r="M1593">
        <v>25.3028020666545</v>
      </c>
      <c r="N1593">
        <v>51.610666936880001</v>
      </c>
      <c r="O1593">
        <v>50.6761196664077</v>
      </c>
      <c r="P1593">
        <v>-0.108485335021155</v>
      </c>
      <c r="Q1593">
        <v>0.13091911250814001</v>
      </c>
      <c r="R1593">
        <v>0.99576762276223096</v>
      </c>
      <c r="S1593" t="s">
        <v>7176</v>
      </c>
      <c r="T1593" t="s">
        <v>11164</v>
      </c>
      <c r="U1593" t="s">
        <v>11164</v>
      </c>
      <c r="V1593" t="s">
        <v>11164</v>
      </c>
      <c r="W1593" t="s">
        <v>12726</v>
      </c>
      <c r="X1593">
        <v>3</v>
      </c>
      <c r="Y1593" t="s">
        <v>18253</v>
      </c>
      <c r="Z1593" t="s">
        <v>23743</v>
      </c>
      <c r="AA1593">
        <v>0.54373888605426113</v>
      </c>
      <c r="AB1593" t="str">
        <f>HYPERLINK("Melting_Curves/meltCurve_O95081_AGFG2.pdf", "Melting_Curves/meltCurve_O95081_AGFG2.pdf")</f>
        <v>Melting_Curves/meltCurve_O95081_AGFG2.pdf</v>
      </c>
    </row>
    <row r="1594" spans="1:28" x14ac:dyDescent="0.25">
      <c r="A1594" t="s">
        <v>1598</v>
      </c>
      <c r="B1594">
        <v>0.99796759195183404</v>
      </c>
      <c r="C1594">
        <v>0.97263727508881004</v>
      </c>
      <c r="D1594">
        <v>1.0417950250063699</v>
      </c>
      <c r="E1594">
        <v>0.91509625968099895</v>
      </c>
      <c r="F1594">
        <v>0.75464897607986903</v>
      </c>
      <c r="G1594">
        <v>0.29581663947897702</v>
      </c>
      <c r="H1594">
        <v>0.198916974543456</v>
      </c>
      <c r="I1594">
        <v>0.16267519430618399</v>
      </c>
      <c r="J1594">
        <v>0.18152850924852801</v>
      </c>
      <c r="K1594">
        <v>0.10442887519213399</v>
      </c>
      <c r="L1594">
        <v>1640.2095759625399</v>
      </c>
      <c r="M1594">
        <v>31.886364871704998</v>
      </c>
      <c r="N1594">
        <v>52.016750335535797</v>
      </c>
      <c r="O1594">
        <v>51.238162816398898</v>
      </c>
      <c r="P1594">
        <v>-0.132387117152443</v>
      </c>
      <c r="Q1594">
        <v>0.14907352852995101</v>
      </c>
      <c r="R1594">
        <v>0.99317615042611496</v>
      </c>
      <c r="S1594" t="s">
        <v>7177</v>
      </c>
      <c r="T1594" t="s">
        <v>11164</v>
      </c>
      <c r="U1594" t="s">
        <v>11164</v>
      </c>
      <c r="V1594" t="s">
        <v>11164</v>
      </c>
      <c r="W1594" t="s">
        <v>12727</v>
      </c>
      <c r="X1594">
        <v>8</v>
      </c>
      <c r="Y1594" t="s">
        <v>18254</v>
      </c>
      <c r="Z1594" t="s">
        <v>23744</v>
      </c>
      <c r="AA1594">
        <v>0.5633662742550346</v>
      </c>
      <c r="AB1594" t="str">
        <f>HYPERLINK("Melting_Curves/meltCurve_O95104_3_SCAF4.pdf", "Melting_Curves/meltCurve_O95104_3_SCAF4.pdf")</f>
        <v>Melting_Curves/meltCurve_O95104_3_SCAF4.pdf</v>
      </c>
    </row>
    <row r="1595" spans="1:28" x14ac:dyDescent="0.25">
      <c r="A1595" t="s">
        <v>1599</v>
      </c>
      <c r="B1595">
        <v>0.99796759195183404</v>
      </c>
      <c r="C1595">
        <v>1.4319687015870499</v>
      </c>
      <c r="D1595">
        <v>1.75929430046908</v>
      </c>
      <c r="E1595">
        <v>1.05869506722386</v>
      </c>
      <c r="F1595">
        <v>1.2279768784595999</v>
      </c>
      <c r="G1595">
        <v>0.98511508294101602</v>
      </c>
      <c r="H1595">
        <v>0.70985284499724899</v>
      </c>
      <c r="I1595">
        <v>0.41006131266117801</v>
      </c>
      <c r="J1595">
        <v>0.333366267731254</v>
      </c>
      <c r="K1595">
        <v>0</v>
      </c>
      <c r="L1595">
        <v>1374.85189891094</v>
      </c>
      <c r="M1595">
        <v>22.7773883439841</v>
      </c>
      <c r="N1595">
        <v>60.360384739138603</v>
      </c>
      <c r="O1595">
        <v>59.900885204145197</v>
      </c>
      <c r="P1595">
        <v>-9.5064645554448393E-2</v>
      </c>
      <c r="Q1595">
        <v>0</v>
      </c>
      <c r="R1595">
        <v>0.66884147347812295</v>
      </c>
      <c r="S1595" t="s">
        <v>7178</v>
      </c>
      <c r="T1595" t="s">
        <v>11164</v>
      </c>
      <c r="U1595" t="s">
        <v>11164</v>
      </c>
      <c r="V1595" t="s">
        <v>11164</v>
      </c>
      <c r="W1595" t="s">
        <v>12728</v>
      </c>
      <c r="X1595">
        <v>1</v>
      </c>
      <c r="Y1595" t="s">
        <v>18255</v>
      </c>
      <c r="Z1595" t="s">
        <v>23745</v>
      </c>
      <c r="AA1595">
        <v>0.77968437151968195</v>
      </c>
      <c r="AB1595" t="str">
        <f>HYPERLINK("Melting_Curves/meltCurve_O95136_S1PR2.pdf", "Melting_Curves/meltCurve_O95136_S1PR2.pdf")</f>
        <v>Melting_Curves/meltCurve_O95136_S1PR2.pdf</v>
      </c>
    </row>
    <row r="1596" spans="1:28" x14ac:dyDescent="0.25">
      <c r="A1596" t="s">
        <v>1600</v>
      </c>
      <c r="B1596">
        <v>0.99796759195183404</v>
      </c>
      <c r="C1596">
        <v>1.0076715907266001</v>
      </c>
      <c r="D1596">
        <v>1.0020440600512099</v>
      </c>
      <c r="E1596">
        <v>0.87416412951551503</v>
      </c>
      <c r="F1596">
        <v>0.77028645873968804</v>
      </c>
      <c r="G1596">
        <v>0.64699747378796701</v>
      </c>
      <c r="H1596">
        <v>0.64335711434906495</v>
      </c>
      <c r="I1596">
        <v>0.66797216266703796</v>
      </c>
      <c r="J1596">
        <v>1.02407862919467</v>
      </c>
      <c r="K1596">
        <v>0.92177017167664999</v>
      </c>
      <c r="L1596">
        <v>11636.943386458999</v>
      </c>
      <c r="M1596">
        <v>250</v>
      </c>
      <c r="O1596">
        <v>46.544803695105699</v>
      </c>
      <c r="P1596">
        <v>-0.296653739349932</v>
      </c>
      <c r="Q1596">
        <v>0.77907700135179903</v>
      </c>
      <c r="R1596">
        <v>0.437796094822751</v>
      </c>
      <c r="S1596" t="s">
        <v>7179</v>
      </c>
      <c r="T1596" t="s">
        <v>11164</v>
      </c>
      <c r="U1596" t="s">
        <v>11164</v>
      </c>
      <c r="V1596" t="s">
        <v>11164</v>
      </c>
      <c r="W1596" t="s">
        <v>12729</v>
      </c>
      <c r="X1596">
        <v>3</v>
      </c>
      <c r="Y1596" t="s">
        <v>18256</v>
      </c>
      <c r="Z1596" t="s">
        <v>23746</v>
      </c>
      <c r="AA1596">
        <v>0.84940580742678662</v>
      </c>
      <c r="AB1596" t="str">
        <f>HYPERLINK("Melting_Curves/meltCurve_O95139_NDUFB6.pdf", "Melting_Curves/meltCurve_O95139_NDUFB6.pdf")</f>
        <v>Melting_Curves/meltCurve_O95139_NDUFB6.pdf</v>
      </c>
    </row>
    <row r="1597" spans="1:28" x14ac:dyDescent="0.25">
      <c r="A1597" t="s">
        <v>1601</v>
      </c>
      <c r="B1597">
        <v>0.99796759195183404</v>
      </c>
      <c r="C1597">
        <v>1.0415074942964899</v>
      </c>
      <c r="D1597">
        <v>1.0077462463931499</v>
      </c>
      <c r="E1597">
        <v>0.97370593257970395</v>
      </c>
      <c r="F1597">
        <v>0.88816696161507602</v>
      </c>
      <c r="G1597">
        <v>0.46594559349495401</v>
      </c>
      <c r="H1597">
        <v>0.32310012000351701</v>
      </c>
      <c r="I1597">
        <v>0.20788428669016101</v>
      </c>
      <c r="J1597">
        <v>0.15994608127639601</v>
      </c>
      <c r="K1597">
        <v>0.10789780589535899</v>
      </c>
      <c r="L1597">
        <v>1312.7635257823499</v>
      </c>
      <c r="M1597">
        <v>24.6481912675846</v>
      </c>
      <c r="N1597">
        <v>54.026029585608597</v>
      </c>
      <c r="O1597">
        <v>52.9131637184665</v>
      </c>
      <c r="P1597">
        <v>-9.9283722348072104E-2</v>
      </c>
      <c r="Q1597">
        <v>0.147468183297257</v>
      </c>
      <c r="R1597">
        <v>0.99145311749562604</v>
      </c>
      <c r="S1597" t="s">
        <v>7180</v>
      </c>
      <c r="T1597" t="s">
        <v>11164</v>
      </c>
      <c r="U1597" t="s">
        <v>11164</v>
      </c>
      <c r="V1597" t="s">
        <v>11164</v>
      </c>
      <c r="W1597" t="s">
        <v>12730</v>
      </c>
      <c r="X1597">
        <v>14</v>
      </c>
      <c r="Y1597" t="s">
        <v>18257</v>
      </c>
      <c r="Z1597" t="s">
        <v>23747</v>
      </c>
      <c r="AA1597">
        <v>0.61724144845021756</v>
      </c>
      <c r="AB1597" t="str">
        <f>HYPERLINK("Melting_Curves/meltCurve_O95140_MFN2.pdf", "Melting_Curves/meltCurve_O95140_MFN2.pdf")</f>
        <v>Melting_Curves/meltCurve_O95140_MFN2.pdf</v>
      </c>
    </row>
    <row r="1598" spans="1:28" x14ac:dyDescent="0.25">
      <c r="A1598" t="s">
        <v>1602</v>
      </c>
      <c r="B1598">
        <v>0.99796759195183404</v>
      </c>
      <c r="C1598">
        <v>1.28034380998519</v>
      </c>
      <c r="D1598">
        <v>1.16621876754443</v>
      </c>
      <c r="E1598">
        <v>1.1859003476209899</v>
      </c>
      <c r="F1598">
        <v>1.1004750318763199</v>
      </c>
      <c r="G1598">
        <v>0.90749927077609205</v>
      </c>
      <c r="H1598">
        <v>0.68474161828097901</v>
      </c>
      <c r="I1598">
        <v>0.52455834160833603</v>
      </c>
      <c r="J1598">
        <v>0.53888644117974904</v>
      </c>
      <c r="K1598">
        <v>0.35151962360517602</v>
      </c>
      <c r="L1598">
        <v>1578.8294986430799</v>
      </c>
      <c r="M1598">
        <v>27.545032474288298</v>
      </c>
      <c r="N1598">
        <v>61.489701133097597</v>
      </c>
      <c r="O1598">
        <v>57.018573449050301</v>
      </c>
      <c r="P1598">
        <v>-6.97056951178332E-2</v>
      </c>
      <c r="Q1598">
        <v>0.42283855782829599</v>
      </c>
      <c r="R1598">
        <v>0.82424089328190997</v>
      </c>
      <c r="S1598" t="s">
        <v>7181</v>
      </c>
      <c r="T1598" t="s">
        <v>11164</v>
      </c>
      <c r="U1598" t="s">
        <v>11164</v>
      </c>
      <c r="V1598" t="s">
        <v>11164</v>
      </c>
      <c r="W1598" t="s">
        <v>12731</v>
      </c>
      <c r="X1598">
        <v>7</v>
      </c>
      <c r="Y1598" t="s">
        <v>18258</v>
      </c>
      <c r="Z1598" t="s">
        <v>23748</v>
      </c>
      <c r="AA1598">
        <v>0.81749350228713646</v>
      </c>
      <c r="AB1598" t="str">
        <f>HYPERLINK("Melting_Curves/meltCurve_O95155_2_UBE4B.pdf", "Melting_Curves/meltCurve_O95155_2_UBE4B.pdf")</f>
        <v>Melting_Curves/meltCurve_O95155_2_UBE4B.pdf</v>
      </c>
    </row>
    <row r="1599" spans="1:28" x14ac:dyDescent="0.25">
      <c r="A1599" t="s">
        <v>1603</v>
      </c>
      <c r="B1599">
        <v>0.99796759195183404</v>
      </c>
      <c r="C1599">
        <v>0.96699870246640796</v>
      </c>
      <c r="D1599">
        <v>1.03995215718787</v>
      </c>
      <c r="E1599">
        <v>1.0676108952250001</v>
      </c>
      <c r="F1599">
        <v>0.91970849286567302</v>
      </c>
      <c r="G1599">
        <v>0.49065652643694202</v>
      </c>
      <c r="H1599">
        <v>0.31837541313207501</v>
      </c>
      <c r="I1599">
        <v>0.153444635759524</v>
      </c>
      <c r="J1599">
        <v>0.15042183086696001</v>
      </c>
      <c r="K1599">
        <v>0.11457667431371001</v>
      </c>
      <c r="L1599">
        <v>1546.24644400447</v>
      </c>
      <c r="M1599">
        <v>28.895488174315101</v>
      </c>
      <c r="N1599">
        <v>54.137987012875499</v>
      </c>
      <c r="O1599">
        <v>53.2573609228454</v>
      </c>
      <c r="P1599">
        <v>-0.11637087664008799</v>
      </c>
      <c r="Q1599">
        <v>0.14207244730209001</v>
      </c>
      <c r="R1599">
        <v>0.98812266321577302</v>
      </c>
      <c r="S1599" t="s">
        <v>7182</v>
      </c>
      <c r="T1599" t="s">
        <v>11164</v>
      </c>
      <c r="U1599" t="s">
        <v>11164</v>
      </c>
      <c r="V1599" t="s">
        <v>11164</v>
      </c>
      <c r="W1599" t="s">
        <v>12732</v>
      </c>
      <c r="X1599">
        <v>4</v>
      </c>
      <c r="Y1599" t="s">
        <v>18259</v>
      </c>
      <c r="Z1599" t="s">
        <v>23749</v>
      </c>
      <c r="AA1599">
        <v>0.62012900390707926</v>
      </c>
      <c r="AB1599" t="str">
        <f>HYPERLINK("Melting_Curves/meltCurve_O95159_ZFPL1.pdf", "Melting_Curves/meltCurve_O95159_ZFPL1.pdf")</f>
        <v>Melting_Curves/meltCurve_O95159_ZFPL1.pdf</v>
      </c>
    </row>
    <row r="1600" spans="1:28" x14ac:dyDescent="0.25">
      <c r="A1600" t="s">
        <v>1604</v>
      </c>
      <c r="B1600">
        <v>0.99796759195183404</v>
      </c>
      <c r="C1600">
        <v>1.05064004336338</v>
      </c>
      <c r="D1600">
        <v>1.2028426208396501</v>
      </c>
      <c r="E1600">
        <v>0.94822622314544902</v>
      </c>
      <c r="F1600">
        <v>0.65866540758245895</v>
      </c>
      <c r="G1600">
        <v>1.2631111067881999</v>
      </c>
      <c r="H1600">
        <v>1.0647397868964299</v>
      </c>
      <c r="I1600">
        <v>0.74210432332154197</v>
      </c>
      <c r="J1600">
        <v>0.14160051208220101</v>
      </c>
      <c r="K1600">
        <v>0.139674881210302</v>
      </c>
      <c r="L1600">
        <v>12112.0978198052</v>
      </c>
      <c r="M1600">
        <v>197.71204510570001</v>
      </c>
      <c r="N1600">
        <v>61.3637577080125</v>
      </c>
      <c r="O1600">
        <v>61.255036855797201</v>
      </c>
      <c r="P1600">
        <v>-0.69349278494424904</v>
      </c>
      <c r="Q1600">
        <v>0.140569792016214</v>
      </c>
      <c r="R1600">
        <v>0.83805420499093497</v>
      </c>
      <c r="S1600" t="s">
        <v>7183</v>
      </c>
      <c r="T1600" t="s">
        <v>11164</v>
      </c>
      <c r="U1600" t="s">
        <v>11164</v>
      </c>
      <c r="V1600" t="s">
        <v>11164</v>
      </c>
      <c r="W1600" t="s">
        <v>12733</v>
      </c>
      <c r="X1600">
        <v>1</v>
      </c>
      <c r="Y1600" t="s">
        <v>18260</v>
      </c>
      <c r="Z1600" t="s">
        <v>23750</v>
      </c>
      <c r="AA1600">
        <v>0.83574748178362868</v>
      </c>
      <c r="AB1600" t="str">
        <f>HYPERLINK("Melting_Curves/meltCurve_O95163_IKBKAP.pdf", "Melting_Curves/meltCurve_O95163_IKBKAP.pdf")</f>
        <v>Melting_Curves/meltCurve_O95163_IKBKAP.pdf</v>
      </c>
    </row>
    <row r="1601" spans="1:28" x14ac:dyDescent="0.25">
      <c r="A1601" t="s">
        <v>1605</v>
      </c>
      <c r="B1601">
        <v>0.99796759195183404</v>
      </c>
      <c r="C1601">
        <v>1.01295176066314</v>
      </c>
      <c r="D1601">
        <v>0.98491379802379997</v>
      </c>
      <c r="E1601">
        <v>0.95018638925266696</v>
      </c>
      <c r="F1601">
        <v>0.86917384997343505</v>
      </c>
      <c r="G1601">
        <v>0.72069928561638796</v>
      </c>
      <c r="H1601">
        <v>0.86413911345454097</v>
      </c>
      <c r="I1601">
        <v>0.96455493764056399</v>
      </c>
      <c r="J1601">
        <v>1.37877440312913</v>
      </c>
      <c r="K1601">
        <v>1.3208619574734599</v>
      </c>
      <c r="L1601">
        <v>15000</v>
      </c>
      <c r="M1601">
        <v>239.85241710798201</v>
      </c>
      <c r="O1601">
        <v>62.534120300113301</v>
      </c>
      <c r="P1601">
        <v>0.33583955700156198</v>
      </c>
      <c r="Q1601">
        <v>1.3502391622420999</v>
      </c>
      <c r="R1601">
        <v>0.67141813192484201</v>
      </c>
      <c r="S1601" t="s">
        <v>7184</v>
      </c>
      <c r="T1601" t="s">
        <v>11164</v>
      </c>
      <c r="U1601" t="s">
        <v>11164</v>
      </c>
      <c r="V1601" t="s">
        <v>11164</v>
      </c>
      <c r="W1601" t="s">
        <v>12734</v>
      </c>
      <c r="X1601">
        <v>2</v>
      </c>
      <c r="Y1601" t="s">
        <v>18261</v>
      </c>
      <c r="Z1601" t="s">
        <v>23751</v>
      </c>
      <c r="AA1601">
        <v>1.0520451443659029</v>
      </c>
      <c r="AB1601" t="str">
        <f>HYPERLINK("Melting_Curves/meltCurve_O95167_NDUFA3.pdf", "Melting_Curves/meltCurve_O95167_NDUFA3.pdf")</f>
        <v>Melting_Curves/meltCurve_O95167_NDUFA3.pdf</v>
      </c>
    </row>
    <row r="1602" spans="1:28" x14ac:dyDescent="0.25">
      <c r="A1602" t="s">
        <v>1606</v>
      </c>
      <c r="B1602">
        <v>0.99796759195183404</v>
      </c>
      <c r="C1602">
        <v>0.87928946388644502</v>
      </c>
      <c r="D1602">
        <v>0.84454769806252605</v>
      </c>
      <c r="E1602">
        <v>0.79881910471932305</v>
      </c>
      <c r="F1602">
        <v>0.62373535147686199</v>
      </c>
      <c r="G1602">
        <v>0.82485459694628405</v>
      </c>
      <c r="H1602">
        <v>0.88544246420730199</v>
      </c>
      <c r="I1602">
        <v>0.81300385124947105</v>
      </c>
      <c r="J1602">
        <v>0.36475535578115797</v>
      </c>
      <c r="K1602">
        <v>0.24722845886033501</v>
      </c>
      <c r="L1602">
        <v>318.34515956779501</v>
      </c>
      <c r="M1602">
        <v>4.9317311614321397</v>
      </c>
      <c r="N1602">
        <v>64.550400750101602</v>
      </c>
      <c r="O1602">
        <v>56.155450453501203</v>
      </c>
      <c r="P1602">
        <v>-2.2096726407800801E-2</v>
      </c>
      <c r="Q1602">
        <v>0</v>
      </c>
      <c r="R1602">
        <v>0.55208013707012904</v>
      </c>
      <c r="S1602" t="s">
        <v>7185</v>
      </c>
      <c r="T1602" t="s">
        <v>11164</v>
      </c>
      <c r="U1602" t="s">
        <v>11164</v>
      </c>
      <c r="V1602" t="s">
        <v>11164</v>
      </c>
      <c r="W1602" t="s">
        <v>12735</v>
      </c>
      <c r="X1602">
        <v>4</v>
      </c>
      <c r="Y1602" t="s">
        <v>18262</v>
      </c>
      <c r="Z1602" t="s">
        <v>23752</v>
      </c>
      <c r="AA1602">
        <v>0.74870484166809459</v>
      </c>
      <c r="AB1602" t="str">
        <f>HYPERLINK("Melting_Curves/meltCurve_O95168_NDUFB4.pdf", "Melting_Curves/meltCurve_O95168_NDUFB4.pdf")</f>
        <v>Melting_Curves/meltCurve_O95168_NDUFB4.pdf</v>
      </c>
    </row>
    <row r="1603" spans="1:28" x14ac:dyDescent="0.25">
      <c r="A1603" t="s">
        <v>1607</v>
      </c>
      <c r="B1603">
        <v>0.99796759195183404</v>
      </c>
      <c r="C1603">
        <v>1.12015144219819</v>
      </c>
      <c r="D1603">
        <v>1.01028040592625</v>
      </c>
      <c r="E1603">
        <v>0.98894535063917699</v>
      </c>
      <c r="F1603">
        <v>0.91805692805776895</v>
      </c>
      <c r="G1603">
        <v>0.78024008554424795</v>
      </c>
      <c r="H1603">
        <v>0.52435072912198</v>
      </c>
      <c r="I1603">
        <v>0.52180311815499103</v>
      </c>
      <c r="J1603">
        <v>0.513504446844115</v>
      </c>
      <c r="K1603">
        <v>0.32365585605019298</v>
      </c>
      <c r="L1603">
        <v>1045.5379947383799</v>
      </c>
      <c r="M1603">
        <v>18.9950895830798</v>
      </c>
      <c r="N1603">
        <v>59.881569738336701</v>
      </c>
      <c r="O1603">
        <v>54.443376687504802</v>
      </c>
      <c r="P1603">
        <v>-5.3010715603886899E-2</v>
      </c>
      <c r="Q1603">
        <v>0.39227090468338099</v>
      </c>
      <c r="R1603">
        <v>0.94856637758868101</v>
      </c>
      <c r="S1603" t="s">
        <v>7186</v>
      </c>
      <c r="T1603" t="s">
        <v>11164</v>
      </c>
      <c r="U1603" t="s">
        <v>11164</v>
      </c>
      <c r="V1603" t="s">
        <v>11164</v>
      </c>
      <c r="W1603" t="s">
        <v>12736</v>
      </c>
      <c r="X1603">
        <v>5</v>
      </c>
      <c r="Y1603" t="s">
        <v>18263</v>
      </c>
      <c r="Z1603" t="s">
        <v>23753</v>
      </c>
      <c r="AA1603">
        <v>0.7650127840130666</v>
      </c>
      <c r="AB1603" t="str">
        <f>HYPERLINK("Melting_Curves/meltCurve_O95197_7_RTN3.pdf", "Melting_Curves/meltCurve_O95197_7_RTN3.pdf")</f>
        <v>Melting_Curves/meltCurve_O95197_7_RTN3.pdf</v>
      </c>
    </row>
    <row r="1604" spans="1:28" x14ac:dyDescent="0.25">
      <c r="A1604" t="s">
        <v>1608</v>
      </c>
      <c r="B1604">
        <v>0.99796759195183404</v>
      </c>
      <c r="C1604">
        <v>1.04815514657785</v>
      </c>
      <c r="D1604">
        <v>1.02820530026726</v>
      </c>
      <c r="E1604">
        <v>1.0004745319852599</v>
      </c>
      <c r="F1604">
        <v>0.88110306011205797</v>
      </c>
      <c r="G1604">
        <v>0.68351076444804604</v>
      </c>
      <c r="H1604">
        <v>0.36050481707030602</v>
      </c>
      <c r="I1604">
        <v>0.20288087121200901</v>
      </c>
      <c r="J1604">
        <v>0.14251556013460101</v>
      </c>
      <c r="K1604">
        <v>9.4504790912988898E-2</v>
      </c>
      <c r="L1604">
        <v>1151.57165759606</v>
      </c>
      <c r="M1604">
        <v>20.828723467225199</v>
      </c>
      <c r="N1604">
        <v>55.767479700888899</v>
      </c>
      <c r="O1604">
        <v>54.785614041954403</v>
      </c>
      <c r="P1604">
        <v>-8.7251758543762506E-2</v>
      </c>
      <c r="Q1604">
        <v>8.2035222059227295E-2</v>
      </c>
      <c r="R1604">
        <v>0.99677527191183002</v>
      </c>
      <c r="S1604" t="s">
        <v>7187</v>
      </c>
      <c r="T1604" t="s">
        <v>11164</v>
      </c>
      <c r="U1604" t="s">
        <v>11164</v>
      </c>
      <c r="V1604" t="s">
        <v>11164</v>
      </c>
      <c r="W1604" t="s">
        <v>12737</v>
      </c>
      <c r="X1604">
        <v>32</v>
      </c>
      <c r="Y1604" t="s">
        <v>18264</v>
      </c>
      <c r="Z1604" t="s">
        <v>23754</v>
      </c>
      <c r="AA1604">
        <v>0.65135515042739611</v>
      </c>
      <c r="AB1604" t="str">
        <f>HYPERLINK("Melting_Curves/meltCurve_O95202_LETM1.pdf", "Melting_Curves/meltCurve_O95202_LETM1.pdf")</f>
        <v>Melting_Curves/meltCurve_O95202_LETM1.pdf</v>
      </c>
    </row>
    <row r="1605" spans="1:28" x14ac:dyDescent="0.25">
      <c r="A1605" t="s">
        <v>1609</v>
      </c>
      <c r="B1605">
        <v>0.99796759195183404</v>
      </c>
      <c r="C1605">
        <v>1.10140112149183</v>
      </c>
      <c r="D1605">
        <v>1.0369300879191601</v>
      </c>
      <c r="E1605">
        <v>1.03356252599146</v>
      </c>
      <c r="F1605">
        <v>0.94381450980910697</v>
      </c>
      <c r="G1605">
        <v>0.74569092485231403</v>
      </c>
      <c r="H1605">
        <v>0.86285978858215695</v>
      </c>
      <c r="I1605">
        <v>0.80231586909269803</v>
      </c>
      <c r="J1605">
        <v>1.10267900193235</v>
      </c>
      <c r="K1605">
        <v>1.0504684740983501</v>
      </c>
      <c r="L1605">
        <v>12520.1663833193</v>
      </c>
      <c r="M1605">
        <v>250</v>
      </c>
      <c r="O1605">
        <v>50.077452634589001</v>
      </c>
      <c r="P1605">
        <v>-0.108827883785311</v>
      </c>
      <c r="Q1605">
        <v>0.91280281488860004</v>
      </c>
      <c r="R1605">
        <v>0.218033627546215</v>
      </c>
      <c r="S1605" t="s">
        <v>7188</v>
      </c>
      <c r="T1605" t="s">
        <v>11164</v>
      </c>
      <c r="U1605" t="s">
        <v>11164</v>
      </c>
      <c r="V1605" t="s">
        <v>11164</v>
      </c>
      <c r="W1605" t="s">
        <v>12738</v>
      </c>
      <c r="X1605">
        <v>22</v>
      </c>
      <c r="Y1605" t="s">
        <v>18265</v>
      </c>
      <c r="Z1605" t="s">
        <v>23755</v>
      </c>
      <c r="AA1605">
        <v>0.95083038584747781</v>
      </c>
      <c r="AB1605" t="str">
        <f>HYPERLINK("Melting_Curves/meltCurve_O95218_2_ZRANB2.pdf", "Melting_Curves/meltCurve_O95218_2_ZRANB2.pdf")</f>
        <v>Melting_Curves/meltCurve_O95218_2_ZRANB2.pdf</v>
      </c>
    </row>
    <row r="1606" spans="1:28" x14ac:dyDescent="0.25">
      <c r="A1606" t="s">
        <v>1610</v>
      </c>
      <c r="B1606">
        <v>0.99796759195183404</v>
      </c>
      <c r="C1606">
        <v>0.98383968978150504</v>
      </c>
      <c r="D1606">
        <v>0.99071937663065801</v>
      </c>
      <c r="E1606">
        <v>0.89536762109020596</v>
      </c>
      <c r="F1606">
        <v>0.61311279493654902</v>
      </c>
      <c r="G1606">
        <v>0.173431295748844</v>
      </c>
      <c r="H1606">
        <v>0.11739096812096</v>
      </c>
      <c r="I1606">
        <v>0.105005597465424</v>
      </c>
      <c r="J1606">
        <v>7.5238583512395998E-2</v>
      </c>
      <c r="K1606">
        <v>5.7831641048647901E-2</v>
      </c>
      <c r="L1606">
        <v>1508.9963234423799</v>
      </c>
      <c r="M1606">
        <v>29.839106987457999</v>
      </c>
      <c r="N1606">
        <v>50.848413147310303</v>
      </c>
      <c r="O1606">
        <v>50.345615735145202</v>
      </c>
      <c r="P1606">
        <v>-0.137045658223161</v>
      </c>
      <c r="Q1606">
        <v>7.5093132009069405E-2</v>
      </c>
      <c r="R1606">
        <v>0.99725375633337199</v>
      </c>
      <c r="S1606" t="s">
        <v>7189</v>
      </c>
      <c r="T1606" t="s">
        <v>11164</v>
      </c>
      <c r="U1606" t="s">
        <v>11164</v>
      </c>
      <c r="V1606" t="s">
        <v>11164</v>
      </c>
      <c r="W1606" t="s">
        <v>12739</v>
      </c>
      <c r="X1606">
        <v>10</v>
      </c>
      <c r="Y1606" t="s">
        <v>18266</v>
      </c>
      <c r="Z1606" t="s">
        <v>23756</v>
      </c>
      <c r="AA1606">
        <v>0.49927997576497851</v>
      </c>
      <c r="AB1606" t="str">
        <f>HYPERLINK("Melting_Curves/meltCurve_O95219_SNX4.pdf", "Melting_Curves/meltCurve_O95219_SNX4.pdf")</f>
        <v>Melting_Curves/meltCurve_O95219_SNX4.pdf</v>
      </c>
    </row>
    <row r="1607" spans="1:28" x14ac:dyDescent="0.25">
      <c r="A1607" t="s">
        <v>1611</v>
      </c>
      <c r="B1607">
        <v>0.99796759195183404</v>
      </c>
      <c r="C1607">
        <v>1.00030058674843</v>
      </c>
      <c r="D1607">
        <v>0.94198437148929803</v>
      </c>
      <c r="E1607">
        <v>0.92624767283660503</v>
      </c>
      <c r="F1607">
        <v>0.69801387744499299</v>
      </c>
      <c r="G1607">
        <v>0.36850751998173098</v>
      </c>
      <c r="H1607">
        <v>0.29935164887962201</v>
      </c>
      <c r="I1607">
        <v>0.23730763563951601</v>
      </c>
      <c r="J1607">
        <v>0.22677019786657801</v>
      </c>
      <c r="K1607">
        <v>0.19834737641837799</v>
      </c>
      <c r="L1607">
        <v>1200.78224644327</v>
      </c>
      <c r="M1607">
        <v>23.527974629397399</v>
      </c>
      <c r="N1607">
        <v>52.293634621892899</v>
      </c>
      <c r="O1607">
        <v>50.671960245897999</v>
      </c>
      <c r="P1607">
        <v>-9.1006891062543699E-2</v>
      </c>
      <c r="Q1607">
        <v>0.21601093639754701</v>
      </c>
      <c r="R1607">
        <v>0.99585624725998301</v>
      </c>
      <c r="S1607" t="s">
        <v>7190</v>
      </c>
      <c r="T1607" t="s">
        <v>11164</v>
      </c>
      <c r="U1607" t="s">
        <v>11164</v>
      </c>
      <c r="V1607" t="s">
        <v>11164</v>
      </c>
      <c r="W1607" t="s">
        <v>12740</v>
      </c>
      <c r="X1607">
        <v>8</v>
      </c>
      <c r="Y1607" t="s">
        <v>18267</v>
      </c>
      <c r="Z1607" t="s">
        <v>23757</v>
      </c>
      <c r="AA1607">
        <v>0.59055593089304459</v>
      </c>
      <c r="AB1607" t="str">
        <f>HYPERLINK("Melting_Curves/meltCurve_O95229_ZWINT.pdf", "Melting_Curves/meltCurve_O95229_ZWINT.pdf")</f>
        <v>Melting_Curves/meltCurve_O95229_ZWINT.pdf</v>
      </c>
    </row>
    <row r="1608" spans="1:28" x14ac:dyDescent="0.25">
      <c r="A1608" t="s">
        <v>1612</v>
      </c>
      <c r="B1608">
        <v>0.99796759195183404</v>
      </c>
      <c r="C1608">
        <v>1.10533264148526</v>
      </c>
      <c r="D1608">
        <v>0.926325658165149</v>
      </c>
      <c r="E1608">
        <v>0.96489316406802705</v>
      </c>
      <c r="F1608">
        <v>0.65204394102605301</v>
      </c>
      <c r="G1608">
        <v>0.47418922094862798</v>
      </c>
      <c r="H1608">
        <v>0.43842737576916102</v>
      </c>
      <c r="I1608">
        <v>0.289893966053688</v>
      </c>
      <c r="J1608">
        <v>0.234619990204045</v>
      </c>
      <c r="K1608">
        <v>0.187081002527793</v>
      </c>
      <c r="L1608">
        <v>767.84274109319301</v>
      </c>
      <c r="M1608">
        <v>14.7068796034181</v>
      </c>
      <c r="N1608">
        <v>53.987358892186201</v>
      </c>
      <c r="O1608">
        <v>51.2729679227443</v>
      </c>
      <c r="P1608">
        <v>-5.7952911530669199E-2</v>
      </c>
      <c r="Q1608">
        <v>0.19191737961893801</v>
      </c>
      <c r="R1608">
        <v>0.96919067424155703</v>
      </c>
      <c r="S1608" t="s">
        <v>7191</v>
      </c>
      <c r="T1608" t="s">
        <v>11164</v>
      </c>
      <c r="U1608" t="s">
        <v>11164</v>
      </c>
      <c r="V1608" t="s">
        <v>11164</v>
      </c>
      <c r="W1608" t="s">
        <v>12741</v>
      </c>
      <c r="X1608">
        <v>3</v>
      </c>
      <c r="Y1608" t="s">
        <v>18268</v>
      </c>
      <c r="Z1608" t="s">
        <v>23758</v>
      </c>
      <c r="AA1608">
        <v>0.61720969656998681</v>
      </c>
      <c r="AB1608" t="str">
        <f>HYPERLINK("Melting_Curves/meltCurve_O95239_KIF4A.pdf", "Melting_Curves/meltCurve_O95239_KIF4A.pdf")</f>
        <v>Melting_Curves/meltCurve_O95239_KIF4A.pdf</v>
      </c>
    </row>
    <row r="1609" spans="1:28" x14ac:dyDescent="0.25">
      <c r="A1609" t="s">
        <v>1613</v>
      </c>
      <c r="B1609">
        <v>0.99796759195183404</v>
      </c>
      <c r="C1609">
        <v>0.92092704306470297</v>
      </c>
      <c r="D1609">
        <v>0.86023026627130295</v>
      </c>
      <c r="E1609">
        <v>1.04293255477572</v>
      </c>
      <c r="F1609">
        <v>0.72340710911996897</v>
      </c>
      <c r="G1609">
        <v>0.33645370995144203</v>
      </c>
      <c r="H1609">
        <v>0.48528215493045801</v>
      </c>
      <c r="I1609">
        <v>0.367506566643581</v>
      </c>
      <c r="J1609">
        <v>0.56082919329011105</v>
      </c>
      <c r="K1609">
        <v>0.44863469373841702</v>
      </c>
      <c r="L1609">
        <v>12551.2675544884</v>
      </c>
      <c r="M1609">
        <v>250</v>
      </c>
      <c r="N1609">
        <v>50.633627336424901</v>
      </c>
      <c r="O1609">
        <v>50.2018585260846</v>
      </c>
      <c r="P1609">
        <v>-0.69750748320767897</v>
      </c>
      <c r="Q1609">
        <v>0.43974126103844902</v>
      </c>
      <c r="R1609">
        <v>0.90663488448596097</v>
      </c>
      <c r="S1609" t="s">
        <v>7192</v>
      </c>
      <c r="T1609" t="s">
        <v>11164</v>
      </c>
      <c r="U1609" t="s">
        <v>11164</v>
      </c>
      <c r="V1609" t="s">
        <v>11164</v>
      </c>
      <c r="W1609" t="s">
        <v>12742</v>
      </c>
      <c r="X1609">
        <v>1</v>
      </c>
      <c r="Y1609" t="s">
        <v>18269</v>
      </c>
      <c r="Z1609" t="s">
        <v>23759</v>
      </c>
      <c r="AA1609">
        <v>0.68639915788147132</v>
      </c>
      <c r="AB1609" t="str">
        <f>HYPERLINK("Melting_Curves/meltCurve_O95251_4_KAT7.pdf", "Melting_Curves/meltCurve_O95251_4_KAT7.pdf")</f>
        <v>Melting_Curves/meltCurve_O95251_4_KAT7.pdf</v>
      </c>
    </row>
    <row r="1610" spans="1:28" x14ac:dyDescent="0.25">
      <c r="A1610" t="s">
        <v>1614</v>
      </c>
      <c r="B1610">
        <v>0.99796759195183404</v>
      </c>
      <c r="C1610">
        <v>1.14151556025385</v>
      </c>
      <c r="D1610">
        <v>0.96393931744662498</v>
      </c>
      <c r="E1610">
        <v>0.83737298647774405</v>
      </c>
      <c r="F1610">
        <v>0.813087706179904</v>
      </c>
      <c r="G1610">
        <v>0.59367442849902996</v>
      </c>
      <c r="H1610">
        <v>0.34685199377466303</v>
      </c>
      <c r="I1610">
        <v>0.23642452553410601</v>
      </c>
      <c r="J1610">
        <v>0.287531766241369</v>
      </c>
      <c r="K1610">
        <v>0.183201888453734</v>
      </c>
      <c r="L1610">
        <v>815.56145852754298</v>
      </c>
      <c r="M1610">
        <v>15.238158012394701</v>
      </c>
      <c r="N1610">
        <v>54.937311894935597</v>
      </c>
      <c r="O1610">
        <v>52.624651901589502</v>
      </c>
      <c r="P1610">
        <v>-6.0637808378418097E-2</v>
      </c>
      <c r="Q1610">
        <v>0.162434101197312</v>
      </c>
      <c r="R1610">
        <v>0.96681324595840401</v>
      </c>
      <c r="S1610" t="s">
        <v>7193</v>
      </c>
      <c r="T1610" t="s">
        <v>11164</v>
      </c>
      <c r="U1610" t="s">
        <v>11164</v>
      </c>
      <c r="V1610" t="s">
        <v>11164</v>
      </c>
      <c r="W1610" t="s">
        <v>12743</v>
      </c>
      <c r="X1610">
        <v>3</v>
      </c>
      <c r="Y1610" t="s">
        <v>18270</v>
      </c>
      <c r="Z1610" t="s">
        <v>23760</v>
      </c>
      <c r="AA1610">
        <v>0.63776054728330223</v>
      </c>
      <c r="AB1610" t="str">
        <f>HYPERLINK("Melting_Curves/meltCurve_O95273_CCNDBP1.pdf", "Melting_Curves/meltCurve_O95273_CCNDBP1.pdf")</f>
        <v>Melting_Curves/meltCurve_O95273_CCNDBP1.pdf</v>
      </c>
    </row>
    <row r="1611" spans="1:28" x14ac:dyDescent="0.25">
      <c r="A1611" t="s">
        <v>1615</v>
      </c>
      <c r="B1611">
        <v>0.99796759195183404</v>
      </c>
      <c r="C1611">
        <v>0.97469610755828695</v>
      </c>
      <c r="D1611">
        <v>1.00399854564194</v>
      </c>
      <c r="E1611">
        <v>0.96891800979929898</v>
      </c>
      <c r="F1611">
        <v>0.85231506903482002</v>
      </c>
      <c r="G1611">
        <v>0.65919099267891301</v>
      </c>
      <c r="H1611">
        <v>0.485024453194002</v>
      </c>
      <c r="I1611">
        <v>0.24331125438669801</v>
      </c>
      <c r="J1611">
        <v>0.179038787676395</v>
      </c>
      <c r="K1611">
        <v>0.14621505564960699</v>
      </c>
      <c r="L1611">
        <v>840.18677706873495</v>
      </c>
      <c r="M1611">
        <v>14.9815750528259</v>
      </c>
      <c r="N1611">
        <v>56.5446549044863</v>
      </c>
      <c r="O1611">
        <v>55.1105893316155</v>
      </c>
      <c r="P1611">
        <v>-6.4042450700904099E-2</v>
      </c>
      <c r="Q1611">
        <v>5.7760236333274199E-2</v>
      </c>
      <c r="R1611">
        <v>0.99687150719733997</v>
      </c>
      <c r="S1611" t="s">
        <v>7194</v>
      </c>
      <c r="T1611" t="s">
        <v>11164</v>
      </c>
      <c r="U1611" t="s">
        <v>11164</v>
      </c>
      <c r="V1611" t="s">
        <v>11164</v>
      </c>
      <c r="W1611" t="s">
        <v>12744</v>
      </c>
      <c r="X1611">
        <v>15</v>
      </c>
      <c r="Y1611" t="s">
        <v>18271</v>
      </c>
      <c r="Z1611" t="s">
        <v>23761</v>
      </c>
      <c r="AA1611">
        <v>0.66764274914664279</v>
      </c>
      <c r="AB1611" t="str">
        <f>HYPERLINK("Melting_Curves/meltCurve_O95292_VAPB.pdf", "Melting_Curves/meltCurve_O95292_VAPB.pdf")</f>
        <v>Melting_Curves/meltCurve_O95292_VAPB.pdf</v>
      </c>
    </row>
    <row r="1612" spans="1:28" x14ac:dyDescent="0.25">
      <c r="A1612" t="s">
        <v>1616</v>
      </c>
      <c r="B1612">
        <v>0.99796759195183404</v>
      </c>
      <c r="C1612">
        <v>1.0546124877409699</v>
      </c>
      <c r="D1612">
        <v>1.0754020743575801</v>
      </c>
      <c r="E1612">
        <v>0.97993783998746897</v>
      </c>
      <c r="F1612">
        <v>0.85824340394713605</v>
      </c>
      <c r="G1612">
        <v>0.820994209148868</v>
      </c>
      <c r="H1612">
        <v>0.67265425733908701</v>
      </c>
      <c r="I1612">
        <v>0.47942072486889797</v>
      </c>
      <c r="J1612">
        <v>0.40015441089431197</v>
      </c>
      <c r="K1612">
        <v>0.26771245035757402</v>
      </c>
      <c r="L1612">
        <v>667.19581167953299</v>
      </c>
      <c r="M1612">
        <v>10.9855049770792</v>
      </c>
      <c r="N1612">
        <v>60.989408955383503</v>
      </c>
      <c r="O1612">
        <v>58.825715351129404</v>
      </c>
      <c r="P1612">
        <v>-4.5653339144184797E-2</v>
      </c>
      <c r="Q1612">
        <v>2.2464384730647598E-2</v>
      </c>
      <c r="R1612">
        <v>0.98007015453506496</v>
      </c>
      <c r="S1612" t="s">
        <v>7195</v>
      </c>
      <c r="T1612" t="s">
        <v>11164</v>
      </c>
      <c r="U1612" t="s">
        <v>11164</v>
      </c>
      <c r="V1612" t="s">
        <v>11164</v>
      </c>
      <c r="W1612" t="s">
        <v>12745</v>
      </c>
      <c r="X1612">
        <v>8</v>
      </c>
      <c r="Y1612" t="s">
        <v>18272</v>
      </c>
      <c r="Z1612" t="s">
        <v>23762</v>
      </c>
      <c r="AA1612">
        <v>0.76820717317659748</v>
      </c>
      <c r="AB1612" t="str">
        <f>HYPERLINK("Melting_Curves/meltCurve_O95295_SNAPIN.pdf", "Melting_Curves/meltCurve_O95295_SNAPIN.pdf")</f>
        <v>Melting_Curves/meltCurve_O95295_SNAPIN.pdf</v>
      </c>
    </row>
    <row r="1613" spans="1:28" x14ac:dyDescent="0.25">
      <c r="A1613" t="s">
        <v>1617</v>
      </c>
      <c r="B1613">
        <v>0.99796759195183404</v>
      </c>
      <c r="C1613">
        <v>1.1142028996667399</v>
      </c>
      <c r="D1613">
        <v>1.2029669376010199</v>
      </c>
      <c r="E1613">
        <v>1.19084795184434</v>
      </c>
      <c r="F1613">
        <v>0.97569181988328102</v>
      </c>
      <c r="G1613">
        <v>0.606319146566067</v>
      </c>
      <c r="H1613">
        <v>0.76531160157719602</v>
      </c>
      <c r="I1613">
        <v>0.67457509412947203</v>
      </c>
      <c r="J1613">
        <v>0.68586441973511303</v>
      </c>
      <c r="K1613">
        <v>0.44504694081899498</v>
      </c>
      <c r="L1613">
        <v>12682.4732625984</v>
      </c>
      <c r="M1613">
        <v>250</v>
      </c>
      <c r="O1613">
        <v>50.726661664715401</v>
      </c>
      <c r="P1613">
        <v>-0.44919266098361099</v>
      </c>
      <c r="Q1613">
        <v>0.635423401496097</v>
      </c>
      <c r="R1613">
        <v>0.76544895902996402</v>
      </c>
      <c r="S1613" t="s">
        <v>7196</v>
      </c>
      <c r="T1613" t="s">
        <v>11164</v>
      </c>
      <c r="U1613" t="s">
        <v>11164</v>
      </c>
      <c r="V1613" t="s">
        <v>11164</v>
      </c>
      <c r="W1613" t="s">
        <v>12746</v>
      </c>
      <c r="X1613">
        <v>6</v>
      </c>
      <c r="Y1613" t="s">
        <v>18273</v>
      </c>
      <c r="Z1613" t="s">
        <v>23763</v>
      </c>
      <c r="AA1613">
        <v>0.80230911668481075</v>
      </c>
      <c r="AB1613" t="str">
        <f>HYPERLINK("Melting_Curves/meltCurve_O95297_2_MPZL1.pdf", "Melting_Curves/meltCurve_O95297_2_MPZL1.pdf")</f>
        <v>Melting_Curves/meltCurve_O95297_2_MPZL1.pdf</v>
      </c>
    </row>
    <row r="1614" spans="1:28" x14ac:dyDescent="0.25">
      <c r="A1614" t="s">
        <v>1618</v>
      </c>
      <c r="B1614">
        <v>0.99796759195183404</v>
      </c>
      <c r="C1614">
        <v>1.0423851019863</v>
      </c>
      <c r="D1614">
        <v>1.0054075022054401</v>
      </c>
      <c r="E1614">
        <v>0.99751733975551304</v>
      </c>
      <c r="F1614">
        <v>0.90701881388842998</v>
      </c>
      <c r="G1614">
        <v>0.78616420997152303</v>
      </c>
      <c r="H1614">
        <v>1.0905643018681599</v>
      </c>
      <c r="I1614">
        <v>1.3449393468926401</v>
      </c>
      <c r="J1614">
        <v>1.9320565405726999</v>
      </c>
      <c r="K1614">
        <v>1.12384444097717</v>
      </c>
      <c r="L1614">
        <v>15000</v>
      </c>
      <c r="M1614">
        <v>246.70125142167799</v>
      </c>
      <c r="O1614">
        <v>60.798297945644698</v>
      </c>
      <c r="P1614">
        <v>0.50721256125127401</v>
      </c>
      <c r="Q1614">
        <v>1.5</v>
      </c>
      <c r="R1614">
        <v>0.57174763518081195</v>
      </c>
      <c r="S1614" t="s">
        <v>7197</v>
      </c>
      <c r="T1614" t="s">
        <v>11164</v>
      </c>
      <c r="U1614" t="s">
        <v>11164</v>
      </c>
      <c r="V1614" t="s">
        <v>11164</v>
      </c>
      <c r="W1614" t="s">
        <v>12747</v>
      </c>
      <c r="X1614">
        <v>7</v>
      </c>
      <c r="Y1614" t="s">
        <v>18274</v>
      </c>
      <c r="Z1614" t="s">
        <v>23764</v>
      </c>
      <c r="AA1614">
        <v>1.1032404461833121</v>
      </c>
      <c r="AB1614" t="str">
        <f>HYPERLINK("Melting_Curves/meltCurve_O95298_2_NDUFC2.pdf", "Melting_Curves/meltCurve_O95298_2_NDUFC2.pdf")</f>
        <v>Melting_Curves/meltCurve_O95298_2_NDUFC2.pdf</v>
      </c>
    </row>
    <row r="1615" spans="1:28" x14ac:dyDescent="0.25">
      <c r="A1615" t="s">
        <v>1619</v>
      </c>
      <c r="B1615">
        <v>0.99796759195183404</v>
      </c>
      <c r="C1615">
        <v>1.13010781635837</v>
      </c>
      <c r="D1615">
        <v>1.00339535004547</v>
      </c>
      <c r="E1615">
        <v>0.96893481774117995</v>
      </c>
      <c r="F1615">
        <v>0.93678000189871702</v>
      </c>
      <c r="G1615">
        <v>0.63401222063103002</v>
      </c>
      <c r="H1615">
        <v>0.45493248619438198</v>
      </c>
      <c r="I1615">
        <v>0.47411628026307101</v>
      </c>
      <c r="J1615">
        <v>0.334762452019574</v>
      </c>
      <c r="K1615">
        <v>0.23607818654358301</v>
      </c>
      <c r="L1615">
        <v>1033.9278699751601</v>
      </c>
      <c r="M1615">
        <v>19.0021168501221</v>
      </c>
      <c r="N1615">
        <v>56.988722467829398</v>
      </c>
      <c r="O1615">
        <v>53.819334684522403</v>
      </c>
      <c r="P1615">
        <v>-6.2822827146930701E-2</v>
      </c>
      <c r="Q1615">
        <v>0.28830079552639998</v>
      </c>
      <c r="R1615">
        <v>0.95848693485982595</v>
      </c>
      <c r="S1615" t="s">
        <v>7198</v>
      </c>
      <c r="T1615" t="s">
        <v>11164</v>
      </c>
      <c r="U1615" t="s">
        <v>11164</v>
      </c>
      <c r="V1615" t="s">
        <v>11164</v>
      </c>
      <c r="W1615" t="s">
        <v>12748</v>
      </c>
      <c r="X1615">
        <v>13</v>
      </c>
      <c r="Y1615" t="s">
        <v>18275</v>
      </c>
      <c r="Z1615" t="s">
        <v>23765</v>
      </c>
      <c r="AA1615">
        <v>0.71027937393371299</v>
      </c>
      <c r="AB1615" t="str">
        <f>HYPERLINK("Melting_Curves/meltCurve_O95302_FKBP9.pdf", "Melting_Curves/meltCurve_O95302_FKBP9.pdf")</f>
        <v>Melting_Curves/meltCurve_O95302_FKBP9.pdf</v>
      </c>
    </row>
    <row r="1616" spans="1:28" x14ac:dyDescent="0.25">
      <c r="A1616" t="s">
        <v>1620</v>
      </c>
      <c r="B1616">
        <v>0.99796759195183404</v>
      </c>
      <c r="C1616">
        <v>0.94258588899409801</v>
      </c>
      <c r="D1616">
        <v>0.91131124241069705</v>
      </c>
      <c r="E1616">
        <v>0.86462715753479902</v>
      </c>
      <c r="F1616">
        <v>0.75865751038195695</v>
      </c>
      <c r="G1616">
        <v>0.58455892899038697</v>
      </c>
      <c r="H1616">
        <v>0.49323797137083097</v>
      </c>
      <c r="I1616">
        <v>0.40467748959577998</v>
      </c>
      <c r="J1616">
        <v>0.42698492657374199</v>
      </c>
      <c r="K1616">
        <v>0.195829151434424</v>
      </c>
      <c r="L1616">
        <v>409.89746246456099</v>
      </c>
      <c r="M1616">
        <v>7.1120211986862003</v>
      </c>
      <c r="N1616">
        <v>57.634454519829703</v>
      </c>
      <c r="O1616">
        <v>53.598837979818398</v>
      </c>
      <c r="P1616">
        <v>-3.3230479330289803E-2</v>
      </c>
      <c r="Q1616">
        <v>0</v>
      </c>
      <c r="R1616">
        <v>0.97278567825344198</v>
      </c>
      <c r="S1616" t="s">
        <v>7199</v>
      </c>
      <c r="T1616" t="s">
        <v>11164</v>
      </c>
      <c r="U1616" t="s">
        <v>11164</v>
      </c>
      <c r="V1616" t="s">
        <v>11164</v>
      </c>
      <c r="W1616" t="s">
        <v>12749</v>
      </c>
      <c r="X1616">
        <v>14</v>
      </c>
      <c r="Y1616" t="s">
        <v>18276</v>
      </c>
      <c r="Z1616" t="s">
        <v>23766</v>
      </c>
      <c r="AA1616">
        <v>0.66315813819016012</v>
      </c>
      <c r="AB1616" t="str">
        <f>HYPERLINK("Melting_Curves/meltCurve_O95336_PGLS.pdf", "Melting_Curves/meltCurve_O95336_PGLS.pdf")</f>
        <v>Melting_Curves/meltCurve_O95336_PGLS.pdf</v>
      </c>
    </row>
    <row r="1617" spans="1:28" x14ac:dyDescent="0.25">
      <c r="A1617" t="s">
        <v>1621</v>
      </c>
      <c r="B1617">
        <v>0.99796759195183404</v>
      </c>
      <c r="C1617">
        <v>0.99569043770324706</v>
      </c>
      <c r="D1617">
        <v>0.95787027238866496</v>
      </c>
      <c r="E1617">
        <v>0.89780525942022804</v>
      </c>
      <c r="F1617">
        <v>0.71105286245977295</v>
      </c>
      <c r="G1617">
        <v>0.31758575569740499</v>
      </c>
      <c r="H1617">
        <v>0.25360818972754701</v>
      </c>
      <c r="I1617">
        <v>0.195762937339685</v>
      </c>
      <c r="J1617">
        <v>0.16976093015254401</v>
      </c>
      <c r="K1617">
        <v>0.135849184369745</v>
      </c>
      <c r="L1617">
        <v>1205.80842609665</v>
      </c>
      <c r="M1617">
        <v>23.555264746223902</v>
      </c>
      <c r="N1617">
        <v>52.040524809570599</v>
      </c>
      <c r="O1617">
        <v>50.825963176508601</v>
      </c>
      <c r="P1617">
        <v>-9.7364076439987998E-2</v>
      </c>
      <c r="Q1617">
        <v>0.159672030961304</v>
      </c>
      <c r="R1617">
        <v>0.994396714025641</v>
      </c>
      <c r="S1617" t="s">
        <v>7200</v>
      </c>
      <c r="T1617" t="s">
        <v>11164</v>
      </c>
      <c r="U1617" t="s">
        <v>11164</v>
      </c>
      <c r="V1617" t="s">
        <v>11164</v>
      </c>
      <c r="W1617" t="s">
        <v>12750</v>
      </c>
      <c r="X1617">
        <v>15</v>
      </c>
      <c r="Y1617" t="s">
        <v>18277</v>
      </c>
      <c r="Z1617" t="s">
        <v>23767</v>
      </c>
      <c r="AA1617">
        <v>0.56543920050282781</v>
      </c>
      <c r="AB1617" t="str">
        <f>HYPERLINK("Melting_Curves/meltCurve_O95347_SMC2.pdf", "Melting_Curves/meltCurve_O95347_SMC2.pdf")</f>
        <v>Melting_Curves/meltCurve_O95347_SMC2.pdf</v>
      </c>
    </row>
    <row r="1618" spans="1:28" x14ac:dyDescent="0.25">
      <c r="A1618" t="s">
        <v>1622</v>
      </c>
      <c r="B1618">
        <v>0.99796759195183404</v>
      </c>
      <c r="C1618">
        <v>0.88648678905420797</v>
      </c>
      <c r="D1618">
        <v>0.86205133770636599</v>
      </c>
      <c r="E1618">
        <v>0.83948609387823703</v>
      </c>
      <c r="F1618">
        <v>0.84163445694812</v>
      </c>
      <c r="G1618">
        <v>0.77837271199199998</v>
      </c>
      <c r="H1618">
        <v>0.22619616553685401</v>
      </c>
      <c r="I1618">
        <v>0.27818926941016198</v>
      </c>
      <c r="J1618">
        <v>0.18228738061856301</v>
      </c>
      <c r="K1618">
        <v>0</v>
      </c>
      <c r="L1618">
        <v>830.82464419333098</v>
      </c>
      <c r="M1618">
        <v>14.910680398493399</v>
      </c>
      <c r="N1618">
        <v>55.720103346158602</v>
      </c>
      <c r="O1618">
        <v>54.7466809196711</v>
      </c>
      <c r="P1618">
        <v>-6.8096471155930705E-2</v>
      </c>
      <c r="Q1618">
        <v>0</v>
      </c>
      <c r="R1618">
        <v>0.91674653883850599</v>
      </c>
      <c r="S1618" t="s">
        <v>7201</v>
      </c>
      <c r="T1618" t="s">
        <v>11164</v>
      </c>
      <c r="U1618" t="s">
        <v>11164</v>
      </c>
      <c r="V1618" t="s">
        <v>11164</v>
      </c>
      <c r="W1618" t="s">
        <v>12751</v>
      </c>
      <c r="X1618">
        <v>4</v>
      </c>
      <c r="Y1618" t="s">
        <v>18278</v>
      </c>
      <c r="Z1618" t="s">
        <v>23768</v>
      </c>
      <c r="AA1618">
        <v>0.6362710485285521</v>
      </c>
      <c r="AB1618" t="str">
        <f>HYPERLINK("Melting_Curves/meltCurve_O95352_ATG7.pdf", "Melting_Curves/meltCurve_O95352_ATG7.pdf")</f>
        <v>Melting_Curves/meltCurve_O95352_ATG7.pdf</v>
      </c>
    </row>
    <row r="1619" spans="1:28" x14ac:dyDescent="0.25">
      <c r="A1619" t="s">
        <v>1623</v>
      </c>
      <c r="B1619">
        <v>0.99796759195183404</v>
      </c>
      <c r="C1619">
        <v>1.3395261931648399</v>
      </c>
      <c r="D1619">
        <v>1.21530690673217</v>
      </c>
      <c r="E1619">
        <v>0.97293270301199697</v>
      </c>
      <c r="F1619">
        <v>0.829459254786862</v>
      </c>
      <c r="G1619">
        <v>0.35834264238743302</v>
      </c>
      <c r="H1619">
        <v>0.185818302498796</v>
      </c>
      <c r="I1619">
        <v>0.20290155581494199</v>
      </c>
      <c r="J1619">
        <v>0.210346151485022</v>
      </c>
      <c r="K1619">
        <v>0.12587998814333801</v>
      </c>
      <c r="L1619">
        <v>1955.89594580727</v>
      </c>
      <c r="M1619">
        <v>37.618831384988802</v>
      </c>
      <c r="N1619">
        <v>52.5939042064064</v>
      </c>
      <c r="O1619">
        <v>51.846201476554299</v>
      </c>
      <c r="P1619">
        <v>-0.14968659193131101</v>
      </c>
      <c r="Q1619">
        <v>0.174811087007258</v>
      </c>
      <c r="R1619">
        <v>0.91762216239755401</v>
      </c>
      <c r="S1619" t="s">
        <v>7202</v>
      </c>
      <c r="T1619" t="s">
        <v>11164</v>
      </c>
      <c r="U1619" t="s">
        <v>11164</v>
      </c>
      <c r="V1619" t="s">
        <v>11164</v>
      </c>
      <c r="W1619" t="s">
        <v>12752</v>
      </c>
      <c r="X1619">
        <v>3</v>
      </c>
      <c r="Y1619" t="s">
        <v>18279</v>
      </c>
      <c r="Z1619" t="s">
        <v>23769</v>
      </c>
      <c r="AA1619">
        <v>0.59054134321495744</v>
      </c>
      <c r="AB1619" t="str">
        <f>HYPERLINK("Melting_Curves/meltCurve_O95363_FARS2.pdf", "Melting_Curves/meltCurve_O95363_FARS2.pdf")</f>
        <v>Melting_Curves/meltCurve_O95363_FARS2.pdf</v>
      </c>
    </row>
    <row r="1620" spans="1:28" x14ac:dyDescent="0.25">
      <c r="A1620" t="s">
        <v>1624</v>
      </c>
      <c r="B1620">
        <v>0.99796759195183404</v>
      </c>
      <c r="C1620">
        <v>1.1289851776716799</v>
      </c>
      <c r="D1620">
        <v>0.99556437067121895</v>
      </c>
      <c r="E1620">
        <v>0.98222488749778702</v>
      </c>
      <c r="F1620">
        <v>0.98466163039515697</v>
      </c>
      <c r="G1620">
        <v>0.806175100624829</v>
      </c>
      <c r="H1620">
        <v>0.54901740772379004</v>
      </c>
      <c r="I1620">
        <v>0.24776306912193799</v>
      </c>
      <c r="J1620">
        <v>0.11280490027943101</v>
      </c>
      <c r="K1620">
        <v>7.7481220488748503E-2</v>
      </c>
      <c r="L1620">
        <v>1236.9421541883401</v>
      </c>
      <c r="M1620">
        <v>21.452074812539198</v>
      </c>
      <c r="N1620">
        <v>57.778809943630797</v>
      </c>
      <c r="O1620">
        <v>57.166681802567098</v>
      </c>
      <c r="P1620">
        <v>-9.1804111207140202E-2</v>
      </c>
      <c r="Q1620">
        <v>2.1445435926520501E-2</v>
      </c>
      <c r="R1620">
        <v>0.98777244969602596</v>
      </c>
      <c r="S1620" t="s">
        <v>7203</v>
      </c>
      <c r="T1620" t="s">
        <v>11164</v>
      </c>
      <c r="U1620" t="s">
        <v>11164</v>
      </c>
      <c r="V1620" t="s">
        <v>11164</v>
      </c>
      <c r="W1620" t="s">
        <v>12753</v>
      </c>
      <c r="X1620">
        <v>9</v>
      </c>
      <c r="Y1620" t="s">
        <v>18280</v>
      </c>
      <c r="Z1620" t="s">
        <v>23770</v>
      </c>
      <c r="AA1620">
        <v>0.70266861635133226</v>
      </c>
      <c r="AB1620" t="str">
        <f>HYPERLINK("Melting_Curves/meltCurve_O95372_LYPLA2.pdf", "Melting_Curves/meltCurve_O95372_LYPLA2.pdf")</f>
        <v>Melting_Curves/meltCurve_O95372_LYPLA2.pdf</v>
      </c>
    </row>
    <row r="1621" spans="1:28" x14ac:dyDescent="0.25">
      <c r="A1621" t="s">
        <v>1625</v>
      </c>
      <c r="B1621">
        <v>0.99796759195183404</v>
      </c>
      <c r="C1621">
        <v>1.0486469393412801</v>
      </c>
      <c r="D1621">
        <v>1.04496328751989</v>
      </c>
      <c r="E1621">
        <v>0.96542025108898499</v>
      </c>
      <c r="F1621">
        <v>0.88854193190159503</v>
      </c>
      <c r="G1621">
        <v>0.74533462819544205</v>
      </c>
      <c r="H1621">
        <v>0.41743782223977799</v>
      </c>
      <c r="I1621">
        <v>0.32907990089731298</v>
      </c>
      <c r="J1621">
        <v>0.136110615876188</v>
      </c>
      <c r="K1621">
        <v>9.35724510236908E-2</v>
      </c>
      <c r="L1621">
        <v>910.48977482247801</v>
      </c>
      <c r="M1621">
        <v>16.015046019052601</v>
      </c>
      <c r="N1621">
        <v>56.9973256666688</v>
      </c>
      <c r="O1621">
        <v>55.987876897817998</v>
      </c>
      <c r="P1621">
        <v>-7.0087518880713004E-2</v>
      </c>
      <c r="Q1621">
        <v>1.9985342135116501E-2</v>
      </c>
      <c r="R1621">
        <v>0.99001569574800696</v>
      </c>
      <c r="S1621" t="s">
        <v>7204</v>
      </c>
      <c r="T1621" t="s">
        <v>11164</v>
      </c>
      <c r="U1621" t="s">
        <v>11164</v>
      </c>
      <c r="V1621" t="s">
        <v>11164</v>
      </c>
      <c r="W1621" t="s">
        <v>12754</v>
      </c>
      <c r="X1621">
        <v>22</v>
      </c>
      <c r="Y1621" t="s">
        <v>18281</v>
      </c>
      <c r="Z1621" t="s">
        <v>23771</v>
      </c>
      <c r="AA1621">
        <v>0.67743224291126625</v>
      </c>
      <c r="AB1621" t="str">
        <f>HYPERLINK("Melting_Curves/meltCurve_O95373_IPO7.pdf", "Melting_Curves/meltCurve_O95373_IPO7.pdf")</f>
        <v>Melting_Curves/meltCurve_O95373_IPO7.pdf</v>
      </c>
    </row>
    <row r="1622" spans="1:28" x14ac:dyDescent="0.25">
      <c r="A1622" t="s">
        <v>1626</v>
      </c>
      <c r="B1622">
        <v>0.99796759195183404</v>
      </c>
      <c r="C1622">
        <v>1.0073392393776901</v>
      </c>
      <c r="D1622">
        <v>1.02437209697232</v>
      </c>
      <c r="E1622">
        <v>0.988011618909034</v>
      </c>
      <c r="F1622">
        <v>0.84622911617692198</v>
      </c>
      <c r="G1622">
        <v>0.66966997756577895</v>
      </c>
      <c r="H1622">
        <v>0.42714519911160898</v>
      </c>
      <c r="I1622">
        <v>0.235948669718342</v>
      </c>
      <c r="J1622">
        <v>0.17929643829241201</v>
      </c>
      <c r="K1622">
        <v>0.14173725724147501</v>
      </c>
      <c r="L1622">
        <v>952.35530641571199</v>
      </c>
      <c r="M1622">
        <v>17.178758469503499</v>
      </c>
      <c r="N1622">
        <v>56.121528773615097</v>
      </c>
      <c r="O1622">
        <v>54.7030829904987</v>
      </c>
      <c r="P1622">
        <v>-7.1102106356739803E-2</v>
      </c>
      <c r="Q1622">
        <v>9.4399345527969095E-2</v>
      </c>
      <c r="R1622">
        <v>0.99802787858518305</v>
      </c>
      <c r="S1622" t="s">
        <v>7205</v>
      </c>
      <c r="T1622" t="s">
        <v>11164</v>
      </c>
      <c r="U1622" t="s">
        <v>11164</v>
      </c>
      <c r="V1622" t="s">
        <v>11164</v>
      </c>
      <c r="W1622" t="s">
        <v>12755</v>
      </c>
      <c r="X1622">
        <v>15</v>
      </c>
      <c r="Y1622" t="s">
        <v>18282</v>
      </c>
      <c r="Z1622" t="s">
        <v>23772</v>
      </c>
      <c r="AA1622">
        <v>0.6621406941152792</v>
      </c>
      <c r="AB1622" t="str">
        <f>HYPERLINK("Melting_Curves/meltCurve_O95376_ARIH2.pdf", "Melting_Curves/meltCurve_O95376_ARIH2.pdf")</f>
        <v>Melting_Curves/meltCurve_O95376_ARIH2.pdf</v>
      </c>
    </row>
    <row r="1623" spans="1:28" x14ac:dyDescent="0.25">
      <c r="A1623" t="s">
        <v>1627</v>
      </c>
      <c r="B1623">
        <v>0.99796759195183404</v>
      </c>
      <c r="C1623">
        <v>0.97505061642003499</v>
      </c>
      <c r="D1623">
        <v>1.00139667214613</v>
      </c>
      <c r="E1623">
        <v>0.70413740758754395</v>
      </c>
      <c r="F1623">
        <v>0.35631154126736703</v>
      </c>
      <c r="G1623">
        <v>0.22977922030334499</v>
      </c>
      <c r="H1623">
        <v>0.195991486360518</v>
      </c>
      <c r="I1623">
        <v>0.16468000613019501</v>
      </c>
      <c r="J1623">
        <v>7.48222047386123E-2</v>
      </c>
      <c r="K1623">
        <v>7.7939296591137602E-2</v>
      </c>
      <c r="L1623">
        <v>1067.0119930251501</v>
      </c>
      <c r="M1623">
        <v>22.148390323344199</v>
      </c>
      <c r="N1623">
        <v>48.7884096497218</v>
      </c>
      <c r="O1623">
        <v>47.788020335408703</v>
      </c>
      <c r="P1623">
        <v>-0.10180073676187799</v>
      </c>
      <c r="Q1623">
        <v>0.121425864344294</v>
      </c>
      <c r="R1623">
        <v>0.99051196769233696</v>
      </c>
      <c r="S1623" t="s">
        <v>7206</v>
      </c>
      <c r="T1623" t="s">
        <v>11164</v>
      </c>
      <c r="U1623" t="s">
        <v>11164</v>
      </c>
      <c r="V1623" t="s">
        <v>11164</v>
      </c>
      <c r="W1623" t="s">
        <v>12756</v>
      </c>
      <c r="X1623">
        <v>3</v>
      </c>
      <c r="Y1623" t="s">
        <v>18283</v>
      </c>
      <c r="Z1623" t="s">
        <v>23773</v>
      </c>
      <c r="AA1623">
        <v>0.45822105533261459</v>
      </c>
      <c r="AB1623" t="str">
        <f>HYPERLINK("Melting_Curves/meltCurve_O95391_SLU7.pdf", "Melting_Curves/meltCurve_O95391_SLU7.pdf")</f>
        <v>Melting_Curves/meltCurve_O95391_SLU7.pdf</v>
      </c>
    </row>
    <row r="1624" spans="1:28" x14ac:dyDescent="0.25">
      <c r="A1624" t="s">
        <v>1628</v>
      </c>
      <c r="B1624">
        <v>0.99796759195183404</v>
      </c>
      <c r="C1624">
        <v>0.98167214100490696</v>
      </c>
      <c r="D1624">
        <v>0.98368171617950095</v>
      </c>
      <c r="E1624">
        <v>0.95194786404114795</v>
      </c>
      <c r="F1624">
        <v>0.77212293716908598</v>
      </c>
      <c r="G1624">
        <v>0.46165069527147801</v>
      </c>
      <c r="H1624">
        <v>0.19760387885132499</v>
      </c>
      <c r="I1624">
        <v>0.13793791780190401</v>
      </c>
      <c r="J1624">
        <v>0.107562405575422</v>
      </c>
      <c r="K1624">
        <v>7.7403135327591299E-2</v>
      </c>
      <c r="L1624">
        <v>1144.98778990235</v>
      </c>
      <c r="M1624">
        <v>21.670492570076799</v>
      </c>
      <c r="N1624">
        <v>53.251843964768199</v>
      </c>
      <c r="O1624">
        <v>52.392504147856499</v>
      </c>
      <c r="P1624">
        <v>-9.5362332400972999E-2</v>
      </c>
      <c r="Q1624">
        <v>7.7796153674272894E-2</v>
      </c>
      <c r="R1624">
        <v>0.99914910139205004</v>
      </c>
      <c r="S1624" t="s">
        <v>7207</v>
      </c>
      <c r="T1624" t="s">
        <v>11164</v>
      </c>
      <c r="U1624" t="s">
        <v>11164</v>
      </c>
      <c r="V1624" t="s">
        <v>11164</v>
      </c>
      <c r="W1624" t="s">
        <v>12757</v>
      </c>
      <c r="X1624">
        <v>22</v>
      </c>
      <c r="Y1624" t="s">
        <v>18284</v>
      </c>
      <c r="Z1624" t="s">
        <v>23774</v>
      </c>
      <c r="AA1624">
        <v>0.57494041057482803</v>
      </c>
      <c r="AB1624" t="str">
        <f>HYPERLINK("Melting_Curves/meltCurve_O95394_PGM3.pdf", "Melting_Curves/meltCurve_O95394_PGM3.pdf")</f>
        <v>Melting_Curves/meltCurve_O95394_PGM3.pdf</v>
      </c>
    </row>
    <row r="1625" spans="1:28" x14ac:dyDescent="0.25">
      <c r="A1625" t="s">
        <v>1629</v>
      </c>
      <c r="B1625">
        <v>0.99796759195183404</v>
      </c>
      <c r="C1625">
        <v>1.0088688504910299</v>
      </c>
      <c r="D1625">
        <v>1.00761892772096</v>
      </c>
      <c r="E1625">
        <v>0.90391560570965102</v>
      </c>
      <c r="F1625">
        <v>0.69509850951603502</v>
      </c>
      <c r="G1625">
        <v>0.24321375474074799</v>
      </c>
      <c r="H1625">
        <v>0.16372441144422201</v>
      </c>
      <c r="I1625">
        <v>9.8335508541629105E-2</v>
      </c>
      <c r="J1625">
        <v>8.3279216015230695E-2</v>
      </c>
      <c r="K1625">
        <v>6.8506175010054293E-2</v>
      </c>
      <c r="L1625">
        <v>1412.8916702158999</v>
      </c>
      <c r="M1625">
        <v>27.577290367280199</v>
      </c>
      <c r="N1625">
        <v>51.573052630678603</v>
      </c>
      <c r="O1625">
        <v>50.966749691875499</v>
      </c>
      <c r="P1625">
        <v>-0.124053632715257</v>
      </c>
      <c r="Q1625">
        <v>8.2933420307553102E-2</v>
      </c>
      <c r="R1625">
        <v>0.99680401886854797</v>
      </c>
      <c r="S1625" t="s">
        <v>7208</v>
      </c>
      <c r="T1625" t="s">
        <v>11164</v>
      </c>
      <c r="U1625" t="s">
        <v>11164</v>
      </c>
      <c r="V1625" t="s">
        <v>11164</v>
      </c>
      <c r="W1625" t="s">
        <v>12758</v>
      </c>
      <c r="X1625">
        <v>10</v>
      </c>
      <c r="Y1625" t="s">
        <v>18285</v>
      </c>
      <c r="Z1625" t="s">
        <v>23775</v>
      </c>
      <c r="AA1625">
        <v>0.52478773076620777</v>
      </c>
      <c r="AB1625" t="str">
        <f>HYPERLINK("Melting_Curves/meltCurve_O95396_MOCS3.pdf", "Melting_Curves/meltCurve_O95396_MOCS3.pdf")</f>
        <v>Melting_Curves/meltCurve_O95396_MOCS3.pdf</v>
      </c>
    </row>
    <row r="1626" spans="1:28" x14ac:dyDescent="0.25">
      <c r="A1626" t="s">
        <v>1630</v>
      </c>
      <c r="B1626">
        <v>0.99796759195183404</v>
      </c>
      <c r="C1626">
        <v>1.13253519986831</v>
      </c>
      <c r="D1626">
        <v>1.01106692981347</v>
      </c>
      <c r="E1626">
        <v>0.84044394095658903</v>
      </c>
      <c r="F1626">
        <v>0.31730760459993501</v>
      </c>
      <c r="G1626">
        <v>0.21574966558495601</v>
      </c>
      <c r="H1626">
        <v>0.42014471964171102</v>
      </c>
      <c r="I1626">
        <v>0.34912923393123402</v>
      </c>
      <c r="J1626">
        <v>0.46241169586395298</v>
      </c>
      <c r="K1626">
        <v>0.514755562119663</v>
      </c>
      <c r="L1626">
        <v>11699.394937451199</v>
      </c>
      <c r="M1626">
        <v>250</v>
      </c>
      <c r="N1626">
        <v>47.066125449259701</v>
      </c>
      <c r="O1626">
        <v>46.794584839764397</v>
      </c>
      <c r="P1626">
        <v>-0.82819891234572296</v>
      </c>
      <c r="Q1626">
        <v>0.37991641011583599</v>
      </c>
      <c r="R1626">
        <v>0.92470969391748603</v>
      </c>
      <c r="S1626" t="s">
        <v>7209</v>
      </c>
      <c r="T1626" t="s">
        <v>11164</v>
      </c>
      <c r="U1626" t="s">
        <v>11164</v>
      </c>
      <c r="V1626" t="s">
        <v>11164</v>
      </c>
      <c r="W1626" t="s">
        <v>12759</v>
      </c>
      <c r="X1626">
        <v>9</v>
      </c>
      <c r="Y1626" t="s">
        <v>18286</v>
      </c>
      <c r="Z1626" t="s">
        <v>23776</v>
      </c>
      <c r="AA1626">
        <v>0.58247795109046363</v>
      </c>
      <c r="AB1626" t="str">
        <f>HYPERLINK("Melting_Curves/meltCurve_O95400_CD2BP2.pdf", "Melting_Curves/meltCurve_O95400_CD2BP2.pdf")</f>
        <v>Melting_Curves/meltCurve_O95400_CD2BP2.pdf</v>
      </c>
    </row>
    <row r="1627" spans="1:28" x14ac:dyDescent="0.25">
      <c r="A1627" t="s">
        <v>1631</v>
      </c>
      <c r="B1627">
        <v>0.99796759195183404</v>
      </c>
      <c r="C1627">
        <v>0.83096998758165797</v>
      </c>
      <c r="D1627">
        <v>0.95930867838998102</v>
      </c>
      <c r="E1627">
        <v>0.84641035856484803</v>
      </c>
      <c r="F1627">
        <v>0.64080176975473702</v>
      </c>
      <c r="G1627">
        <v>0.60101657579280798</v>
      </c>
      <c r="H1627">
        <v>0.413861198352872</v>
      </c>
      <c r="I1627">
        <v>0.32645247954075901</v>
      </c>
      <c r="J1627">
        <v>0.21697719443774699</v>
      </c>
      <c r="K1627">
        <v>0.255173454788714</v>
      </c>
      <c r="L1627">
        <v>439.67358300240602</v>
      </c>
      <c r="M1627">
        <v>8.0132322940870004</v>
      </c>
      <c r="N1627">
        <v>55.297502844673801</v>
      </c>
      <c r="O1627">
        <v>51.767675533513902</v>
      </c>
      <c r="P1627">
        <v>-3.7573844381175399E-2</v>
      </c>
      <c r="Q1627">
        <v>3.0140483918809399E-2</v>
      </c>
      <c r="R1627">
        <v>0.96363904962359004</v>
      </c>
      <c r="S1627" t="s">
        <v>7210</v>
      </c>
      <c r="T1627" t="s">
        <v>11164</v>
      </c>
      <c r="U1627" t="s">
        <v>11164</v>
      </c>
      <c r="V1627" t="s">
        <v>11164</v>
      </c>
      <c r="W1627" t="s">
        <v>12760</v>
      </c>
      <c r="X1627">
        <v>2</v>
      </c>
      <c r="Y1627" t="s">
        <v>18287</v>
      </c>
      <c r="Z1627" t="s">
        <v>23777</v>
      </c>
      <c r="AA1627">
        <v>0.61545248432289246</v>
      </c>
      <c r="AB1627" t="str">
        <f>HYPERLINK("Melting_Curves/meltCurve_O95405_ZFYVE9.pdf", "Melting_Curves/meltCurve_O95405_ZFYVE9.pdf")</f>
        <v>Melting_Curves/meltCurve_O95405_ZFYVE9.pdf</v>
      </c>
    </row>
    <row r="1628" spans="1:28" x14ac:dyDescent="0.25">
      <c r="A1628" t="s">
        <v>1632</v>
      </c>
      <c r="B1628">
        <v>0.99796759195183404</v>
      </c>
      <c r="C1628">
        <v>0.92498574460484495</v>
      </c>
      <c r="D1628">
        <v>0.88790008469977599</v>
      </c>
      <c r="E1628">
        <v>0.82795499293393504</v>
      </c>
      <c r="F1628">
        <v>0.69021283001516898</v>
      </c>
      <c r="G1628">
        <v>0.50176257735794505</v>
      </c>
      <c r="H1628">
        <v>0.32735966255736398</v>
      </c>
      <c r="I1628">
        <v>0.20893242314819299</v>
      </c>
      <c r="J1628">
        <v>0.24273985236450399</v>
      </c>
      <c r="K1628">
        <v>0.165166135892726</v>
      </c>
      <c r="L1628">
        <v>551.66000370745599</v>
      </c>
      <c r="M1628">
        <v>10.4381491346589</v>
      </c>
      <c r="N1628">
        <v>53.627519560484302</v>
      </c>
      <c r="O1628">
        <v>51.021037563027797</v>
      </c>
      <c r="P1628">
        <v>-4.75759335031593E-2</v>
      </c>
      <c r="Q1628">
        <v>7.0190680038170805E-2</v>
      </c>
      <c r="R1628">
        <v>0.99047068201253496</v>
      </c>
      <c r="S1628" t="s">
        <v>7211</v>
      </c>
      <c r="T1628" t="s">
        <v>11164</v>
      </c>
      <c r="U1628" t="s">
        <v>11164</v>
      </c>
      <c r="V1628" t="s">
        <v>11164</v>
      </c>
      <c r="W1628" t="s">
        <v>12761</v>
      </c>
      <c r="X1628">
        <v>3</v>
      </c>
      <c r="Y1628" t="s">
        <v>18288</v>
      </c>
      <c r="Z1628" t="s">
        <v>23778</v>
      </c>
      <c r="AA1628">
        <v>0.58267524186216269</v>
      </c>
      <c r="AB1628" t="str">
        <f>HYPERLINK("Melting_Curves/meltCurve_O95429_2_BAG4.pdf", "Melting_Curves/meltCurve_O95429_2_BAG4.pdf")</f>
        <v>Melting_Curves/meltCurve_O95429_2_BAG4.pdf</v>
      </c>
    </row>
    <row r="1629" spans="1:28" x14ac:dyDescent="0.25">
      <c r="A1629" t="s">
        <v>1633</v>
      </c>
      <c r="B1629">
        <v>0.99796759195183404</v>
      </c>
      <c r="C1629">
        <v>0.95643917602500295</v>
      </c>
      <c r="D1629">
        <v>0.91166658176569504</v>
      </c>
      <c r="E1629">
        <v>0.91296205457856405</v>
      </c>
      <c r="F1629">
        <v>0.78348443148909597</v>
      </c>
      <c r="G1629">
        <v>0.52273128351055098</v>
      </c>
      <c r="H1629">
        <v>0.24964839742714601</v>
      </c>
      <c r="I1629">
        <v>0.169283428672205</v>
      </c>
      <c r="J1629">
        <v>0.143201337076475</v>
      </c>
      <c r="K1629">
        <v>0.105825165972569</v>
      </c>
      <c r="L1629">
        <v>927.72633005435398</v>
      </c>
      <c r="M1629">
        <v>17.401670526196</v>
      </c>
      <c r="N1629">
        <v>53.844686689804497</v>
      </c>
      <c r="O1629">
        <v>52.6233896337395</v>
      </c>
      <c r="P1629">
        <v>-7.6143328636934404E-2</v>
      </c>
      <c r="Q1629">
        <v>7.9009296216735303E-2</v>
      </c>
      <c r="R1629">
        <v>0.99230732482334305</v>
      </c>
      <c r="S1629" t="s">
        <v>7212</v>
      </c>
      <c r="T1629" t="s">
        <v>11164</v>
      </c>
      <c r="U1629" t="s">
        <v>11164</v>
      </c>
      <c r="V1629" t="s">
        <v>11164</v>
      </c>
      <c r="W1629" t="s">
        <v>12762</v>
      </c>
      <c r="X1629">
        <v>17</v>
      </c>
      <c r="Y1629" t="s">
        <v>18289</v>
      </c>
      <c r="Z1629" t="s">
        <v>23779</v>
      </c>
      <c r="AA1629">
        <v>0.59352380710041475</v>
      </c>
      <c r="AB1629" t="str">
        <f>HYPERLINK("Melting_Curves/meltCurve_O95433_AHSA1.pdf", "Melting_Curves/meltCurve_O95433_AHSA1.pdf")</f>
        <v>Melting_Curves/meltCurve_O95433_AHSA1.pdf</v>
      </c>
    </row>
    <row r="1630" spans="1:28" x14ac:dyDescent="0.25">
      <c r="A1630" t="s">
        <v>1634</v>
      </c>
      <c r="B1630">
        <v>0.99796759195183404</v>
      </c>
      <c r="C1630">
        <v>1.07236661059871</v>
      </c>
      <c r="D1630">
        <v>1.12387664961925</v>
      </c>
      <c r="E1630">
        <v>1.0188711527719601</v>
      </c>
      <c r="F1630">
        <v>0.92808036016735396</v>
      </c>
      <c r="G1630">
        <v>0.42904603635334998</v>
      </c>
      <c r="H1630">
        <v>0.19220445072175399</v>
      </c>
      <c r="I1630">
        <v>0.13197954752930499</v>
      </c>
      <c r="J1630">
        <v>0.109892913845182</v>
      </c>
      <c r="K1630">
        <v>7.8083834013608702E-2</v>
      </c>
      <c r="L1630">
        <v>2064.8470101636399</v>
      </c>
      <c r="M1630">
        <v>38.906278956118797</v>
      </c>
      <c r="N1630">
        <v>53.423833978902501</v>
      </c>
      <c r="O1630">
        <v>52.932706459416899</v>
      </c>
      <c r="P1630">
        <v>-0.163004028133794</v>
      </c>
      <c r="Q1630">
        <v>0.1129222314287</v>
      </c>
      <c r="R1630">
        <v>0.98706048366751198</v>
      </c>
      <c r="S1630" t="s">
        <v>7213</v>
      </c>
      <c r="T1630" t="s">
        <v>11164</v>
      </c>
      <c r="U1630" t="s">
        <v>11164</v>
      </c>
      <c r="V1630" t="s">
        <v>11164</v>
      </c>
      <c r="W1630" t="s">
        <v>12763</v>
      </c>
      <c r="X1630">
        <v>7</v>
      </c>
      <c r="Y1630" t="s">
        <v>18290</v>
      </c>
      <c r="Z1630" t="s">
        <v>23780</v>
      </c>
      <c r="AA1630">
        <v>0.5915905789519369</v>
      </c>
      <c r="AB1630" t="str">
        <f>HYPERLINK("Melting_Curves/meltCurve_O95453_2_PARN.pdf", "Melting_Curves/meltCurve_O95453_2_PARN.pdf")</f>
        <v>Melting_Curves/meltCurve_O95453_2_PARN.pdf</v>
      </c>
    </row>
    <row r="1631" spans="1:28" x14ac:dyDescent="0.25">
      <c r="A1631" t="s">
        <v>1635</v>
      </c>
      <c r="B1631">
        <v>0.99796759195183404</v>
      </c>
      <c r="C1631">
        <v>0.99928693431673199</v>
      </c>
      <c r="D1631">
        <v>0.99262331551864802</v>
      </c>
      <c r="E1631">
        <v>0.96454793129052596</v>
      </c>
      <c r="F1631">
        <v>0.940332016918489</v>
      </c>
      <c r="G1631">
        <v>1.0021419658070601</v>
      </c>
      <c r="H1631">
        <v>0.84405780103017503</v>
      </c>
      <c r="I1631">
        <v>0.62656980496079295</v>
      </c>
      <c r="J1631">
        <v>0.25622579047553101</v>
      </c>
      <c r="K1631">
        <v>0.148163294560374</v>
      </c>
      <c r="L1631">
        <v>1592.7431739291301</v>
      </c>
      <c r="M1631">
        <v>25.777833636549801</v>
      </c>
      <c r="N1631">
        <v>61.8582589492163</v>
      </c>
      <c r="O1631">
        <v>61.419073413915001</v>
      </c>
      <c r="P1631">
        <v>-0.10339894278367499</v>
      </c>
      <c r="Q1631">
        <v>1.4565536449348399E-2</v>
      </c>
      <c r="R1631">
        <v>0.99005831345087703</v>
      </c>
      <c r="S1631" t="s">
        <v>7214</v>
      </c>
      <c r="T1631" t="s">
        <v>11164</v>
      </c>
      <c r="U1631" t="s">
        <v>11164</v>
      </c>
      <c r="V1631" t="s">
        <v>11164</v>
      </c>
      <c r="W1631" t="s">
        <v>12764</v>
      </c>
      <c r="X1631">
        <v>9</v>
      </c>
      <c r="Y1631" t="s">
        <v>18291</v>
      </c>
      <c r="Z1631" t="s">
        <v>23781</v>
      </c>
      <c r="AA1631">
        <v>0.82617945250629277</v>
      </c>
      <c r="AB1631" t="str">
        <f>HYPERLINK("Melting_Curves/meltCurve_O95456_PSMG1.pdf", "Melting_Curves/meltCurve_O95456_PSMG1.pdf")</f>
        <v>Melting_Curves/meltCurve_O95456_PSMG1.pdf</v>
      </c>
    </row>
    <row r="1632" spans="1:28" x14ac:dyDescent="0.25">
      <c r="A1632" t="s">
        <v>1636</v>
      </c>
      <c r="B1632">
        <v>0.99796759195183404</v>
      </c>
      <c r="C1632">
        <v>1.0051533246684801</v>
      </c>
      <c r="D1632">
        <v>1.0290681876774901</v>
      </c>
      <c r="E1632">
        <v>0.99775012185670997</v>
      </c>
      <c r="F1632">
        <v>0.82955655672449102</v>
      </c>
      <c r="G1632">
        <v>0.92629278776092605</v>
      </c>
      <c r="H1632">
        <v>0.72608398728124302</v>
      </c>
      <c r="I1632">
        <v>0.32206660575889701</v>
      </c>
      <c r="J1632">
        <v>0.243541298186738</v>
      </c>
      <c r="K1632">
        <v>0.14831078059858399</v>
      </c>
      <c r="L1632">
        <v>1495.2548697147299</v>
      </c>
      <c r="M1632">
        <v>25.4382077983941</v>
      </c>
      <c r="N1632">
        <v>59.4038715767553</v>
      </c>
      <c r="O1632">
        <v>58.420240406719202</v>
      </c>
      <c r="P1632">
        <v>-9.60967918273824E-2</v>
      </c>
      <c r="Q1632">
        <v>0.117244857738625</v>
      </c>
      <c r="R1632">
        <v>0.97208968562434706</v>
      </c>
      <c r="S1632" t="s">
        <v>7215</v>
      </c>
      <c r="T1632" t="s">
        <v>11164</v>
      </c>
      <c r="U1632" t="s">
        <v>11164</v>
      </c>
      <c r="V1632" t="s">
        <v>11164</v>
      </c>
      <c r="W1632" t="s">
        <v>12765</v>
      </c>
      <c r="X1632">
        <v>6</v>
      </c>
      <c r="Y1632" t="s">
        <v>18292</v>
      </c>
      <c r="Z1632" t="s">
        <v>23782</v>
      </c>
      <c r="AA1632">
        <v>0.76289602361007058</v>
      </c>
      <c r="AB1632" t="str">
        <f>HYPERLINK("Melting_Curves/meltCurve_O95470_SGPL1.pdf", "Melting_Curves/meltCurve_O95470_SGPL1.pdf")</f>
        <v>Melting_Curves/meltCurve_O95470_SGPL1.pdf</v>
      </c>
    </row>
    <row r="1633" spans="1:28" x14ac:dyDescent="0.25">
      <c r="A1633" t="s">
        <v>1637</v>
      </c>
      <c r="B1633">
        <v>0.99796759195183404</v>
      </c>
      <c r="C1633">
        <v>1.04962553732982</v>
      </c>
      <c r="D1633">
        <v>1.0058112748218999</v>
      </c>
      <c r="E1633">
        <v>0.86190371971389501</v>
      </c>
      <c r="F1633">
        <v>0.788479054647236</v>
      </c>
      <c r="G1633">
        <v>0.32961615970946501</v>
      </c>
      <c r="H1633">
        <v>0.16369881896257599</v>
      </c>
      <c r="I1633">
        <v>0.16283774266102199</v>
      </c>
      <c r="J1633">
        <v>0.12805412750912001</v>
      </c>
      <c r="K1633">
        <v>7.7442698058724696E-2</v>
      </c>
      <c r="L1633">
        <v>1386.7130052100799</v>
      </c>
      <c r="M1633">
        <v>26.725989262356499</v>
      </c>
      <c r="N1633">
        <v>52.365578358331099</v>
      </c>
      <c r="O1633">
        <v>51.598430640373998</v>
      </c>
      <c r="P1633">
        <v>-0.11544271017604101</v>
      </c>
      <c r="Q1633">
        <v>0.108493097460672</v>
      </c>
      <c r="R1633">
        <v>0.988623599292901</v>
      </c>
      <c r="S1633" t="s">
        <v>7216</v>
      </c>
      <c r="T1633" t="s">
        <v>11164</v>
      </c>
      <c r="U1633" t="s">
        <v>11164</v>
      </c>
      <c r="V1633" t="s">
        <v>11164</v>
      </c>
      <c r="W1633" t="s">
        <v>12766</v>
      </c>
      <c r="X1633">
        <v>5</v>
      </c>
      <c r="Y1633" t="s">
        <v>18293</v>
      </c>
      <c r="Z1633" t="s">
        <v>23783</v>
      </c>
      <c r="AA1633">
        <v>0.55785651877433118</v>
      </c>
      <c r="AB1633" t="str">
        <f>HYPERLINK("Melting_Curves/meltCurve_O95486_SEC24A.pdf", "Melting_Curves/meltCurve_O95486_SEC24A.pdf")</f>
        <v>Melting_Curves/meltCurve_O95486_SEC24A.pdf</v>
      </c>
    </row>
    <row r="1634" spans="1:28" x14ac:dyDescent="0.25">
      <c r="A1634" t="s">
        <v>1638</v>
      </c>
      <c r="B1634">
        <v>0.99796759195183404</v>
      </c>
      <c r="C1634">
        <v>0.98805765877990204</v>
      </c>
      <c r="D1634">
        <v>0.90635368494589696</v>
      </c>
      <c r="E1634">
        <v>0.825772789664874</v>
      </c>
      <c r="F1634">
        <v>0.67403800505476896</v>
      </c>
      <c r="G1634">
        <v>0.28523031510948998</v>
      </c>
      <c r="H1634">
        <v>0.23038678001228899</v>
      </c>
      <c r="I1634">
        <v>0.16947818200338</v>
      </c>
      <c r="J1634">
        <v>0.12031570057666099</v>
      </c>
      <c r="K1634">
        <v>0.118619349428361</v>
      </c>
      <c r="L1634">
        <v>874.697106372843</v>
      </c>
      <c r="M1634">
        <v>17.186824557584099</v>
      </c>
      <c r="N1634">
        <v>51.580101207296302</v>
      </c>
      <c r="O1634">
        <v>50.219452729455497</v>
      </c>
      <c r="P1634">
        <v>-7.6814624376437199E-2</v>
      </c>
      <c r="Q1634">
        <v>0.102251851026837</v>
      </c>
      <c r="R1634">
        <v>0.98894479630370602</v>
      </c>
      <c r="S1634" t="s">
        <v>7217</v>
      </c>
      <c r="T1634" t="s">
        <v>11164</v>
      </c>
      <c r="U1634" t="s">
        <v>11164</v>
      </c>
      <c r="V1634" t="s">
        <v>11164</v>
      </c>
      <c r="W1634" t="s">
        <v>12767</v>
      </c>
      <c r="X1634">
        <v>7</v>
      </c>
      <c r="Y1634" t="s">
        <v>18294</v>
      </c>
      <c r="Z1634" t="s">
        <v>23784</v>
      </c>
      <c r="AA1634">
        <v>0.53298827281927685</v>
      </c>
      <c r="AB1634" t="str">
        <f>HYPERLINK("Melting_Curves/meltCurve_O95487_2_SEC24B.pdf", "Melting_Curves/meltCurve_O95487_2_SEC24B.pdf")</f>
        <v>Melting_Curves/meltCurve_O95487_2_SEC24B.pdf</v>
      </c>
    </row>
    <row r="1635" spans="1:28" x14ac:dyDescent="0.25">
      <c r="A1635" t="s">
        <v>1639</v>
      </c>
      <c r="B1635">
        <v>0.99796759195183404</v>
      </c>
      <c r="C1635">
        <v>0.999934726939812</v>
      </c>
      <c r="D1635">
        <v>1.0388913202979799</v>
      </c>
      <c r="E1635">
        <v>0.89103489713585304</v>
      </c>
      <c r="F1635">
        <v>0.74468790651679695</v>
      </c>
      <c r="G1635">
        <v>0.38631452244147302</v>
      </c>
      <c r="H1635">
        <v>0.19375514550623399</v>
      </c>
      <c r="I1635">
        <v>0.13240640035214701</v>
      </c>
      <c r="J1635">
        <v>0.145413305710511</v>
      </c>
      <c r="K1635">
        <v>0.101123669620182</v>
      </c>
      <c r="L1635">
        <v>1169.4612865889001</v>
      </c>
      <c r="M1635">
        <v>22.496181514315602</v>
      </c>
      <c r="N1635">
        <v>52.548616930450301</v>
      </c>
      <c r="O1635">
        <v>51.579322393607399</v>
      </c>
      <c r="P1635">
        <v>-9.7349006984363398E-2</v>
      </c>
      <c r="Q1635">
        <v>0.107209608683382</v>
      </c>
      <c r="R1635">
        <v>0.996073425008416</v>
      </c>
      <c r="S1635" t="s">
        <v>7218</v>
      </c>
      <c r="T1635" t="s">
        <v>11164</v>
      </c>
      <c r="U1635" t="s">
        <v>11164</v>
      </c>
      <c r="V1635" t="s">
        <v>11164</v>
      </c>
      <c r="W1635" t="s">
        <v>12768</v>
      </c>
      <c r="X1635">
        <v>5</v>
      </c>
      <c r="Y1635" t="s">
        <v>18295</v>
      </c>
      <c r="Z1635" t="s">
        <v>23785</v>
      </c>
      <c r="AA1635">
        <v>0.56266940996022563</v>
      </c>
      <c r="AB1635" t="str">
        <f>HYPERLINK("Melting_Curves/meltCurve_O95551_TDP2.pdf", "Melting_Curves/meltCurve_O95551_TDP2.pdf")</f>
        <v>Melting_Curves/meltCurve_O95551_TDP2.pdf</v>
      </c>
    </row>
    <row r="1636" spans="1:28" x14ac:dyDescent="0.25">
      <c r="A1636" t="s">
        <v>1640</v>
      </c>
      <c r="B1636">
        <v>0.99796759195183404</v>
      </c>
      <c r="C1636">
        <v>1.01526615895056</v>
      </c>
      <c r="D1636">
        <v>1.00447217741199</v>
      </c>
      <c r="E1636">
        <v>0.93330032833479704</v>
      </c>
      <c r="F1636">
        <v>0.83064590318615605</v>
      </c>
      <c r="G1636">
        <v>0.43093439274516399</v>
      </c>
      <c r="H1636">
        <v>0.15952110592858701</v>
      </c>
      <c r="I1636">
        <v>0.12681687536221301</v>
      </c>
      <c r="J1636">
        <v>0.11138499626864801</v>
      </c>
      <c r="K1636">
        <v>9.0947101395550303E-2</v>
      </c>
      <c r="L1636">
        <v>1473.2554946075199</v>
      </c>
      <c r="M1636">
        <v>27.936321810248</v>
      </c>
      <c r="N1636">
        <v>53.137643865006403</v>
      </c>
      <c r="O1636">
        <v>52.468186335696998</v>
      </c>
      <c r="P1636">
        <v>-0.120448406265994</v>
      </c>
      <c r="Q1636">
        <v>9.5134118599307801E-2</v>
      </c>
      <c r="R1636">
        <v>0.99809883514789899</v>
      </c>
      <c r="S1636" t="s">
        <v>7219</v>
      </c>
      <c r="T1636" t="s">
        <v>11164</v>
      </c>
      <c r="U1636" t="s">
        <v>11164</v>
      </c>
      <c r="V1636" t="s">
        <v>11164</v>
      </c>
      <c r="W1636" t="s">
        <v>12769</v>
      </c>
      <c r="X1636">
        <v>20</v>
      </c>
      <c r="Y1636" t="s">
        <v>18296</v>
      </c>
      <c r="Z1636" t="s">
        <v>23786</v>
      </c>
      <c r="AA1636">
        <v>0.57633644541843965</v>
      </c>
      <c r="AB1636" t="str">
        <f>HYPERLINK("Melting_Curves/meltCurve_O95573_ACSL3.pdf", "Melting_Curves/meltCurve_O95573_ACSL3.pdf")</f>
        <v>Melting_Curves/meltCurve_O95573_ACSL3.pdf</v>
      </c>
    </row>
    <row r="1637" spans="1:28" x14ac:dyDescent="0.25">
      <c r="A1637" t="s">
        <v>1641</v>
      </c>
      <c r="B1637">
        <v>0.99796759195183404</v>
      </c>
      <c r="C1637">
        <v>1.05038812037146</v>
      </c>
      <c r="D1637">
        <v>0.98326177602954801</v>
      </c>
      <c r="E1637">
        <v>0.89984860891982998</v>
      </c>
      <c r="F1637">
        <v>0.59235574558770898</v>
      </c>
      <c r="G1637">
        <v>0.45243876624049101</v>
      </c>
      <c r="H1637">
        <v>0.44395627014983802</v>
      </c>
      <c r="I1637">
        <v>0.39696506924073799</v>
      </c>
      <c r="J1637">
        <v>0.24761509702837001</v>
      </c>
      <c r="K1637">
        <v>0.20941215503809901</v>
      </c>
      <c r="L1637">
        <v>790.911939751261</v>
      </c>
      <c r="M1637">
        <v>15.600409406236601</v>
      </c>
      <c r="N1637">
        <v>53.251073752473999</v>
      </c>
      <c r="O1637">
        <v>49.886998560459702</v>
      </c>
      <c r="P1637">
        <v>-5.7597607236455399E-2</v>
      </c>
      <c r="Q1637">
        <v>0.263320811621858</v>
      </c>
      <c r="R1637">
        <v>0.96658620919081595</v>
      </c>
      <c r="S1637" t="s">
        <v>7220</v>
      </c>
      <c r="T1637" t="s">
        <v>11164</v>
      </c>
      <c r="U1637" t="s">
        <v>11164</v>
      </c>
      <c r="V1637" t="s">
        <v>11164</v>
      </c>
      <c r="W1637" t="s">
        <v>12770</v>
      </c>
      <c r="X1637">
        <v>9</v>
      </c>
      <c r="Y1637" t="s">
        <v>18297</v>
      </c>
      <c r="Z1637" t="s">
        <v>23787</v>
      </c>
      <c r="AA1637">
        <v>0.61391889208188311</v>
      </c>
      <c r="AB1637" t="str">
        <f>HYPERLINK("Melting_Curves/meltCurve_O95613_2_PCNT.pdf", "Melting_Curves/meltCurve_O95613_2_PCNT.pdf")</f>
        <v>Melting_Curves/meltCurve_O95613_2_PCNT.pdf</v>
      </c>
    </row>
    <row r="1638" spans="1:28" x14ac:dyDescent="0.25">
      <c r="A1638" t="s">
        <v>1642</v>
      </c>
      <c r="B1638">
        <v>0.99796759195183404</v>
      </c>
      <c r="C1638">
        <v>0.95015474215247997</v>
      </c>
      <c r="D1638">
        <v>0.93481262495344297</v>
      </c>
      <c r="E1638">
        <v>0.86280184940413696</v>
      </c>
      <c r="F1638">
        <v>0.78147582144260597</v>
      </c>
      <c r="G1638">
        <v>0.678205017313811</v>
      </c>
      <c r="H1638">
        <v>0.62382453609982702</v>
      </c>
      <c r="I1638">
        <v>0.48090605111052198</v>
      </c>
      <c r="J1638">
        <v>0.40474783064470599</v>
      </c>
      <c r="K1638">
        <v>0.21231742159262301</v>
      </c>
      <c r="L1638">
        <v>443.38009978113598</v>
      </c>
      <c r="M1638">
        <v>7.4481762893975096</v>
      </c>
      <c r="N1638">
        <v>59.528678352835499</v>
      </c>
      <c r="O1638">
        <v>55.689982094280502</v>
      </c>
      <c r="P1638">
        <v>-3.3485209959684702E-2</v>
      </c>
      <c r="Q1638">
        <v>0</v>
      </c>
      <c r="R1638">
        <v>0.97560651399183795</v>
      </c>
      <c r="S1638" t="s">
        <v>7221</v>
      </c>
      <c r="T1638" t="s">
        <v>11164</v>
      </c>
      <c r="U1638" t="s">
        <v>11164</v>
      </c>
      <c r="V1638" t="s">
        <v>11164</v>
      </c>
      <c r="W1638" t="s">
        <v>12771</v>
      </c>
      <c r="X1638">
        <v>5</v>
      </c>
      <c r="Y1638" t="s">
        <v>18298</v>
      </c>
      <c r="Z1638" t="s">
        <v>23788</v>
      </c>
      <c r="AA1638">
        <v>0.70743826095933571</v>
      </c>
      <c r="AB1638" t="str">
        <f>HYPERLINK("Melting_Curves/meltCurve_O95620_DUS4L.pdf", "Melting_Curves/meltCurve_O95620_DUS4L.pdf")</f>
        <v>Melting_Curves/meltCurve_O95620_DUS4L.pdf</v>
      </c>
    </row>
    <row r="1639" spans="1:28" x14ac:dyDescent="0.25">
      <c r="A1639" t="s">
        <v>1643</v>
      </c>
      <c r="B1639">
        <v>0.99796759195183404</v>
      </c>
      <c r="C1639">
        <v>1.2136997473264</v>
      </c>
      <c r="D1639">
        <v>1.0607367970184201</v>
      </c>
      <c r="E1639">
        <v>0.95209317385657</v>
      </c>
      <c r="F1639">
        <v>0.90629356362402702</v>
      </c>
      <c r="G1639">
        <v>0.72452354808131603</v>
      </c>
      <c r="H1639">
        <v>0.59055970196583296</v>
      </c>
      <c r="I1639">
        <v>0.476503361091349</v>
      </c>
      <c r="J1639">
        <v>0.37906279999283299</v>
      </c>
      <c r="K1639">
        <v>0.268990292713085</v>
      </c>
      <c r="L1639">
        <v>746.42944717124703</v>
      </c>
      <c r="M1639">
        <v>13.0012962099257</v>
      </c>
      <c r="N1639">
        <v>59.618291029978202</v>
      </c>
      <c r="O1639">
        <v>56.104594389229597</v>
      </c>
      <c r="P1639">
        <v>-4.6878322558386802E-2</v>
      </c>
      <c r="Q1639">
        <v>0.19096531135710501</v>
      </c>
      <c r="R1639">
        <v>0.938466482395378</v>
      </c>
      <c r="S1639" t="s">
        <v>7222</v>
      </c>
      <c r="T1639" t="s">
        <v>11164</v>
      </c>
      <c r="U1639" t="s">
        <v>11164</v>
      </c>
      <c r="V1639" t="s">
        <v>11164</v>
      </c>
      <c r="W1639" t="s">
        <v>12772</v>
      </c>
      <c r="X1639">
        <v>2</v>
      </c>
      <c r="Y1639" t="s">
        <v>18299</v>
      </c>
      <c r="Z1639" t="s">
        <v>23789</v>
      </c>
      <c r="AA1639">
        <v>0.74485743220780343</v>
      </c>
      <c r="AB1639" t="str">
        <f>HYPERLINK("Melting_Curves/meltCurve_O95628_5_CNOT4.pdf", "Melting_Curves/meltCurve_O95628_5_CNOT4.pdf")</f>
        <v>Melting_Curves/meltCurve_O95628_5_CNOT4.pdf</v>
      </c>
    </row>
    <row r="1640" spans="1:28" x14ac:dyDescent="0.25">
      <c r="A1640" t="s">
        <v>1644</v>
      </c>
      <c r="B1640">
        <v>0.99796759195183404</v>
      </c>
      <c r="C1640">
        <v>0.92025893888559795</v>
      </c>
      <c r="D1640">
        <v>0.97419122935311997</v>
      </c>
      <c r="E1640">
        <v>0.90821316230560101</v>
      </c>
      <c r="F1640">
        <v>0.64174834154204896</v>
      </c>
      <c r="G1640">
        <v>0.23745471502663401</v>
      </c>
      <c r="H1640">
        <v>0.20092352234698299</v>
      </c>
      <c r="I1640">
        <v>0.14944637861398399</v>
      </c>
      <c r="J1640">
        <v>0.13081372326666499</v>
      </c>
      <c r="K1640">
        <v>0.117879382523206</v>
      </c>
      <c r="L1640">
        <v>1424.0303870434</v>
      </c>
      <c r="M1640">
        <v>28.1199094144431</v>
      </c>
      <c r="N1640">
        <v>51.2074599249014</v>
      </c>
      <c r="O1640">
        <v>50.387325263059097</v>
      </c>
      <c r="P1640">
        <v>-0.120880639874276</v>
      </c>
      <c r="Q1640">
        <v>0.13359602906093501</v>
      </c>
      <c r="R1640">
        <v>0.99234359625422597</v>
      </c>
      <c r="S1640" t="s">
        <v>7223</v>
      </c>
      <c r="T1640" t="s">
        <v>11164</v>
      </c>
      <c r="U1640" t="s">
        <v>11164</v>
      </c>
      <c r="V1640" t="s">
        <v>11164</v>
      </c>
      <c r="W1640" t="s">
        <v>12773</v>
      </c>
      <c r="X1640">
        <v>16</v>
      </c>
      <c r="Y1640" t="s">
        <v>18300</v>
      </c>
      <c r="Z1640" t="s">
        <v>23790</v>
      </c>
      <c r="AA1640">
        <v>0.53365145765392608</v>
      </c>
      <c r="AB1640" t="str">
        <f>HYPERLINK("Melting_Curves/meltCurve_O95630_STAMBP.pdf", "Melting_Curves/meltCurve_O95630_STAMBP.pdf")</f>
        <v>Melting_Curves/meltCurve_O95630_STAMBP.pdf</v>
      </c>
    </row>
    <row r="1641" spans="1:28" x14ac:dyDescent="0.25">
      <c r="A1641" t="s">
        <v>1645</v>
      </c>
      <c r="B1641">
        <v>0.99796759195183404</v>
      </c>
      <c r="C1641">
        <v>0.90852978555328001</v>
      </c>
      <c r="D1641">
        <v>0.95734765566594704</v>
      </c>
      <c r="E1641">
        <v>0.85327732080982099</v>
      </c>
      <c r="F1641">
        <v>0.72813652954617503</v>
      </c>
      <c r="G1641">
        <v>0.46007983796670199</v>
      </c>
      <c r="H1641">
        <v>0.21058264946576299</v>
      </c>
      <c r="I1641">
        <v>0.171718780378109</v>
      </c>
      <c r="J1641">
        <v>0.13318102329689199</v>
      </c>
      <c r="K1641">
        <v>9.5539736348226101E-2</v>
      </c>
      <c r="L1641">
        <v>809.24845118277597</v>
      </c>
      <c r="M1641">
        <v>15.4039115837952</v>
      </c>
      <c r="N1641">
        <v>52.990964801020098</v>
      </c>
      <c r="O1641">
        <v>51.673738125929297</v>
      </c>
      <c r="P1641">
        <v>-6.9908238066672401E-2</v>
      </c>
      <c r="Q1641">
        <v>6.2032747716172801E-2</v>
      </c>
      <c r="R1641">
        <v>0.98992867553048203</v>
      </c>
      <c r="S1641" t="s">
        <v>7224</v>
      </c>
      <c r="T1641" t="s">
        <v>11164</v>
      </c>
      <c r="U1641" t="s">
        <v>11164</v>
      </c>
      <c r="V1641" t="s">
        <v>11164</v>
      </c>
      <c r="W1641" t="s">
        <v>12774</v>
      </c>
      <c r="X1641">
        <v>10</v>
      </c>
      <c r="Y1641" t="s">
        <v>18301</v>
      </c>
      <c r="Z1641" t="s">
        <v>23791</v>
      </c>
      <c r="AA1641">
        <v>0.56460241080609241</v>
      </c>
      <c r="AB1641" t="str">
        <f>HYPERLINK("Melting_Curves/meltCurve_O95671_2_ASMTL.pdf", "Melting_Curves/meltCurve_O95671_2_ASMTL.pdf")</f>
        <v>Melting_Curves/meltCurve_O95671_2_ASMTL.pdf</v>
      </c>
    </row>
    <row r="1642" spans="1:28" x14ac:dyDescent="0.25">
      <c r="A1642" t="s">
        <v>1646</v>
      </c>
      <c r="B1642">
        <v>0.99796759195183404</v>
      </c>
      <c r="C1642">
        <v>1.0389631350381201</v>
      </c>
      <c r="D1642">
        <v>1.06518935280092</v>
      </c>
      <c r="E1642">
        <v>1.0843364125739099</v>
      </c>
      <c r="F1642">
        <v>0.84373969844599594</v>
      </c>
      <c r="G1642">
        <v>0.495944168902064</v>
      </c>
      <c r="H1642">
        <v>0.387799456596567</v>
      </c>
      <c r="I1642">
        <v>0.28605627782225201</v>
      </c>
      <c r="J1642">
        <v>0.29348389012452403</v>
      </c>
      <c r="K1642">
        <v>0.21546035572173</v>
      </c>
      <c r="L1642">
        <v>1540.4657227422399</v>
      </c>
      <c r="M1642">
        <v>29.3063247426788</v>
      </c>
      <c r="N1642">
        <v>54.014938364681697</v>
      </c>
      <c r="O1642">
        <v>52.321349634894297</v>
      </c>
      <c r="P1642">
        <v>-0.101885147891789</v>
      </c>
      <c r="Q1642">
        <v>0.27241230606401701</v>
      </c>
      <c r="R1642">
        <v>0.98024474611533396</v>
      </c>
      <c r="S1642" t="s">
        <v>7225</v>
      </c>
      <c r="T1642" t="s">
        <v>11164</v>
      </c>
      <c r="U1642" t="s">
        <v>11164</v>
      </c>
      <c r="V1642" t="s">
        <v>11164</v>
      </c>
      <c r="W1642" t="s">
        <v>12775</v>
      </c>
      <c r="X1642">
        <v>7</v>
      </c>
      <c r="Y1642" t="s">
        <v>18302</v>
      </c>
      <c r="Z1642" t="s">
        <v>23792</v>
      </c>
      <c r="AA1642">
        <v>0.65471574275565747</v>
      </c>
      <c r="AB1642" t="str">
        <f>HYPERLINK("Melting_Curves/meltCurve_O95684_FGFR1OP.pdf", "Melting_Curves/meltCurve_O95684_FGFR1OP.pdf")</f>
        <v>Melting_Curves/meltCurve_O95684_FGFR1OP.pdf</v>
      </c>
    </row>
    <row r="1643" spans="1:28" x14ac:dyDescent="0.25">
      <c r="A1643" t="s">
        <v>1647</v>
      </c>
      <c r="B1643">
        <v>0.99796759195183404</v>
      </c>
      <c r="C1643">
        <v>1.0851690515508501</v>
      </c>
      <c r="D1643">
        <v>1.1522960753840199</v>
      </c>
      <c r="E1643">
        <v>1.1516637307926401</v>
      </c>
      <c r="F1643">
        <v>1.1596802738172101</v>
      </c>
      <c r="G1643">
        <v>0.82463004707349397</v>
      </c>
      <c r="H1643">
        <v>0.35946737663800998</v>
      </c>
      <c r="I1643">
        <v>0.39995568792383901</v>
      </c>
      <c r="J1643">
        <v>9.7512540891813798E-2</v>
      </c>
      <c r="K1643">
        <v>0.39120283659585298</v>
      </c>
      <c r="L1643">
        <v>3077.3447572056002</v>
      </c>
      <c r="M1643">
        <v>56.030293354096798</v>
      </c>
      <c r="N1643">
        <v>55.818052853899196</v>
      </c>
      <c r="O1643">
        <v>54.853049935914399</v>
      </c>
      <c r="P1643">
        <v>-0.179668439179442</v>
      </c>
      <c r="Q1643">
        <v>0.29642664257052997</v>
      </c>
      <c r="R1643">
        <v>0.90721273792381396</v>
      </c>
      <c r="S1643" t="s">
        <v>7226</v>
      </c>
      <c r="T1643" t="s">
        <v>11164</v>
      </c>
      <c r="U1643" t="s">
        <v>11164</v>
      </c>
      <c r="V1643" t="s">
        <v>11164</v>
      </c>
      <c r="W1643" t="s">
        <v>12776</v>
      </c>
      <c r="X1643">
        <v>1</v>
      </c>
      <c r="Y1643" t="s">
        <v>18303</v>
      </c>
      <c r="Z1643" t="s">
        <v>23793</v>
      </c>
      <c r="AA1643">
        <v>0.71811621444650986</v>
      </c>
      <c r="AB1643" t="str">
        <f>HYPERLINK("Melting_Curves/meltCurve_O95685_PPP1R3D.pdf", "Melting_Curves/meltCurve_O95685_PPP1R3D.pdf")</f>
        <v>Melting_Curves/meltCurve_O95685_PPP1R3D.pdf</v>
      </c>
    </row>
    <row r="1644" spans="1:28" x14ac:dyDescent="0.25">
      <c r="A1644" t="s">
        <v>1648</v>
      </c>
      <c r="B1644">
        <v>0.99796759195183404</v>
      </c>
      <c r="C1644">
        <v>0.97121756988934504</v>
      </c>
      <c r="D1644">
        <v>0.91117694818519301</v>
      </c>
      <c r="E1644">
        <v>0.82512089706909297</v>
      </c>
      <c r="F1644">
        <v>0.75089712818571097</v>
      </c>
      <c r="G1644">
        <v>0.63026832639424502</v>
      </c>
      <c r="H1644">
        <v>0.41263454943570599</v>
      </c>
      <c r="I1644">
        <v>0.43045919308117497</v>
      </c>
      <c r="J1644">
        <v>0.400594913578599</v>
      </c>
      <c r="K1644">
        <v>0.162974466620912</v>
      </c>
      <c r="L1644">
        <v>423.26454193805699</v>
      </c>
      <c r="M1644">
        <v>7.4116123279119899</v>
      </c>
      <c r="N1644">
        <v>57.1082947970703</v>
      </c>
      <c r="O1644">
        <v>53.393077459141303</v>
      </c>
      <c r="P1644">
        <v>-3.4755191806055699E-2</v>
      </c>
      <c r="Q1644">
        <v>0</v>
      </c>
      <c r="R1644">
        <v>0.96506793318670903</v>
      </c>
      <c r="S1644" t="s">
        <v>7227</v>
      </c>
      <c r="T1644" t="s">
        <v>11164</v>
      </c>
      <c r="U1644" t="s">
        <v>11164</v>
      </c>
      <c r="V1644" t="s">
        <v>11164</v>
      </c>
      <c r="W1644" t="s">
        <v>12777</v>
      </c>
      <c r="X1644">
        <v>3</v>
      </c>
      <c r="Y1644" t="s">
        <v>18304</v>
      </c>
      <c r="Z1644" t="s">
        <v>23794</v>
      </c>
      <c r="AA1644">
        <v>0.65396263476794436</v>
      </c>
      <c r="AB1644" t="str">
        <f>HYPERLINK("Melting_Curves/meltCurve_O95716_RAB3D.pdf", "Melting_Curves/meltCurve_O95716_RAB3D.pdf")</f>
        <v>Melting_Curves/meltCurve_O95716_RAB3D.pdf</v>
      </c>
    </row>
    <row r="1645" spans="1:28" x14ac:dyDescent="0.25">
      <c r="A1645" t="s">
        <v>1649</v>
      </c>
      <c r="B1645">
        <v>0.99796759195183404</v>
      </c>
      <c r="C1645">
        <v>0.994833036593191</v>
      </c>
      <c r="D1645">
        <v>0.98835042939632201</v>
      </c>
      <c r="E1645">
        <v>0.97759799364880695</v>
      </c>
      <c r="F1645">
        <v>0.85113835349465605</v>
      </c>
      <c r="G1645">
        <v>0.54180148894179003</v>
      </c>
      <c r="H1645">
        <v>0.55011392662043401</v>
      </c>
      <c r="I1645">
        <v>0.47412910032772898</v>
      </c>
      <c r="J1645">
        <v>0.59415918146566604</v>
      </c>
      <c r="K1645">
        <v>0.55233259022090597</v>
      </c>
      <c r="L1645">
        <v>4575.3620570715702</v>
      </c>
      <c r="M1645">
        <v>90.413100674862704</v>
      </c>
      <c r="O1645">
        <v>50.580336431414402</v>
      </c>
      <c r="P1645">
        <v>-0.20463162015137501</v>
      </c>
      <c r="Q1645">
        <v>0.54208691999441405</v>
      </c>
      <c r="R1645">
        <v>0.98236530041088399</v>
      </c>
      <c r="S1645" t="s">
        <v>7228</v>
      </c>
      <c r="T1645" t="s">
        <v>11164</v>
      </c>
      <c r="U1645" t="s">
        <v>11164</v>
      </c>
      <c r="V1645" t="s">
        <v>11164</v>
      </c>
      <c r="W1645" t="s">
        <v>12778</v>
      </c>
      <c r="X1645">
        <v>22</v>
      </c>
      <c r="Y1645" t="s">
        <v>18305</v>
      </c>
      <c r="Z1645" t="s">
        <v>23795</v>
      </c>
      <c r="AA1645">
        <v>0.75006309233545909</v>
      </c>
      <c r="AB1645" t="str">
        <f>HYPERLINK("Melting_Curves/meltCurve_O95721_SNAP29.pdf", "Melting_Curves/meltCurve_O95721_SNAP29.pdf")</f>
        <v>Melting_Curves/meltCurve_O95721_SNAP29.pdf</v>
      </c>
    </row>
    <row r="1646" spans="1:28" x14ac:dyDescent="0.25">
      <c r="A1646" t="s">
        <v>1650</v>
      </c>
      <c r="B1646">
        <v>0.99796759195183404</v>
      </c>
      <c r="C1646">
        <v>0.71278665392878704</v>
      </c>
      <c r="D1646">
        <v>0.65259483778928395</v>
      </c>
      <c r="E1646">
        <v>0.78299170088313896</v>
      </c>
      <c r="F1646">
        <v>0.54204570393352403</v>
      </c>
      <c r="G1646">
        <v>0.15192471595957199</v>
      </c>
      <c r="H1646">
        <v>0.110672706847795</v>
      </c>
      <c r="I1646">
        <v>8.1941731702243906E-2</v>
      </c>
      <c r="J1646">
        <v>7.1861243029138405E-2</v>
      </c>
      <c r="K1646">
        <v>7.4132753099047793E-2</v>
      </c>
      <c r="L1646">
        <v>468.53598299209801</v>
      </c>
      <c r="M1646">
        <v>9.6730359903369898</v>
      </c>
      <c r="N1646">
        <v>48.4373016241749</v>
      </c>
      <c r="O1646">
        <v>46.503040962043102</v>
      </c>
      <c r="P1646">
        <v>-5.20308883899109E-2</v>
      </c>
      <c r="Q1646">
        <v>0</v>
      </c>
      <c r="R1646">
        <v>0.89431031841684505</v>
      </c>
      <c r="S1646" t="s">
        <v>7229</v>
      </c>
      <c r="T1646" t="s">
        <v>11164</v>
      </c>
      <c r="U1646" t="s">
        <v>11164</v>
      </c>
      <c r="V1646" t="s">
        <v>11164</v>
      </c>
      <c r="W1646" t="s">
        <v>12779</v>
      </c>
      <c r="X1646">
        <v>5</v>
      </c>
      <c r="Y1646" t="s">
        <v>18306</v>
      </c>
      <c r="Z1646" t="s">
        <v>23796</v>
      </c>
      <c r="AA1646">
        <v>0.42165602098651889</v>
      </c>
      <c r="AB1646" t="str">
        <f>HYPERLINK("Melting_Curves/meltCurve_O95747_OXSR1.pdf", "Melting_Curves/meltCurve_O95747_OXSR1.pdf")</f>
        <v>Melting_Curves/meltCurve_O95747_OXSR1.pdf</v>
      </c>
    </row>
    <row r="1647" spans="1:28" x14ac:dyDescent="0.25">
      <c r="A1647" t="s">
        <v>1651</v>
      </c>
      <c r="B1647">
        <v>0.99796759195183404</v>
      </c>
      <c r="C1647">
        <v>0.88095702648473095</v>
      </c>
      <c r="D1647">
        <v>0.99297156808529696</v>
      </c>
      <c r="E1647">
        <v>0.73954979895582196</v>
      </c>
      <c r="F1647">
        <v>0.50725514744843403</v>
      </c>
      <c r="G1647">
        <v>0.247863029344845</v>
      </c>
      <c r="H1647">
        <v>0.198272799037959</v>
      </c>
      <c r="I1647">
        <v>0.126062934853128</v>
      </c>
      <c r="J1647">
        <v>9.3959014340514596E-2</v>
      </c>
      <c r="K1647">
        <v>5.6841622017131103E-2</v>
      </c>
      <c r="L1647">
        <v>785.81898677380195</v>
      </c>
      <c r="M1647">
        <v>15.8147497978229</v>
      </c>
      <c r="N1647">
        <v>50.135516780869999</v>
      </c>
      <c r="O1647">
        <v>48.914843925140403</v>
      </c>
      <c r="P1647">
        <v>-7.5524484250642607E-2</v>
      </c>
      <c r="Q1647">
        <v>6.5690876630337E-2</v>
      </c>
      <c r="R1647">
        <v>0.98675655343166102</v>
      </c>
      <c r="S1647" t="s">
        <v>7230</v>
      </c>
      <c r="T1647" t="s">
        <v>11164</v>
      </c>
      <c r="U1647" t="s">
        <v>11164</v>
      </c>
      <c r="V1647" t="s">
        <v>11164</v>
      </c>
      <c r="W1647" t="s">
        <v>12780</v>
      </c>
      <c r="X1647">
        <v>1</v>
      </c>
      <c r="Y1647" t="s">
        <v>18307</v>
      </c>
      <c r="Z1647" t="s">
        <v>23797</v>
      </c>
      <c r="AA1647">
        <v>0.47907342285176052</v>
      </c>
      <c r="AB1647" t="str">
        <f>HYPERLINK("Melting_Curves/meltCurve_O95751_LDOC1.pdf", "Melting_Curves/meltCurve_O95751_LDOC1.pdf")</f>
        <v>Melting_Curves/meltCurve_O95751_LDOC1.pdf</v>
      </c>
    </row>
    <row r="1648" spans="1:28" x14ac:dyDescent="0.25">
      <c r="A1648" t="s">
        <v>1652</v>
      </c>
      <c r="B1648">
        <v>0.99796759195183404</v>
      </c>
      <c r="C1648">
        <v>1.18677244216788</v>
      </c>
      <c r="D1648">
        <v>0.96011608324632802</v>
      </c>
      <c r="E1648">
        <v>1.04755499864324</v>
      </c>
      <c r="F1648">
        <v>0.96061161196405098</v>
      </c>
      <c r="G1648">
        <v>0.62061495082376295</v>
      </c>
      <c r="H1648">
        <v>0.54696357025768005</v>
      </c>
      <c r="I1648">
        <v>0.44133173905190098</v>
      </c>
      <c r="J1648">
        <v>0.29999986936425399</v>
      </c>
      <c r="K1648">
        <v>0.30038830215948498</v>
      </c>
      <c r="L1648">
        <v>1074.61340841011</v>
      </c>
      <c r="M1648">
        <v>19.619016070024198</v>
      </c>
      <c r="N1648">
        <v>57.466224181647199</v>
      </c>
      <c r="O1648">
        <v>54.214519378457702</v>
      </c>
      <c r="P1648">
        <v>-6.3279983624137406E-2</v>
      </c>
      <c r="Q1648">
        <v>0.30056159096777302</v>
      </c>
      <c r="R1648">
        <v>0.93878639034673805</v>
      </c>
      <c r="S1648" t="s">
        <v>7231</v>
      </c>
      <c r="T1648" t="s">
        <v>11164</v>
      </c>
      <c r="U1648" t="s">
        <v>11164</v>
      </c>
      <c r="V1648" t="s">
        <v>11164</v>
      </c>
      <c r="W1648" t="s">
        <v>12781</v>
      </c>
      <c r="X1648">
        <v>2</v>
      </c>
      <c r="Y1648" t="s">
        <v>18308</v>
      </c>
      <c r="Z1648" t="s">
        <v>23798</v>
      </c>
      <c r="AA1648">
        <v>0.72320327472777224</v>
      </c>
      <c r="AB1648" t="str">
        <f>HYPERLINK("Melting_Curves/meltCurve_O95755_2_RAB36.pdf", "Melting_Curves/meltCurve_O95755_2_RAB36.pdf")</f>
        <v>Melting_Curves/meltCurve_O95755_2_RAB36.pdf</v>
      </c>
    </row>
    <row r="1649" spans="1:28" x14ac:dyDescent="0.25">
      <c r="A1649" t="s">
        <v>1653</v>
      </c>
      <c r="B1649">
        <v>0.99796759195183404</v>
      </c>
      <c r="C1649">
        <v>1.02472494703942</v>
      </c>
      <c r="D1649">
        <v>1.0142278367511</v>
      </c>
      <c r="E1649">
        <v>0.87948722670733903</v>
      </c>
      <c r="F1649">
        <v>0.407141472062377</v>
      </c>
      <c r="G1649">
        <v>0.28030660259172102</v>
      </c>
      <c r="H1649">
        <v>0.223645542570723</v>
      </c>
      <c r="I1649">
        <v>0.30622547094120101</v>
      </c>
      <c r="J1649">
        <v>0.14702807039795401</v>
      </c>
      <c r="K1649">
        <v>0.137391602511411</v>
      </c>
      <c r="L1649">
        <v>1723.2014342499499</v>
      </c>
      <c r="M1649">
        <v>35.336096211506799</v>
      </c>
      <c r="N1649">
        <v>49.530962044840699</v>
      </c>
      <c r="O1649">
        <v>48.610646734728803</v>
      </c>
      <c r="P1649">
        <v>-0.143515373926247</v>
      </c>
      <c r="Q1649">
        <v>0.21028612095169599</v>
      </c>
      <c r="R1649">
        <v>0.98388326480173804</v>
      </c>
      <c r="S1649" t="s">
        <v>7232</v>
      </c>
      <c r="T1649" t="s">
        <v>11164</v>
      </c>
      <c r="U1649" t="s">
        <v>11164</v>
      </c>
      <c r="V1649" t="s">
        <v>11164</v>
      </c>
      <c r="W1649" t="s">
        <v>12782</v>
      </c>
      <c r="X1649">
        <v>3</v>
      </c>
      <c r="Y1649" t="s">
        <v>18309</v>
      </c>
      <c r="Z1649" t="s">
        <v>23799</v>
      </c>
      <c r="AA1649">
        <v>0.52342888706414326</v>
      </c>
      <c r="AB1649" t="str">
        <f>HYPERLINK("Melting_Curves/meltCurve_O95758_1_PTBP3.pdf", "Melting_Curves/meltCurve_O95758_1_PTBP3.pdf")</f>
        <v>Melting_Curves/meltCurve_O95758_1_PTBP3.pdf</v>
      </c>
    </row>
    <row r="1650" spans="1:28" x14ac:dyDescent="0.25">
      <c r="A1650" t="s">
        <v>1654</v>
      </c>
      <c r="B1650">
        <v>0.99796759195183404</v>
      </c>
      <c r="C1650">
        <v>1.03518998204176</v>
      </c>
      <c r="D1650">
        <v>0.92592923248910797</v>
      </c>
      <c r="E1650">
        <v>0.98811263518193204</v>
      </c>
      <c r="F1650">
        <v>0.85682066963622405</v>
      </c>
      <c r="G1650">
        <v>0.663966312352407</v>
      </c>
      <c r="H1650">
        <v>0.59021630964732197</v>
      </c>
      <c r="I1650">
        <v>0.56042298310979299</v>
      </c>
      <c r="J1650">
        <v>0.66625129882519596</v>
      </c>
      <c r="K1650">
        <v>0.60643754464253097</v>
      </c>
      <c r="L1650">
        <v>1836.62890325782</v>
      </c>
      <c r="M1650">
        <v>36.012608582282397</v>
      </c>
      <c r="O1650">
        <v>50.843104229675298</v>
      </c>
      <c r="P1650">
        <v>-6.9923131115409806E-2</v>
      </c>
      <c r="Q1650">
        <v>0.60512734071039898</v>
      </c>
      <c r="R1650">
        <v>0.95981466929900305</v>
      </c>
      <c r="S1650" t="s">
        <v>7233</v>
      </c>
      <c r="T1650" t="s">
        <v>11164</v>
      </c>
      <c r="U1650" t="s">
        <v>11164</v>
      </c>
      <c r="V1650" t="s">
        <v>11164</v>
      </c>
      <c r="W1650" t="s">
        <v>12783</v>
      </c>
      <c r="X1650">
        <v>4</v>
      </c>
      <c r="Y1650" t="s">
        <v>18310</v>
      </c>
      <c r="Z1650" t="s">
        <v>23800</v>
      </c>
      <c r="AA1650">
        <v>0.79111111716136806</v>
      </c>
      <c r="AB1650" t="str">
        <f>HYPERLINK("Melting_Curves/meltCurve_O95777_NAA38.pdf", "Melting_Curves/meltCurve_O95777_NAA38.pdf")</f>
        <v>Melting_Curves/meltCurve_O95777_NAA38.pdf</v>
      </c>
    </row>
    <row r="1651" spans="1:28" x14ac:dyDescent="0.25">
      <c r="A1651" t="s">
        <v>1655</v>
      </c>
      <c r="B1651">
        <v>0.99796759195183404</v>
      </c>
      <c r="C1651">
        <v>0.95367614725441596</v>
      </c>
      <c r="D1651">
        <v>0.86155806888993902</v>
      </c>
      <c r="E1651">
        <v>0.86311210446810605</v>
      </c>
      <c r="F1651">
        <v>0.75698539662493503</v>
      </c>
      <c r="G1651">
        <v>0.70902447377272404</v>
      </c>
      <c r="H1651">
        <v>0.51748298899157397</v>
      </c>
      <c r="I1651">
        <v>0.36633257253524298</v>
      </c>
      <c r="J1651">
        <v>0.22000441628751799</v>
      </c>
      <c r="K1651">
        <v>0.13626996796401</v>
      </c>
      <c r="L1651">
        <v>545.48995249114796</v>
      </c>
      <c r="M1651">
        <v>9.5669538077502807</v>
      </c>
      <c r="N1651">
        <v>57.018123241582103</v>
      </c>
      <c r="O1651">
        <v>54.693801026013197</v>
      </c>
      <c r="P1651">
        <v>-4.37547943106988E-2</v>
      </c>
      <c r="Q1651">
        <v>0</v>
      </c>
      <c r="R1651">
        <v>0.97336451820495296</v>
      </c>
      <c r="S1651" t="s">
        <v>7234</v>
      </c>
      <c r="T1651" t="s">
        <v>11164</v>
      </c>
      <c r="U1651" t="s">
        <v>11164</v>
      </c>
      <c r="V1651" t="s">
        <v>11164</v>
      </c>
      <c r="W1651" t="s">
        <v>12784</v>
      </c>
      <c r="X1651">
        <v>15</v>
      </c>
      <c r="Y1651" t="s">
        <v>18311</v>
      </c>
      <c r="Z1651" t="s">
        <v>23801</v>
      </c>
      <c r="AA1651">
        <v>0.66458622300468384</v>
      </c>
      <c r="AB1651" t="str">
        <f>HYPERLINK("Melting_Curves/meltCurve_O95782_2_AP2A1.pdf", "Melting_Curves/meltCurve_O95782_2_AP2A1.pdf")</f>
        <v>Melting_Curves/meltCurve_O95782_2_AP2A1.pdf</v>
      </c>
    </row>
    <row r="1652" spans="1:28" x14ac:dyDescent="0.25">
      <c r="A1652" t="s">
        <v>1656</v>
      </c>
      <c r="B1652">
        <v>0.99796759195183404</v>
      </c>
      <c r="C1652">
        <v>1.0566836263633199</v>
      </c>
      <c r="D1652">
        <v>0.99095484288961999</v>
      </c>
      <c r="E1652">
        <v>1.0339688844863899</v>
      </c>
      <c r="F1652">
        <v>0.99033041661852705</v>
      </c>
      <c r="G1652">
        <v>0.96879809119315996</v>
      </c>
      <c r="H1652">
        <v>1.0208035172146099</v>
      </c>
      <c r="I1652">
        <v>0.50283584102946599</v>
      </c>
      <c r="J1652">
        <v>0.45809083231682901</v>
      </c>
      <c r="K1652">
        <v>0.40215572134351002</v>
      </c>
      <c r="L1652">
        <v>15000</v>
      </c>
      <c r="M1652">
        <v>247.824030457216</v>
      </c>
      <c r="N1652">
        <v>61.011265575395001</v>
      </c>
      <c r="O1652">
        <v>60.522876447550999</v>
      </c>
      <c r="P1652">
        <v>-0.58337144725254897</v>
      </c>
      <c r="Q1652">
        <v>0.43012277050392</v>
      </c>
      <c r="R1652">
        <v>0.98853029882624399</v>
      </c>
      <c r="S1652" t="s">
        <v>7235</v>
      </c>
      <c r="T1652" t="s">
        <v>11164</v>
      </c>
      <c r="U1652" t="s">
        <v>11164</v>
      </c>
      <c r="V1652" t="s">
        <v>11164</v>
      </c>
      <c r="W1652" t="s">
        <v>12785</v>
      </c>
      <c r="X1652">
        <v>11</v>
      </c>
      <c r="Y1652" t="s">
        <v>18312</v>
      </c>
      <c r="Z1652" t="s">
        <v>23802</v>
      </c>
      <c r="AA1652">
        <v>0.87709763583681211</v>
      </c>
      <c r="AB1652" t="str">
        <f>HYPERLINK("Melting_Curves/meltCurve_O95816_BAG2.pdf", "Melting_Curves/meltCurve_O95816_BAG2.pdf")</f>
        <v>Melting_Curves/meltCurve_O95816_BAG2.pdf</v>
      </c>
    </row>
    <row r="1653" spans="1:28" x14ac:dyDescent="0.25">
      <c r="A1653" t="s">
        <v>1657</v>
      </c>
      <c r="B1653">
        <v>0.99796759195183404</v>
      </c>
      <c r="C1653">
        <v>1.0362048431198501</v>
      </c>
      <c r="D1653">
        <v>1.03845021364301</v>
      </c>
      <c r="E1653">
        <v>0.98129074503411295</v>
      </c>
      <c r="F1653">
        <v>0.89254400546564305</v>
      </c>
      <c r="G1653">
        <v>0.68005277682662202</v>
      </c>
      <c r="H1653">
        <v>0.64703448412627595</v>
      </c>
      <c r="I1653">
        <v>0.569115913978953</v>
      </c>
      <c r="J1653">
        <v>0.75637512034795895</v>
      </c>
      <c r="K1653">
        <v>0.748864298364326</v>
      </c>
      <c r="L1653">
        <v>4314.0898523932701</v>
      </c>
      <c r="M1653">
        <v>85.257049129255293</v>
      </c>
      <c r="O1653">
        <v>50.573155313386401</v>
      </c>
      <c r="P1653">
        <v>-0.13491014563551601</v>
      </c>
      <c r="Q1653">
        <v>0.67989363337465503</v>
      </c>
      <c r="R1653">
        <v>0.90209730571491098</v>
      </c>
      <c r="S1653" t="s">
        <v>7236</v>
      </c>
      <c r="T1653" t="s">
        <v>11164</v>
      </c>
      <c r="U1653" t="s">
        <v>11164</v>
      </c>
      <c r="V1653" t="s">
        <v>11164</v>
      </c>
      <c r="W1653" t="s">
        <v>12786</v>
      </c>
      <c r="X1653">
        <v>22</v>
      </c>
      <c r="Y1653" t="s">
        <v>18313</v>
      </c>
      <c r="Z1653" t="s">
        <v>23803</v>
      </c>
      <c r="AA1653">
        <v>0.82526376577923499</v>
      </c>
      <c r="AB1653" t="str">
        <f>HYPERLINK("Melting_Curves/meltCurve_O95817_BAG3.pdf", "Melting_Curves/meltCurve_O95817_BAG3.pdf")</f>
        <v>Melting_Curves/meltCurve_O95817_BAG3.pdf</v>
      </c>
    </row>
    <row r="1654" spans="1:28" x14ac:dyDescent="0.25">
      <c r="A1654" t="s">
        <v>1658</v>
      </c>
      <c r="B1654">
        <v>0.99796759195183404</v>
      </c>
      <c r="C1654">
        <v>1.0118338779873399</v>
      </c>
      <c r="D1654">
        <v>0.746504334025762</v>
      </c>
      <c r="E1654">
        <v>0.93720824583004403</v>
      </c>
      <c r="F1654">
        <v>0.80774904891623001</v>
      </c>
      <c r="G1654">
        <v>0.96187900733339904</v>
      </c>
      <c r="H1654">
        <v>0.52246557405144201</v>
      </c>
      <c r="I1654">
        <v>0.16784366143915</v>
      </c>
      <c r="J1654">
        <v>0.175040621217528</v>
      </c>
      <c r="K1654">
        <v>0.13229155521893099</v>
      </c>
      <c r="L1654">
        <v>2750.2174584274399</v>
      </c>
      <c r="M1654">
        <v>48.158254553280599</v>
      </c>
      <c r="N1654">
        <v>57.515751322359698</v>
      </c>
      <c r="O1654">
        <v>57.009710608682198</v>
      </c>
      <c r="P1654">
        <v>-0.18063834723708699</v>
      </c>
      <c r="Q1654">
        <v>0.144642753582711</v>
      </c>
      <c r="R1654">
        <v>0.91230365151301096</v>
      </c>
      <c r="S1654" t="s">
        <v>7237</v>
      </c>
      <c r="T1654" t="s">
        <v>11164</v>
      </c>
      <c r="U1654" t="s">
        <v>11164</v>
      </c>
      <c r="V1654" t="s">
        <v>11164</v>
      </c>
      <c r="W1654" t="s">
        <v>12787</v>
      </c>
      <c r="X1654">
        <v>2</v>
      </c>
      <c r="Y1654" t="s">
        <v>18314</v>
      </c>
      <c r="Z1654" t="s">
        <v>23804</v>
      </c>
      <c r="AA1654">
        <v>0.72024142923839518</v>
      </c>
      <c r="AB1654" t="str">
        <f>HYPERLINK("Melting_Curves/meltCurve_O95822_MLYCD.pdf", "Melting_Curves/meltCurve_O95822_MLYCD.pdf")</f>
        <v>Melting_Curves/meltCurve_O95822_MLYCD.pdf</v>
      </c>
    </row>
    <row r="1655" spans="1:28" x14ac:dyDescent="0.25">
      <c r="A1655" t="s">
        <v>1659</v>
      </c>
      <c r="B1655">
        <v>0.99796759195183404</v>
      </c>
      <c r="C1655">
        <v>0.99438514700478298</v>
      </c>
      <c r="D1655">
        <v>0.96987191315323096</v>
      </c>
      <c r="E1655">
        <v>0.931287098489337</v>
      </c>
      <c r="F1655">
        <v>0.861905728881047</v>
      </c>
      <c r="G1655">
        <v>0.83974220947588996</v>
      </c>
      <c r="H1655">
        <v>0.79674184506317303</v>
      </c>
      <c r="I1655">
        <v>0.66420703048019203</v>
      </c>
      <c r="J1655">
        <v>0.447520900430182</v>
      </c>
      <c r="K1655">
        <v>0.10247342551251</v>
      </c>
      <c r="L1655">
        <v>1048.3482688250999</v>
      </c>
      <c r="M1655">
        <v>16.8291715605687</v>
      </c>
      <c r="N1655">
        <v>62.293516099340401</v>
      </c>
      <c r="O1655">
        <v>61.433875496470101</v>
      </c>
      <c r="P1655">
        <v>-6.8489285828756394E-2</v>
      </c>
      <c r="Q1655">
        <v>0</v>
      </c>
      <c r="R1655">
        <v>0.924238016529635</v>
      </c>
      <c r="S1655" t="s">
        <v>7238</v>
      </c>
      <c r="T1655" t="s">
        <v>11164</v>
      </c>
      <c r="U1655" t="s">
        <v>11164</v>
      </c>
      <c r="V1655" t="s">
        <v>11164</v>
      </c>
      <c r="W1655" t="s">
        <v>12788</v>
      </c>
      <c r="X1655">
        <v>12</v>
      </c>
      <c r="Y1655" t="s">
        <v>18315</v>
      </c>
      <c r="Z1655" t="s">
        <v>23805</v>
      </c>
      <c r="AA1655">
        <v>0.82373847485033447</v>
      </c>
      <c r="AB1655" t="str">
        <f>HYPERLINK("Melting_Curves/meltCurve_O95825_CRYZL1.pdf", "Melting_Curves/meltCurve_O95825_CRYZL1.pdf")</f>
        <v>Melting_Curves/meltCurve_O95825_CRYZL1.pdf</v>
      </c>
    </row>
    <row r="1656" spans="1:28" x14ac:dyDescent="0.25">
      <c r="A1656" t="s">
        <v>1660</v>
      </c>
      <c r="B1656">
        <v>0.99796759195183404</v>
      </c>
      <c r="C1656">
        <v>0.97955456478565395</v>
      </c>
      <c r="D1656">
        <v>0.96044179332053004</v>
      </c>
      <c r="E1656">
        <v>0.96428492964367196</v>
      </c>
      <c r="F1656">
        <v>0.91921103551362204</v>
      </c>
      <c r="G1656">
        <v>0.91962291324387502</v>
      </c>
      <c r="H1656">
        <v>0.78005493350139299</v>
      </c>
      <c r="I1656">
        <v>0.62178479957462796</v>
      </c>
      <c r="J1656">
        <v>0.36636987228066198</v>
      </c>
      <c r="K1656">
        <v>0.150445484400244</v>
      </c>
      <c r="L1656">
        <v>1118.67412587077</v>
      </c>
      <c r="M1656">
        <v>18.0535490440095</v>
      </c>
      <c r="N1656">
        <v>61.964222319490702</v>
      </c>
      <c r="O1656">
        <v>61.218978416659802</v>
      </c>
      <c r="P1656">
        <v>-7.3728912349923001E-2</v>
      </c>
      <c r="Q1656">
        <v>0</v>
      </c>
      <c r="R1656">
        <v>0.98171454520023205</v>
      </c>
      <c r="S1656" t="s">
        <v>7239</v>
      </c>
      <c r="T1656" t="s">
        <v>11164</v>
      </c>
      <c r="U1656" t="s">
        <v>11164</v>
      </c>
      <c r="V1656" t="s">
        <v>11164</v>
      </c>
      <c r="W1656" t="s">
        <v>12789</v>
      </c>
      <c r="X1656">
        <v>22</v>
      </c>
      <c r="Y1656" t="s">
        <v>18316</v>
      </c>
      <c r="Z1656" t="s">
        <v>23806</v>
      </c>
      <c r="AA1656">
        <v>0.8184677575064685</v>
      </c>
      <c r="AB1656" t="str">
        <f>HYPERLINK("Melting_Curves/meltCurve_O95831_3_AIFM1.pdf", "Melting_Curves/meltCurve_O95831_3_AIFM1.pdf")</f>
        <v>Melting_Curves/meltCurve_O95831_3_AIFM1.pdf</v>
      </c>
    </row>
    <row r="1657" spans="1:28" x14ac:dyDescent="0.25">
      <c r="A1657" t="s">
        <v>1661</v>
      </c>
      <c r="B1657">
        <v>0.99796759195183404</v>
      </c>
      <c r="C1657">
        <v>0.95249027743322401</v>
      </c>
      <c r="D1657">
        <v>0.91662464971472402</v>
      </c>
      <c r="E1657">
        <v>0.75740120883936202</v>
      </c>
      <c r="F1657">
        <v>0.471641964673083</v>
      </c>
      <c r="G1657">
        <v>0.34708428719756701</v>
      </c>
      <c r="H1657">
        <v>0.31246013187826399</v>
      </c>
      <c r="I1657">
        <v>0.30682328912909101</v>
      </c>
      <c r="J1657">
        <v>0.27266486195596701</v>
      </c>
      <c r="K1657">
        <v>0.243022719898291</v>
      </c>
      <c r="L1657">
        <v>903.681790366825</v>
      </c>
      <c r="M1657">
        <v>18.824204408731099</v>
      </c>
      <c r="N1657">
        <v>50.034794959400799</v>
      </c>
      <c r="O1657">
        <v>47.4744373768686</v>
      </c>
      <c r="P1657">
        <v>-7.2673942228650104E-2</v>
      </c>
      <c r="Q1657">
        <v>0.26689865360112802</v>
      </c>
      <c r="R1657">
        <v>0.99581488037654897</v>
      </c>
      <c r="S1657" t="s">
        <v>7240</v>
      </c>
      <c r="T1657" t="s">
        <v>11164</v>
      </c>
      <c r="U1657" t="s">
        <v>11164</v>
      </c>
      <c r="V1657" t="s">
        <v>11164</v>
      </c>
      <c r="W1657" t="s">
        <v>12790</v>
      </c>
      <c r="X1657">
        <v>8</v>
      </c>
      <c r="Y1657" t="s">
        <v>18317</v>
      </c>
      <c r="Z1657" t="s">
        <v>23807</v>
      </c>
      <c r="AA1657">
        <v>0.54664838123639403</v>
      </c>
      <c r="AB1657" t="str">
        <f>HYPERLINK("Melting_Curves/meltCurve_O95835_LATS1.pdf", "Melting_Curves/meltCurve_O95835_LATS1.pdf")</f>
        <v>Melting_Curves/meltCurve_O95835_LATS1.pdf</v>
      </c>
    </row>
    <row r="1658" spans="1:28" x14ac:dyDescent="0.25">
      <c r="A1658" t="s">
        <v>1662</v>
      </c>
      <c r="B1658">
        <v>0.99796759195183404</v>
      </c>
      <c r="C1658">
        <v>1.20587044105257</v>
      </c>
      <c r="D1658">
        <v>1.0907090423006001</v>
      </c>
      <c r="E1658">
        <v>0.99231193402584905</v>
      </c>
      <c r="F1658">
        <v>0.96383339324563899</v>
      </c>
      <c r="G1658">
        <v>0.65159886303450398</v>
      </c>
      <c r="H1658">
        <v>0.63890751659534795</v>
      </c>
      <c r="I1658">
        <v>0.60635436516589603</v>
      </c>
      <c r="J1658">
        <v>0.81937463524535104</v>
      </c>
      <c r="K1658">
        <v>1.39877897775906</v>
      </c>
      <c r="L1658">
        <v>12618.242598533399</v>
      </c>
      <c r="M1658">
        <v>250</v>
      </c>
      <c r="O1658">
        <v>50.469740479866097</v>
      </c>
      <c r="P1658">
        <v>-0.21918717939629301</v>
      </c>
      <c r="Q1658">
        <v>0.82300287931099902</v>
      </c>
      <c r="R1658">
        <v>0.192935323813023</v>
      </c>
      <c r="S1658" t="s">
        <v>7241</v>
      </c>
      <c r="T1658" t="s">
        <v>11164</v>
      </c>
      <c r="U1658" t="s">
        <v>11164</v>
      </c>
      <c r="V1658" t="s">
        <v>11164</v>
      </c>
      <c r="W1658" t="s">
        <v>12791</v>
      </c>
      <c r="X1658">
        <v>2</v>
      </c>
      <c r="Y1658" t="s">
        <v>18318</v>
      </c>
      <c r="Z1658" t="s">
        <v>23808</v>
      </c>
      <c r="AA1658">
        <v>0.90250778981773083</v>
      </c>
      <c r="AB1658" t="str">
        <f>HYPERLINK("Melting_Curves/meltCurve_O95857_TSPAN13.pdf", "Melting_Curves/meltCurve_O95857_TSPAN13.pdf")</f>
        <v>Melting_Curves/meltCurve_O95857_TSPAN13.pdf</v>
      </c>
    </row>
    <row r="1659" spans="1:28" x14ac:dyDescent="0.25">
      <c r="A1659" t="s">
        <v>1663</v>
      </c>
      <c r="B1659">
        <v>0.99796759195183404</v>
      </c>
      <c r="C1659">
        <v>1.09683845393199</v>
      </c>
      <c r="D1659">
        <v>1.04937654126193</v>
      </c>
      <c r="E1659">
        <v>0.99061835632332995</v>
      </c>
      <c r="F1659">
        <v>0.92581677805978202</v>
      </c>
      <c r="G1659">
        <v>0.77045077054853495</v>
      </c>
      <c r="H1659">
        <v>0.681023388770711</v>
      </c>
      <c r="I1659">
        <v>0.416001969591626</v>
      </c>
      <c r="J1659">
        <v>0.15440086147735099</v>
      </c>
      <c r="K1659">
        <v>0.103998317579215</v>
      </c>
      <c r="L1659">
        <v>995.53208518166605</v>
      </c>
      <c r="M1659">
        <v>16.830823527046501</v>
      </c>
      <c r="N1659">
        <v>59.149340085213503</v>
      </c>
      <c r="O1659">
        <v>58.333259447998302</v>
      </c>
      <c r="P1659">
        <v>-7.2136827622766797E-2</v>
      </c>
      <c r="Q1659">
        <v>0</v>
      </c>
      <c r="R1659">
        <v>0.97856168415209099</v>
      </c>
      <c r="S1659" t="s">
        <v>7242</v>
      </c>
      <c r="T1659" t="s">
        <v>11164</v>
      </c>
      <c r="U1659" t="s">
        <v>11164</v>
      </c>
      <c r="V1659" t="s">
        <v>11164</v>
      </c>
      <c r="W1659" t="s">
        <v>12792</v>
      </c>
      <c r="X1659">
        <v>16</v>
      </c>
      <c r="Y1659" t="s">
        <v>18319</v>
      </c>
      <c r="Z1659" t="s">
        <v>23809</v>
      </c>
      <c r="AA1659">
        <v>0.73937648113373922</v>
      </c>
      <c r="AB1659" t="str">
        <f>HYPERLINK("Melting_Curves/meltCurve_O95865_DDAH2.pdf", "Melting_Curves/meltCurve_O95865_DDAH2.pdf")</f>
        <v>Melting_Curves/meltCurve_O95865_DDAH2.pdf</v>
      </c>
    </row>
    <row r="1660" spans="1:28" x14ac:dyDescent="0.25">
      <c r="A1660" t="s">
        <v>1664</v>
      </c>
      <c r="B1660">
        <v>0.99796759195183404</v>
      </c>
      <c r="C1660">
        <v>0.97467292257944405</v>
      </c>
      <c r="D1660">
        <v>1.10413819340727</v>
      </c>
      <c r="E1660">
        <v>1.0301243829912801</v>
      </c>
      <c r="F1660">
        <v>0.83766768875796505</v>
      </c>
      <c r="G1660">
        <v>0.53364855784537102</v>
      </c>
      <c r="H1660">
        <v>0.69326588416250801</v>
      </c>
      <c r="I1660">
        <v>0.68401369016402902</v>
      </c>
      <c r="J1660">
        <v>0.81265204314859996</v>
      </c>
      <c r="K1660">
        <v>0.59925591826174895</v>
      </c>
      <c r="L1660">
        <v>12553.224160605399</v>
      </c>
      <c r="M1660">
        <v>250</v>
      </c>
      <c r="O1660">
        <v>50.209695648339498</v>
      </c>
      <c r="P1660">
        <v>-0.41753995282760797</v>
      </c>
      <c r="Q1660">
        <v>0.66456721899940796</v>
      </c>
      <c r="R1660">
        <v>0.83529552301387</v>
      </c>
      <c r="S1660" t="s">
        <v>7243</v>
      </c>
      <c r="T1660" t="s">
        <v>11164</v>
      </c>
      <c r="U1660" t="s">
        <v>11164</v>
      </c>
      <c r="V1660" t="s">
        <v>11164</v>
      </c>
      <c r="W1660" t="s">
        <v>12793</v>
      </c>
      <c r="X1660">
        <v>3</v>
      </c>
      <c r="Y1660" t="s">
        <v>18320</v>
      </c>
      <c r="Z1660" t="s">
        <v>23810</v>
      </c>
      <c r="AA1660">
        <v>0.81233140048746066</v>
      </c>
      <c r="AB1660" t="str">
        <f>HYPERLINK("Melting_Curves/meltCurve_O95873_C6orf47.pdf", "Melting_Curves/meltCurve_O95873_C6orf47.pdf")</f>
        <v>Melting_Curves/meltCurve_O95873_C6orf47.pdf</v>
      </c>
    </row>
    <row r="1661" spans="1:28" x14ac:dyDescent="0.25">
      <c r="A1661" t="s">
        <v>1665</v>
      </c>
      <c r="B1661">
        <v>0.99796759195183404</v>
      </c>
      <c r="C1661">
        <v>1.07404147112271</v>
      </c>
      <c r="D1661">
        <v>0.97464766854460005</v>
      </c>
      <c r="E1661">
        <v>0.93293581402225001</v>
      </c>
      <c r="F1661">
        <v>0.83826182583550701</v>
      </c>
      <c r="G1661">
        <v>0.60446668346953603</v>
      </c>
      <c r="H1661">
        <v>0.41628621942664601</v>
      </c>
      <c r="I1661">
        <v>0.32725985611181702</v>
      </c>
      <c r="J1661">
        <v>0.27354495306933502</v>
      </c>
      <c r="K1661">
        <v>0.25687594537841701</v>
      </c>
      <c r="L1661">
        <v>942.59820671091302</v>
      </c>
      <c r="M1661">
        <v>17.5644440283303</v>
      </c>
      <c r="N1661">
        <v>55.685033963323299</v>
      </c>
      <c r="O1661">
        <v>52.9840047167853</v>
      </c>
      <c r="P1661">
        <v>-6.3354369302571503E-2</v>
      </c>
      <c r="Q1661">
        <v>0.23559532057980001</v>
      </c>
      <c r="R1661">
        <v>0.99321445674548303</v>
      </c>
      <c r="S1661" t="s">
        <v>7244</v>
      </c>
      <c r="T1661" t="s">
        <v>11164</v>
      </c>
      <c r="U1661" t="s">
        <v>11164</v>
      </c>
      <c r="V1661" t="s">
        <v>11164</v>
      </c>
      <c r="W1661" t="s">
        <v>12794</v>
      </c>
      <c r="X1661">
        <v>10</v>
      </c>
      <c r="Y1661" t="s">
        <v>18321</v>
      </c>
      <c r="Z1661" t="s">
        <v>23811</v>
      </c>
      <c r="AA1661">
        <v>0.67124803867686977</v>
      </c>
      <c r="AB1661" t="str">
        <f>HYPERLINK("Melting_Curves/meltCurve_O95881_TXNDC12.pdf", "Melting_Curves/meltCurve_O95881_TXNDC12.pdf")</f>
        <v>Melting_Curves/meltCurve_O95881_TXNDC12.pdf</v>
      </c>
    </row>
    <row r="1662" spans="1:28" x14ac:dyDescent="0.25">
      <c r="A1662" t="s">
        <v>1666</v>
      </c>
      <c r="B1662">
        <v>0.99796759195183404</v>
      </c>
      <c r="C1662">
        <v>1.1119390745900399</v>
      </c>
      <c r="D1662">
        <v>1.00674990834607</v>
      </c>
      <c r="E1662">
        <v>0.901516599551338</v>
      </c>
      <c r="F1662">
        <v>0.71171896805815804</v>
      </c>
      <c r="G1662">
        <v>0.54034590696665397</v>
      </c>
      <c r="H1662">
        <v>0.30819952834373698</v>
      </c>
      <c r="I1662">
        <v>0.244400704636768</v>
      </c>
      <c r="J1662">
        <v>0.216890431031942</v>
      </c>
      <c r="K1662">
        <v>5.8366330737016997E-2</v>
      </c>
      <c r="L1662">
        <v>749.06458302066699</v>
      </c>
      <c r="M1662">
        <v>13.9688339658987</v>
      </c>
      <c r="N1662">
        <v>54.212897828580601</v>
      </c>
      <c r="O1662">
        <v>52.560873319935702</v>
      </c>
      <c r="P1662">
        <v>-6.1772328994748701E-2</v>
      </c>
      <c r="Q1662">
        <v>7.0395133848885003E-2</v>
      </c>
      <c r="R1662">
        <v>0.98047004853865904</v>
      </c>
      <c r="S1662" t="s">
        <v>7245</v>
      </c>
      <c r="T1662" t="s">
        <v>11164</v>
      </c>
      <c r="U1662" t="s">
        <v>11164</v>
      </c>
      <c r="V1662" t="s">
        <v>11164</v>
      </c>
      <c r="W1662" t="s">
        <v>12795</v>
      </c>
      <c r="X1662">
        <v>2</v>
      </c>
      <c r="Y1662" t="s">
        <v>18322</v>
      </c>
      <c r="Z1662" t="s">
        <v>23812</v>
      </c>
      <c r="AA1662">
        <v>0.60204947213862448</v>
      </c>
      <c r="AB1662" t="str">
        <f>HYPERLINK("Melting_Curves/meltCurve_O95905_ECD.pdf", "Melting_Curves/meltCurve_O95905_ECD.pdf")</f>
        <v>Melting_Curves/meltCurve_O95905_ECD.pdf</v>
      </c>
    </row>
    <row r="1663" spans="1:28" x14ac:dyDescent="0.25">
      <c r="A1663" t="s">
        <v>1667</v>
      </c>
      <c r="B1663">
        <v>0.99796759195183404</v>
      </c>
      <c r="C1663">
        <v>1.01980124300844</v>
      </c>
      <c r="D1663">
        <v>1.0166004361699601</v>
      </c>
      <c r="E1663">
        <v>0.94994217482658705</v>
      </c>
      <c r="F1663">
        <v>0.90805199769306599</v>
      </c>
      <c r="G1663">
        <v>0.56793118808993803</v>
      </c>
      <c r="H1663">
        <v>0.68229825240962105</v>
      </c>
      <c r="I1663">
        <v>0.73626024242897004</v>
      </c>
      <c r="J1663">
        <v>0.82295087276267498</v>
      </c>
      <c r="K1663">
        <v>0.76727551296169705</v>
      </c>
      <c r="L1663">
        <v>12587.1457804287</v>
      </c>
      <c r="M1663">
        <v>250</v>
      </c>
      <c r="O1663">
        <v>50.3453672458173</v>
      </c>
      <c r="P1663">
        <v>-0.353380104980141</v>
      </c>
      <c r="Q1663">
        <v>0.71534321615400798</v>
      </c>
      <c r="R1663">
        <v>0.814890226464421</v>
      </c>
      <c r="S1663" t="s">
        <v>7246</v>
      </c>
      <c r="T1663" t="s">
        <v>11164</v>
      </c>
      <c r="U1663" t="s">
        <v>11164</v>
      </c>
      <c r="V1663" t="s">
        <v>11164</v>
      </c>
      <c r="W1663" t="s">
        <v>12796</v>
      </c>
      <c r="X1663">
        <v>7</v>
      </c>
      <c r="Y1663" t="s">
        <v>18323</v>
      </c>
      <c r="Z1663" t="s">
        <v>23813</v>
      </c>
      <c r="AA1663">
        <v>0.84202719338393617</v>
      </c>
      <c r="AB1663" t="str">
        <f>HYPERLINK("Melting_Curves/meltCurve_O95926_SYF2.pdf", "Melting_Curves/meltCurve_O95926_SYF2.pdf")</f>
        <v>Melting_Curves/meltCurve_O95926_SYF2.pdf</v>
      </c>
    </row>
    <row r="1664" spans="1:28" x14ac:dyDescent="0.25">
      <c r="A1664" t="s">
        <v>1668</v>
      </c>
      <c r="B1664">
        <v>0.99796759195183404</v>
      </c>
      <c r="C1664">
        <v>0.91019524976451405</v>
      </c>
      <c r="D1664">
        <v>0.91122471046488196</v>
      </c>
      <c r="E1664">
        <v>0.82966738187741695</v>
      </c>
      <c r="F1664">
        <v>0.71413185422988601</v>
      </c>
      <c r="G1664">
        <v>0.51792423263105403</v>
      </c>
      <c r="H1664">
        <v>0.41313481376463002</v>
      </c>
      <c r="I1664">
        <v>0.30584508530006899</v>
      </c>
      <c r="J1664">
        <v>0.159852229094086</v>
      </c>
      <c r="K1664">
        <v>8.7749000332368599E-2</v>
      </c>
      <c r="L1664">
        <v>524.40724147243998</v>
      </c>
      <c r="M1664">
        <v>9.6176234086307399</v>
      </c>
      <c r="N1664">
        <v>54.525657644389398</v>
      </c>
      <c r="O1664">
        <v>52.324741248845697</v>
      </c>
      <c r="P1664">
        <v>-4.5977545752302999E-2</v>
      </c>
      <c r="Q1664">
        <v>0</v>
      </c>
      <c r="R1664">
        <v>0.98850917664331095</v>
      </c>
      <c r="S1664" t="s">
        <v>7247</v>
      </c>
      <c r="T1664" t="s">
        <v>11164</v>
      </c>
      <c r="U1664" t="s">
        <v>11164</v>
      </c>
      <c r="V1664" t="s">
        <v>11164</v>
      </c>
      <c r="W1664" t="s">
        <v>12797</v>
      </c>
      <c r="X1664">
        <v>7</v>
      </c>
      <c r="Y1664" t="s">
        <v>18324</v>
      </c>
      <c r="Z1664" t="s">
        <v>23814</v>
      </c>
      <c r="AA1664">
        <v>0.59849159864283308</v>
      </c>
      <c r="AB1664" t="str">
        <f>HYPERLINK("Melting_Curves/meltCurve_O95989_NUDT3.pdf", "Melting_Curves/meltCurve_O95989_NUDT3.pdf")</f>
        <v>Melting_Curves/meltCurve_O95989_NUDT3.pdf</v>
      </c>
    </row>
    <row r="1665" spans="1:28" x14ac:dyDescent="0.25">
      <c r="A1665" t="s">
        <v>1669</v>
      </c>
      <c r="B1665">
        <v>0.99796759195183404</v>
      </c>
      <c r="C1665">
        <v>1.01732101309483</v>
      </c>
      <c r="D1665">
        <v>1.04234836522709</v>
      </c>
      <c r="E1665">
        <v>0.87218267597460297</v>
      </c>
      <c r="F1665">
        <v>0.70891700041838401</v>
      </c>
      <c r="G1665">
        <v>0.56382527105341995</v>
      </c>
      <c r="H1665">
        <v>0.59794808562267898</v>
      </c>
      <c r="I1665">
        <v>0.42707057956674599</v>
      </c>
      <c r="J1665">
        <v>0.48850878783470802</v>
      </c>
      <c r="K1665">
        <v>0.39747956793690098</v>
      </c>
      <c r="L1665">
        <v>832.13975372889001</v>
      </c>
      <c r="M1665">
        <v>16.498912548803698</v>
      </c>
      <c r="N1665">
        <v>57.778792231176801</v>
      </c>
      <c r="O1665">
        <v>49.712567526084698</v>
      </c>
      <c r="P1665">
        <v>-4.6585757902188697E-2</v>
      </c>
      <c r="Q1665">
        <v>0.43857230385131102</v>
      </c>
      <c r="R1665">
        <v>0.96338271311448798</v>
      </c>
      <c r="S1665" t="s">
        <v>7248</v>
      </c>
      <c r="T1665" t="s">
        <v>11164</v>
      </c>
      <c r="U1665" t="s">
        <v>11164</v>
      </c>
      <c r="V1665" t="s">
        <v>11164</v>
      </c>
      <c r="W1665" t="s">
        <v>12798</v>
      </c>
      <c r="X1665">
        <v>4</v>
      </c>
      <c r="Y1665" t="s">
        <v>18325</v>
      </c>
      <c r="Z1665" t="s">
        <v>23815</v>
      </c>
      <c r="AA1665">
        <v>0.70008818302543507</v>
      </c>
      <c r="AB1665" t="str">
        <f>HYPERLINK("Melting_Curves/meltCurve_O95997_PTTG1.pdf", "Melting_Curves/meltCurve_O95997_PTTG1.pdf")</f>
        <v>Melting_Curves/meltCurve_O95997_PTTG1.pdf</v>
      </c>
    </row>
    <row r="1666" spans="1:28" x14ac:dyDescent="0.25">
      <c r="A1666" t="s">
        <v>1670</v>
      </c>
      <c r="B1666">
        <v>0.99796759195183404</v>
      </c>
      <c r="C1666">
        <v>1.0942147052283999</v>
      </c>
      <c r="D1666">
        <v>1.0899029882903799</v>
      </c>
      <c r="E1666">
        <v>1.00078538168035</v>
      </c>
      <c r="F1666">
        <v>0.82117301920970198</v>
      </c>
      <c r="G1666">
        <v>0.33703109100247702</v>
      </c>
      <c r="H1666">
        <v>0.24571256158284299</v>
      </c>
      <c r="I1666">
        <v>0.16687253519721401</v>
      </c>
      <c r="J1666">
        <v>0.17839209103338799</v>
      </c>
      <c r="K1666">
        <v>0.151066930869004</v>
      </c>
      <c r="L1666">
        <v>1949.54976792557</v>
      </c>
      <c r="M1666">
        <v>37.5732045319333</v>
      </c>
      <c r="N1666">
        <v>52.496486542297603</v>
      </c>
      <c r="O1666">
        <v>51.740381507252103</v>
      </c>
      <c r="P1666">
        <v>-0.14944340350303001</v>
      </c>
      <c r="Q1666">
        <v>0.17683485762529</v>
      </c>
      <c r="R1666">
        <v>0.98736842256984203</v>
      </c>
      <c r="S1666" t="s">
        <v>7249</v>
      </c>
      <c r="T1666" t="s">
        <v>11164</v>
      </c>
      <c r="U1666" t="s">
        <v>11164</v>
      </c>
      <c r="V1666" t="s">
        <v>11164</v>
      </c>
      <c r="W1666" t="s">
        <v>12799</v>
      </c>
      <c r="X1666">
        <v>10</v>
      </c>
      <c r="Y1666" t="s">
        <v>18326</v>
      </c>
      <c r="Z1666" t="s">
        <v>23816</v>
      </c>
      <c r="AA1666">
        <v>0.58864552711046392</v>
      </c>
      <c r="AB1666" t="str">
        <f>HYPERLINK("Melting_Curves/meltCurve_O95999_BCL10.pdf", "Melting_Curves/meltCurve_O95999_BCL10.pdf")</f>
        <v>Melting_Curves/meltCurve_O95999_BCL10.pdf</v>
      </c>
    </row>
    <row r="1667" spans="1:28" x14ac:dyDescent="0.25">
      <c r="A1667" t="s">
        <v>1671</v>
      </c>
      <c r="B1667">
        <v>0.99796759195183404</v>
      </c>
      <c r="C1667">
        <v>0.99463328738498502</v>
      </c>
      <c r="D1667">
        <v>0.99686268713830894</v>
      </c>
      <c r="E1667">
        <v>0.89896788173183895</v>
      </c>
      <c r="F1667">
        <v>0.65019150524242497</v>
      </c>
      <c r="G1667">
        <v>0.66515243613936903</v>
      </c>
      <c r="H1667">
        <v>0.58349293105065703</v>
      </c>
      <c r="I1667">
        <v>0.68369930515552801</v>
      </c>
      <c r="J1667">
        <v>0.46263684535028499</v>
      </c>
      <c r="K1667">
        <v>0.22360415735868999</v>
      </c>
      <c r="L1667">
        <v>377.80233649072801</v>
      </c>
      <c r="M1667">
        <v>6.1991886761984798</v>
      </c>
      <c r="N1667">
        <v>60.943835725757097</v>
      </c>
      <c r="O1667">
        <v>55.519454485762601</v>
      </c>
      <c r="P1667">
        <v>-2.7994914855553499E-2</v>
      </c>
      <c r="Q1667">
        <v>0</v>
      </c>
      <c r="R1667">
        <v>0.86299704750650297</v>
      </c>
      <c r="S1667" t="s">
        <v>7250</v>
      </c>
      <c r="T1667" t="s">
        <v>11164</v>
      </c>
      <c r="U1667" t="s">
        <v>11164</v>
      </c>
      <c r="V1667" t="s">
        <v>11164</v>
      </c>
      <c r="W1667" t="s">
        <v>12800</v>
      </c>
      <c r="X1667">
        <v>5</v>
      </c>
      <c r="Y1667" t="s">
        <v>18327</v>
      </c>
      <c r="Z1667" t="s">
        <v>23817</v>
      </c>
      <c r="AA1667">
        <v>0.7179010560501653</v>
      </c>
      <c r="AB1667" t="str">
        <f>HYPERLINK("Melting_Curves/meltCurve_O96000_NDUFB10.pdf", "Melting_Curves/meltCurve_O96000_NDUFB10.pdf")</f>
        <v>Melting_Curves/meltCurve_O96000_NDUFB10.pdf</v>
      </c>
    </row>
    <row r="1668" spans="1:28" x14ac:dyDescent="0.25">
      <c r="A1668" t="s">
        <v>1672</v>
      </c>
      <c r="B1668">
        <v>0.99796759195183404</v>
      </c>
      <c r="C1668">
        <v>1.0011144597587101</v>
      </c>
      <c r="D1668">
        <v>0.93523335160341103</v>
      </c>
      <c r="E1668">
        <v>0.88294188471175605</v>
      </c>
      <c r="F1668">
        <v>0.93966619121240502</v>
      </c>
      <c r="G1668">
        <v>0.35990005960014099</v>
      </c>
      <c r="H1668">
        <v>0.27162154256947701</v>
      </c>
      <c r="I1668">
        <v>0.444452660972109</v>
      </c>
      <c r="J1668">
        <v>0.22342769559938999</v>
      </c>
      <c r="K1668">
        <v>5.9837097865218299E-2</v>
      </c>
      <c r="L1668">
        <v>3052.6494538576399</v>
      </c>
      <c r="M1668">
        <v>58.453084511691998</v>
      </c>
      <c r="N1668">
        <v>52.844037189338998</v>
      </c>
      <c r="O1668">
        <v>52.1628914743821</v>
      </c>
      <c r="P1668">
        <v>-0.21061726506385101</v>
      </c>
      <c r="Q1668">
        <v>0.248190002686004</v>
      </c>
      <c r="R1668">
        <v>0.925770433611523</v>
      </c>
      <c r="S1668" t="s">
        <v>7251</v>
      </c>
      <c r="T1668" t="s">
        <v>11164</v>
      </c>
      <c r="U1668" t="s">
        <v>11164</v>
      </c>
      <c r="V1668" t="s">
        <v>11164</v>
      </c>
      <c r="W1668" t="s">
        <v>12801</v>
      </c>
      <c r="X1668">
        <v>2</v>
      </c>
      <c r="Y1668" t="s">
        <v>18328</v>
      </c>
      <c r="Z1668" t="s">
        <v>23818</v>
      </c>
      <c r="AA1668">
        <v>0.63097180556131749</v>
      </c>
      <c r="AB1668" t="str">
        <f>HYPERLINK("Melting_Curves/meltCurve_O96006_ZBED1.pdf", "Melting_Curves/meltCurve_O96006_ZBED1.pdf")</f>
        <v>Melting_Curves/meltCurve_O96006_ZBED1.pdf</v>
      </c>
    </row>
    <row r="1669" spans="1:28" x14ac:dyDescent="0.25">
      <c r="A1669" t="s">
        <v>1673</v>
      </c>
      <c r="B1669">
        <v>0.99796759195183404</v>
      </c>
      <c r="C1669">
        <v>0.95033855666174605</v>
      </c>
      <c r="D1669">
        <v>0.90608504178320404</v>
      </c>
      <c r="E1669">
        <v>0.90483578927226105</v>
      </c>
      <c r="F1669">
        <v>0.86948135448611996</v>
      </c>
      <c r="G1669">
        <v>0.50983258656840402</v>
      </c>
      <c r="H1669">
        <v>0.38148845021764199</v>
      </c>
      <c r="I1669">
        <v>0.349913173897549</v>
      </c>
      <c r="J1669">
        <v>0.42123168372169101</v>
      </c>
      <c r="K1669">
        <v>0.368091578047817</v>
      </c>
      <c r="L1669">
        <v>1806.9076399815999</v>
      </c>
      <c r="M1669">
        <v>34.815956333097198</v>
      </c>
      <c r="N1669">
        <v>54.030253161294702</v>
      </c>
      <c r="O1669">
        <v>51.728510964383297</v>
      </c>
      <c r="P1669">
        <v>-0.105436758621115</v>
      </c>
      <c r="Q1669">
        <v>0.37338307445868701</v>
      </c>
      <c r="R1669">
        <v>0.96915490504541102</v>
      </c>
      <c r="S1669" t="s">
        <v>7252</v>
      </c>
      <c r="T1669" t="s">
        <v>11164</v>
      </c>
      <c r="U1669" t="s">
        <v>11164</v>
      </c>
      <c r="V1669" t="s">
        <v>11164</v>
      </c>
      <c r="W1669" t="s">
        <v>12802</v>
      </c>
      <c r="X1669">
        <v>3</v>
      </c>
      <c r="Y1669" t="s">
        <v>18329</v>
      </c>
      <c r="Z1669" t="s">
        <v>23819</v>
      </c>
      <c r="AA1669">
        <v>0.68753311789652971</v>
      </c>
      <c r="AB1669" t="str">
        <f>HYPERLINK("Melting_Curves/meltCurve_O96007_MOCS2.pdf", "Melting_Curves/meltCurve_O96007_MOCS2.pdf")</f>
        <v>Melting_Curves/meltCurve_O96007_MOCS2.pdf</v>
      </c>
    </row>
    <row r="1670" spans="1:28" x14ac:dyDescent="0.25">
      <c r="A1670" t="s">
        <v>1674</v>
      </c>
      <c r="B1670">
        <v>0.99796759195183404</v>
      </c>
      <c r="C1670">
        <v>0.90991253480940004</v>
      </c>
      <c r="D1670">
        <v>0.97897378378122302</v>
      </c>
      <c r="E1670">
        <v>0.91771202143708497</v>
      </c>
      <c r="F1670">
        <v>0.82285405123706701</v>
      </c>
      <c r="G1670">
        <v>0.66192081601494401</v>
      </c>
      <c r="H1670">
        <v>0.72373504321004001</v>
      </c>
      <c r="I1670">
        <v>0.69802641717657199</v>
      </c>
      <c r="J1670">
        <v>0.86682281656117299</v>
      </c>
      <c r="K1670">
        <v>0.84917864459827497</v>
      </c>
      <c r="L1670">
        <v>1620.4491546802701</v>
      </c>
      <c r="M1670">
        <v>34.095717373236198</v>
      </c>
      <c r="O1670">
        <v>47.363875815638998</v>
      </c>
      <c r="P1670">
        <v>-4.2555123063676301E-2</v>
      </c>
      <c r="Q1670">
        <v>0.76354008547089502</v>
      </c>
      <c r="R1670">
        <v>0.63704934143132497</v>
      </c>
      <c r="S1670" t="s">
        <v>7253</v>
      </c>
      <c r="T1670" t="s">
        <v>11164</v>
      </c>
      <c r="U1670" t="s">
        <v>11164</v>
      </c>
      <c r="V1670" t="s">
        <v>11164</v>
      </c>
      <c r="W1670" t="s">
        <v>12803</v>
      </c>
      <c r="X1670">
        <v>11</v>
      </c>
      <c r="Y1670" t="s">
        <v>18330</v>
      </c>
      <c r="Z1670" t="s">
        <v>23820</v>
      </c>
      <c r="AA1670">
        <v>0.84758197578200212</v>
      </c>
      <c r="AB1670" t="str">
        <f>HYPERLINK("Melting_Curves/meltCurve_O96008_TOMM40.pdf", "Melting_Curves/meltCurve_O96008_TOMM40.pdf")</f>
        <v>Melting_Curves/meltCurve_O96008_TOMM40.pdf</v>
      </c>
    </row>
    <row r="1671" spans="1:28" x14ac:dyDescent="0.25">
      <c r="A1671" t="s">
        <v>1675</v>
      </c>
      <c r="B1671">
        <v>0.99796759195183404</v>
      </c>
      <c r="C1671">
        <v>1.1146567245258101</v>
      </c>
      <c r="D1671">
        <v>1.0284962229416399</v>
      </c>
      <c r="E1671">
        <v>1.0854674336282499</v>
      </c>
      <c r="F1671">
        <v>1.02903961561237</v>
      </c>
      <c r="G1671">
        <v>0.75408051002611098</v>
      </c>
      <c r="H1671">
        <v>0.52766183300515801</v>
      </c>
      <c r="I1671">
        <v>0.37264118819187497</v>
      </c>
      <c r="J1671">
        <v>0.45068185328747701</v>
      </c>
      <c r="K1671">
        <v>0.33853555010424002</v>
      </c>
      <c r="L1671">
        <v>1811.5927072117099</v>
      </c>
      <c r="M1671">
        <v>33.060050374064097</v>
      </c>
      <c r="N1671">
        <v>57.336824333149302</v>
      </c>
      <c r="O1671">
        <v>54.5977113341593</v>
      </c>
      <c r="P1671">
        <v>-9.3190872030452607E-2</v>
      </c>
      <c r="Q1671">
        <v>0.384394744711963</v>
      </c>
      <c r="R1671">
        <v>0.96286535762167902</v>
      </c>
      <c r="S1671" t="s">
        <v>7254</v>
      </c>
      <c r="T1671" t="s">
        <v>11164</v>
      </c>
      <c r="U1671" t="s">
        <v>11164</v>
      </c>
      <c r="V1671" t="s">
        <v>11164</v>
      </c>
      <c r="W1671" t="s">
        <v>12804</v>
      </c>
      <c r="X1671">
        <v>4</v>
      </c>
      <c r="Y1671" t="s">
        <v>18331</v>
      </c>
      <c r="Z1671" t="s">
        <v>23821</v>
      </c>
      <c r="AA1671">
        <v>0.75288815665278597</v>
      </c>
      <c r="AB1671" t="str">
        <f>HYPERLINK("Melting_Curves/meltCurve_O96011_PEX11B.pdf", "Melting_Curves/meltCurve_O96011_PEX11B.pdf")</f>
        <v>Melting_Curves/meltCurve_O96011_PEX11B.pdf</v>
      </c>
    </row>
    <row r="1672" spans="1:28" x14ac:dyDescent="0.25">
      <c r="A1672" t="s">
        <v>1676</v>
      </c>
      <c r="B1672">
        <v>0.99796759195183404</v>
      </c>
      <c r="C1672">
        <v>1.0113814447965499</v>
      </c>
      <c r="D1672">
        <v>0.97185223531706399</v>
      </c>
      <c r="E1672">
        <v>0.87746286049386701</v>
      </c>
      <c r="F1672">
        <v>0.80556312703880195</v>
      </c>
      <c r="G1672">
        <v>0.41000195786575999</v>
      </c>
      <c r="H1672">
        <v>0.22394012716887199</v>
      </c>
      <c r="I1672">
        <v>0.15839132402413</v>
      </c>
      <c r="J1672">
        <v>9.9829107223299601E-2</v>
      </c>
      <c r="K1672">
        <v>7.3780672252827195E-2</v>
      </c>
      <c r="L1672">
        <v>1062.88671075815</v>
      </c>
      <c r="M1672">
        <v>20.1730332949973</v>
      </c>
      <c r="N1672">
        <v>53.122913052056902</v>
      </c>
      <c r="O1672">
        <v>52.178934025512902</v>
      </c>
      <c r="P1672">
        <v>-8.9306250837401804E-2</v>
      </c>
      <c r="Q1672">
        <v>7.6042093923240406E-2</v>
      </c>
      <c r="R1672">
        <v>0.99378382538117804</v>
      </c>
      <c r="S1672" t="s">
        <v>7255</v>
      </c>
      <c r="T1672" t="s">
        <v>11164</v>
      </c>
      <c r="U1672" t="s">
        <v>11164</v>
      </c>
      <c r="V1672" t="s">
        <v>11164</v>
      </c>
      <c r="W1672" t="s">
        <v>12805</v>
      </c>
      <c r="X1672">
        <v>13</v>
      </c>
      <c r="Y1672" t="s">
        <v>18332</v>
      </c>
      <c r="Z1672" t="s">
        <v>23822</v>
      </c>
      <c r="AA1672">
        <v>0.57082218416848107</v>
      </c>
      <c r="AB1672" t="str">
        <f>HYPERLINK("Melting_Curves/meltCurve_O96013_PAK4.pdf", "Melting_Curves/meltCurve_O96013_PAK4.pdf")</f>
        <v>Melting_Curves/meltCurve_O96013_PAK4.pdf</v>
      </c>
    </row>
    <row r="1673" spans="1:28" x14ac:dyDescent="0.25">
      <c r="A1673" t="s">
        <v>1677</v>
      </c>
      <c r="B1673">
        <v>0.99796759195183404</v>
      </c>
      <c r="C1673">
        <v>0.96472957112777402</v>
      </c>
      <c r="D1673">
        <v>0.99568369476158802</v>
      </c>
      <c r="E1673">
        <v>0.91962295675957095</v>
      </c>
      <c r="F1673">
        <v>0.76989554071191402</v>
      </c>
      <c r="G1673">
        <v>0.44954005797346902</v>
      </c>
      <c r="H1673">
        <v>0.22426643452107001</v>
      </c>
      <c r="I1673">
        <v>0.15256510958325101</v>
      </c>
      <c r="J1673">
        <v>0.127179691402034</v>
      </c>
      <c r="K1673">
        <v>8.7287150782856399E-2</v>
      </c>
      <c r="L1673">
        <v>1065.7576454750499</v>
      </c>
      <c r="M1673">
        <v>20.2214522832783</v>
      </c>
      <c r="N1673">
        <v>53.219751227992198</v>
      </c>
      <c r="O1673">
        <v>52.1969967797775</v>
      </c>
      <c r="P1673">
        <v>-8.8241185721475296E-2</v>
      </c>
      <c r="Q1673">
        <v>8.8931652522230106E-2</v>
      </c>
      <c r="R1673">
        <v>0.998346253678425</v>
      </c>
      <c r="S1673" t="s">
        <v>7256</v>
      </c>
      <c r="T1673" t="s">
        <v>11164</v>
      </c>
      <c r="U1673" t="s">
        <v>11164</v>
      </c>
      <c r="V1673" t="s">
        <v>11164</v>
      </c>
      <c r="W1673" t="s">
        <v>12806</v>
      </c>
      <c r="X1673">
        <v>19</v>
      </c>
      <c r="Y1673" t="s">
        <v>18333</v>
      </c>
      <c r="Z1673" t="s">
        <v>23823</v>
      </c>
      <c r="AA1673">
        <v>0.57724402942810671</v>
      </c>
      <c r="AB1673" t="str">
        <f>HYPERLINK("Melting_Curves/meltCurve_O96017_CHEK2.pdf", "Melting_Curves/meltCurve_O96017_CHEK2.pdf")</f>
        <v>Melting_Curves/meltCurve_O96017_CHEK2.pdf</v>
      </c>
    </row>
    <row r="1674" spans="1:28" x14ac:dyDescent="0.25">
      <c r="A1674" t="s">
        <v>1678</v>
      </c>
      <c r="B1674">
        <v>0.99796759195183404</v>
      </c>
      <c r="C1674">
        <v>1.31902785884806</v>
      </c>
      <c r="D1674">
        <v>1.0586377706869401</v>
      </c>
      <c r="E1674">
        <v>1.1301683949771899</v>
      </c>
      <c r="F1674">
        <v>0.64705277698508201</v>
      </c>
      <c r="G1674">
        <v>0.32173397810306698</v>
      </c>
      <c r="H1674">
        <v>0.313985492430715</v>
      </c>
      <c r="I1674">
        <v>0.29507319096738699</v>
      </c>
      <c r="J1674">
        <v>0.202040818161489</v>
      </c>
      <c r="K1674">
        <v>0.15815429184646701</v>
      </c>
      <c r="L1674">
        <v>3453.1797237300798</v>
      </c>
      <c r="M1674">
        <v>68.659440938297195</v>
      </c>
      <c r="N1674">
        <v>50.825427886426503</v>
      </c>
      <c r="O1674">
        <v>50.251702826781496</v>
      </c>
      <c r="P1674">
        <v>-0.254129609916525</v>
      </c>
      <c r="Q1674">
        <v>0.25601244224278802</v>
      </c>
      <c r="R1674">
        <v>0.91813760385909804</v>
      </c>
      <c r="S1674" t="s">
        <v>7257</v>
      </c>
      <c r="T1674" t="s">
        <v>11164</v>
      </c>
      <c r="U1674" t="s">
        <v>11164</v>
      </c>
      <c r="V1674" t="s">
        <v>11164</v>
      </c>
      <c r="W1674" t="s">
        <v>12807</v>
      </c>
      <c r="X1674">
        <v>2</v>
      </c>
      <c r="Y1674" t="s">
        <v>18334</v>
      </c>
      <c r="Z1674" t="s">
        <v>23824</v>
      </c>
      <c r="AA1674">
        <v>0.58657901533736212</v>
      </c>
      <c r="AB1674" t="str">
        <f>HYPERLINK("Melting_Curves/meltCurve_O96018_APBA3.pdf", "Melting_Curves/meltCurve_O96018_APBA3.pdf")</f>
        <v>Melting_Curves/meltCurve_O96018_APBA3.pdf</v>
      </c>
    </row>
    <row r="1675" spans="1:28" x14ac:dyDescent="0.25">
      <c r="A1675" t="s">
        <v>1679</v>
      </c>
      <c r="B1675">
        <v>0.99796759195183404</v>
      </c>
      <c r="C1675">
        <v>0.99133415730622199</v>
      </c>
      <c r="D1675">
        <v>0.97852615875543902</v>
      </c>
      <c r="E1675">
        <v>0.97759615936949895</v>
      </c>
      <c r="F1675">
        <v>0.84020766773280098</v>
      </c>
      <c r="G1675">
        <v>0.68844533844770195</v>
      </c>
      <c r="H1675">
        <v>0.34066597400780402</v>
      </c>
      <c r="I1675">
        <v>0.21009467111410601</v>
      </c>
      <c r="J1675">
        <v>0.159909471286004</v>
      </c>
      <c r="K1675">
        <v>0.111950634733284</v>
      </c>
      <c r="L1675">
        <v>1061.5403666443699</v>
      </c>
      <c r="M1675">
        <v>19.283738227145498</v>
      </c>
      <c r="N1675">
        <v>55.611101947310402</v>
      </c>
      <c r="O1675">
        <v>54.466739254998501</v>
      </c>
      <c r="P1675">
        <v>-8.0670553982574694E-2</v>
      </c>
      <c r="Q1675">
        <v>8.8621375454714199E-2</v>
      </c>
      <c r="R1675">
        <v>0.99616043508276797</v>
      </c>
      <c r="S1675" t="s">
        <v>7258</v>
      </c>
      <c r="T1675" t="s">
        <v>11164</v>
      </c>
      <c r="U1675" t="s">
        <v>11164</v>
      </c>
      <c r="V1675" t="s">
        <v>11164</v>
      </c>
      <c r="W1675" t="s">
        <v>12808</v>
      </c>
      <c r="X1675">
        <v>18</v>
      </c>
      <c r="Y1675" t="s">
        <v>18335</v>
      </c>
      <c r="Z1675" t="s">
        <v>23825</v>
      </c>
      <c r="AA1675">
        <v>0.64761722366345376</v>
      </c>
      <c r="AB1675" t="str">
        <f>HYPERLINK("Melting_Curves/meltCurve_O96019_ACTL6A.pdf", "Melting_Curves/meltCurve_O96019_ACTL6A.pdf")</f>
        <v>Melting_Curves/meltCurve_O96019_ACTL6A.pdf</v>
      </c>
    </row>
    <row r="1676" spans="1:28" x14ac:dyDescent="0.25">
      <c r="A1676" t="s">
        <v>1680</v>
      </c>
      <c r="B1676">
        <v>0.99796759195183404</v>
      </c>
      <c r="C1676">
        <v>0.920630027311925</v>
      </c>
      <c r="D1676">
        <v>0.94198873100345404</v>
      </c>
      <c r="E1676">
        <v>0.91488791798632196</v>
      </c>
      <c r="F1676">
        <v>0.83968964795385403</v>
      </c>
      <c r="G1676">
        <v>0.59187001939755501</v>
      </c>
      <c r="H1676">
        <v>0.54771833136099102</v>
      </c>
      <c r="I1676">
        <v>0.50957157289180799</v>
      </c>
      <c r="J1676">
        <v>0.208323778153333</v>
      </c>
      <c r="K1676">
        <v>9.1043721405433903E-2</v>
      </c>
      <c r="L1676">
        <v>587.68779043839004</v>
      </c>
      <c r="M1676">
        <v>10.1979409467907</v>
      </c>
      <c r="N1676">
        <v>57.628083324986299</v>
      </c>
      <c r="O1676">
        <v>55.543934908918601</v>
      </c>
      <c r="P1676">
        <v>-4.5921046987974903E-2</v>
      </c>
      <c r="Q1676">
        <v>0</v>
      </c>
      <c r="R1676">
        <v>0.94691370546575904</v>
      </c>
      <c r="S1676" t="s">
        <v>7259</v>
      </c>
      <c r="T1676" t="s">
        <v>11164</v>
      </c>
      <c r="U1676" t="s">
        <v>11164</v>
      </c>
      <c r="V1676" t="s">
        <v>11164</v>
      </c>
      <c r="W1676" t="s">
        <v>12809</v>
      </c>
      <c r="X1676">
        <v>4</v>
      </c>
      <c r="Y1676" t="s">
        <v>18329</v>
      </c>
      <c r="Z1676" t="s">
        <v>23826</v>
      </c>
      <c r="AA1676">
        <v>0.68283926301709363</v>
      </c>
      <c r="AB1676" t="str">
        <f>HYPERLINK("Melting_Curves/meltCurve_O96033_MOCS2.pdf", "Melting_Curves/meltCurve_O96033_MOCS2.pdf")</f>
        <v>Melting_Curves/meltCurve_O96033_MOCS2.pdf</v>
      </c>
    </row>
    <row r="1677" spans="1:28" x14ac:dyDescent="0.25">
      <c r="A1677" t="s">
        <v>1681</v>
      </c>
      <c r="B1677">
        <v>0.99796759195183404</v>
      </c>
      <c r="C1677">
        <v>0.98043886262194202</v>
      </c>
      <c r="D1677">
        <v>0.982077401900179</v>
      </c>
      <c r="E1677">
        <v>0.94286288001185203</v>
      </c>
      <c r="F1677">
        <v>0.813325740033356</v>
      </c>
      <c r="G1677">
        <v>0.58565269329495795</v>
      </c>
      <c r="H1677">
        <v>0.56893356116020499</v>
      </c>
      <c r="I1677">
        <v>0.50596284263559099</v>
      </c>
      <c r="J1677">
        <v>0.48643872479084699</v>
      </c>
      <c r="K1677">
        <v>0.35469420120589301</v>
      </c>
      <c r="L1677">
        <v>767.17294995098302</v>
      </c>
      <c r="M1677">
        <v>14.6083670282579</v>
      </c>
      <c r="N1677">
        <v>59.112166169329697</v>
      </c>
      <c r="O1677">
        <v>51.561331867820698</v>
      </c>
      <c r="P1677">
        <v>-4.2357885752228097E-2</v>
      </c>
      <c r="Q1677">
        <v>0.402045582951987</v>
      </c>
      <c r="R1677">
        <v>0.973493750451355</v>
      </c>
      <c r="S1677" t="s">
        <v>7260</v>
      </c>
      <c r="T1677" t="s">
        <v>11164</v>
      </c>
      <c r="U1677" t="s">
        <v>11164</v>
      </c>
      <c r="V1677" t="s">
        <v>11164</v>
      </c>
      <c r="W1677" t="s">
        <v>12810</v>
      </c>
      <c r="X1677">
        <v>3</v>
      </c>
      <c r="Y1677" t="s">
        <v>18336</v>
      </c>
      <c r="Z1677" t="s">
        <v>23827</v>
      </c>
      <c r="AA1677">
        <v>0.72268421382822789</v>
      </c>
      <c r="AB1677" t="str">
        <f>HYPERLINK("Melting_Curves/meltCurve_P00167_2_CYB5A.pdf", "Melting_Curves/meltCurve_P00167_2_CYB5A.pdf")</f>
        <v>Melting_Curves/meltCurve_P00167_2_CYB5A.pdf</v>
      </c>
    </row>
    <row r="1678" spans="1:28" x14ac:dyDescent="0.25">
      <c r="A1678" t="s">
        <v>1682</v>
      </c>
      <c r="B1678">
        <v>0.99796759195183404</v>
      </c>
      <c r="C1678">
        <v>1.0115020324878701</v>
      </c>
      <c r="D1678">
        <v>0.96796714006103302</v>
      </c>
      <c r="E1678">
        <v>0.97263371046691005</v>
      </c>
      <c r="F1678">
        <v>0.89500015018583201</v>
      </c>
      <c r="G1678">
        <v>0.99521106415981497</v>
      </c>
      <c r="H1678">
        <v>0.89771735771190497</v>
      </c>
      <c r="I1678">
        <v>0.81367964441385099</v>
      </c>
      <c r="J1678">
        <v>0.77243566522614904</v>
      </c>
      <c r="K1678">
        <v>0.67697595616990203</v>
      </c>
      <c r="L1678">
        <v>521.47164185171698</v>
      </c>
      <c r="M1678">
        <v>6.99168190673028</v>
      </c>
      <c r="Q1678">
        <v>0</v>
      </c>
      <c r="R1678">
        <v>0.91080663104901405</v>
      </c>
      <c r="S1678" t="s">
        <v>7261</v>
      </c>
      <c r="T1678" t="s">
        <v>11164</v>
      </c>
      <c r="U1678" t="s">
        <v>11164</v>
      </c>
      <c r="V1678" t="s">
        <v>11164</v>
      </c>
      <c r="W1678" t="s">
        <v>12811</v>
      </c>
      <c r="X1678">
        <v>28</v>
      </c>
      <c r="Y1678" t="s">
        <v>18337</v>
      </c>
      <c r="Z1678" t="s">
        <v>23828</v>
      </c>
      <c r="AA1678">
        <v>0.91483987025617397</v>
      </c>
      <c r="AB1678" t="str">
        <f>HYPERLINK("Melting_Curves/meltCurve_P00338_LDHA.pdf", "Melting_Curves/meltCurve_P00338_LDHA.pdf")</f>
        <v>Melting_Curves/meltCurve_P00338_LDHA.pdf</v>
      </c>
    </row>
    <row r="1679" spans="1:28" x14ac:dyDescent="0.25">
      <c r="A1679" t="s">
        <v>1683</v>
      </c>
      <c r="B1679">
        <v>0.99796759195183404</v>
      </c>
      <c r="C1679">
        <v>1.02309854274851</v>
      </c>
      <c r="D1679">
        <v>0.97087192078943096</v>
      </c>
      <c r="E1679">
        <v>1.0216867989227501</v>
      </c>
      <c r="F1679">
        <v>0.97765724604828597</v>
      </c>
      <c r="G1679">
        <v>2.9758888377010599</v>
      </c>
      <c r="H1679">
        <v>2.1393789556871199</v>
      </c>
      <c r="I1679">
        <v>1.7052187305709301</v>
      </c>
      <c r="J1679">
        <v>0.32856550229515002</v>
      </c>
      <c r="K1679">
        <v>0.204179195417688</v>
      </c>
      <c r="L1679">
        <v>15000</v>
      </c>
      <c r="M1679">
        <v>235.69234540186901</v>
      </c>
      <c r="N1679">
        <v>63.784193342060803</v>
      </c>
      <c r="O1679">
        <v>63.637705393826501</v>
      </c>
      <c r="P1679">
        <v>-0.73699702031682202</v>
      </c>
      <c r="Q1679">
        <v>0.20403356181535801</v>
      </c>
      <c r="R1679">
        <v>8.5695524633635403E-2</v>
      </c>
      <c r="S1679" t="s">
        <v>7262</v>
      </c>
      <c r="T1679" t="s">
        <v>11164</v>
      </c>
      <c r="U1679" t="s">
        <v>11164</v>
      </c>
      <c r="V1679" t="s">
        <v>11164</v>
      </c>
      <c r="W1679" t="s">
        <v>12812</v>
      </c>
      <c r="X1679">
        <v>21</v>
      </c>
      <c r="Y1679" t="s">
        <v>18338</v>
      </c>
      <c r="Z1679" t="s">
        <v>23829</v>
      </c>
      <c r="AA1679">
        <v>0.91101241753965867</v>
      </c>
      <c r="AB1679" t="str">
        <f>HYPERLINK("Melting_Curves/meltCurve_P00367_GLUD1.pdf", "Melting_Curves/meltCurve_P00367_GLUD1.pdf")</f>
        <v>Melting_Curves/meltCurve_P00367_GLUD1.pdf</v>
      </c>
    </row>
    <row r="1680" spans="1:28" x14ac:dyDescent="0.25">
      <c r="A1680" t="s">
        <v>1684</v>
      </c>
      <c r="B1680">
        <v>0.99796759195183404</v>
      </c>
      <c r="C1680">
        <v>1.24578529993098</v>
      </c>
      <c r="D1680">
        <v>1.11988514884287</v>
      </c>
      <c r="E1680">
        <v>0.86014232857336004</v>
      </c>
      <c r="F1680">
        <v>0.45176169547004802</v>
      </c>
      <c r="G1680">
        <v>0.220295074933652</v>
      </c>
      <c r="H1680">
        <v>0.14694063474993199</v>
      </c>
      <c r="I1680">
        <v>0.129217422768168</v>
      </c>
      <c r="J1680">
        <v>0.108554290768082</v>
      </c>
      <c r="K1680">
        <v>7.3297517538264897E-2</v>
      </c>
      <c r="L1680">
        <v>1445.43297457565</v>
      </c>
      <c r="M1680">
        <v>29.223379573513402</v>
      </c>
      <c r="N1680">
        <v>49.904575863530802</v>
      </c>
      <c r="O1680">
        <v>49.231659317151298</v>
      </c>
      <c r="P1680">
        <v>-0.131442482356499</v>
      </c>
      <c r="Q1680">
        <v>0.114259375662267</v>
      </c>
      <c r="R1680">
        <v>0.95902686087868805</v>
      </c>
      <c r="S1680" t="s">
        <v>7263</v>
      </c>
      <c r="T1680" t="s">
        <v>11164</v>
      </c>
      <c r="U1680" t="s">
        <v>11164</v>
      </c>
      <c r="V1680" t="s">
        <v>11164</v>
      </c>
      <c r="W1680" t="s">
        <v>12813</v>
      </c>
      <c r="X1680">
        <v>11</v>
      </c>
      <c r="Y1680" t="s">
        <v>18339</v>
      </c>
      <c r="Z1680" t="s">
        <v>23830</v>
      </c>
      <c r="AA1680">
        <v>0.48785529553150131</v>
      </c>
      <c r="AB1680" t="str">
        <f>HYPERLINK("Melting_Curves/meltCurve_P00374_DHFR.pdf", "Melting_Curves/meltCurve_P00374_DHFR.pdf")</f>
        <v>Melting_Curves/meltCurve_P00374_DHFR.pdf</v>
      </c>
    </row>
    <row r="1681" spans="1:28" x14ac:dyDescent="0.25">
      <c r="A1681" t="s">
        <v>1685</v>
      </c>
      <c r="B1681">
        <v>0.99796759195183404</v>
      </c>
      <c r="C1681">
        <v>1.00761908817999</v>
      </c>
      <c r="D1681">
        <v>1.0502323083979901</v>
      </c>
      <c r="E1681">
        <v>0.99650333665450697</v>
      </c>
      <c r="F1681">
        <v>0.85763730017583495</v>
      </c>
      <c r="G1681">
        <v>0.55268700091701695</v>
      </c>
      <c r="H1681">
        <v>0.56638652233861497</v>
      </c>
      <c r="I1681">
        <v>0.31722782553724999</v>
      </c>
      <c r="J1681">
        <v>0.10605404264809</v>
      </c>
      <c r="K1681">
        <v>7.8355928477738507E-2</v>
      </c>
      <c r="L1681">
        <v>772.035812441183</v>
      </c>
      <c r="M1681">
        <v>13.621508511894</v>
      </c>
      <c r="N1681">
        <v>56.677703180856298</v>
      </c>
      <c r="O1681">
        <v>55.4979960953454</v>
      </c>
      <c r="P1681">
        <v>-6.1369390929882098E-2</v>
      </c>
      <c r="Q1681">
        <v>0</v>
      </c>
      <c r="R1681">
        <v>0.969784286706875</v>
      </c>
      <c r="S1681" t="s">
        <v>7264</v>
      </c>
      <c r="T1681" t="s">
        <v>11164</v>
      </c>
      <c r="U1681" t="s">
        <v>11164</v>
      </c>
      <c r="V1681" t="s">
        <v>11164</v>
      </c>
      <c r="W1681" t="s">
        <v>12814</v>
      </c>
      <c r="X1681">
        <v>11</v>
      </c>
      <c r="Y1681" t="s">
        <v>18340</v>
      </c>
      <c r="Z1681" t="s">
        <v>23831</v>
      </c>
      <c r="AA1681">
        <v>0.66436358213883806</v>
      </c>
      <c r="AB1681" t="str">
        <f>HYPERLINK("Melting_Curves/meltCurve_P00387_2_CYB5R3.pdf", "Melting_Curves/meltCurve_P00387_2_CYB5R3.pdf")</f>
        <v>Melting_Curves/meltCurve_P00387_2_CYB5R3.pdf</v>
      </c>
    </row>
    <row r="1682" spans="1:28" x14ac:dyDescent="0.25">
      <c r="A1682" t="s">
        <v>1686</v>
      </c>
      <c r="B1682">
        <v>0.99796759195183404</v>
      </c>
      <c r="C1682">
        <v>0.71761333413973005</v>
      </c>
      <c r="D1682">
        <v>0.98934066662566</v>
      </c>
      <c r="E1682">
        <v>1.01127034342374</v>
      </c>
      <c r="F1682">
        <v>0.83994734607621702</v>
      </c>
      <c r="G1682">
        <v>0.816702649030699</v>
      </c>
      <c r="H1682">
        <v>0.41287744423133299</v>
      </c>
      <c r="I1682">
        <v>0.173533673672539</v>
      </c>
      <c r="J1682">
        <v>0.118349821400699</v>
      </c>
      <c r="K1682">
        <v>8.3329433939089995E-2</v>
      </c>
      <c r="L1682">
        <v>1277.97986712529</v>
      </c>
      <c r="M1682">
        <v>22.679060533764801</v>
      </c>
      <c r="N1682">
        <v>56.615930324731998</v>
      </c>
      <c r="O1682">
        <v>55.917990924314999</v>
      </c>
      <c r="P1682">
        <v>-9.6284797771475597E-2</v>
      </c>
      <c r="Q1682">
        <v>5.0410752516672201E-2</v>
      </c>
      <c r="R1682">
        <v>0.92729045335966798</v>
      </c>
      <c r="S1682" t="s">
        <v>7265</v>
      </c>
      <c r="T1682" t="s">
        <v>11164</v>
      </c>
      <c r="U1682" t="s">
        <v>11164</v>
      </c>
      <c r="V1682" t="s">
        <v>11164</v>
      </c>
      <c r="W1682" t="s">
        <v>12815</v>
      </c>
      <c r="X1682">
        <v>11</v>
      </c>
      <c r="Y1682" t="s">
        <v>18341</v>
      </c>
      <c r="Z1682" t="s">
        <v>23832</v>
      </c>
      <c r="AA1682">
        <v>0.67129076298674173</v>
      </c>
      <c r="AB1682" t="str">
        <f>HYPERLINK("Melting_Curves/meltCurve_P00390_2_GSR.pdf", "Melting_Curves/meltCurve_P00390_2_GSR.pdf")</f>
        <v>Melting_Curves/meltCurve_P00390_2_GSR.pdf</v>
      </c>
    </row>
    <row r="1683" spans="1:28" x14ac:dyDescent="0.25">
      <c r="A1683" t="s">
        <v>1687</v>
      </c>
      <c r="B1683">
        <v>0.99796759195183404</v>
      </c>
      <c r="C1683">
        <v>0.98166976343560997</v>
      </c>
      <c r="D1683">
        <v>0.977829606328252</v>
      </c>
      <c r="E1683">
        <v>0.95829563925586703</v>
      </c>
      <c r="F1683">
        <v>0.88649746733781298</v>
      </c>
      <c r="G1683">
        <v>0.71202399589104204</v>
      </c>
      <c r="H1683">
        <v>1.6071456073607799</v>
      </c>
      <c r="I1683">
        <v>2.8095384769652498</v>
      </c>
      <c r="J1683">
        <v>2.8340317300221298</v>
      </c>
      <c r="K1683">
        <v>1.0904071904121599</v>
      </c>
      <c r="L1683">
        <v>5258.2581462899698</v>
      </c>
      <c r="M1683">
        <v>94.274984129465807</v>
      </c>
      <c r="O1683">
        <v>55.750668769976002</v>
      </c>
      <c r="P1683">
        <v>0.211376367075407</v>
      </c>
      <c r="Q1683">
        <v>1.5</v>
      </c>
      <c r="R1683">
        <v>0.32652147937880699</v>
      </c>
      <c r="S1683" t="s">
        <v>7266</v>
      </c>
      <c r="T1683" t="s">
        <v>11164</v>
      </c>
      <c r="U1683" t="s">
        <v>11164</v>
      </c>
      <c r="V1683" t="s">
        <v>11164</v>
      </c>
      <c r="W1683" t="s">
        <v>12816</v>
      </c>
      <c r="X1683">
        <v>3</v>
      </c>
      <c r="Y1683" t="s">
        <v>18342</v>
      </c>
      <c r="Z1683" t="s">
        <v>23833</v>
      </c>
      <c r="AA1683">
        <v>1.1867261670210361</v>
      </c>
      <c r="AB1683" t="str">
        <f>HYPERLINK("Melting_Curves/meltCurve_P00403_MT_CO2.pdf", "Melting_Curves/meltCurve_P00403_MT_CO2.pdf")</f>
        <v>Melting_Curves/meltCurve_P00403_MT_CO2.pdf</v>
      </c>
    </row>
    <row r="1684" spans="1:28" x14ac:dyDescent="0.25">
      <c r="A1684" t="s">
        <v>1688</v>
      </c>
      <c r="B1684">
        <v>0.99796759195183404</v>
      </c>
      <c r="C1684">
        <v>0.83515453326813305</v>
      </c>
      <c r="D1684">
        <v>0.83647208270671403</v>
      </c>
      <c r="E1684">
        <v>0.85200357570269902</v>
      </c>
      <c r="F1684">
        <v>0.74938077503876299</v>
      </c>
      <c r="G1684">
        <v>0.46570346286694098</v>
      </c>
      <c r="H1684">
        <v>0.56955909367811097</v>
      </c>
      <c r="I1684">
        <v>0.77562974891805703</v>
      </c>
      <c r="J1684">
        <v>0.93821611709424102</v>
      </c>
      <c r="K1684">
        <v>0.96630162868765301</v>
      </c>
      <c r="L1684">
        <v>793.42834758701099</v>
      </c>
      <c r="M1684">
        <v>19.805528855864399</v>
      </c>
      <c r="O1684">
        <v>39.659248772912001</v>
      </c>
      <c r="P1684">
        <v>-3.03282965948138E-2</v>
      </c>
      <c r="Q1684">
        <v>0.75708667699237797</v>
      </c>
      <c r="R1684">
        <v>0.19261783026611501</v>
      </c>
      <c r="S1684" t="s">
        <v>7267</v>
      </c>
      <c r="T1684" t="s">
        <v>11164</v>
      </c>
      <c r="U1684" t="s">
        <v>11164</v>
      </c>
      <c r="V1684" t="s">
        <v>11164</v>
      </c>
      <c r="W1684" t="s">
        <v>12817</v>
      </c>
      <c r="X1684">
        <v>12</v>
      </c>
      <c r="Y1684" t="s">
        <v>18343</v>
      </c>
      <c r="Z1684" t="s">
        <v>23834</v>
      </c>
      <c r="AA1684">
        <v>0.7869451686100587</v>
      </c>
      <c r="AB1684" t="str">
        <f>HYPERLINK("Melting_Curves/meltCurve_P00441_SOD1.pdf", "Melting_Curves/meltCurve_P00441_SOD1.pdf")</f>
        <v>Melting_Curves/meltCurve_P00441_SOD1.pdf</v>
      </c>
    </row>
    <row r="1685" spans="1:28" x14ac:dyDescent="0.25">
      <c r="A1685" t="s">
        <v>1689</v>
      </c>
      <c r="B1685">
        <v>0.99796759195183404</v>
      </c>
      <c r="C1685">
        <v>0.97838442320869201</v>
      </c>
      <c r="D1685">
        <v>0.91181149227412595</v>
      </c>
      <c r="E1685">
        <v>0.91250595981045401</v>
      </c>
      <c r="F1685">
        <v>0.88253651100012298</v>
      </c>
      <c r="G1685">
        <v>0.65271322636962703</v>
      </c>
      <c r="H1685">
        <v>0.61782702211237195</v>
      </c>
      <c r="I1685">
        <v>0.62426405172835098</v>
      </c>
      <c r="J1685">
        <v>0.72031343176623996</v>
      </c>
      <c r="K1685">
        <v>0.56450200144625895</v>
      </c>
      <c r="S1685" t="s">
        <v>7268</v>
      </c>
      <c r="T1685" t="s">
        <v>11164</v>
      </c>
      <c r="U1685" t="s">
        <v>11165</v>
      </c>
      <c r="V1685" t="s">
        <v>11164</v>
      </c>
      <c r="W1685" t="s">
        <v>12818</v>
      </c>
      <c r="X1685">
        <v>7</v>
      </c>
      <c r="Y1685" t="s">
        <v>18344</v>
      </c>
      <c r="Z1685" t="s">
        <v>23835</v>
      </c>
      <c r="AB1685" t="str">
        <f>HYPERLINK("Melting_Curves/meltCurve_P00491_PNP.pdf", "Melting_Curves/meltCurve_P00491_PNP.pdf")</f>
        <v>Melting_Curves/meltCurve_P00491_PNP.pdf</v>
      </c>
    </row>
    <row r="1686" spans="1:28" x14ac:dyDescent="0.25">
      <c r="A1686" t="s">
        <v>1690</v>
      </c>
      <c r="B1686">
        <v>0.99796759195183404</v>
      </c>
      <c r="C1686">
        <v>0.96979183886001397</v>
      </c>
      <c r="D1686">
        <v>0.95345888682552904</v>
      </c>
      <c r="E1686">
        <v>0.89732758492193698</v>
      </c>
      <c r="F1686">
        <v>0.84411230752849098</v>
      </c>
      <c r="G1686">
        <v>0.71164183872394104</v>
      </c>
      <c r="H1686">
        <v>0.68032111793151795</v>
      </c>
      <c r="I1686">
        <v>0.67393939384732904</v>
      </c>
      <c r="J1686">
        <v>0.88670788376674403</v>
      </c>
      <c r="K1686">
        <v>0.90810146199211195</v>
      </c>
      <c r="L1686">
        <v>1133.9062811138599</v>
      </c>
      <c r="M1686">
        <v>24.313375277324901</v>
      </c>
      <c r="O1686">
        <v>46.325083193001802</v>
      </c>
      <c r="P1686">
        <v>-2.9325367962021901E-2</v>
      </c>
      <c r="Q1686">
        <v>0.77650497812358799</v>
      </c>
      <c r="R1686">
        <v>0.56729045322437299</v>
      </c>
      <c r="S1686" t="s">
        <v>7269</v>
      </c>
      <c r="T1686" t="s">
        <v>11164</v>
      </c>
      <c r="U1686" t="s">
        <v>11164</v>
      </c>
      <c r="V1686" t="s">
        <v>11164</v>
      </c>
      <c r="W1686" t="s">
        <v>12819</v>
      </c>
      <c r="X1686">
        <v>20</v>
      </c>
      <c r="Y1686" t="s">
        <v>18345</v>
      </c>
      <c r="Z1686" t="s">
        <v>23836</v>
      </c>
      <c r="AA1686">
        <v>0.8502756634816907</v>
      </c>
      <c r="AB1686" t="str">
        <f>HYPERLINK("Melting_Curves/meltCurve_P00492_HPRT1.pdf", "Melting_Curves/meltCurve_P00492_HPRT1.pdf")</f>
        <v>Melting_Curves/meltCurve_P00492_HPRT1.pdf</v>
      </c>
    </row>
    <row r="1687" spans="1:28" x14ac:dyDescent="0.25">
      <c r="A1687" t="s">
        <v>1691</v>
      </c>
      <c r="B1687">
        <v>0.99796759195183404</v>
      </c>
      <c r="C1687">
        <v>0.70929757343320898</v>
      </c>
      <c r="D1687">
        <v>0.77445675104945799</v>
      </c>
      <c r="E1687">
        <v>0.70905476319723004</v>
      </c>
      <c r="F1687">
        <v>0.55728388418538799</v>
      </c>
      <c r="G1687">
        <v>0.43088904873384898</v>
      </c>
      <c r="H1687">
        <v>0.45221044856314002</v>
      </c>
      <c r="I1687">
        <v>0.73746608976694195</v>
      </c>
      <c r="J1687">
        <v>0.661195174400379</v>
      </c>
      <c r="K1687">
        <v>0.45966929493214698</v>
      </c>
      <c r="L1687">
        <v>549.544081030303</v>
      </c>
      <c r="M1687">
        <v>13.290282294422299</v>
      </c>
      <c r="O1687">
        <v>40.446816150269299</v>
      </c>
      <c r="P1687">
        <v>-3.70935984390659E-2</v>
      </c>
      <c r="Q1687">
        <v>0.54852006894442196</v>
      </c>
      <c r="R1687">
        <v>0.59739053140699205</v>
      </c>
      <c r="S1687" t="s">
        <v>7270</v>
      </c>
      <c r="T1687" t="s">
        <v>11164</v>
      </c>
      <c r="U1687" t="s">
        <v>11164</v>
      </c>
      <c r="V1687" t="s">
        <v>11164</v>
      </c>
      <c r="W1687" t="s">
        <v>12820</v>
      </c>
      <c r="X1687">
        <v>11</v>
      </c>
      <c r="Y1687" t="s">
        <v>18346</v>
      </c>
      <c r="Z1687" t="s">
        <v>23837</v>
      </c>
      <c r="AA1687">
        <v>0.63193047129444535</v>
      </c>
      <c r="AB1687" t="str">
        <f>HYPERLINK("Melting_Curves/meltCurve_P00505_GOT2.pdf", "Melting_Curves/meltCurve_P00505_GOT2.pdf")</f>
        <v>Melting_Curves/meltCurve_P00505_GOT2.pdf</v>
      </c>
    </row>
    <row r="1688" spans="1:28" x14ac:dyDescent="0.25">
      <c r="A1688" t="s">
        <v>1692</v>
      </c>
      <c r="B1688">
        <v>0.99796759195183404</v>
      </c>
      <c r="C1688">
        <v>1.0557576705290601</v>
      </c>
      <c r="D1688">
        <v>0.98753280348926098</v>
      </c>
      <c r="E1688">
        <v>0.77849330817252704</v>
      </c>
      <c r="F1688">
        <v>0.52335551749358999</v>
      </c>
      <c r="G1688">
        <v>0.15250588290188</v>
      </c>
      <c r="H1688">
        <v>0.126282517306813</v>
      </c>
      <c r="I1688">
        <v>5.7862554759434102E-2</v>
      </c>
      <c r="J1688">
        <v>4.5400875072296801E-2</v>
      </c>
      <c r="K1688">
        <v>6.3940482975748406E-2</v>
      </c>
      <c r="L1688">
        <v>1072.4131367523801</v>
      </c>
      <c r="M1688">
        <v>21.554738137813899</v>
      </c>
      <c r="N1688">
        <v>49.980761944658397</v>
      </c>
      <c r="O1688">
        <v>49.330718815729803</v>
      </c>
      <c r="P1688">
        <v>-0.10412852252336199</v>
      </c>
      <c r="Q1688">
        <v>4.6778507388547497E-2</v>
      </c>
      <c r="R1688">
        <v>0.99327044184272595</v>
      </c>
      <c r="S1688" t="s">
        <v>7271</v>
      </c>
      <c r="T1688" t="s">
        <v>11164</v>
      </c>
      <c r="U1688" t="s">
        <v>11164</v>
      </c>
      <c r="V1688" t="s">
        <v>11164</v>
      </c>
      <c r="W1688" t="s">
        <v>12821</v>
      </c>
      <c r="X1688">
        <v>4</v>
      </c>
      <c r="Y1688" t="s">
        <v>18347</v>
      </c>
      <c r="Z1688" t="s">
        <v>23838</v>
      </c>
      <c r="AA1688">
        <v>0.46297046626880178</v>
      </c>
      <c r="AB1688" t="str">
        <f>HYPERLINK("Melting_Curves/meltCurve_P00519_2_ABL1.pdf", "Melting_Curves/meltCurve_P00519_2_ABL1.pdf")</f>
        <v>Melting_Curves/meltCurve_P00519_2_ABL1.pdf</v>
      </c>
    </row>
    <row r="1689" spans="1:28" x14ac:dyDescent="0.25">
      <c r="A1689" t="s">
        <v>1693</v>
      </c>
      <c r="B1689">
        <v>0.99796759195183404</v>
      </c>
      <c r="C1689">
        <v>0.98600114851002696</v>
      </c>
      <c r="D1689">
        <v>0.99779618152334804</v>
      </c>
      <c r="E1689">
        <v>0.94935565143356304</v>
      </c>
      <c r="F1689">
        <v>0.82348519500109096</v>
      </c>
      <c r="G1689">
        <v>0.63307954667093602</v>
      </c>
      <c r="H1689">
        <v>0.36983082281454099</v>
      </c>
      <c r="I1689">
        <v>0.10316713441622501</v>
      </c>
      <c r="J1689">
        <v>7.7007451956560197E-2</v>
      </c>
      <c r="K1689">
        <v>5.5059359887536199E-2</v>
      </c>
      <c r="L1689">
        <v>976.38986260708396</v>
      </c>
      <c r="M1689">
        <v>17.680223188883801</v>
      </c>
      <c r="N1689">
        <v>55.224975785863798</v>
      </c>
      <c r="O1689">
        <v>54.533009228014002</v>
      </c>
      <c r="P1689">
        <v>-8.1057142090460499E-2</v>
      </c>
      <c r="Q1689">
        <v>0</v>
      </c>
      <c r="R1689">
        <v>0.99615158271013704</v>
      </c>
      <c r="S1689" t="s">
        <v>7272</v>
      </c>
      <c r="T1689" t="s">
        <v>11164</v>
      </c>
      <c r="U1689" t="s">
        <v>11164</v>
      </c>
      <c r="V1689" t="s">
        <v>11164</v>
      </c>
      <c r="W1689" t="s">
        <v>12822</v>
      </c>
      <c r="X1689">
        <v>43</v>
      </c>
      <c r="Y1689" t="s">
        <v>18348</v>
      </c>
      <c r="Z1689" t="s">
        <v>23839</v>
      </c>
      <c r="AA1689">
        <v>0.61992966418657403</v>
      </c>
      <c r="AB1689" t="str">
        <f>HYPERLINK("Melting_Curves/meltCurve_P00558_PGK1.pdf", "Melting_Curves/meltCurve_P00558_PGK1.pdf")</f>
        <v>Melting_Curves/meltCurve_P00558_PGK1.pdf</v>
      </c>
    </row>
    <row r="1690" spans="1:28" x14ac:dyDescent="0.25">
      <c r="A1690" t="s">
        <v>1694</v>
      </c>
      <c r="B1690">
        <v>0.99796759195183404</v>
      </c>
      <c r="C1690">
        <v>0.97154000475108504</v>
      </c>
      <c r="D1690">
        <v>0.95039555647178897</v>
      </c>
      <c r="E1690">
        <v>0.86156258800994101</v>
      </c>
      <c r="F1690">
        <v>0.72980262230563397</v>
      </c>
      <c r="G1690">
        <v>0.55441750495721498</v>
      </c>
      <c r="H1690">
        <v>0.53471362695199398</v>
      </c>
      <c r="I1690">
        <v>0.46463139584110202</v>
      </c>
      <c r="J1690">
        <v>0.51119423036947897</v>
      </c>
      <c r="K1690">
        <v>0.334568056008611</v>
      </c>
      <c r="L1690">
        <v>615.54987002737596</v>
      </c>
      <c r="M1690">
        <v>12.0483275333752</v>
      </c>
      <c r="N1690">
        <v>58.002229555805002</v>
      </c>
      <c r="O1690">
        <v>49.743679113039697</v>
      </c>
      <c r="P1690">
        <v>-3.7488298194726599E-2</v>
      </c>
      <c r="Q1690">
        <v>0.38103829626053398</v>
      </c>
      <c r="R1690">
        <v>0.96981987939280101</v>
      </c>
      <c r="S1690" t="s">
        <v>7273</v>
      </c>
      <c r="T1690" t="s">
        <v>11164</v>
      </c>
      <c r="U1690" t="s">
        <v>11164</v>
      </c>
      <c r="V1690" t="s">
        <v>11164</v>
      </c>
      <c r="W1690" t="s">
        <v>12823</v>
      </c>
      <c r="X1690">
        <v>12</v>
      </c>
      <c r="Y1690" t="s">
        <v>18349</v>
      </c>
      <c r="Z1690" t="s">
        <v>23840</v>
      </c>
      <c r="AA1690">
        <v>0.68767790840498111</v>
      </c>
      <c r="AB1690" t="str">
        <f>HYPERLINK("Melting_Curves/meltCurve_P00813_ADA.pdf", "Melting_Curves/meltCurve_P00813_ADA.pdf")</f>
        <v>Melting_Curves/meltCurve_P00813_ADA.pdf</v>
      </c>
    </row>
    <row r="1691" spans="1:28" x14ac:dyDescent="0.25">
      <c r="A1691" t="s">
        <v>1695</v>
      </c>
      <c r="B1691">
        <v>0.99796759195183404</v>
      </c>
      <c r="C1691">
        <v>0.94440197882243504</v>
      </c>
      <c r="D1691">
        <v>0.99254667805891195</v>
      </c>
      <c r="E1691">
        <v>0.93227622251719</v>
      </c>
      <c r="F1691">
        <v>0.77169461537549899</v>
      </c>
      <c r="G1691">
        <v>0.45274604767569598</v>
      </c>
      <c r="H1691">
        <v>0.18977644610564401</v>
      </c>
      <c r="I1691">
        <v>0.107208746383275</v>
      </c>
      <c r="J1691">
        <v>9.0085810489375903E-2</v>
      </c>
      <c r="K1691">
        <v>6.8536497108680997E-2</v>
      </c>
      <c r="L1691">
        <v>1120.91901121295</v>
      </c>
      <c r="M1691">
        <v>21.204226924298599</v>
      </c>
      <c r="N1691">
        <v>53.168764411235202</v>
      </c>
      <c r="O1691">
        <v>52.399563226609303</v>
      </c>
      <c r="P1691">
        <v>-9.5361554903958395E-2</v>
      </c>
      <c r="Q1691">
        <v>5.7400248146319797E-2</v>
      </c>
      <c r="R1691">
        <v>0.99755061680810897</v>
      </c>
      <c r="S1691" t="s">
        <v>7274</v>
      </c>
      <c r="T1691" t="s">
        <v>11164</v>
      </c>
      <c r="U1691" t="s">
        <v>11164</v>
      </c>
      <c r="V1691" t="s">
        <v>11164</v>
      </c>
      <c r="W1691" t="s">
        <v>12824</v>
      </c>
      <c r="X1691">
        <v>24</v>
      </c>
      <c r="Y1691" t="s">
        <v>18350</v>
      </c>
      <c r="Z1691" t="s">
        <v>23841</v>
      </c>
      <c r="AA1691">
        <v>0.56673732211282635</v>
      </c>
      <c r="AB1691" t="str">
        <f>HYPERLINK("Melting_Curves/meltCurve_P00918_CA2.pdf", "Melting_Curves/meltCurve_P00918_CA2.pdf")</f>
        <v>Melting_Curves/meltCurve_P00918_CA2.pdf</v>
      </c>
    </row>
    <row r="1692" spans="1:28" x14ac:dyDescent="0.25">
      <c r="A1692" t="s">
        <v>1696</v>
      </c>
      <c r="B1692">
        <v>0.99796759195183404</v>
      </c>
      <c r="C1692">
        <v>0.95531060494605402</v>
      </c>
      <c r="D1692">
        <v>0.88117367490939202</v>
      </c>
      <c r="E1692">
        <v>0.87828383728471804</v>
      </c>
      <c r="F1692">
        <v>0.63842142130113999</v>
      </c>
      <c r="G1692">
        <v>0.60841399779717598</v>
      </c>
      <c r="H1692">
        <v>0.48002001343642903</v>
      </c>
      <c r="I1692">
        <v>0.311999070341341</v>
      </c>
      <c r="J1692">
        <v>0.24727790437626901</v>
      </c>
      <c r="K1692">
        <v>0.301322280538662</v>
      </c>
      <c r="L1692">
        <v>472.535782349371</v>
      </c>
      <c r="M1692">
        <v>8.7374624444150708</v>
      </c>
      <c r="N1692">
        <v>55.7300880574034</v>
      </c>
      <c r="O1692">
        <v>51.472939734011199</v>
      </c>
      <c r="P1692">
        <v>-3.7635028416230003E-2</v>
      </c>
      <c r="Q1692">
        <v>0.113878450285517</v>
      </c>
      <c r="R1692">
        <v>0.97681272521403295</v>
      </c>
      <c r="S1692" t="s">
        <v>7275</v>
      </c>
      <c r="T1692" t="s">
        <v>11164</v>
      </c>
      <c r="U1692" t="s">
        <v>11164</v>
      </c>
      <c r="V1692" t="s">
        <v>11164</v>
      </c>
      <c r="W1692" t="s">
        <v>12825</v>
      </c>
      <c r="X1692">
        <v>3</v>
      </c>
      <c r="Y1692" t="s">
        <v>18351</v>
      </c>
      <c r="Z1692" t="s">
        <v>23842</v>
      </c>
      <c r="AA1692">
        <v>0.63224391173585315</v>
      </c>
      <c r="AB1692" t="str">
        <f>HYPERLINK("Melting_Curves/meltCurve_P01034_CST3.pdf", "Melting_Curves/meltCurve_P01034_CST3.pdf")</f>
        <v>Melting_Curves/meltCurve_P01034_CST3.pdf</v>
      </c>
    </row>
    <row r="1693" spans="1:28" x14ac:dyDescent="0.25">
      <c r="A1693" t="s">
        <v>1697</v>
      </c>
      <c r="B1693">
        <v>0.99796759195183404</v>
      </c>
      <c r="C1693">
        <v>0.98619413753740903</v>
      </c>
      <c r="D1693">
        <v>1.0186448609961001</v>
      </c>
      <c r="E1693">
        <v>0.94817035918777204</v>
      </c>
      <c r="F1693">
        <v>0.80316822091455797</v>
      </c>
      <c r="G1693">
        <v>0.709750888779342</v>
      </c>
      <c r="H1693">
        <v>0.64896743042841398</v>
      </c>
      <c r="I1693">
        <v>0.46939892579936399</v>
      </c>
      <c r="J1693">
        <v>0.495454631806721</v>
      </c>
      <c r="K1693">
        <v>0.249006060131021</v>
      </c>
      <c r="L1693">
        <v>492.149131638531</v>
      </c>
      <c r="M1693">
        <v>8.0905040959105499</v>
      </c>
      <c r="N1693">
        <v>60.830461330067997</v>
      </c>
      <c r="O1693">
        <v>57.452264884928603</v>
      </c>
      <c r="P1693">
        <v>-3.5243510787029898E-2</v>
      </c>
      <c r="Q1693">
        <v>0</v>
      </c>
      <c r="R1693">
        <v>0.96418395382295297</v>
      </c>
      <c r="S1693" t="s">
        <v>7276</v>
      </c>
      <c r="T1693" t="s">
        <v>11164</v>
      </c>
      <c r="U1693" t="s">
        <v>11164</v>
      </c>
      <c r="V1693" t="s">
        <v>11164</v>
      </c>
      <c r="W1693" t="s">
        <v>12826</v>
      </c>
      <c r="X1693">
        <v>14</v>
      </c>
      <c r="Y1693" t="s">
        <v>18352</v>
      </c>
      <c r="Z1693" t="s">
        <v>23843</v>
      </c>
      <c r="AA1693">
        <v>0.74157909526987609</v>
      </c>
      <c r="AB1693" t="str">
        <f>HYPERLINK("Melting_Curves/meltCurve_P01111_NRAS.pdf", "Melting_Curves/meltCurve_P01111_NRAS.pdf")</f>
        <v>Melting_Curves/meltCurve_P01111_NRAS.pdf</v>
      </c>
    </row>
    <row r="1694" spans="1:28" x14ac:dyDescent="0.25">
      <c r="A1694" t="s">
        <v>1698</v>
      </c>
      <c r="B1694">
        <v>0.99796759195183404</v>
      </c>
      <c r="C1694">
        <v>0.98921637539595098</v>
      </c>
      <c r="D1694">
        <v>0.99573149119030502</v>
      </c>
      <c r="E1694">
        <v>0.91990828759005405</v>
      </c>
      <c r="F1694">
        <v>0.82469859552421099</v>
      </c>
      <c r="G1694">
        <v>0.68340945309543499</v>
      </c>
      <c r="H1694">
        <v>0.62717543674849396</v>
      </c>
      <c r="I1694">
        <v>0.48427910066223101</v>
      </c>
      <c r="J1694">
        <v>0.53975546899556703</v>
      </c>
      <c r="K1694">
        <v>0.31474162613839202</v>
      </c>
      <c r="L1694">
        <v>484.53744984132197</v>
      </c>
      <c r="M1694">
        <v>8.30032630946606</v>
      </c>
      <c r="N1694">
        <v>61.409450181949701</v>
      </c>
      <c r="O1694">
        <v>55.281732490273903</v>
      </c>
      <c r="P1694">
        <v>-3.1253897284581098E-2</v>
      </c>
      <c r="Q1694">
        <v>0.16819189900864401</v>
      </c>
      <c r="R1694">
        <v>0.96424609123869898</v>
      </c>
      <c r="S1694" t="s">
        <v>7277</v>
      </c>
      <c r="T1694" t="s">
        <v>11164</v>
      </c>
      <c r="U1694" t="s">
        <v>11164</v>
      </c>
      <c r="V1694" t="s">
        <v>11164</v>
      </c>
      <c r="W1694" t="s">
        <v>12827</v>
      </c>
      <c r="X1694">
        <v>14</v>
      </c>
      <c r="Y1694" t="s">
        <v>18353</v>
      </c>
      <c r="Z1694" t="s">
        <v>23844</v>
      </c>
      <c r="AA1694">
        <v>0.74220965674495354</v>
      </c>
      <c r="AB1694" t="str">
        <f>HYPERLINK("Melting_Curves/meltCurve_P01112_HRAS.pdf", "Melting_Curves/meltCurve_P01112_HRAS.pdf")</f>
        <v>Melting_Curves/meltCurve_P01112_HRAS.pdf</v>
      </c>
    </row>
    <row r="1695" spans="1:28" x14ac:dyDescent="0.25">
      <c r="A1695" t="s">
        <v>1699</v>
      </c>
      <c r="B1695">
        <v>0.99796759195183404</v>
      </c>
      <c r="C1695">
        <v>1.0433049796929099</v>
      </c>
      <c r="D1695">
        <v>1.04325652866972</v>
      </c>
      <c r="E1695">
        <v>1.00156990412322</v>
      </c>
      <c r="F1695">
        <v>0.90537664035240395</v>
      </c>
      <c r="G1695">
        <v>0.768863500558572</v>
      </c>
      <c r="H1695">
        <v>0.765979677470778</v>
      </c>
      <c r="I1695">
        <v>0.596486198503416</v>
      </c>
      <c r="J1695">
        <v>0.57127292954476605</v>
      </c>
      <c r="K1695">
        <v>0.25492534106841902</v>
      </c>
      <c r="L1695">
        <v>636.16146749944505</v>
      </c>
      <c r="M1695">
        <v>10.070457367692001</v>
      </c>
      <c r="N1695">
        <v>63.171054232229501</v>
      </c>
      <c r="O1695">
        <v>60.831744627173599</v>
      </c>
      <c r="P1695">
        <v>-4.1406104274223803E-2</v>
      </c>
      <c r="Q1695">
        <v>0</v>
      </c>
      <c r="R1695">
        <v>0.938451004457445</v>
      </c>
      <c r="S1695" t="s">
        <v>7278</v>
      </c>
      <c r="T1695" t="s">
        <v>11164</v>
      </c>
      <c r="U1695" t="s">
        <v>11164</v>
      </c>
      <c r="V1695" t="s">
        <v>11164</v>
      </c>
      <c r="W1695" t="s">
        <v>12828</v>
      </c>
      <c r="X1695">
        <v>13</v>
      </c>
      <c r="Y1695" t="s">
        <v>18354</v>
      </c>
      <c r="Z1695" t="s">
        <v>23845</v>
      </c>
      <c r="AA1695">
        <v>0.80821301750997854</v>
      </c>
      <c r="AB1695" t="str">
        <f>HYPERLINK("Melting_Curves/meltCurve_P01116_2_KRAS.pdf", "Melting_Curves/meltCurve_P01116_2_KRAS.pdf")</f>
        <v>Melting_Curves/meltCurve_P01116_2_KRAS.pdf</v>
      </c>
    </row>
    <row r="1696" spans="1:28" x14ac:dyDescent="0.25">
      <c r="A1696" t="s">
        <v>1700</v>
      </c>
      <c r="B1696">
        <v>0.99796759195183404</v>
      </c>
      <c r="C1696">
        <v>1.0373011509457799</v>
      </c>
      <c r="D1696">
        <v>0.97654624447709204</v>
      </c>
      <c r="E1696">
        <v>1.0001648592010901</v>
      </c>
      <c r="F1696">
        <v>0.66796294698193304</v>
      </c>
      <c r="G1696">
        <v>0.52128898802151802</v>
      </c>
      <c r="H1696">
        <v>0.28731933947611998</v>
      </c>
      <c r="I1696">
        <v>0.17217034542895701</v>
      </c>
      <c r="J1696">
        <v>0.13323895725565699</v>
      </c>
      <c r="K1696">
        <v>0.12114260331719499</v>
      </c>
      <c r="L1696">
        <v>905.803029129214</v>
      </c>
      <c r="M1696">
        <v>17.114827959524199</v>
      </c>
      <c r="N1696">
        <v>53.582739238735599</v>
      </c>
      <c r="O1696">
        <v>52.218345021692301</v>
      </c>
      <c r="P1696">
        <v>-7.41802982838181E-2</v>
      </c>
      <c r="Q1696">
        <v>9.4740721219303103E-2</v>
      </c>
      <c r="R1696">
        <v>0.98890004469974802</v>
      </c>
      <c r="S1696" t="s">
        <v>7279</v>
      </c>
      <c r="T1696" t="s">
        <v>11164</v>
      </c>
      <c r="U1696" t="s">
        <v>11164</v>
      </c>
      <c r="V1696" t="s">
        <v>11164</v>
      </c>
      <c r="W1696" t="s">
        <v>12829</v>
      </c>
      <c r="X1696">
        <v>1</v>
      </c>
      <c r="Z1696" t="s">
        <v>23846</v>
      </c>
      <c r="AA1696">
        <v>0.58935368760435825</v>
      </c>
      <c r="AB1696" t="str">
        <f>HYPERLINK("Melting_Curves/meltCurve_P01814_.pdf", "Melting_Curves/meltCurve_P01814_.pdf")</f>
        <v>Melting_Curves/meltCurve_P01814_.pdf</v>
      </c>
    </row>
    <row r="1697" spans="1:28" x14ac:dyDescent="0.25">
      <c r="A1697" t="s">
        <v>1701</v>
      </c>
      <c r="B1697">
        <v>0.99796759195183404</v>
      </c>
      <c r="C1697">
        <v>0.97549035140582097</v>
      </c>
      <c r="D1697">
        <v>1.0191221462220801</v>
      </c>
      <c r="E1697">
        <v>0.914414571261985</v>
      </c>
      <c r="F1697">
        <v>0.85565495683878601</v>
      </c>
      <c r="G1697">
        <v>0.59659266358741703</v>
      </c>
      <c r="H1697">
        <v>0.560303832924959</v>
      </c>
      <c r="I1697">
        <v>0.47700538970848</v>
      </c>
      <c r="J1697">
        <v>0.509628191106554</v>
      </c>
      <c r="K1697">
        <v>0.38310787129502399</v>
      </c>
      <c r="L1697">
        <v>923.695301586102</v>
      </c>
      <c r="M1697">
        <v>17.6648678729834</v>
      </c>
      <c r="N1697">
        <v>58.984400779005398</v>
      </c>
      <c r="O1697">
        <v>51.633651571859097</v>
      </c>
      <c r="P1697">
        <v>-4.8526965207593101E-2</v>
      </c>
      <c r="Q1697">
        <v>0.43266111259418799</v>
      </c>
      <c r="R1697">
        <v>0.97413102913532201</v>
      </c>
      <c r="S1697" t="s">
        <v>7280</v>
      </c>
      <c r="T1697" t="s">
        <v>11164</v>
      </c>
      <c r="U1697" t="s">
        <v>11164</v>
      </c>
      <c r="V1697" t="s">
        <v>11164</v>
      </c>
      <c r="W1697" t="s">
        <v>12830</v>
      </c>
      <c r="X1697">
        <v>15</v>
      </c>
      <c r="Y1697" t="s">
        <v>18355</v>
      </c>
      <c r="Z1697" t="s">
        <v>23847</v>
      </c>
      <c r="AA1697">
        <v>0.73053180416503927</v>
      </c>
      <c r="AB1697" t="str">
        <f>HYPERLINK("Melting_Curves/meltCurve_P01889_HLA_B.pdf", "Melting_Curves/meltCurve_P01889_HLA_B.pdf")</f>
        <v>Melting_Curves/meltCurve_P01889_HLA_B.pdf</v>
      </c>
    </row>
    <row r="1698" spans="1:28" x14ac:dyDescent="0.25">
      <c r="A1698" t="s">
        <v>1702</v>
      </c>
      <c r="B1698">
        <v>0.99796759195183404</v>
      </c>
      <c r="C1698">
        <v>1.00427529712879</v>
      </c>
      <c r="D1698">
        <v>0.86316382543371295</v>
      </c>
      <c r="E1698">
        <v>0.82979949402530295</v>
      </c>
      <c r="F1698">
        <v>0.77663458378684203</v>
      </c>
      <c r="G1698">
        <v>0.80223556062513102</v>
      </c>
      <c r="H1698">
        <v>0.59449403470613504</v>
      </c>
      <c r="I1698">
        <v>0.37533698997714199</v>
      </c>
      <c r="J1698">
        <v>0.20657990521561601</v>
      </c>
      <c r="K1698">
        <v>0.14293391526955401</v>
      </c>
      <c r="L1698">
        <v>632.50125872035903</v>
      </c>
      <c r="M1698">
        <v>10.888916426199501</v>
      </c>
      <c r="N1698">
        <v>58.086703436122299</v>
      </c>
      <c r="O1698">
        <v>56.230609086359898</v>
      </c>
      <c r="P1698">
        <v>-4.8428857467336002E-2</v>
      </c>
      <c r="Q1698">
        <v>0</v>
      </c>
      <c r="R1698">
        <v>0.94553599116582798</v>
      </c>
      <c r="S1698" t="s">
        <v>7281</v>
      </c>
      <c r="T1698" t="s">
        <v>11164</v>
      </c>
      <c r="U1698" t="s">
        <v>11164</v>
      </c>
      <c r="V1698" t="s">
        <v>11164</v>
      </c>
      <c r="W1698" t="s">
        <v>12831</v>
      </c>
      <c r="X1698">
        <v>8</v>
      </c>
      <c r="Y1698" t="s">
        <v>18356</v>
      </c>
      <c r="Z1698" t="s">
        <v>23848</v>
      </c>
      <c r="AA1698">
        <v>0.69736940221422716</v>
      </c>
      <c r="AB1698" t="str">
        <f>HYPERLINK("Melting_Curves/meltCurve_P02008_HBZ.pdf", "Melting_Curves/meltCurve_P02008_HBZ.pdf")</f>
        <v>Melting_Curves/meltCurve_P02008_HBZ.pdf</v>
      </c>
    </row>
    <row r="1699" spans="1:28" x14ac:dyDescent="0.25">
      <c r="A1699" t="s">
        <v>1703</v>
      </c>
      <c r="B1699">
        <v>0.99796759195183404</v>
      </c>
      <c r="C1699">
        <v>1.0544946277918601</v>
      </c>
      <c r="D1699">
        <v>0.89745779401168102</v>
      </c>
      <c r="E1699">
        <v>0.89073110643925502</v>
      </c>
      <c r="F1699">
        <v>0.84608418070871705</v>
      </c>
      <c r="G1699">
        <v>0.98500370749164001</v>
      </c>
      <c r="H1699">
        <v>0.72826088648485499</v>
      </c>
      <c r="I1699">
        <v>0.48344608442007198</v>
      </c>
      <c r="J1699">
        <v>0.24041862294006699</v>
      </c>
      <c r="K1699">
        <v>0.16292796905437701</v>
      </c>
      <c r="L1699">
        <v>1121.15199280346</v>
      </c>
      <c r="M1699">
        <v>18.492967264431901</v>
      </c>
      <c r="N1699">
        <v>60.6258593148739</v>
      </c>
      <c r="O1699">
        <v>59.930281176907599</v>
      </c>
      <c r="P1699">
        <v>-7.7147090795234796E-2</v>
      </c>
      <c r="Q1699">
        <v>0</v>
      </c>
      <c r="R1699">
        <v>0.94771639555626697</v>
      </c>
      <c r="S1699" t="s">
        <v>7282</v>
      </c>
      <c r="T1699" t="s">
        <v>11164</v>
      </c>
      <c r="U1699" t="s">
        <v>11164</v>
      </c>
      <c r="V1699" t="s">
        <v>11164</v>
      </c>
      <c r="W1699" t="s">
        <v>12832</v>
      </c>
      <c r="X1699">
        <v>9</v>
      </c>
      <c r="Y1699" t="s">
        <v>18357</v>
      </c>
      <c r="Z1699" t="s">
        <v>23849</v>
      </c>
      <c r="AA1699">
        <v>0.7833494770552254</v>
      </c>
      <c r="AB1699" t="str">
        <f>HYPERLINK("Melting_Curves/meltCurve_P02100_HBE1.pdf", "Melting_Curves/meltCurve_P02100_HBE1.pdf")</f>
        <v>Melting_Curves/meltCurve_P02100_HBE1.pdf</v>
      </c>
    </row>
    <row r="1700" spans="1:28" x14ac:dyDescent="0.25">
      <c r="A1700" t="s">
        <v>1704</v>
      </c>
      <c r="B1700">
        <v>0.99796759195183404</v>
      </c>
      <c r="C1700">
        <v>0.949834872537899</v>
      </c>
      <c r="D1700">
        <v>0.93788669208431097</v>
      </c>
      <c r="E1700">
        <v>0.91445804250338403</v>
      </c>
      <c r="F1700">
        <v>0.91536105913635402</v>
      </c>
      <c r="G1700">
        <v>1.17230211822466</v>
      </c>
      <c r="H1700">
        <v>1.0177617930346201</v>
      </c>
      <c r="I1700">
        <v>0.37512885655184097</v>
      </c>
      <c r="J1700">
        <v>0.205669601438216</v>
      </c>
      <c r="K1700">
        <v>0.15361504770665799</v>
      </c>
      <c r="L1700">
        <v>9408.8285209107598</v>
      </c>
      <c r="M1700">
        <v>155.40436947223199</v>
      </c>
      <c r="N1700">
        <v>60.717996285105002</v>
      </c>
      <c r="O1700">
        <v>60.534145462500298</v>
      </c>
      <c r="P1700">
        <v>-0.526568401199346</v>
      </c>
      <c r="Q1700">
        <v>0.17955028931088801</v>
      </c>
      <c r="R1700">
        <v>0.957605802772861</v>
      </c>
      <c r="S1700" t="s">
        <v>7283</v>
      </c>
      <c r="T1700" t="s">
        <v>11164</v>
      </c>
      <c r="U1700" t="s">
        <v>11164</v>
      </c>
      <c r="V1700" t="s">
        <v>11164</v>
      </c>
      <c r="W1700" t="s">
        <v>12833</v>
      </c>
      <c r="X1700">
        <v>41</v>
      </c>
      <c r="Y1700" t="s">
        <v>18358</v>
      </c>
      <c r="Z1700" t="s">
        <v>23850</v>
      </c>
      <c r="AA1700">
        <v>0.82366954530123593</v>
      </c>
      <c r="AB1700" t="str">
        <f>HYPERLINK("Melting_Curves/meltCurve_P02545_LMNA.pdf", "Melting_Curves/meltCurve_P02545_LMNA.pdf")</f>
        <v>Melting_Curves/meltCurve_P02545_LMNA.pdf</v>
      </c>
    </row>
    <row r="1701" spans="1:28" x14ac:dyDescent="0.25">
      <c r="A1701" t="s">
        <v>1705</v>
      </c>
      <c r="B1701">
        <v>0.99796759195183404</v>
      </c>
      <c r="C1701">
        <v>1.0565187224594199</v>
      </c>
      <c r="D1701">
        <v>0.96038261998103902</v>
      </c>
      <c r="E1701">
        <v>0.94217301833473099</v>
      </c>
      <c r="F1701">
        <v>0.89033999433771005</v>
      </c>
      <c r="G1701">
        <v>0.91320693041033096</v>
      </c>
      <c r="H1701">
        <v>0.76544612087282105</v>
      </c>
      <c r="I1701">
        <v>0.71280541653154805</v>
      </c>
      <c r="J1701">
        <v>0.61995474997823896</v>
      </c>
      <c r="K1701">
        <v>0.48488342633044101</v>
      </c>
      <c r="L1701">
        <v>507.718293387176</v>
      </c>
      <c r="M1701">
        <v>7.5221219970855504</v>
      </c>
      <c r="O1701">
        <v>63.220626531136404</v>
      </c>
      <c r="P1701">
        <v>-2.97878254672592E-2</v>
      </c>
      <c r="Q1701">
        <v>0</v>
      </c>
      <c r="R1701">
        <v>0.96383547174530404</v>
      </c>
      <c r="S1701" t="s">
        <v>7284</v>
      </c>
      <c r="T1701" t="s">
        <v>11164</v>
      </c>
      <c r="U1701" t="s">
        <v>11164</v>
      </c>
      <c r="V1701" t="s">
        <v>11164</v>
      </c>
      <c r="W1701" t="s">
        <v>12834</v>
      </c>
      <c r="X1701">
        <v>26</v>
      </c>
      <c r="Y1701" t="s">
        <v>18359</v>
      </c>
      <c r="Z1701" t="s">
        <v>23851</v>
      </c>
      <c r="AA1701">
        <v>0.84757966652155992</v>
      </c>
      <c r="AB1701" t="str">
        <f>HYPERLINK("Melting_Curves/meltCurve_P02786_TFRC.pdf", "Melting_Curves/meltCurve_P02786_TFRC.pdf")</f>
        <v>Melting_Curves/meltCurve_P02786_TFRC.pdf</v>
      </c>
    </row>
    <row r="1702" spans="1:28" x14ac:dyDescent="0.25">
      <c r="A1702" t="s">
        <v>1706</v>
      </c>
      <c r="B1702">
        <v>0.99796759195183404</v>
      </c>
      <c r="C1702">
        <v>1.32003438213</v>
      </c>
      <c r="D1702">
        <v>1.2841221641591201</v>
      </c>
      <c r="E1702">
        <v>0.94390170227043302</v>
      </c>
      <c r="F1702">
        <v>0.65851844881605304</v>
      </c>
      <c r="G1702">
        <v>0.468073694702693</v>
      </c>
      <c r="H1702">
        <v>0.360142613320662</v>
      </c>
      <c r="I1702">
        <v>0.14115636108030499</v>
      </c>
      <c r="J1702">
        <v>0.15088277385087501</v>
      </c>
      <c r="K1702">
        <v>0.13801306254137599</v>
      </c>
      <c r="L1702">
        <v>1006.98508634002</v>
      </c>
      <c r="M1702">
        <v>19.221854743144402</v>
      </c>
      <c r="N1702">
        <v>53.257218399197498</v>
      </c>
      <c r="O1702">
        <v>51.830392669593699</v>
      </c>
      <c r="P1702">
        <v>-8.0229391673968101E-2</v>
      </c>
      <c r="Q1702">
        <v>0.134701204681868</v>
      </c>
      <c r="R1702">
        <v>0.89252992199034897</v>
      </c>
      <c r="S1702" t="s">
        <v>7285</v>
      </c>
      <c r="T1702" t="s">
        <v>11164</v>
      </c>
      <c r="U1702" t="s">
        <v>11164</v>
      </c>
      <c r="V1702" t="s">
        <v>11164</v>
      </c>
      <c r="W1702" t="s">
        <v>12835</v>
      </c>
      <c r="X1702">
        <v>2</v>
      </c>
      <c r="Y1702" t="s">
        <v>18360</v>
      </c>
      <c r="Z1702" t="s">
        <v>23852</v>
      </c>
      <c r="AA1702">
        <v>0.59028916391413377</v>
      </c>
      <c r="AB1702" t="str">
        <f>HYPERLINK("Melting_Curves/meltCurve_P02794_FTH1.pdf", "Melting_Curves/meltCurve_P02794_FTH1.pdf")</f>
        <v>Melting_Curves/meltCurve_P02794_FTH1.pdf</v>
      </c>
    </row>
    <row r="1703" spans="1:28" x14ac:dyDescent="0.25">
      <c r="A1703" t="s">
        <v>1707</v>
      </c>
      <c r="B1703">
        <v>0.99796759195183404</v>
      </c>
      <c r="C1703">
        <v>1.6798758379477099</v>
      </c>
      <c r="D1703">
        <v>1.5723657797113</v>
      </c>
      <c r="E1703">
        <v>1.77200237246832</v>
      </c>
      <c r="F1703">
        <v>1.5648323680245999</v>
      </c>
      <c r="G1703">
        <v>1.09828883522608</v>
      </c>
      <c r="H1703">
        <v>1.4783122201425201</v>
      </c>
      <c r="I1703">
        <v>1.0753646328455699</v>
      </c>
      <c r="J1703">
        <v>1.8170317160906</v>
      </c>
      <c r="K1703">
        <v>1.6318159707994999</v>
      </c>
      <c r="L1703">
        <v>9517.3419645608101</v>
      </c>
      <c r="M1703">
        <v>250</v>
      </c>
      <c r="O1703">
        <v>38.066931735762701</v>
      </c>
      <c r="P1703">
        <v>0.82092248218323005</v>
      </c>
      <c r="Q1703">
        <v>1.5</v>
      </c>
      <c r="R1703">
        <v>0.29615073843258699</v>
      </c>
      <c r="S1703" t="s">
        <v>7286</v>
      </c>
      <c r="T1703" t="s">
        <v>11164</v>
      </c>
      <c r="U1703" t="s">
        <v>11164</v>
      </c>
      <c r="V1703" t="s">
        <v>11164</v>
      </c>
      <c r="W1703" t="s">
        <v>12836</v>
      </c>
      <c r="X1703">
        <v>7</v>
      </c>
      <c r="Y1703" t="s">
        <v>18361</v>
      </c>
      <c r="Z1703" t="s">
        <v>23853</v>
      </c>
      <c r="AA1703">
        <v>1.4821420659749991</v>
      </c>
      <c r="AB1703" t="str">
        <f>HYPERLINK("Melting_Curves/meltCurve_P02795_MT2A.pdf", "Melting_Curves/meltCurve_P02795_MT2A.pdf")</f>
        <v>Melting_Curves/meltCurve_P02795_MT2A.pdf</v>
      </c>
    </row>
    <row r="1704" spans="1:28" x14ac:dyDescent="0.25">
      <c r="A1704" t="s">
        <v>1708</v>
      </c>
      <c r="B1704">
        <v>0.99796759195183404</v>
      </c>
      <c r="C1704">
        <v>0.99248280814145795</v>
      </c>
      <c r="D1704">
        <v>0.95269362476664798</v>
      </c>
      <c r="E1704">
        <v>0.91903772916863102</v>
      </c>
      <c r="F1704">
        <v>0.78012521258572498</v>
      </c>
      <c r="G1704">
        <v>0.83481316105721204</v>
      </c>
      <c r="H1704">
        <v>0.697996681343657</v>
      </c>
      <c r="I1704">
        <v>0.844866215692607</v>
      </c>
      <c r="J1704">
        <v>0.48074874323160499</v>
      </c>
      <c r="K1704">
        <v>0.377234470132366</v>
      </c>
      <c r="L1704">
        <v>438.923019555434</v>
      </c>
      <c r="M1704">
        <v>6.6837584523556002</v>
      </c>
      <c r="N1704">
        <v>65.6700900668027</v>
      </c>
      <c r="O1704">
        <v>60.539921622104501</v>
      </c>
      <c r="P1704">
        <v>-2.7661207065115701E-2</v>
      </c>
      <c r="Q1704">
        <v>0</v>
      </c>
      <c r="R1704">
        <v>0.82009992700918</v>
      </c>
      <c r="S1704" t="s">
        <v>7287</v>
      </c>
      <c r="T1704" t="s">
        <v>11164</v>
      </c>
      <c r="U1704" t="s">
        <v>11164</v>
      </c>
      <c r="V1704" t="s">
        <v>11164</v>
      </c>
      <c r="W1704" t="s">
        <v>12837</v>
      </c>
      <c r="X1704">
        <v>2</v>
      </c>
      <c r="Y1704" t="s">
        <v>18362</v>
      </c>
      <c r="Z1704" t="s">
        <v>23854</v>
      </c>
      <c r="AA1704">
        <v>0.80609708829549576</v>
      </c>
      <c r="AB1704" t="str">
        <f>HYPERLINK("Melting_Curves/meltCurve_P03928_MT_ATP8.pdf", "Melting_Curves/meltCurve_P03928_MT_ATP8.pdf")</f>
        <v>Melting_Curves/meltCurve_P03928_MT_ATP8.pdf</v>
      </c>
    </row>
    <row r="1705" spans="1:28" x14ac:dyDescent="0.25">
      <c r="A1705" t="s">
        <v>1709</v>
      </c>
      <c r="B1705">
        <v>0.99796759195183404</v>
      </c>
      <c r="C1705">
        <v>1.0190322651861901</v>
      </c>
      <c r="D1705">
        <v>0.97403500162603496</v>
      </c>
      <c r="E1705">
        <v>0.89757782150561805</v>
      </c>
      <c r="F1705">
        <v>0.80800645127222204</v>
      </c>
      <c r="G1705">
        <v>0.77895743539710205</v>
      </c>
      <c r="H1705">
        <v>0.71556086294923105</v>
      </c>
      <c r="I1705">
        <v>0.69136188353861905</v>
      </c>
      <c r="J1705">
        <v>0.64919819386214705</v>
      </c>
      <c r="K1705">
        <v>0.39143256840249502</v>
      </c>
      <c r="L1705">
        <v>370.79386064695001</v>
      </c>
      <c r="M1705">
        <v>5.5393259136623501</v>
      </c>
      <c r="N1705">
        <v>66.938459612558503</v>
      </c>
      <c r="O1705">
        <v>59.733154848199398</v>
      </c>
      <c r="P1705">
        <v>-2.32832327024474E-2</v>
      </c>
      <c r="Q1705">
        <v>0</v>
      </c>
      <c r="R1705">
        <v>0.91418063099504898</v>
      </c>
      <c r="S1705" t="s">
        <v>7288</v>
      </c>
      <c r="T1705" t="s">
        <v>11164</v>
      </c>
      <c r="U1705" t="s">
        <v>11164</v>
      </c>
      <c r="V1705" t="s">
        <v>11164</v>
      </c>
      <c r="W1705" t="s">
        <v>12838</v>
      </c>
      <c r="X1705">
        <v>12</v>
      </c>
      <c r="Y1705" t="s">
        <v>18363</v>
      </c>
      <c r="Z1705" t="s">
        <v>23855</v>
      </c>
      <c r="AA1705">
        <v>0.79862850868801771</v>
      </c>
      <c r="AB1705" t="str">
        <f>HYPERLINK("Melting_Curves/meltCurve_P04040_CAT.pdf", "Melting_Curves/meltCurve_P04040_CAT.pdf")</f>
        <v>Melting_Curves/meltCurve_P04040_CAT.pdf</v>
      </c>
    </row>
    <row r="1706" spans="1:28" x14ac:dyDescent="0.25">
      <c r="A1706" t="s">
        <v>1710</v>
      </c>
      <c r="B1706">
        <v>0.99796759195183404</v>
      </c>
      <c r="C1706">
        <v>1.00989423898622</v>
      </c>
      <c r="D1706">
        <v>0.92461610445012099</v>
      </c>
      <c r="E1706">
        <v>0.91014095868534794</v>
      </c>
      <c r="F1706">
        <v>0.72842973861105398</v>
      </c>
      <c r="G1706">
        <v>0.85322392905471101</v>
      </c>
      <c r="H1706">
        <v>0.63585306212815496</v>
      </c>
      <c r="I1706">
        <v>0.778820357307767</v>
      </c>
      <c r="J1706">
        <v>0.52400102436089402</v>
      </c>
      <c r="K1706">
        <v>0.335349411254939</v>
      </c>
      <c r="L1706">
        <v>391.99214270706898</v>
      </c>
      <c r="M1706">
        <v>6.0329398465211703</v>
      </c>
      <c r="N1706">
        <v>64.975310988052101</v>
      </c>
      <c r="O1706">
        <v>58.9169176938872</v>
      </c>
      <c r="P1706">
        <v>-2.56806478639727E-2</v>
      </c>
      <c r="Q1706">
        <v>0</v>
      </c>
      <c r="R1706">
        <v>0.82769011391061798</v>
      </c>
      <c r="S1706" t="s">
        <v>7289</v>
      </c>
      <c r="T1706" t="s">
        <v>11164</v>
      </c>
      <c r="U1706" t="s">
        <v>11164</v>
      </c>
      <c r="V1706" t="s">
        <v>11164</v>
      </c>
      <c r="W1706" t="s">
        <v>12839</v>
      </c>
      <c r="X1706">
        <v>3</v>
      </c>
      <c r="Y1706" t="s">
        <v>18364</v>
      </c>
      <c r="Z1706" t="s">
        <v>23856</v>
      </c>
      <c r="AA1706">
        <v>0.78223818310593041</v>
      </c>
      <c r="AB1706" t="str">
        <f>HYPERLINK("Melting_Curves/meltCurve_P04066_FUCA1.pdf", "Melting_Curves/meltCurve_P04066_FUCA1.pdf")</f>
        <v>Melting_Curves/meltCurve_P04066_FUCA1.pdf</v>
      </c>
    </row>
    <row r="1707" spans="1:28" x14ac:dyDescent="0.25">
      <c r="A1707" t="s">
        <v>1711</v>
      </c>
      <c r="B1707">
        <v>0.99796759195183404</v>
      </c>
      <c r="C1707">
        <v>1.0102107568346199</v>
      </c>
      <c r="D1707">
        <v>0.97841610969570203</v>
      </c>
      <c r="E1707">
        <v>0.96768710462455299</v>
      </c>
      <c r="F1707">
        <v>0.876555275204567</v>
      </c>
      <c r="G1707">
        <v>1.0317582141144701</v>
      </c>
      <c r="H1707">
        <v>1.0027456748275501</v>
      </c>
      <c r="I1707">
        <v>0.927971940136188</v>
      </c>
      <c r="J1707">
        <v>0.99422659396663704</v>
      </c>
      <c r="K1707">
        <v>0.55640693167349897</v>
      </c>
      <c r="L1707">
        <v>7154.7962201676801</v>
      </c>
      <c r="M1707">
        <v>106.561380646168</v>
      </c>
      <c r="Q1707">
        <v>0</v>
      </c>
      <c r="R1707">
        <v>0.86960092258130695</v>
      </c>
      <c r="S1707" t="s">
        <v>7290</v>
      </c>
      <c r="T1707" t="s">
        <v>11164</v>
      </c>
      <c r="U1707" t="s">
        <v>11164</v>
      </c>
      <c r="V1707" t="s">
        <v>11164</v>
      </c>
      <c r="W1707" t="s">
        <v>12840</v>
      </c>
      <c r="X1707">
        <v>48</v>
      </c>
      <c r="Y1707" t="s">
        <v>18365</v>
      </c>
      <c r="Z1707" t="s">
        <v>23857</v>
      </c>
      <c r="AA1707">
        <v>0.98799721357983217</v>
      </c>
      <c r="AB1707" t="str">
        <f>HYPERLINK("Melting_Curves/meltCurve_P04075_ALDOA.pdf", "Melting_Curves/meltCurve_P04075_ALDOA.pdf")</f>
        <v>Melting_Curves/meltCurve_P04075_ALDOA.pdf</v>
      </c>
    </row>
    <row r="1708" spans="1:28" x14ac:dyDescent="0.25">
      <c r="A1708" t="s">
        <v>1712</v>
      </c>
      <c r="B1708">
        <v>0.99796759195183404</v>
      </c>
      <c r="C1708">
        <v>0.91162993574682905</v>
      </c>
      <c r="D1708">
        <v>0.91729969058119298</v>
      </c>
      <c r="E1708">
        <v>0.81595792513655196</v>
      </c>
      <c r="F1708">
        <v>0.74763455122536004</v>
      </c>
      <c r="G1708">
        <v>0.54794685724908898</v>
      </c>
      <c r="H1708">
        <v>0.482520891676814</v>
      </c>
      <c r="I1708">
        <v>0.35687357219801702</v>
      </c>
      <c r="J1708">
        <v>0.23724150951492801</v>
      </c>
      <c r="K1708">
        <v>0.224480421434886</v>
      </c>
      <c r="L1708">
        <v>436.279390111265</v>
      </c>
      <c r="M1708">
        <v>7.7868071653023696</v>
      </c>
      <c r="N1708">
        <v>56.028020323024101</v>
      </c>
      <c r="O1708">
        <v>52.692919859033999</v>
      </c>
      <c r="P1708">
        <v>-3.6990485899455097E-2</v>
      </c>
      <c r="Q1708">
        <v>0</v>
      </c>
      <c r="R1708">
        <v>0.99060930375204104</v>
      </c>
      <c r="S1708" t="s">
        <v>7291</v>
      </c>
      <c r="T1708" t="s">
        <v>11164</v>
      </c>
      <c r="U1708" t="s">
        <v>11164</v>
      </c>
      <c r="V1708" t="s">
        <v>11164</v>
      </c>
      <c r="W1708" t="s">
        <v>12841</v>
      </c>
      <c r="X1708">
        <v>3</v>
      </c>
      <c r="Y1708" t="s">
        <v>18366</v>
      </c>
      <c r="Z1708" t="s">
        <v>23858</v>
      </c>
      <c r="AA1708">
        <v>0.63112270571894924</v>
      </c>
      <c r="AB1708" t="str">
        <f>HYPERLINK("Melting_Curves/meltCurve_P04080_CSTB.pdf", "Melting_Curves/meltCurve_P04080_CSTB.pdf")</f>
        <v>Melting_Curves/meltCurve_P04080_CSTB.pdf</v>
      </c>
    </row>
    <row r="1709" spans="1:28" x14ac:dyDescent="0.25">
      <c r="A1709" t="s">
        <v>1713</v>
      </c>
      <c r="B1709">
        <v>0.99796759195183404</v>
      </c>
      <c r="C1709">
        <v>0.95076827383180096</v>
      </c>
      <c r="D1709">
        <v>0.93415130492753495</v>
      </c>
      <c r="E1709">
        <v>0.81806419655659501</v>
      </c>
      <c r="F1709">
        <v>0.70392397385377303</v>
      </c>
      <c r="G1709">
        <v>0.269876068614047</v>
      </c>
      <c r="H1709">
        <v>0.159435025248018</v>
      </c>
      <c r="I1709">
        <v>0.12381538482469601</v>
      </c>
      <c r="J1709">
        <v>9.6732096139903301E-2</v>
      </c>
      <c r="K1709">
        <v>8.1263652222780203E-2</v>
      </c>
      <c r="L1709">
        <v>995.76538605393102</v>
      </c>
      <c r="M1709">
        <v>19.461462718596302</v>
      </c>
      <c r="N1709">
        <v>51.5620083701494</v>
      </c>
      <c r="O1709">
        <v>50.6349640173678</v>
      </c>
      <c r="P1709">
        <v>-8.94205262751636E-2</v>
      </c>
      <c r="Q1709">
        <v>6.9414064266416803E-2</v>
      </c>
      <c r="R1709">
        <v>0.987046011946487</v>
      </c>
      <c r="S1709" t="s">
        <v>7292</v>
      </c>
      <c r="T1709" t="s">
        <v>11164</v>
      </c>
      <c r="U1709" t="s">
        <v>11164</v>
      </c>
      <c r="V1709" t="s">
        <v>11164</v>
      </c>
      <c r="W1709" t="s">
        <v>12842</v>
      </c>
      <c r="X1709">
        <v>36</v>
      </c>
      <c r="Y1709" t="s">
        <v>18367</v>
      </c>
      <c r="Z1709" t="s">
        <v>23859</v>
      </c>
      <c r="AA1709">
        <v>0.52155603821095831</v>
      </c>
      <c r="AB1709" t="str">
        <f>HYPERLINK("Melting_Curves/meltCurve_P04083_ANXA1.pdf", "Melting_Curves/meltCurve_P04083_ANXA1.pdf")</f>
        <v>Melting_Curves/meltCurve_P04083_ANXA1.pdf</v>
      </c>
    </row>
    <row r="1710" spans="1:28" x14ac:dyDescent="0.25">
      <c r="A1710" t="s">
        <v>1714</v>
      </c>
      <c r="B1710">
        <v>0.99796759195183404</v>
      </c>
      <c r="C1710">
        <v>0.96262921158008596</v>
      </c>
      <c r="D1710">
        <v>0.94766056937857301</v>
      </c>
      <c r="E1710">
        <v>0.78024420382436099</v>
      </c>
      <c r="F1710">
        <v>0.40176272461179802</v>
      </c>
      <c r="G1710">
        <v>0.193643032119759</v>
      </c>
      <c r="H1710">
        <v>0.159313714974232</v>
      </c>
      <c r="I1710">
        <v>0.116834357625532</v>
      </c>
      <c r="J1710">
        <v>0.13213700925372401</v>
      </c>
      <c r="K1710">
        <v>6.2341708558421201E-2</v>
      </c>
      <c r="L1710">
        <v>1100.9567255354</v>
      </c>
      <c r="M1710">
        <v>22.581360665033699</v>
      </c>
      <c r="N1710">
        <v>49.263851353259497</v>
      </c>
      <c r="O1710">
        <v>48.377592055866003</v>
      </c>
      <c r="P1710">
        <v>-0.10455927332441201</v>
      </c>
      <c r="Q1710">
        <v>0.104000327184905</v>
      </c>
      <c r="R1710">
        <v>0.99677125315363002</v>
      </c>
      <c r="S1710" t="s">
        <v>7293</v>
      </c>
      <c r="T1710" t="s">
        <v>11164</v>
      </c>
      <c r="U1710" t="s">
        <v>11164</v>
      </c>
      <c r="V1710" t="s">
        <v>11164</v>
      </c>
      <c r="W1710" t="s">
        <v>12843</v>
      </c>
      <c r="X1710">
        <v>6</v>
      </c>
      <c r="Y1710" t="s">
        <v>18368</v>
      </c>
      <c r="Z1710" t="s">
        <v>23860</v>
      </c>
      <c r="AA1710">
        <v>0.46448063358353359</v>
      </c>
      <c r="AB1710" t="str">
        <f>HYPERLINK("Melting_Curves/meltCurve_P04150_9_NR3C1.pdf", "Melting_Curves/meltCurve_P04150_9_NR3C1.pdf")</f>
        <v>Melting_Curves/meltCurve_P04150_9_NR3C1.pdf</v>
      </c>
    </row>
    <row r="1711" spans="1:28" x14ac:dyDescent="0.25">
      <c r="A1711" t="s">
        <v>1715</v>
      </c>
      <c r="B1711">
        <v>0.99796759195183404</v>
      </c>
      <c r="C1711">
        <v>0.98521697993509205</v>
      </c>
      <c r="D1711">
        <v>0.98094504616502898</v>
      </c>
      <c r="E1711">
        <v>0.96498855374812198</v>
      </c>
      <c r="F1711">
        <v>0.84586522394061703</v>
      </c>
      <c r="G1711">
        <v>0.84821291927058595</v>
      </c>
      <c r="H1711">
        <v>0.57616989363242099</v>
      </c>
      <c r="I1711">
        <v>0.25642376728875799</v>
      </c>
      <c r="J1711">
        <v>0.178656064067862</v>
      </c>
      <c r="K1711">
        <v>0.10941440467605799</v>
      </c>
      <c r="L1711">
        <v>1009.42814403567</v>
      </c>
      <c r="M1711">
        <v>17.390531082766699</v>
      </c>
      <c r="N1711">
        <v>58.097503122080603</v>
      </c>
      <c r="O1711">
        <v>57.293494219873402</v>
      </c>
      <c r="P1711">
        <v>-7.5292804785895798E-2</v>
      </c>
      <c r="Q1711">
        <v>7.8407392620235706E-3</v>
      </c>
      <c r="R1711">
        <v>0.987141695252578</v>
      </c>
      <c r="S1711" t="s">
        <v>7294</v>
      </c>
      <c r="T1711" t="s">
        <v>11164</v>
      </c>
      <c r="U1711" t="s">
        <v>11164</v>
      </c>
      <c r="V1711" t="s">
        <v>11164</v>
      </c>
      <c r="W1711" t="s">
        <v>12844</v>
      </c>
      <c r="X1711">
        <v>22</v>
      </c>
      <c r="Y1711" t="s">
        <v>18369</v>
      </c>
      <c r="Z1711" t="s">
        <v>23861</v>
      </c>
      <c r="AA1711">
        <v>0.709663840972931</v>
      </c>
      <c r="AB1711" t="str">
        <f>HYPERLINK("Melting_Curves/meltCurve_P04181_OAT.pdf", "Melting_Curves/meltCurve_P04181_OAT.pdf")</f>
        <v>Melting_Curves/meltCurve_P04181_OAT.pdf</v>
      </c>
    </row>
    <row r="1712" spans="1:28" x14ac:dyDescent="0.25">
      <c r="A1712" t="s">
        <v>1716</v>
      </c>
      <c r="B1712">
        <v>0.99796759195183404</v>
      </c>
      <c r="C1712">
        <v>0.93362738113021704</v>
      </c>
      <c r="D1712">
        <v>0.90118749335917903</v>
      </c>
      <c r="E1712">
        <v>0.82881026089586696</v>
      </c>
      <c r="F1712">
        <v>0.82932773967343898</v>
      </c>
      <c r="G1712">
        <v>0.67519988275428899</v>
      </c>
      <c r="H1712">
        <v>0.57482412045733</v>
      </c>
      <c r="I1712">
        <v>0.476139600994616</v>
      </c>
      <c r="J1712">
        <v>0.598969219953292</v>
      </c>
      <c r="K1712">
        <v>0.61979215427130296</v>
      </c>
      <c r="L1712">
        <v>529.92909409226002</v>
      </c>
      <c r="M1712">
        <v>10.6449226712467</v>
      </c>
      <c r="O1712">
        <v>48.1218702548233</v>
      </c>
      <c r="P1712">
        <v>-2.6355156280032498E-2</v>
      </c>
      <c r="Q1712">
        <v>0.52361358552453696</v>
      </c>
      <c r="R1712">
        <v>0.90383054375395799</v>
      </c>
      <c r="S1712" t="s">
        <v>7295</v>
      </c>
      <c r="T1712" t="s">
        <v>11164</v>
      </c>
      <c r="U1712" t="s">
        <v>11164</v>
      </c>
      <c r="V1712" t="s">
        <v>11164</v>
      </c>
      <c r="W1712" t="s">
        <v>12845</v>
      </c>
      <c r="X1712">
        <v>10</v>
      </c>
      <c r="Y1712" t="s">
        <v>17804</v>
      </c>
      <c r="Z1712" t="s">
        <v>23862</v>
      </c>
      <c r="AA1712">
        <v>0.74207670182061503</v>
      </c>
      <c r="AB1712" t="str">
        <f>HYPERLINK("Melting_Curves/meltCurve_P04183_TK1.pdf", "Melting_Curves/meltCurve_P04183_TK1.pdf")</f>
        <v>Melting_Curves/meltCurve_P04183_TK1.pdf</v>
      </c>
    </row>
    <row r="1713" spans="1:28" x14ac:dyDescent="0.25">
      <c r="A1713" t="s">
        <v>1717</v>
      </c>
      <c r="B1713">
        <v>0.99796759195183404</v>
      </c>
      <c r="C1713">
        <v>1.1020867343057501</v>
      </c>
      <c r="D1713">
        <v>1.05375737636064</v>
      </c>
      <c r="E1713">
        <v>1.00135255294862</v>
      </c>
      <c r="F1713">
        <v>0.890469603541437</v>
      </c>
      <c r="G1713">
        <v>0.93989182930259896</v>
      </c>
      <c r="H1713">
        <v>0.76140835303187504</v>
      </c>
      <c r="I1713">
        <v>0.48103165278319399</v>
      </c>
      <c r="J1713">
        <v>0.21242144148939299</v>
      </c>
      <c r="K1713">
        <v>0.118755983348658</v>
      </c>
      <c r="L1713">
        <v>1275.8161193266999</v>
      </c>
      <c r="M1713">
        <v>21.070625534653001</v>
      </c>
      <c r="N1713">
        <v>60.549514410967099</v>
      </c>
      <c r="O1713">
        <v>60.012021788944402</v>
      </c>
      <c r="P1713">
        <v>-8.7778984953277295E-2</v>
      </c>
      <c r="Q1713">
        <v>0</v>
      </c>
      <c r="R1713">
        <v>0.97944575128767397</v>
      </c>
      <c r="S1713" t="s">
        <v>7296</v>
      </c>
      <c r="T1713" t="s">
        <v>11164</v>
      </c>
      <c r="U1713" t="s">
        <v>11164</v>
      </c>
      <c r="V1713" t="s">
        <v>11164</v>
      </c>
      <c r="W1713" t="s">
        <v>12846</v>
      </c>
      <c r="X1713">
        <v>32</v>
      </c>
      <c r="Y1713" t="s">
        <v>17824</v>
      </c>
      <c r="Z1713" t="s">
        <v>23863</v>
      </c>
      <c r="AA1713">
        <v>0.78405579831289862</v>
      </c>
      <c r="AB1713" t="str">
        <f>HYPERLINK("Melting_Curves/meltCurve_P04350_TUBB4A.pdf", "Melting_Curves/meltCurve_P04350_TUBB4A.pdf")</f>
        <v>Melting_Curves/meltCurve_P04350_TUBB4A.pdf</v>
      </c>
    </row>
    <row r="1714" spans="1:28" x14ac:dyDescent="0.25">
      <c r="A1714" t="s">
        <v>1718</v>
      </c>
      <c r="B1714">
        <v>0.99796759195183404</v>
      </c>
      <c r="C1714">
        <v>1.01166079741754</v>
      </c>
      <c r="D1714">
        <v>0.99973371879692297</v>
      </c>
      <c r="E1714">
        <v>1.00384305638979</v>
      </c>
      <c r="F1714">
        <v>0.91792586574046997</v>
      </c>
      <c r="G1714">
        <v>1.06211718718071</v>
      </c>
      <c r="H1714">
        <v>0.90864053148674895</v>
      </c>
      <c r="I1714">
        <v>0.73438200014329302</v>
      </c>
      <c r="J1714">
        <v>0.67367228418644198</v>
      </c>
      <c r="K1714">
        <v>0.28349800869950398</v>
      </c>
      <c r="L1714">
        <v>1371.5229932192301</v>
      </c>
      <c r="M1714">
        <v>21.111461168563999</v>
      </c>
      <c r="N1714">
        <v>64.965814160348799</v>
      </c>
      <c r="O1714">
        <v>64.391314204018997</v>
      </c>
      <c r="P1714">
        <v>-8.1967629359580199E-2</v>
      </c>
      <c r="Q1714">
        <v>0</v>
      </c>
      <c r="R1714">
        <v>0.93825071304157504</v>
      </c>
      <c r="S1714" t="s">
        <v>7297</v>
      </c>
      <c r="T1714" t="s">
        <v>11164</v>
      </c>
      <c r="U1714" t="s">
        <v>11164</v>
      </c>
      <c r="V1714" t="s">
        <v>11164</v>
      </c>
      <c r="W1714" t="s">
        <v>12847</v>
      </c>
      <c r="X1714">
        <v>38</v>
      </c>
      <c r="Y1714" t="s">
        <v>18370</v>
      </c>
      <c r="Z1714" t="s">
        <v>23864</v>
      </c>
      <c r="AA1714">
        <v>0.89654823883330059</v>
      </c>
      <c r="AB1714" t="str">
        <f>HYPERLINK("Melting_Curves/meltCurve_P04406_GAPDH.pdf", "Melting_Curves/meltCurve_P04406_GAPDH.pdf")</f>
        <v>Melting_Curves/meltCurve_P04406_GAPDH.pdf</v>
      </c>
    </row>
    <row r="1715" spans="1:28" x14ac:dyDescent="0.25">
      <c r="A1715" t="s">
        <v>1719</v>
      </c>
      <c r="B1715">
        <v>0.99796759195183404</v>
      </c>
      <c r="C1715">
        <v>0.90965810485523602</v>
      </c>
      <c r="D1715">
        <v>0.82114031628857198</v>
      </c>
      <c r="E1715">
        <v>0.65214520535509102</v>
      </c>
      <c r="F1715">
        <v>0.50023054651479504</v>
      </c>
      <c r="G1715">
        <v>0.40107759850486302</v>
      </c>
      <c r="H1715">
        <v>0.31363410458750102</v>
      </c>
      <c r="I1715">
        <v>0.36934107453895698</v>
      </c>
      <c r="J1715">
        <v>0.36041903283453303</v>
      </c>
      <c r="K1715">
        <v>0.18672804806245499</v>
      </c>
      <c r="L1715">
        <v>544.61092114797896</v>
      </c>
      <c r="M1715">
        <v>11.547999096322</v>
      </c>
      <c r="N1715">
        <v>50.332092681945298</v>
      </c>
      <c r="O1715">
        <v>45.812937533360298</v>
      </c>
      <c r="P1715">
        <v>-4.6741653890929102E-2</v>
      </c>
      <c r="Q1715">
        <v>0.258478078272806</v>
      </c>
      <c r="R1715">
        <v>0.97243759842145805</v>
      </c>
      <c r="S1715" t="s">
        <v>7298</v>
      </c>
      <c r="T1715" t="s">
        <v>11164</v>
      </c>
      <c r="U1715" t="s">
        <v>11164</v>
      </c>
      <c r="V1715" t="s">
        <v>11164</v>
      </c>
      <c r="W1715" t="s">
        <v>12848</v>
      </c>
      <c r="X1715">
        <v>2</v>
      </c>
      <c r="Y1715" t="s">
        <v>18371</v>
      </c>
      <c r="Z1715" t="s">
        <v>23865</v>
      </c>
      <c r="AA1715">
        <v>0.53528530975406485</v>
      </c>
      <c r="AB1715" t="str">
        <f>HYPERLINK("Melting_Curves/meltCurve_P04626_4_ERBB2.pdf", "Melting_Curves/meltCurve_P04626_4_ERBB2.pdf")</f>
        <v>Melting_Curves/meltCurve_P04626_4_ERBB2.pdf</v>
      </c>
    </row>
    <row r="1716" spans="1:28" x14ac:dyDescent="0.25">
      <c r="A1716" t="s">
        <v>1720</v>
      </c>
      <c r="B1716">
        <v>0.99796759195183404</v>
      </c>
      <c r="C1716">
        <v>1.07035441214995</v>
      </c>
      <c r="D1716">
        <v>1.0094927764106101</v>
      </c>
      <c r="E1716">
        <v>0.99791463105839995</v>
      </c>
      <c r="F1716">
        <v>0.95261233343190199</v>
      </c>
      <c r="G1716">
        <v>0.78854609211256099</v>
      </c>
      <c r="H1716">
        <v>0.75445279423210398</v>
      </c>
      <c r="I1716">
        <v>0.54101049694333703</v>
      </c>
      <c r="J1716">
        <v>0.24933403294827</v>
      </c>
      <c r="K1716">
        <v>0.14827606122030601</v>
      </c>
      <c r="L1716">
        <v>977.70945764856299</v>
      </c>
      <c r="M1716">
        <v>16.120160407353701</v>
      </c>
      <c r="N1716">
        <v>60.651349895066303</v>
      </c>
      <c r="O1716">
        <v>59.7410066864919</v>
      </c>
      <c r="P1716">
        <v>-6.74636560279505E-2</v>
      </c>
      <c r="Q1716">
        <v>0</v>
      </c>
      <c r="R1716">
        <v>0.97610829003052002</v>
      </c>
      <c r="S1716" t="s">
        <v>7299</v>
      </c>
      <c r="T1716" t="s">
        <v>11164</v>
      </c>
      <c r="U1716" t="s">
        <v>11164</v>
      </c>
      <c r="V1716" t="s">
        <v>11164</v>
      </c>
      <c r="W1716" t="s">
        <v>12849</v>
      </c>
      <c r="X1716">
        <v>9</v>
      </c>
      <c r="Y1716" t="s">
        <v>18372</v>
      </c>
      <c r="Z1716" t="s">
        <v>23866</v>
      </c>
      <c r="AA1716">
        <v>0.77983076352247305</v>
      </c>
      <c r="AB1716" t="str">
        <f>HYPERLINK("Melting_Curves/meltCurve_P04632_CAPNS1.pdf", "Melting_Curves/meltCurve_P04632_CAPNS1.pdf")</f>
        <v>Melting_Curves/meltCurve_P04632_CAPNS1.pdf</v>
      </c>
    </row>
    <row r="1717" spans="1:28" x14ac:dyDescent="0.25">
      <c r="A1717" t="s">
        <v>1721</v>
      </c>
      <c r="B1717">
        <v>0.99796759195183404</v>
      </c>
      <c r="C1717">
        <v>0.868640318100112</v>
      </c>
      <c r="D1717">
        <v>0.78002443009827505</v>
      </c>
      <c r="E1717">
        <v>0.63731076826198096</v>
      </c>
      <c r="F1717">
        <v>0.44579957671484999</v>
      </c>
      <c r="G1717">
        <v>0.34652676594877202</v>
      </c>
      <c r="H1717">
        <v>0.24280641571650899</v>
      </c>
      <c r="I1717">
        <v>0.17837436131502701</v>
      </c>
      <c r="J1717">
        <v>0.158134858375577</v>
      </c>
      <c r="K1717">
        <v>0.10965407926531801</v>
      </c>
      <c r="L1717">
        <v>450.84504370843598</v>
      </c>
      <c r="M1717">
        <v>9.2478747223834201</v>
      </c>
      <c r="N1717">
        <v>49.345319534292798</v>
      </c>
      <c r="O1717">
        <v>46.634239993131402</v>
      </c>
      <c r="P1717">
        <v>-4.6995491022228303E-2</v>
      </c>
      <c r="Q1717">
        <v>5.26843750352693E-2</v>
      </c>
      <c r="R1717">
        <v>0.99611440318778299</v>
      </c>
      <c r="S1717" t="s">
        <v>7300</v>
      </c>
      <c r="T1717" t="s">
        <v>11164</v>
      </c>
      <c r="U1717" t="s">
        <v>11164</v>
      </c>
      <c r="V1717" t="s">
        <v>11164</v>
      </c>
      <c r="W1717" t="s">
        <v>12850</v>
      </c>
      <c r="X1717">
        <v>5</v>
      </c>
      <c r="Y1717" t="s">
        <v>18373</v>
      </c>
      <c r="Z1717" t="s">
        <v>23867</v>
      </c>
      <c r="AA1717">
        <v>0.46292303761035009</v>
      </c>
      <c r="AB1717" t="str">
        <f>HYPERLINK("Melting_Curves/meltCurve_P04792_HSPB1.pdf", "Melting_Curves/meltCurve_P04792_HSPB1.pdf")</f>
        <v>Melting_Curves/meltCurve_P04792_HSPB1.pdf</v>
      </c>
    </row>
    <row r="1718" spans="1:28" x14ac:dyDescent="0.25">
      <c r="A1718" t="s">
        <v>1722</v>
      </c>
      <c r="B1718">
        <v>0.99796759195183404</v>
      </c>
      <c r="C1718">
        <v>0.99473448842586498</v>
      </c>
      <c r="D1718">
        <v>1.0112197315682501</v>
      </c>
      <c r="E1718">
        <v>0.95988955207770399</v>
      </c>
      <c r="F1718">
        <v>0.642585017525241</v>
      </c>
      <c r="G1718">
        <v>0.24792227777642101</v>
      </c>
      <c r="H1718">
        <v>0.18793533123844999</v>
      </c>
      <c r="I1718">
        <v>0.138674360426086</v>
      </c>
      <c r="J1718">
        <v>0.119191453887838</v>
      </c>
      <c r="K1718">
        <v>8.9128497653688896E-2</v>
      </c>
      <c r="L1718">
        <v>1566.0910350009201</v>
      </c>
      <c r="M1718">
        <v>30.8149693356381</v>
      </c>
      <c r="N1718">
        <v>51.293626031424601</v>
      </c>
      <c r="O1718">
        <v>50.609814233579002</v>
      </c>
      <c r="P1718">
        <v>-0.13345481066721901</v>
      </c>
      <c r="Q1718">
        <v>0.123272387189076</v>
      </c>
      <c r="R1718">
        <v>0.99786066659818196</v>
      </c>
      <c r="S1718" t="s">
        <v>7301</v>
      </c>
      <c r="T1718" t="s">
        <v>11164</v>
      </c>
      <c r="U1718" t="s">
        <v>11164</v>
      </c>
      <c r="V1718" t="s">
        <v>11164</v>
      </c>
      <c r="W1718" t="s">
        <v>12851</v>
      </c>
      <c r="X1718">
        <v>14</v>
      </c>
      <c r="Y1718" t="s">
        <v>18374</v>
      </c>
      <c r="Z1718" t="s">
        <v>23868</v>
      </c>
      <c r="AA1718">
        <v>0.53239156612106031</v>
      </c>
      <c r="AB1718" t="str">
        <f>HYPERLINK("Melting_Curves/meltCurve_P04818_TYMS.pdf", "Melting_Curves/meltCurve_P04818_TYMS.pdf")</f>
        <v>Melting_Curves/meltCurve_P04818_TYMS.pdf</v>
      </c>
    </row>
    <row r="1719" spans="1:28" x14ac:dyDescent="0.25">
      <c r="A1719" t="s">
        <v>1723</v>
      </c>
      <c r="B1719">
        <v>0.99796759195183404</v>
      </c>
      <c r="C1719">
        <v>1.0245393068286801</v>
      </c>
      <c r="D1719">
        <v>1.01815795431454</v>
      </c>
      <c r="E1719">
        <v>0.99292700847828896</v>
      </c>
      <c r="F1719">
        <v>0.91897807566231204</v>
      </c>
      <c r="G1719">
        <v>1.2724710508582999</v>
      </c>
      <c r="H1719">
        <v>0.86132811265898801</v>
      </c>
      <c r="I1719">
        <v>0.29261981086244399</v>
      </c>
      <c r="J1719">
        <v>0.15861220659631101</v>
      </c>
      <c r="K1719">
        <v>0.109544815962549</v>
      </c>
      <c r="L1719">
        <v>3219.8116763555299</v>
      </c>
      <c r="M1719">
        <v>54.273691147698202</v>
      </c>
      <c r="N1719">
        <v>59.647391963003699</v>
      </c>
      <c r="O1719">
        <v>59.245082139750799</v>
      </c>
      <c r="P1719">
        <v>-0.19994530149283099</v>
      </c>
      <c r="Q1719">
        <v>0.126960553127792</v>
      </c>
      <c r="R1719">
        <v>0.945404219442608</v>
      </c>
      <c r="S1719" t="s">
        <v>7302</v>
      </c>
      <c r="T1719" t="s">
        <v>11164</v>
      </c>
      <c r="U1719" t="s">
        <v>11164</v>
      </c>
      <c r="V1719" t="s">
        <v>11164</v>
      </c>
      <c r="W1719" t="s">
        <v>12852</v>
      </c>
      <c r="X1719">
        <v>38</v>
      </c>
      <c r="Y1719" t="s">
        <v>18375</v>
      </c>
      <c r="Z1719" t="s">
        <v>23869</v>
      </c>
      <c r="AA1719">
        <v>0.7785136501998916</v>
      </c>
      <c r="AB1719" t="str">
        <f>HYPERLINK("Melting_Curves/meltCurve_P04843_RPN1.pdf", "Melting_Curves/meltCurve_P04843_RPN1.pdf")</f>
        <v>Melting_Curves/meltCurve_P04843_RPN1.pdf</v>
      </c>
    </row>
    <row r="1720" spans="1:28" x14ac:dyDescent="0.25">
      <c r="A1720" t="s">
        <v>1724</v>
      </c>
      <c r="B1720">
        <v>0.99796759195183404</v>
      </c>
      <c r="C1720">
        <v>0.95605276445722098</v>
      </c>
      <c r="D1720">
        <v>0.92327186790186599</v>
      </c>
      <c r="E1720">
        <v>0.91895444784042102</v>
      </c>
      <c r="F1720">
        <v>0.92136211496542098</v>
      </c>
      <c r="G1720">
        <v>0.79306940835776896</v>
      </c>
      <c r="H1720">
        <v>0.489681018088512</v>
      </c>
      <c r="I1720">
        <v>0.43493495866574899</v>
      </c>
      <c r="J1720">
        <v>0.240137385651497</v>
      </c>
      <c r="K1720">
        <v>0.24265007626027299</v>
      </c>
      <c r="L1720">
        <v>850.35470409194102</v>
      </c>
      <c r="M1720">
        <v>14.9091671392581</v>
      </c>
      <c r="N1720">
        <v>58.351933748156299</v>
      </c>
      <c r="O1720">
        <v>56.039088926916897</v>
      </c>
      <c r="P1720">
        <v>-5.7020480190062797E-2</v>
      </c>
      <c r="Q1720">
        <v>0.14279710783941499</v>
      </c>
      <c r="R1720">
        <v>0.97574127079003004</v>
      </c>
      <c r="S1720" t="s">
        <v>7303</v>
      </c>
      <c r="T1720" t="s">
        <v>11164</v>
      </c>
      <c r="U1720" t="s">
        <v>11164</v>
      </c>
      <c r="V1720" t="s">
        <v>11164</v>
      </c>
      <c r="W1720" t="s">
        <v>12853</v>
      </c>
      <c r="X1720">
        <v>5</v>
      </c>
      <c r="Y1720" t="s">
        <v>18376</v>
      </c>
      <c r="Z1720" t="s">
        <v>23870</v>
      </c>
      <c r="AA1720">
        <v>0.7221464750976877</v>
      </c>
      <c r="AB1720" t="str">
        <f>HYPERLINK("Melting_Curves/meltCurve_P04844_2_RPN2.pdf", "Melting_Curves/meltCurve_P04844_2_RPN2.pdf")</f>
        <v>Melting_Curves/meltCurve_P04844_2_RPN2.pdf</v>
      </c>
    </row>
    <row r="1721" spans="1:28" x14ac:dyDescent="0.25">
      <c r="A1721" t="s">
        <v>1725</v>
      </c>
      <c r="B1721">
        <v>0.99796759195183404</v>
      </c>
      <c r="C1721">
        <v>0.93412992797305205</v>
      </c>
      <c r="D1721">
        <v>0.95274029414024297</v>
      </c>
      <c r="E1721">
        <v>0.89572133048193603</v>
      </c>
      <c r="F1721">
        <v>0.77550482587867897</v>
      </c>
      <c r="G1721">
        <v>0.88951590554354498</v>
      </c>
      <c r="H1721">
        <v>0.49912612795337202</v>
      </c>
      <c r="I1721">
        <v>0.189656203913596</v>
      </c>
      <c r="J1721">
        <v>0.18285905094521601</v>
      </c>
      <c r="K1721">
        <v>0.124761476535606</v>
      </c>
      <c r="L1721">
        <v>1070.43464406105</v>
      </c>
      <c r="M1721">
        <v>18.7498869754506</v>
      </c>
      <c r="N1721">
        <v>57.394803029256501</v>
      </c>
      <c r="O1721">
        <v>56.452700672868801</v>
      </c>
      <c r="P1721">
        <v>-7.9104527555675E-2</v>
      </c>
      <c r="Q1721">
        <v>4.7359597945270102E-2</v>
      </c>
      <c r="R1721">
        <v>0.94751405797099197</v>
      </c>
      <c r="S1721" t="s">
        <v>7304</v>
      </c>
      <c r="T1721" t="s">
        <v>11164</v>
      </c>
      <c r="U1721" t="s">
        <v>11164</v>
      </c>
      <c r="V1721" t="s">
        <v>11164</v>
      </c>
      <c r="W1721" t="s">
        <v>12854</v>
      </c>
      <c r="X1721">
        <v>10</v>
      </c>
      <c r="Y1721" t="s">
        <v>18377</v>
      </c>
      <c r="Z1721" t="s">
        <v>23871</v>
      </c>
      <c r="AA1721">
        <v>0.69366020424896868</v>
      </c>
      <c r="AB1721" t="str">
        <f>HYPERLINK("Melting_Curves/meltCurve_P04899_GNAI2.pdf", "Melting_Curves/meltCurve_P04899_GNAI2.pdf")</f>
        <v>Melting_Curves/meltCurve_P04899_GNAI2.pdf</v>
      </c>
    </row>
    <row r="1722" spans="1:28" x14ac:dyDescent="0.25">
      <c r="A1722" t="s">
        <v>1726</v>
      </c>
      <c r="B1722">
        <v>0.99796759195183404</v>
      </c>
      <c r="C1722">
        <v>1.0319257772547099</v>
      </c>
      <c r="D1722">
        <v>1.0127258949026501</v>
      </c>
      <c r="E1722">
        <v>0.88918911763939301</v>
      </c>
      <c r="F1722">
        <v>0.95925371781994095</v>
      </c>
      <c r="G1722">
        <v>1.38369483692881</v>
      </c>
      <c r="H1722">
        <v>0.79393739969835697</v>
      </c>
      <c r="I1722">
        <v>0.55592276629854898</v>
      </c>
      <c r="J1722">
        <v>0.29205152402260398</v>
      </c>
      <c r="K1722">
        <v>0.20936610925542201</v>
      </c>
      <c r="L1722">
        <v>2105.5408018340399</v>
      </c>
      <c r="M1722">
        <v>34.845045179326902</v>
      </c>
      <c r="N1722">
        <v>61.284050406034602</v>
      </c>
      <c r="O1722">
        <v>60.227849299735801</v>
      </c>
      <c r="P1722">
        <v>-0.116714384206367</v>
      </c>
      <c r="Q1722">
        <v>0.193063911935628</v>
      </c>
      <c r="R1722">
        <v>0.84662777530960798</v>
      </c>
      <c r="S1722" t="s">
        <v>7305</v>
      </c>
      <c r="T1722" t="s">
        <v>11164</v>
      </c>
      <c r="U1722" t="s">
        <v>11164</v>
      </c>
      <c r="V1722" t="s">
        <v>11164</v>
      </c>
      <c r="W1722" t="s">
        <v>12855</v>
      </c>
      <c r="X1722">
        <v>3</v>
      </c>
      <c r="Y1722" t="s">
        <v>18378</v>
      </c>
      <c r="Z1722" t="s">
        <v>23872</v>
      </c>
      <c r="AA1722">
        <v>0.82564498089160276</v>
      </c>
      <c r="AB1722" t="str">
        <f>HYPERLINK("Melting_Curves/meltCurve_P04920_2_SLC4A2.pdf", "Melting_Curves/meltCurve_P04920_2_SLC4A2.pdf")</f>
        <v>Melting_Curves/meltCurve_P04920_2_SLC4A2.pdf</v>
      </c>
    </row>
    <row r="1723" spans="1:28" x14ac:dyDescent="0.25">
      <c r="A1723" t="s">
        <v>1727</v>
      </c>
      <c r="B1723">
        <v>0.99796759195183404</v>
      </c>
      <c r="C1723">
        <v>1.0118062866261299</v>
      </c>
      <c r="D1723">
        <v>1.00880096046623</v>
      </c>
      <c r="E1723">
        <v>0.96205526263367303</v>
      </c>
      <c r="F1723">
        <v>0.91752650729185203</v>
      </c>
      <c r="G1723">
        <v>0.97783387761400697</v>
      </c>
      <c r="H1723">
        <v>0.89671868928916398</v>
      </c>
      <c r="I1723">
        <v>0.75931971035304102</v>
      </c>
      <c r="J1723">
        <v>0.23191584713406799</v>
      </c>
      <c r="K1723">
        <v>0.10060561031394601</v>
      </c>
      <c r="L1723">
        <v>2970.10350555797</v>
      </c>
      <c r="M1723">
        <v>47.727286018968101</v>
      </c>
      <c r="N1723">
        <v>62.400259862863997</v>
      </c>
      <c r="O1723">
        <v>62.121765369317998</v>
      </c>
      <c r="P1723">
        <v>-0.180392218760867</v>
      </c>
      <c r="Q1723">
        <v>6.0807996081294301E-2</v>
      </c>
      <c r="R1723">
        <v>0.98320805509636</v>
      </c>
      <c r="S1723" t="s">
        <v>7306</v>
      </c>
      <c r="T1723" t="s">
        <v>11164</v>
      </c>
      <c r="U1723" t="s">
        <v>11164</v>
      </c>
      <c r="V1723" t="s">
        <v>11164</v>
      </c>
      <c r="W1723" t="s">
        <v>12856</v>
      </c>
      <c r="X1723">
        <v>56</v>
      </c>
      <c r="Y1723" t="s">
        <v>18379</v>
      </c>
      <c r="Z1723" t="s">
        <v>23873</v>
      </c>
      <c r="AA1723">
        <v>0.85188866599801094</v>
      </c>
      <c r="AB1723" t="str">
        <f>HYPERLINK("Melting_Curves/meltCurve_P05023_4_ATP1A1.pdf", "Melting_Curves/meltCurve_P05023_4_ATP1A1.pdf")</f>
        <v>Melting_Curves/meltCurve_P05023_4_ATP1A1.pdf</v>
      </c>
    </row>
    <row r="1724" spans="1:28" x14ac:dyDescent="0.25">
      <c r="A1724" t="s">
        <v>1728</v>
      </c>
      <c r="B1724">
        <v>0.99796759195183404</v>
      </c>
      <c r="C1724">
        <v>1.0504959912454299</v>
      </c>
      <c r="D1724">
        <v>1.0227716777478</v>
      </c>
      <c r="E1724">
        <v>0.97104566498369904</v>
      </c>
      <c r="F1724">
        <v>0.87294400954793705</v>
      </c>
      <c r="G1724">
        <v>1.40768777921278</v>
      </c>
      <c r="H1724">
        <v>0.77797776717880296</v>
      </c>
      <c r="I1724">
        <v>0.24225057558193899</v>
      </c>
      <c r="J1724">
        <v>0.16235419512059401</v>
      </c>
      <c r="K1724">
        <v>0.13345174498359999</v>
      </c>
      <c r="L1724">
        <v>3789.38285965867</v>
      </c>
      <c r="M1724">
        <v>64.878464449940793</v>
      </c>
      <c r="N1724">
        <v>58.756984539336997</v>
      </c>
      <c r="O1724">
        <v>58.351974939586803</v>
      </c>
      <c r="P1724">
        <v>-0.23345619894605399</v>
      </c>
      <c r="Q1724">
        <v>0.160113924204387</v>
      </c>
      <c r="R1724">
        <v>0.88797409171418695</v>
      </c>
      <c r="S1724" t="s">
        <v>7307</v>
      </c>
      <c r="T1724" t="s">
        <v>11164</v>
      </c>
      <c r="U1724" t="s">
        <v>11164</v>
      </c>
      <c r="V1724" t="s">
        <v>11164</v>
      </c>
      <c r="W1724" t="s">
        <v>12857</v>
      </c>
      <c r="X1724">
        <v>11</v>
      </c>
      <c r="Y1724" t="s">
        <v>18380</v>
      </c>
      <c r="Z1724" t="s">
        <v>23874</v>
      </c>
      <c r="AA1724">
        <v>0.76071390918545168</v>
      </c>
      <c r="AB1724" t="str">
        <f>HYPERLINK("Melting_Curves/meltCurve_P05091_ALDH2.pdf", "Melting_Curves/meltCurve_P05091_ALDH2.pdf")</f>
        <v>Melting_Curves/meltCurve_P05091_ALDH2.pdf</v>
      </c>
    </row>
    <row r="1725" spans="1:28" x14ac:dyDescent="0.25">
      <c r="A1725" t="s">
        <v>1729</v>
      </c>
      <c r="B1725">
        <v>0.99796759195183404</v>
      </c>
      <c r="C1725">
        <v>1.03498921485773</v>
      </c>
      <c r="D1725">
        <v>1.03011930775322</v>
      </c>
      <c r="E1725">
        <v>0.939130246483727</v>
      </c>
      <c r="F1725">
        <v>0.87617695428818898</v>
      </c>
      <c r="G1725">
        <v>0.77383959039233297</v>
      </c>
      <c r="H1725">
        <v>0.66973322266116497</v>
      </c>
      <c r="I1725">
        <v>0.60713232824730401</v>
      </c>
      <c r="J1725">
        <v>0.80592874109551105</v>
      </c>
      <c r="K1725">
        <v>0.62594858724687896</v>
      </c>
      <c r="L1725">
        <v>1150.52773914304</v>
      </c>
      <c r="M1725">
        <v>22.4752681613822</v>
      </c>
      <c r="O1725">
        <v>50.7907427398819</v>
      </c>
      <c r="P1725">
        <v>-3.6348723687073203E-2</v>
      </c>
      <c r="Q1725">
        <v>0.67143603209319702</v>
      </c>
      <c r="R1725">
        <v>0.88074368478031595</v>
      </c>
      <c r="S1725" t="s">
        <v>7308</v>
      </c>
      <c r="T1725" t="s">
        <v>11164</v>
      </c>
      <c r="U1725" t="s">
        <v>11164</v>
      </c>
      <c r="V1725" t="s">
        <v>11164</v>
      </c>
      <c r="W1725" t="s">
        <v>12858</v>
      </c>
      <c r="X1725">
        <v>30</v>
      </c>
      <c r="Y1725" t="s">
        <v>18381</v>
      </c>
      <c r="Z1725" t="s">
        <v>23875</v>
      </c>
      <c r="AA1725">
        <v>0.83037383314264346</v>
      </c>
      <c r="AB1725" t="str">
        <f>HYPERLINK("Melting_Curves/meltCurve_P05141_SLC25A5.pdf", "Melting_Curves/meltCurve_P05141_SLC25A5.pdf")</f>
        <v>Melting_Curves/meltCurve_P05141_SLC25A5.pdf</v>
      </c>
    </row>
    <row r="1726" spans="1:28" x14ac:dyDescent="0.25">
      <c r="A1726" t="s">
        <v>1730</v>
      </c>
      <c r="B1726">
        <v>0.99796759195183404</v>
      </c>
      <c r="C1726">
        <v>1.0023028579974</v>
      </c>
      <c r="D1726">
        <v>1.03658105946968</v>
      </c>
      <c r="E1726">
        <v>0.96978257972015403</v>
      </c>
      <c r="F1726">
        <v>0.81861811570911702</v>
      </c>
      <c r="G1726">
        <v>0.48454138660410501</v>
      </c>
      <c r="H1726">
        <v>0.306214624251478</v>
      </c>
      <c r="I1726">
        <v>0.18214806858053101</v>
      </c>
      <c r="J1726">
        <v>0.126110679946912</v>
      </c>
      <c r="K1726">
        <v>8.9086389377399502E-2</v>
      </c>
      <c r="L1726">
        <v>1072.5388534533399</v>
      </c>
      <c r="M1726">
        <v>20.0674440979199</v>
      </c>
      <c r="N1726">
        <v>54.023036345662597</v>
      </c>
      <c r="O1726">
        <v>52.9244527822366</v>
      </c>
      <c r="P1726">
        <v>-8.5661545068944994E-2</v>
      </c>
      <c r="Q1726">
        <v>9.6358301677490099E-2</v>
      </c>
      <c r="R1726">
        <v>0.99655329714086505</v>
      </c>
      <c r="S1726" t="s">
        <v>7309</v>
      </c>
      <c r="T1726" t="s">
        <v>11164</v>
      </c>
      <c r="U1726" t="s">
        <v>11164</v>
      </c>
      <c r="V1726" t="s">
        <v>11164</v>
      </c>
      <c r="W1726" t="s">
        <v>11882</v>
      </c>
      <c r="X1726">
        <v>24</v>
      </c>
      <c r="Y1726" t="s">
        <v>18382</v>
      </c>
      <c r="Z1726" t="s">
        <v>23876</v>
      </c>
      <c r="AA1726">
        <v>0.60290724793466466</v>
      </c>
      <c r="AB1726" t="str">
        <f>HYPERLINK("Melting_Curves/meltCurve_P05198_EIF2S1.pdf", "Melting_Curves/meltCurve_P05198_EIF2S1.pdf")</f>
        <v>Melting_Curves/meltCurve_P05198_EIF2S1.pdf</v>
      </c>
    </row>
    <row r="1727" spans="1:28" x14ac:dyDescent="0.25">
      <c r="A1727" t="s">
        <v>1731</v>
      </c>
      <c r="B1727">
        <v>0.99796759195183404</v>
      </c>
      <c r="C1727">
        <v>1.5606566802342201</v>
      </c>
      <c r="D1727">
        <v>0.490473943763019</v>
      </c>
      <c r="E1727">
        <v>1.00297576341455</v>
      </c>
      <c r="F1727">
        <v>1.9436778399380701</v>
      </c>
      <c r="G1727">
        <v>1.9822850306253801</v>
      </c>
      <c r="H1727">
        <v>0.72170025588571096</v>
      </c>
      <c r="I1727">
        <v>0.86757517349709001</v>
      </c>
      <c r="J1727">
        <v>1.4096903556135001</v>
      </c>
      <c r="K1727">
        <v>0.77033547928577395</v>
      </c>
      <c r="L1727">
        <v>15000</v>
      </c>
      <c r="M1727">
        <v>222.67023479053299</v>
      </c>
      <c r="Q1727">
        <v>0</v>
      </c>
      <c r="R1727">
        <v>-0.103533008645467</v>
      </c>
      <c r="S1727" t="s">
        <v>7310</v>
      </c>
      <c r="T1727" t="s">
        <v>11164</v>
      </c>
      <c r="U1727" t="s">
        <v>11164</v>
      </c>
      <c r="V1727" t="s">
        <v>11164</v>
      </c>
      <c r="W1727" t="s">
        <v>12859</v>
      </c>
      <c r="X1727">
        <v>1</v>
      </c>
      <c r="Y1727" t="s">
        <v>18383</v>
      </c>
      <c r="Z1727" t="s">
        <v>23877</v>
      </c>
      <c r="AA1727">
        <v>0.99742191558667936</v>
      </c>
      <c r="AB1727" t="str">
        <f>HYPERLINK("Melting_Curves/meltCurve_P05204_HMGN2.pdf", "Melting_Curves/meltCurve_P05204_HMGN2.pdf")</f>
        <v>Melting_Curves/meltCurve_P05204_HMGN2.pdf</v>
      </c>
    </row>
    <row r="1728" spans="1:28" x14ac:dyDescent="0.25">
      <c r="A1728" t="s">
        <v>1732</v>
      </c>
      <c r="B1728">
        <v>0.99796759195183404</v>
      </c>
      <c r="C1728">
        <v>0.95135252806903303</v>
      </c>
      <c r="D1728">
        <v>0.78499131982261505</v>
      </c>
      <c r="E1728">
        <v>0.77982341338358696</v>
      </c>
      <c r="F1728">
        <v>0.83279879090577402</v>
      </c>
      <c r="G1728">
        <v>1.63280987718801</v>
      </c>
      <c r="H1728">
        <v>1.1479654605790099</v>
      </c>
      <c r="I1728">
        <v>1.5540773457402901</v>
      </c>
      <c r="J1728">
        <v>1.48763407488789</v>
      </c>
      <c r="K1728">
        <v>1.6415004566751099</v>
      </c>
      <c r="L1728">
        <v>5068.7230603009102</v>
      </c>
      <c r="M1728">
        <v>97.498736634408104</v>
      </c>
      <c r="O1728">
        <v>51.965729970172099</v>
      </c>
      <c r="P1728">
        <v>0.23180738055441</v>
      </c>
      <c r="Q1728">
        <v>1.49420274845671</v>
      </c>
      <c r="R1728">
        <v>0.74494174415561398</v>
      </c>
      <c r="S1728" t="s">
        <v>7311</v>
      </c>
      <c r="T1728" t="s">
        <v>11164</v>
      </c>
      <c r="U1728" t="s">
        <v>11164</v>
      </c>
      <c r="V1728" t="s">
        <v>11164</v>
      </c>
      <c r="W1728" t="s">
        <v>12860</v>
      </c>
      <c r="X1728">
        <v>2</v>
      </c>
      <c r="Y1728" t="s">
        <v>18384</v>
      </c>
      <c r="Z1728" t="s">
        <v>23878</v>
      </c>
      <c r="AA1728">
        <v>1.247009204068414</v>
      </c>
      <c r="AB1728" t="str">
        <f>HYPERLINK("Melting_Curves/meltCurve_P05386_RPLP1.pdf", "Melting_Curves/meltCurve_P05386_RPLP1.pdf")</f>
        <v>Melting_Curves/meltCurve_P05386_RPLP1.pdf</v>
      </c>
    </row>
    <row r="1729" spans="1:28" x14ac:dyDescent="0.25">
      <c r="A1729" t="s">
        <v>1733</v>
      </c>
      <c r="B1729">
        <v>0.99796759195183404</v>
      </c>
      <c r="C1729">
        <v>0.94616532738638504</v>
      </c>
      <c r="D1729">
        <v>0.98417136848185105</v>
      </c>
      <c r="E1729">
        <v>0.87304383996741097</v>
      </c>
      <c r="F1729">
        <v>0.86461336417886003</v>
      </c>
      <c r="G1729">
        <v>0.47845792929465902</v>
      </c>
      <c r="H1729">
        <v>0.73589647561201799</v>
      </c>
      <c r="I1729">
        <v>0.96015693268473801</v>
      </c>
      <c r="J1729">
        <v>2.8141342302981101</v>
      </c>
      <c r="K1729">
        <v>3.92379316005134</v>
      </c>
      <c r="L1729">
        <v>15000</v>
      </c>
      <c r="M1729">
        <v>241.63701675468201</v>
      </c>
      <c r="O1729">
        <v>62.0723267178359</v>
      </c>
      <c r="P1729">
        <v>0.48660373144240399</v>
      </c>
      <c r="Q1729">
        <v>1.5</v>
      </c>
      <c r="R1729">
        <v>0.27021626203931498</v>
      </c>
      <c r="S1729" t="s">
        <v>7312</v>
      </c>
      <c r="T1729" t="s">
        <v>11164</v>
      </c>
      <c r="U1729" t="s">
        <v>11164</v>
      </c>
      <c r="V1729" t="s">
        <v>11164</v>
      </c>
      <c r="W1729" t="s">
        <v>12861</v>
      </c>
      <c r="X1729">
        <v>8</v>
      </c>
      <c r="Y1729" t="s">
        <v>18385</v>
      </c>
      <c r="Z1729" t="s">
        <v>23879</v>
      </c>
      <c r="AA1729">
        <v>1.08199866424131</v>
      </c>
      <c r="AB1729" t="str">
        <f>HYPERLINK("Melting_Curves/meltCurve_P05387_RPLP2.pdf", "Melting_Curves/meltCurve_P05387_RPLP2.pdf")</f>
        <v>Melting_Curves/meltCurve_P05387_RPLP2.pdf</v>
      </c>
    </row>
    <row r="1730" spans="1:28" x14ac:dyDescent="0.25">
      <c r="A1730" t="s">
        <v>1734</v>
      </c>
      <c r="B1730">
        <v>0.99796759195183404</v>
      </c>
      <c r="C1730">
        <v>0.96170970477088802</v>
      </c>
      <c r="D1730">
        <v>0.82978112914935398</v>
      </c>
      <c r="E1730">
        <v>0.77690032304031897</v>
      </c>
      <c r="F1730">
        <v>0.69591256337055596</v>
      </c>
      <c r="G1730">
        <v>1.1553476230211199</v>
      </c>
      <c r="H1730">
        <v>0.50442157619671302</v>
      </c>
      <c r="I1730">
        <v>0.47799017403229699</v>
      </c>
      <c r="J1730">
        <v>0.32323544982959301</v>
      </c>
      <c r="K1730">
        <v>0.20192539524103401</v>
      </c>
      <c r="L1730">
        <v>702.05365524584499</v>
      </c>
      <c r="M1730">
        <v>11.6721047101564</v>
      </c>
      <c r="N1730">
        <v>60.1479915510347</v>
      </c>
      <c r="O1730">
        <v>58.463823208569202</v>
      </c>
      <c r="P1730">
        <v>-4.9925031091708302E-2</v>
      </c>
      <c r="Q1730">
        <v>0</v>
      </c>
      <c r="R1730">
        <v>0.704721722957659</v>
      </c>
      <c r="S1730" t="s">
        <v>7313</v>
      </c>
      <c r="T1730" t="s">
        <v>11164</v>
      </c>
      <c r="U1730" t="s">
        <v>11164</v>
      </c>
      <c r="V1730" t="s">
        <v>11164</v>
      </c>
      <c r="W1730" t="s">
        <v>12862</v>
      </c>
      <c r="X1730">
        <v>6</v>
      </c>
      <c r="Y1730" t="s">
        <v>18386</v>
      </c>
      <c r="Z1730" t="s">
        <v>23880</v>
      </c>
      <c r="AA1730">
        <v>0.75256160185791954</v>
      </c>
      <c r="AB1730" t="str">
        <f>HYPERLINK("Melting_Curves/meltCurve_P05388_RPLP0.pdf", "Melting_Curves/meltCurve_P05388_RPLP0.pdf")</f>
        <v>Melting_Curves/meltCurve_P05388_RPLP0.pdf</v>
      </c>
    </row>
    <row r="1731" spans="1:28" x14ac:dyDescent="0.25">
      <c r="A1731" t="s">
        <v>1735</v>
      </c>
      <c r="B1731">
        <v>0.99796759195183404</v>
      </c>
      <c r="C1731">
        <v>0.84613674031229003</v>
      </c>
      <c r="D1731">
        <v>0.90894521189382105</v>
      </c>
      <c r="E1731">
        <v>0.827997322964663</v>
      </c>
      <c r="F1731">
        <v>0.87070794716975097</v>
      </c>
      <c r="G1731">
        <v>0.74151999151835402</v>
      </c>
      <c r="H1731">
        <v>0.56885864742370995</v>
      </c>
      <c r="I1731">
        <v>0.41056323206704398</v>
      </c>
      <c r="J1731">
        <v>0.42552947575343197</v>
      </c>
      <c r="K1731">
        <v>0.31590444105771998</v>
      </c>
      <c r="L1731">
        <v>407.526013814441</v>
      </c>
      <c r="M1731">
        <v>6.7846954684266798</v>
      </c>
      <c r="N1731">
        <v>60.065483308516797</v>
      </c>
      <c r="O1731">
        <v>55.494820767292602</v>
      </c>
      <c r="P1731">
        <v>-3.06280639495068E-2</v>
      </c>
      <c r="Q1731">
        <v>0</v>
      </c>
      <c r="R1731">
        <v>0.93753937128984899</v>
      </c>
      <c r="S1731" t="s">
        <v>7314</v>
      </c>
      <c r="T1731" t="s">
        <v>11164</v>
      </c>
      <c r="U1731" t="s">
        <v>11164</v>
      </c>
      <c r="V1731" t="s">
        <v>11164</v>
      </c>
      <c r="W1731" t="s">
        <v>12863</v>
      </c>
      <c r="X1731">
        <v>3</v>
      </c>
      <c r="Y1731" t="s">
        <v>18387</v>
      </c>
      <c r="Z1731" t="s">
        <v>23881</v>
      </c>
      <c r="AA1731">
        <v>0.7101508555577134</v>
      </c>
      <c r="AB1731" t="str">
        <f>HYPERLINK("Melting_Curves/meltCurve_P05412_JUN.pdf", "Melting_Curves/meltCurve_P05412_JUN.pdf")</f>
        <v>Melting_Curves/meltCurve_P05412_JUN.pdf</v>
      </c>
    </row>
    <row r="1732" spans="1:28" x14ac:dyDescent="0.25">
      <c r="A1732" t="s">
        <v>1736</v>
      </c>
      <c r="B1732">
        <v>0.99796759195183404</v>
      </c>
      <c r="C1732">
        <v>0.93014514494914602</v>
      </c>
      <c r="D1732">
        <v>0.93330403026712805</v>
      </c>
      <c r="E1732">
        <v>0.88070767348328605</v>
      </c>
      <c r="F1732">
        <v>0.67597094373632705</v>
      </c>
      <c r="G1732">
        <v>0.476125825515609</v>
      </c>
      <c r="H1732">
        <v>0.32241288641042798</v>
      </c>
      <c r="I1732">
        <v>0.13453904041890899</v>
      </c>
      <c r="J1732">
        <v>8.4992216296354006E-2</v>
      </c>
      <c r="K1732">
        <v>6.0606659092110299E-2</v>
      </c>
      <c r="L1732">
        <v>684.61338764575498</v>
      </c>
      <c r="M1732">
        <v>12.842821427177499</v>
      </c>
      <c r="N1732">
        <v>53.307085692702501</v>
      </c>
      <c r="O1732">
        <v>52.064257758714497</v>
      </c>
      <c r="P1732">
        <v>-6.1679569026780103E-2</v>
      </c>
      <c r="Q1732">
        <v>0</v>
      </c>
      <c r="R1732">
        <v>0.99472915042156795</v>
      </c>
      <c r="S1732" t="s">
        <v>7315</v>
      </c>
      <c r="T1732" t="s">
        <v>11164</v>
      </c>
      <c r="U1732" t="s">
        <v>11164</v>
      </c>
      <c r="V1732" t="s">
        <v>11164</v>
      </c>
      <c r="W1732" t="s">
        <v>12864</v>
      </c>
      <c r="X1732">
        <v>23</v>
      </c>
      <c r="Y1732" t="s">
        <v>18388</v>
      </c>
      <c r="Z1732" t="s">
        <v>23882</v>
      </c>
      <c r="AA1732">
        <v>0.56305817052493479</v>
      </c>
      <c r="AB1732" t="str">
        <f>HYPERLINK("Melting_Curves/meltCurve_P05455_SSB.pdf", "Melting_Curves/meltCurve_P05455_SSB.pdf")</f>
        <v>Melting_Curves/meltCurve_P05455_SSB.pdf</v>
      </c>
    </row>
    <row r="1733" spans="1:28" x14ac:dyDescent="0.25">
      <c r="A1733" t="s">
        <v>1737</v>
      </c>
      <c r="B1733">
        <v>0.99796759195183404</v>
      </c>
      <c r="C1733">
        <v>1.0218034694145</v>
      </c>
      <c r="D1733">
        <v>1.0277164003150501</v>
      </c>
      <c r="E1733">
        <v>1.03658174981264</v>
      </c>
      <c r="F1733">
        <v>0.89666061157382504</v>
      </c>
      <c r="G1733">
        <v>0.70685041956083705</v>
      </c>
      <c r="H1733">
        <v>0.70285802810068798</v>
      </c>
      <c r="I1733">
        <v>0.58919841779896798</v>
      </c>
      <c r="J1733">
        <v>0.59138768829710597</v>
      </c>
      <c r="K1733">
        <v>0.490465631550068</v>
      </c>
      <c r="L1733">
        <v>943.19247345640201</v>
      </c>
      <c r="M1733">
        <v>17.511856425454202</v>
      </c>
      <c r="O1733">
        <v>53.172581907251903</v>
      </c>
      <c r="P1733">
        <v>-3.8717253315637003E-2</v>
      </c>
      <c r="Q1733">
        <v>0.529785184871157</v>
      </c>
      <c r="R1733">
        <v>0.95921439952031895</v>
      </c>
      <c r="S1733" t="s">
        <v>7316</v>
      </c>
      <c r="T1733" t="s">
        <v>11164</v>
      </c>
      <c r="U1733" t="s">
        <v>11164</v>
      </c>
      <c r="V1733" t="s">
        <v>11164</v>
      </c>
      <c r="W1733" t="s">
        <v>12865</v>
      </c>
      <c r="X1733">
        <v>28</v>
      </c>
      <c r="Y1733" t="s">
        <v>18389</v>
      </c>
      <c r="Z1733" t="s">
        <v>23883</v>
      </c>
      <c r="AA1733">
        <v>0.80076013213800978</v>
      </c>
      <c r="AB1733" t="str">
        <f>HYPERLINK("Melting_Curves/meltCurve_P05556_ITGB1.pdf", "Melting_Curves/meltCurve_P05556_ITGB1.pdf")</f>
        <v>Melting_Curves/meltCurve_P05556_ITGB1.pdf</v>
      </c>
    </row>
    <row r="1734" spans="1:28" x14ac:dyDescent="0.25">
      <c r="A1734" t="s">
        <v>1738</v>
      </c>
      <c r="B1734">
        <v>0.99796759195183404</v>
      </c>
      <c r="C1734">
        <v>1.23117049089479</v>
      </c>
      <c r="D1734">
        <v>1.1251497220503299</v>
      </c>
      <c r="E1734">
        <v>1.05069905707212</v>
      </c>
      <c r="F1734">
        <v>0.98615447057907601</v>
      </c>
      <c r="G1734">
        <v>0.32824959399166798</v>
      </c>
      <c r="H1734">
        <v>0.28185105361881002</v>
      </c>
      <c r="I1734">
        <v>0.15627969775286699</v>
      </c>
      <c r="J1734">
        <v>0.164159066696449</v>
      </c>
      <c r="K1734">
        <v>0.15456048501521799</v>
      </c>
      <c r="L1734">
        <v>3888.63432430884</v>
      </c>
      <c r="M1734">
        <v>73.824472737859296</v>
      </c>
      <c r="N1734">
        <v>53.01313934065</v>
      </c>
      <c r="O1734">
        <v>52.635442583081101</v>
      </c>
      <c r="P1734">
        <v>-0.28465522520095199</v>
      </c>
      <c r="Q1734">
        <v>0.18818513615272101</v>
      </c>
      <c r="R1734">
        <v>0.956880234420036</v>
      </c>
      <c r="S1734" t="s">
        <v>7317</v>
      </c>
      <c r="T1734" t="s">
        <v>11164</v>
      </c>
      <c r="U1734" t="s">
        <v>11164</v>
      </c>
      <c r="V1734" t="s">
        <v>11164</v>
      </c>
      <c r="W1734" t="s">
        <v>12866</v>
      </c>
      <c r="X1734">
        <v>6</v>
      </c>
      <c r="Y1734" t="s">
        <v>18390</v>
      </c>
      <c r="Z1734" t="s">
        <v>23884</v>
      </c>
      <c r="AA1734">
        <v>0.61319543465720194</v>
      </c>
      <c r="AB1734" t="str">
        <f>HYPERLINK("Melting_Curves/meltCurve_P05771_2_PRKCB.pdf", "Melting_Curves/meltCurve_P05771_2_PRKCB.pdf")</f>
        <v>Melting_Curves/meltCurve_P05771_2_PRKCB.pdf</v>
      </c>
    </row>
    <row r="1735" spans="1:28" x14ac:dyDescent="0.25">
      <c r="A1735" t="s">
        <v>1739</v>
      </c>
      <c r="B1735">
        <v>0.99796759195183404</v>
      </c>
      <c r="C1735">
        <v>1.07596486596374</v>
      </c>
      <c r="D1735">
        <v>0.95767439256070797</v>
      </c>
      <c r="E1735">
        <v>0.908767765305731</v>
      </c>
      <c r="F1735">
        <v>0.71996217286904496</v>
      </c>
      <c r="G1735">
        <v>0.89539768282602805</v>
      </c>
      <c r="H1735">
        <v>0.36088903711252301</v>
      </c>
      <c r="I1735">
        <v>0.28195893226139002</v>
      </c>
      <c r="J1735">
        <v>0.179788183273216</v>
      </c>
      <c r="K1735">
        <v>0.13115255299935999</v>
      </c>
      <c r="L1735">
        <v>767.35982612516398</v>
      </c>
      <c r="M1735">
        <v>13.488831322252</v>
      </c>
      <c r="N1735">
        <v>56.8885332757865</v>
      </c>
      <c r="O1735">
        <v>55.681870925525601</v>
      </c>
      <c r="P1735">
        <v>-6.0571325332351898E-2</v>
      </c>
      <c r="Q1735">
        <v>0</v>
      </c>
      <c r="R1735">
        <v>0.93165635610181896</v>
      </c>
      <c r="S1735" t="s">
        <v>7318</v>
      </c>
      <c r="T1735" t="s">
        <v>11164</v>
      </c>
      <c r="U1735" t="s">
        <v>11164</v>
      </c>
      <c r="V1735" t="s">
        <v>11164</v>
      </c>
      <c r="W1735" t="s">
        <v>12867</v>
      </c>
      <c r="X1735">
        <v>11</v>
      </c>
      <c r="Y1735" t="s">
        <v>18391</v>
      </c>
      <c r="Z1735" t="s">
        <v>23885</v>
      </c>
      <c r="AA1735">
        <v>0.67035633550135487</v>
      </c>
      <c r="AB1735" t="str">
        <f>HYPERLINK("Melting_Curves/meltCurve_P05783_KRT18.pdf", "Melting_Curves/meltCurve_P05783_KRT18.pdf")</f>
        <v>Melting_Curves/meltCurve_P05783_KRT18.pdf</v>
      </c>
    </row>
    <row r="1736" spans="1:28" x14ac:dyDescent="0.25">
      <c r="A1736" t="s">
        <v>1740</v>
      </c>
      <c r="B1736">
        <v>0.99796759195183404</v>
      </c>
      <c r="C1736">
        <v>1.02715498185873</v>
      </c>
      <c r="D1736">
        <v>0.99193878373046096</v>
      </c>
      <c r="E1736">
        <v>0.90424761199908399</v>
      </c>
      <c r="F1736">
        <v>0.86870427099963998</v>
      </c>
      <c r="G1736">
        <v>0.76308954828870701</v>
      </c>
      <c r="H1736">
        <v>0.71323739063823699</v>
      </c>
      <c r="I1736">
        <v>0.61329905366501103</v>
      </c>
      <c r="J1736">
        <v>0.71594674279224402</v>
      </c>
      <c r="K1736">
        <v>0.39956844792118001</v>
      </c>
      <c r="L1736">
        <v>383.91903890454398</v>
      </c>
      <c r="M1736">
        <v>5.7349847769589797</v>
      </c>
      <c r="N1736">
        <v>66.943355223172603</v>
      </c>
      <c r="O1736">
        <v>60.143230572396597</v>
      </c>
      <c r="P1736">
        <v>-2.3929493649589101E-2</v>
      </c>
      <c r="Q1736">
        <v>0</v>
      </c>
      <c r="R1736">
        <v>0.88999864982333898</v>
      </c>
      <c r="S1736" t="s">
        <v>7319</v>
      </c>
      <c r="T1736" t="s">
        <v>11164</v>
      </c>
      <c r="U1736" t="s">
        <v>11164</v>
      </c>
      <c r="V1736" t="s">
        <v>11164</v>
      </c>
      <c r="W1736" t="s">
        <v>12868</v>
      </c>
      <c r="X1736">
        <v>18</v>
      </c>
      <c r="Y1736" t="s">
        <v>18392</v>
      </c>
      <c r="Z1736" t="s">
        <v>23886</v>
      </c>
      <c r="AA1736">
        <v>0.80363653645606781</v>
      </c>
      <c r="AB1736" t="str">
        <f>HYPERLINK("Melting_Curves/meltCurve_P06132_UROD.pdf", "Melting_Curves/meltCurve_P06132_UROD.pdf")</f>
        <v>Melting_Curves/meltCurve_P06132_UROD.pdf</v>
      </c>
    </row>
    <row r="1737" spans="1:28" x14ac:dyDescent="0.25">
      <c r="A1737" t="s">
        <v>1741</v>
      </c>
      <c r="B1737">
        <v>0.99796759195183404</v>
      </c>
      <c r="C1737">
        <v>0.97744491123986799</v>
      </c>
      <c r="D1737">
        <v>0.998635786074764</v>
      </c>
      <c r="E1737">
        <v>0.92255986719040906</v>
      </c>
      <c r="F1737">
        <v>0.71265673669156304</v>
      </c>
      <c r="G1737">
        <v>0.40435671979816601</v>
      </c>
      <c r="H1737">
        <v>0.27568502756499202</v>
      </c>
      <c r="I1737">
        <v>0.162745590039961</v>
      </c>
      <c r="J1737">
        <v>0.121409508551215</v>
      </c>
      <c r="K1737">
        <v>9.7008716563025205E-2</v>
      </c>
      <c r="L1737">
        <v>955.38817322986904</v>
      </c>
      <c r="M1737">
        <v>18.283368876862401</v>
      </c>
      <c r="N1737">
        <v>52.868418293875401</v>
      </c>
      <c r="O1737">
        <v>51.641391460930599</v>
      </c>
      <c r="P1737">
        <v>-8.0049355871177799E-2</v>
      </c>
      <c r="Q1737">
        <v>9.5643756582244194E-2</v>
      </c>
      <c r="R1737">
        <v>0.99792354357009005</v>
      </c>
      <c r="S1737" t="s">
        <v>7320</v>
      </c>
      <c r="T1737" t="s">
        <v>11164</v>
      </c>
      <c r="U1737" t="s">
        <v>11164</v>
      </c>
      <c r="V1737" t="s">
        <v>11164</v>
      </c>
      <c r="W1737" t="s">
        <v>12869</v>
      </c>
      <c r="X1737">
        <v>9</v>
      </c>
      <c r="Y1737" t="s">
        <v>18393</v>
      </c>
      <c r="Z1737" t="s">
        <v>23887</v>
      </c>
      <c r="AA1737">
        <v>0.56875900654061806</v>
      </c>
      <c r="AB1737" t="str">
        <f>HYPERLINK("Melting_Curves/meltCurve_P06241_FYN.pdf", "Melting_Curves/meltCurve_P06241_FYN.pdf")</f>
        <v>Melting_Curves/meltCurve_P06241_FYN.pdf</v>
      </c>
    </row>
    <row r="1738" spans="1:28" x14ac:dyDescent="0.25">
      <c r="A1738" t="s">
        <v>1742</v>
      </c>
      <c r="B1738">
        <v>0.99796759195183404</v>
      </c>
      <c r="C1738">
        <v>0.90337259460095098</v>
      </c>
      <c r="D1738">
        <v>0.98284345102776305</v>
      </c>
      <c r="E1738">
        <v>0.856088888872374</v>
      </c>
      <c r="F1738">
        <v>0.78633740813113795</v>
      </c>
      <c r="G1738">
        <v>0.63166818687156701</v>
      </c>
      <c r="H1738">
        <v>0.406341482278743</v>
      </c>
      <c r="I1738">
        <v>0.36208703287972599</v>
      </c>
      <c r="J1738">
        <v>0.317403290427901</v>
      </c>
      <c r="K1738">
        <v>0.160721758190874</v>
      </c>
      <c r="L1738">
        <v>507.85149137190302</v>
      </c>
      <c r="M1738">
        <v>8.9677083528560892</v>
      </c>
      <c r="N1738">
        <v>56.631129097790897</v>
      </c>
      <c r="O1738">
        <v>54.027626228790801</v>
      </c>
      <c r="P1738">
        <v>-4.1526489675626402E-2</v>
      </c>
      <c r="Q1738">
        <v>0</v>
      </c>
      <c r="R1738">
        <v>0.97954369576946299</v>
      </c>
      <c r="S1738" t="s">
        <v>7321</v>
      </c>
      <c r="T1738" t="s">
        <v>11164</v>
      </c>
      <c r="U1738" t="s">
        <v>11164</v>
      </c>
      <c r="V1738" t="s">
        <v>11164</v>
      </c>
      <c r="W1738" t="s">
        <v>12870</v>
      </c>
      <c r="X1738">
        <v>4</v>
      </c>
      <c r="Y1738" t="s">
        <v>18394</v>
      </c>
      <c r="Z1738" t="s">
        <v>23888</v>
      </c>
      <c r="AA1738">
        <v>0.65210965213251315</v>
      </c>
      <c r="AB1738" t="str">
        <f>HYPERLINK("Melting_Curves/meltCurve_P06280_GLA.pdf", "Melting_Curves/meltCurve_P06280_GLA.pdf")</f>
        <v>Melting_Curves/meltCurve_P06280_GLA.pdf</v>
      </c>
    </row>
    <row r="1739" spans="1:28" x14ac:dyDescent="0.25">
      <c r="A1739" t="s">
        <v>1743</v>
      </c>
      <c r="B1739">
        <v>0.99796759195183404</v>
      </c>
      <c r="C1739">
        <v>0.97283006926492199</v>
      </c>
      <c r="D1739">
        <v>0.99300286958619199</v>
      </c>
      <c r="E1739">
        <v>0.89609306518481302</v>
      </c>
      <c r="F1739">
        <v>0.58165253965481101</v>
      </c>
      <c r="G1739">
        <v>0.25371961904741902</v>
      </c>
      <c r="H1739">
        <v>0.185967806911189</v>
      </c>
      <c r="I1739">
        <v>0.13853090306728799</v>
      </c>
      <c r="J1739">
        <v>0.116346433835524</v>
      </c>
      <c r="K1739">
        <v>7.8050380894015503E-2</v>
      </c>
      <c r="L1739">
        <v>1214.6257978564099</v>
      </c>
      <c r="M1739">
        <v>24.082730003300401</v>
      </c>
      <c r="N1739">
        <v>50.958248214908899</v>
      </c>
      <c r="O1739">
        <v>50.091654565806799</v>
      </c>
      <c r="P1739">
        <v>-0.10704113554443</v>
      </c>
      <c r="Q1739">
        <v>0.10943918453788</v>
      </c>
      <c r="R1739">
        <v>0.99773714546623105</v>
      </c>
      <c r="S1739" t="s">
        <v>7322</v>
      </c>
      <c r="T1739" t="s">
        <v>11164</v>
      </c>
      <c r="U1739" t="s">
        <v>11164</v>
      </c>
      <c r="V1739" t="s">
        <v>11164</v>
      </c>
      <c r="W1739" t="s">
        <v>12871</v>
      </c>
      <c r="X1739">
        <v>19</v>
      </c>
      <c r="Y1739" t="s">
        <v>18395</v>
      </c>
      <c r="Z1739" t="s">
        <v>23889</v>
      </c>
      <c r="AA1739">
        <v>0.5166680353634443</v>
      </c>
      <c r="AB1739" t="str">
        <f>HYPERLINK("Melting_Curves/meltCurve_P06493_CDK1.pdf", "Melting_Curves/meltCurve_P06493_CDK1.pdf")</f>
        <v>Melting_Curves/meltCurve_P06493_CDK1.pdf</v>
      </c>
    </row>
    <row r="1740" spans="1:28" x14ac:dyDescent="0.25">
      <c r="A1740" t="s">
        <v>1744</v>
      </c>
      <c r="B1740">
        <v>0.99796759195183404</v>
      </c>
      <c r="C1740">
        <v>0.97267019300983504</v>
      </c>
      <c r="D1740">
        <v>0.92220449590907005</v>
      </c>
      <c r="E1740">
        <v>0.94095867136950995</v>
      </c>
      <c r="F1740">
        <v>0.86014683799489999</v>
      </c>
      <c r="G1740">
        <v>1.21174753282637</v>
      </c>
      <c r="H1740">
        <v>0.88865741150509903</v>
      </c>
      <c r="I1740">
        <v>1.07616892309586</v>
      </c>
      <c r="J1740">
        <v>0.75398731390828799</v>
      </c>
      <c r="K1740">
        <v>0.665459906514138</v>
      </c>
      <c r="L1740">
        <v>15000</v>
      </c>
      <c r="M1740">
        <v>235.03121725031201</v>
      </c>
      <c r="O1740">
        <v>63.8166884049011</v>
      </c>
      <c r="P1740">
        <v>-0.30802852219183202</v>
      </c>
      <c r="Q1740">
        <v>0.66545107642788703</v>
      </c>
      <c r="R1740">
        <v>0.56779409120621704</v>
      </c>
      <c r="S1740" t="s">
        <v>7323</v>
      </c>
      <c r="T1740" t="s">
        <v>11164</v>
      </c>
      <c r="U1740" t="s">
        <v>11164</v>
      </c>
      <c r="V1740" t="s">
        <v>11164</v>
      </c>
      <c r="W1740" t="s">
        <v>12872</v>
      </c>
      <c r="X1740">
        <v>30</v>
      </c>
      <c r="Y1740" t="s">
        <v>18396</v>
      </c>
      <c r="Z1740" t="s">
        <v>23890</v>
      </c>
      <c r="AA1740">
        <v>0.96459476350872131</v>
      </c>
      <c r="AB1740" t="str">
        <f>HYPERLINK("Melting_Curves/meltCurve_P06576_ATP5B.pdf", "Melting_Curves/meltCurve_P06576_ATP5B.pdf")</f>
        <v>Melting_Curves/meltCurve_P06576_ATP5B.pdf</v>
      </c>
    </row>
    <row r="1741" spans="1:28" x14ac:dyDescent="0.25">
      <c r="A1741" t="s">
        <v>1745</v>
      </c>
      <c r="B1741">
        <v>0.99796759195183404</v>
      </c>
      <c r="C1741">
        <v>1.0350084052868</v>
      </c>
      <c r="D1741">
        <v>1.02047217246403</v>
      </c>
      <c r="E1741">
        <v>0.993827106412151</v>
      </c>
      <c r="F1741">
        <v>0.89072651977206996</v>
      </c>
      <c r="G1741">
        <v>0.85256103868085498</v>
      </c>
      <c r="H1741">
        <v>0.742671853288843</v>
      </c>
      <c r="I1741">
        <v>0.54593350327168799</v>
      </c>
      <c r="J1741">
        <v>0.213007884089884</v>
      </c>
      <c r="K1741">
        <v>7.9599871954352003E-2</v>
      </c>
      <c r="L1741">
        <v>1160.4550933533301</v>
      </c>
      <c r="M1741">
        <v>19.172796836924</v>
      </c>
      <c r="N1741">
        <v>60.5261271773159</v>
      </c>
      <c r="O1741">
        <v>59.879209449150402</v>
      </c>
      <c r="P1741">
        <v>-8.0050882279111904E-2</v>
      </c>
      <c r="Q1741">
        <v>0</v>
      </c>
      <c r="R1741">
        <v>0.97619910247428399</v>
      </c>
      <c r="S1741" t="s">
        <v>7324</v>
      </c>
      <c r="T1741" t="s">
        <v>11164</v>
      </c>
      <c r="U1741" t="s">
        <v>11164</v>
      </c>
      <c r="V1741" t="s">
        <v>11164</v>
      </c>
      <c r="W1741" t="s">
        <v>12873</v>
      </c>
      <c r="X1741">
        <v>64</v>
      </c>
      <c r="Y1741" t="s">
        <v>18397</v>
      </c>
      <c r="Z1741" t="s">
        <v>23891</v>
      </c>
      <c r="AA1741">
        <v>0.78144123534101317</v>
      </c>
      <c r="AB1741" t="str">
        <f>HYPERLINK("Melting_Curves/meltCurve_P06733_ENO1.pdf", "Melting_Curves/meltCurve_P06733_ENO1.pdf")</f>
        <v>Melting_Curves/meltCurve_P06733_ENO1.pdf</v>
      </c>
    </row>
    <row r="1742" spans="1:28" x14ac:dyDescent="0.25">
      <c r="A1742" t="s">
        <v>1746</v>
      </c>
      <c r="B1742">
        <v>0.99796759195183404</v>
      </c>
      <c r="C1742">
        <v>1.0333863941392201</v>
      </c>
      <c r="D1742">
        <v>1.0020943078048199</v>
      </c>
      <c r="E1742">
        <v>0.98587558163510103</v>
      </c>
      <c r="F1742">
        <v>0.87677069334694802</v>
      </c>
      <c r="G1742">
        <v>1.06789469906914</v>
      </c>
      <c r="H1742">
        <v>0.82107843093486199</v>
      </c>
      <c r="I1742">
        <v>0.63469867702068705</v>
      </c>
      <c r="J1742">
        <v>0.24771386014351901</v>
      </c>
      <c r="K1742">
        <v>0.125714896140244</v>
      </c>
      <c r="L1742">
        <v>1630.62089667085</v>
      </c>
      <c r="M1742">
        <v>26.372010614977501</v>
      </c>
      <c r="N1742">
        <v>61.831493543704099</v>
      </c>
      <c r="O1742">
        <v>61.479253048512</v>
      </c>
      <c r="P1742">
        <v>-0.10724064208355</v>
      </c>
      <c r="Q1742">
        <v>0</v>
      </c>
      <c r="R1742">
        <v>0.96994533929486504</v>
      </c>
      <c r="S1742" t="s">
        <v>7325</v>
      </c>
      <c r="T1742" t="s">
        <v>11164</v>
      </c>
      <c r="U1742" t="s">
        <v>11164</v>
      </c>
      <c r="V1742" t="s">
        <v>11164</v>
      </c>
      <c r="W1742" t="s">
        <v>12874</v>
      </c>
      <c r="X1742">
        <v>20</v>
      </c>
      <c r="Y1742" t="s">
        <v>18398</v>
      </c>
      <c r="Z1742" t="s">
        <v>23892</v>
      </c>
      <c r="AA1742">
        <v>0.82529164733441995</v>
      </c>
      <c r="AB1742" t="str">
        <f>HYPERLINK("Melting_Curves/meltCurve_P06737_2_PYGL.pdf", "Melting_Curves/meltCurve_P06737_2_PYGL.pdf")</f>
        <v>Melting_Curves/meltCurve_P06737_2_PYGL.pdf</v>
      </c>
    </row>
    <row r="1743" spans="1:28" x14ac:dyDescent="0.25">
      <c r="A1743" t="s">
        <v>1747</v>
      </c>
      <c r="B1743">
        <v>0.99796759195183404</v>
      </c>
      <c r="C1743">
        <v>0.968373991054441</v>
      </c>
      <c r="D1743">
        <v>0.956861241577039</v>
      </c>
      <c r="E1743">
        <v>0.94500666789295795</v>
      </c>
      <c r="F1743">
        <v>0.80627102543854701</v>
      </c>
      <c r="G1743">
        <v>0.73401946366804305</v>
      </c>
      <c r="H1743">
        <v>0.55151596124873103</v>
      </c>
      <c r="I1743">
        <v>0.265518550621275</v>
      </c>
      <c r="J1743">
        <v>0.117179506709262</v>
      </c>
      <c r="K1743">
        <v>9.1196050942684903E-2</v>
      </c>
      <c r="L1743">
        <v>839.07319923584703</v>
      </c>
      <c r="M1743">
        <v>14.682648278627999</v>
      </c>
      <c r="N1743">
        <v>57.1472656965148</v>
      </c>
      <c r="O1743">
        <v>56.118585443911002</v>
      </c>
      <c r="P1743">
        <v>-6.5416210743804507E-2</v>
      </c>
      <c r="Q1743">
        <v>0</v>
      </c>
      <c r="R1743">
        <v>0.98590019275477103</v>
      </c>
      <c r="S1743" t="s">
        <v>7326</v>
      </c>
      <c r="T1743" t="s">
        <v>11164</v>
      </c>
      <c r="U1743" t="s">
        <v>11164</v>
      </c>
      <c r="V1743" t="s">
        <v>11164</v>
      </c>
      <c r="W1743" t="s">
        <v>12875</v>
      </c>
      <c r="X1743">
        <v>28</v>
      </c>
      <c r="Y1743" t="s">
        <v>18399</v>
      </c>
      <c r="Z1743" t="s">
        <v>23893</v>
      </c>
      <c r="AA1743">
        <v>0.67899349680473442</v>
      </c>
      <c r="AB1743" t="str">
        <f>HYPERLINK("Melting_Curves/meltCurve_P06744_GPI.pdf", "Melting_Curves/meltCurve_P06744_GPI.pdf")</f>
        <v>Melting_Curves/meltCurve_P06744_GPI.pdf</v>
      </c>
    </row>
    <row r="1744" spans="1:28" x14ac:dyDescent="0.25">
      <c r="A1744" t="s">
        <v>1748</v>
      </c>
      <c r="B1744">
        <v>0.99796759195183404</v>
      </c>
      <c r="C1744">
        <v>1.00200095587537</v>
      </c>
      <c r="D1744">
        <v>0.93079614642865105</v>
      </c>
      <c r="E1744">
        <v>0.92013292133534097</v>
      </c>
      <c r="F1744">
        <v>0.79364443966735498</v>
      </c>
      <c r="G1744">
        <v>0.75067026541658899</v>
      </c>
      <c r="H1744">
        <v>0.53818030943390804</v>
      </c>
      <c r="I1744">
        <v>0.397982898933813</v>
      </c>
      <c r="J1744">
        <v>0.38547687628003502</v>
      </c>
      <c r="K1744">
        <v>0.28973254526515402</v>
      </c>
      <c r="L1744">
        <v>546.63027887887495</v>
      </c>
      <c r="M1744">
        <v>9.5154937952558605</v>
      </c>
      <c r="N1744">
        <v>59.020298951409401</v>
      </c>
      <c r="O1744">
        <v>55.080846147822903</v>
      </c>
      <c r="P1744">
        <v>-3.8371513722488801E-2</v>
      </c>
      <c r="Q1744">
        <v>0.112061327353211</v>
      </c>
      <c r="R1744">
        <v>0.98780183288407397</v>
      </c>
      <c r="S1744" t="s">
        <v>7327</v>
      </c>
      <c r="T1744" t="s">
        <v>11164</v>
      </c>
      <c r="U1744" t="s">
        <v>11164</v>
      </c>
      <c r="V1744" t="s">
        <v>11164</v>
      </c>
      <c r="W1744" t="s">
        <v>12876</v>
      </c>
      <c r="X1744">
        <v>15</v>
      </c>
      <c r="Y1744" t="s">
        <v>18400</v>
      </c>
      <c r="Z1744" t="s">
        <v>23894</v>
      </c>
      <c r="AA1744">
        <v>0.71161153200275262</v>
      </c>
      <c r="AB1744" t="str">
        <f>HYPERLINK("Melting_Curves/meltCurve_P06748_NPM1.pdf", "Melting_Curves/meltCurve_P06748_NPM1.pdf")</f>
        <v>Melting_Curves/meltCurve_P06748_NPM1.pdf</v>
      </c>
    </row>
    <row r="1745" spans="1:28" x14ac:dyDescent="0.25">
      <c r="A1745" t="s">
        <v>1749</v>
      </c>
      <c r="B1745">
        <v>0.99796759195183404</v>
      </c>
      <c r="C1745">
        <v>1.35249526314897</v>
      </c>
      <c r="D1745">
        <v>0.81750093055415496</v>
      </c>
      <c r="E1745">
        <v>1.06948513741698</v>
      </c>
      <c r="F1745">
        <v>1.0716140394914599</v>
      </c>
      <c r="G1745">
        <v>0.86744373801131602</v>
      </c>
      <c r="H1745">
        <v>0.573959630803759</v>
      </c>
      <c r="I1745">
        <v>0.59051186209557005</v>
      </c>
      <c r="J1745">
        <v>0.36110158467162401</v>
      </c>
      <c r="K1745">
        <v>0.50024365473978705</v>
      </c>
      <c r="L1745">
        <v>2107.3333359911499</v>
      </c>
      <c r="M1745">
        <v>37.9890403744336</v>
      </c>
      <c r="N1745">
        <v>60.064378547526097</v>
      </c>
      <c r="O1745">
        <v>55.319099791221198</v>
      </c>
      <c r="P1745">
        <v>-9.0543133507810403E-2</v>
      </c>
      <c r="Q1745">
        <v>0.47261090292433</v>
      </c>
      <c r="R1745">
        <v>0.77736827334229197</v>
      </c>
      <c r="S1745" t="s">
        <v>7328</v>
      </c>
      <c r="T1745" t="s">
        <v>11164</v>
      </c>
      <c r="U1745" t="s">
        <v>11164</v>
      </c>
      <c r="V1745" t="s">
        <v>11164</v>
      </c>
      <c r="W1745" t="s">
        <v>12877</v>
      </c>
      <c r="X1745">
        <v>12</v>
      </c>
      <c r="Y1745" t="s">
        <v>18400</v>
      </c>
      <c r="Z1745" t="s">
        <v>23895</v>
      </c>
      <c r="AA1745">
        <v>0.79953111325145942</v>
      </c>
      <c r="AB1745" t="str">
        <f>HYPERLINK("Melting_Curves/meltCurve_P06748_3_NPM1.pdf", "Melting_Curves/meltCurve_P06748_3_NPM1.pdf")</f>
        <v>Melting_Curves/meltCurve_P06748_3_NPM1.pdf</v>
      </c>
    </row>
    <row r="1746" spans="1:28" x14ac:dyDescent="0.25">
      <c r="A1746" t="s">
        <v>1750</v>
      </c>
      <c r="B1746">
        <v>0.99796759195183404</v>
      </c>
      <c r="C1746">
        <v>1.0014573704599099</v>
      </c>
      <c r="D1746">
        <v>0.996813967645234</v>
      </c>
      <c r="E1746">
        <v>0.97243632098435595</v>
      </c>
      <c r="F1746">
        <v>0.87561152694605304</v>
      </c>
      <c r="G1746">
        <v>0.68909721030017401</v>
      </c>
      <c r="H1746">
        <v>0.69611992901695896</v>
      </c>
      <c r="I1746">
        <v>0.67047740846922599</v>
      </c>
      <c r="J1746">
        <v>0.84723854385156905</v>
      </c>
      <c r="K1746">
        <v>0.80649159125386805</v>
      </c>
      <c r="L1746">
        <v>12553.633860214301</v>
      </c>
      <c r="M1746">
        <v>250</v>
      </c>
      <c r="O1746">
        <v>50.211338798296403</v>
      </c>
      <c r="P1746">
        <v>-0.32128593460687499</v>
      </c>
      <c r="Q1746">
        <v>0.74188493536367395</v>
      </c>
      <c r="R1746">
        <v>0.84266828027909002</v>
      </c>
      <c r="S1746" t="s">
        <v>7329</v>
      </c>
      <c r="T1746" t="s">
        <v>11164</v>
      </c>
      <c r="U1746" t="s">
        <v>11164</v>
      </c>
      <c r="V1746" t="s">
        <v>11164</v>
      </c>
      <c r="W1746" t="s">
        <v>12878</v>
      </c>
      <c r="X1746">
        <v>58</v>
      </c>
      <c r="Y1746" t="s">
        <v>18401</v>
      </c>
      <c r="Z1746" t="s">
        <v>23896</v>
      </c>
      <c r="AA1746">
        <v>0.85560337092356398</v>
      </c>
      <c r="AB1746" t="str">
        <f>HYPERLINK("Melting_Curves/meltCurve_P06753_2_TPM3.pdf", "Melting_Curves/meltCurve_P06753_2_TPM3.pdf")</f>
        <v>Melting_Curves/meltCurve_P06753_2_TPM3.pdf</v>
      </c>
    </row>
    <row r="1747" spans="1:28" x14ac:dyDescent="0.25">
      <c r="A1747" t="s">
        <v>1751</v>
      </c>
      <c r="B1747">
        <v>0.99796759195183404</v>
      </c>
      <c r="C1747">
        <v>1.02905351998351</v>
      </c>
      <c r="D1747">
        <v>0.96552820510913895</v>
      </c>
      <c r="E1747">
        <v>0.98231705182157003</v>
      </c>
      <c r="F1747">
        <v>0.78483512697415003</v>
      </c>
      <c r="G1747">
        <v>0.70432873194989898</v>
      </c>
      <c r="H1747">
        <v>0.82627321447768298</v>
      </c>
      <c r="I1747">
        <v>0.67430276774973297</v>
      </c>
      <c r="J1747">
        <v>0.96275301074053399</v>
      </c>
      <c r="K1747">
        <v>0.81696467683887497</v>
      </c>
      <c r="L1747">
        <v>11760.0078440872</v>
      </c>
      <c r="M1747">
        <v>250</v>
      </c>
      <c r="O1747">
        <v>47.037021136506603</v>
      </c>
      <c r="P1747">
        <v>-0.27251196465878702</v>
      </c>
      <c r="Q1747">
        <v>0.79490958361897601</v>
      </c>
      <c r="R1747">
        <v>0.63535355141806305</v>
      </c>
      <c r="S1747" t="s">
        <v>7330</v>
      </c>
      <c r="T1747" t="s">
        <v>11164</v>
      </c>
      <c r="U1747" t="s">
        <v>11164</v>
      </c>
      <c r="V1747" t="s">
        <v>11164</v>
      </c>
      <c r="W1747" t="s">
        <v>12879</v>
      </c>
      <c r="X1747">
        <v>6</v>
      </c>
      <c r="Y1747" t="s">
        <v>18402</v>
      </c>
      <c r="Z1747" t="s">
        <v>23897</v>
      </c>
      <c r="AA1747">
        <v>0.86356365527559487</v>
      </c>
      <c r="AB1747" t="str">
        <f>HYPERLINK("Melting_Curves/meltCurve_P06756_3_ITGAV.pdf", "Melting_Curves/meltCurve_P06756_3_ITGAV.pdf")</f>
        <v>Melting_Curves/meltCurve_P06756_3_ITGAV.pdf</v>
      </c>
    </row>
    <row r="1748" spans="1:28" x14ac:dyDescent="0.25">
      <c r="A1748" t="s">
        <v>1752</v>
      </c>
      <c r="B1748">
        <v>0.99796759195183404</v>
      </c>
      <c r="C1748">
        <v>1.0251643365704</v>
      </c>
      <c r="D1748">
        <v>0.92188006632952002</v>
      </c>
      <c r="E1748">
        <v>0.76325474626782397</v>
      </c>
      <c r="F1748">
        <v>0.94958538801234205</v>
      </c>
      <c r="G1748">
        <v>0.66010953301200603</v>
      </c>
      <c r="H1748">
        <v>0.58583770486743403</v>
      </c>
      <c r="I1748">
        <v>0.45952737191174398</v>
      </c>
      <c r="J1748">
        <v>0.32884347356886701</v>
      </c>
      <c r="K1748">
        <v>0.12721683213794799</v>
      </c>
      <c r="L1748">
        <v>570.68450890511201</v>
      </c>
      <c r="M1748">
        <v>9.7247363004304503</v>
      </c>
      <c r="N1748">
        <v>58.683809349656698</v>
      </c>
      <c r="O1748">
        <v>56.363581193353603</v>
      </c>
      <c r="P1748">
        <v>-4.3157292354526998E-2</v>
      </c>
      <c r="Q1748">
        <v>0</v>
      </c>
      <c r="R1748">
        <v>0.92951590716753396</v>
      </c>
      <c r="S1748" t="s">
        <v>7331</v>
      </c>
      <c r="T1748" t="s">
        <v>11164</v>
      </c>
      <c r="U1748" t="s">
        <v>11164</v>
      </c>
      <c r="V1748" t="s">
        <v>11164</v>
      </c>
      <c r="W1748" t="s">
        <v>12880</v>
      </c>
      <c r="X1748">
        <v>1</v>
      </c>
      <c r="Y1748" t="s">
        <v>18403</v>
      </c>
      <c r="Z1748" t="s">
        <v>23898</v>
      </c>
      <c r="AA1748">
        <v>0.70687819951267938</v>
      </c>
      <c r="AB1748" t="str">
        <f>HYPERLINK("Melting_Curves/meltCurve_P07099_EPHX1.pdf", "Melting_Curves/meltCurve_P07099_EPHX1.pdf")</f>
        <v>Melting_Curves/meltCurve_P07099_EPHX1.pdf</v>
      </c>
    </row>
    <row r="1749" spans="1:28" x14ac:dyDescent="0.25">
      <c r="A1749" t="s">
        <v>1753</v>
      </c>
      <c r="B1749">
        <v>0.99796759195183404</v>
      </c>
      <c r="C1749">
        <v>1.0306550167961599</v>
      </c>
      <c r="D1749">
        <v>0.89667048175361797</v>
      </c>
      <c r="E1749">
        <v>0.810174052860829</v>
      </c>
      <c r="F1749">
        <v>0.86288836419946802</v>
      </c>
      <c r="G1749">
        <v>0.47307666384550601</v>
      </c>
      <c r="H1749">
        <v>0.488540373599191</v>
      </c>
      <c r="I1749">
        <v>0.51636169245446495</v>
      </c>
      <c r="J1749">
        <v>0.62809801322573999</v>
      </c>
      <c r="K1749">
        <v>0.52754824832022995</v>
      </c>
      <c r="L1749">
        <v>873.28267919199504</v>
      </c>
      <c r="M1749">
        <v>17.791853834983399</v>
      </c>
      <c r="O1749">
        <v>48.475789898813801</v>
      </c>
      <c r="P1749">
        <v>-4.4302494103519503E-2</v>
      </c>
      <c r="Q1749">
        <v>0.51719736082541501</v>
      </c>
      <c r="R1749">
        <v>0.85450347894165901</v>
      </c>
      <c r="S1749" t="s">
        <v>7332</v>
      </c>
      <c r="T1749" t="s">
        <v>11164</v>
      </c>
      <c r="U1749" t="s">
        <v>11164</v>
      </c>
      <c r="V1749" t="s">
        <v>11164</v>
      </c>
      <c r="W1749" t="s">
        <v>12881</v>
      </c>
      <c r="X1749">
        <v>1</v>
      </c>
      <c r="Y1749" t="s">
        <v>18404</v>
      </c>
      <c r="Z1749" t="s">
        <v>23899</v>
      </c>
      <c r="AA1749">
        <v>0.71948642712439859</v>
      </c>
      <c r="AB1749" t="str">
        <f>HYPERLINK("Melting_Curves/meltCurve_P07108_DBI.pdf", "Melting_Curves/meltCurve_P07108_DBI.pdf")</f>
        <v>Melting_Curves/meltCurve_P07108_DBI.pdf</v>
      </c>
    </row>
    <row r="1750" spans="1:28" x14ac:dyDescent="0.25">
      <c r="A1750" t="s">
        <v>1754</v>
      </c>
      <c r="B1750">
        <v>0.99796759195183404</v>
      </c>
      <c r="C1750">
        <v>1.01259288962789</v>
      </c>
      <c r="D1750">
        <v>0.99702101731682202</v>
      </c>
      <c r="E1750">
        <v>0.96783422476550396</v>
      </c>
      <c r="F1750">
        <v>0.872876838576502</v>
      </c>
      <c r="G1750">
        <v>0.91942819263146602</v>
      </c>
      <c r="H1750">
        <v>0.98315813525934903</v>
      </c>
      <c r="I1750">
        <v>0.93942966329616195</v>
      </c>
      <c r="J1750">
        <v>1.0560835675698099</v>
      </c>
      <c r="K1750">
        <v>0.78594711956904395</v>
      </c>
      <c r="L1750">
        <v>11662.0752475013</v>
      </c>
      <c r="M1750">
        <v>250</v>
      </c>
      <c r="O1750">
        <v>46.645324750037197</v>
      </c>
      <c r="P1750">
        <v>-9.8946270145900697E-2</v>
      </c>
      <c r="Q1750">
        <v>0.92615391974032502</v>
      </c>
      <c r="R1750">
        <v>0.21643995757147799</v>
      </c>
      <c r="S1750" t="s">
        <v>7333</v>
      </c>
      <c r="T1750" t="s">
        <v>11164</v>
      </c>
      <c r="U1750" t="s">
        <v>11164</v>
      </c>
      <c r="V1750" t="s">
        <v>11164</v>
      </c>
      <c r="W1750" t="s">
        <v>12882</v>
      </c>
      <c r="X1750">
        <v>26</v>
      </c>
      <c r="Y1750" t="s">
        <v>18405</v>
      </c>
      <c r="Z1750" t="s">
        <v>23900</v>
      </c>
      <c r="AA1750">
        <v>0.94990960560974247</v>
      </c>
      <c r="AB1750" t="str">
        <f>HYPERLINK("Melting_Curves/meltCurve_P07195_LDHB.pdf", "Melting_Curves/meltCurve_P07195_LDHB.pdf")</f>
        <v>Melting_Curves/meltCurve_P07195_LDHB.pdf</v>
      </c>
    </row>
    <row r="1751" spans="1:28" x14ac:dyDescent="0.25">
      <c r="A1751" t="s">
        <v>1755</v>
      </c>
      <c r="B1751">
        <v>0.99796759195183404</v>
      </c>
      <c r="C1751">
        <v>0.95088013311280795</v>
      </c>
      <c r="D1751">
        <v>0.90170349441464503</v>
      </c>
      <c r="E1751">
        <v>0.84882963435366299</v>
      </c>
      <c r="F1751">
        <v>0.70179218193429205</v>
      </c>
      <c r="G1751">
        <v>1.3573099374819999</v>
      </c>
      <c r="H1751">
        <v>1.19718145491353</v>
      </c>
      <c r="I1751">
        <v>1.14807016665215</v>
      </c>
      <c r="J1751">
        <v>0.52415217203721998</v>
      </c>
      <c r="K1751">
        <v>0.28775352049250102</v>
      </c>
      <c r="L1751">
        <v>15000</v>
      </c>
      <c r="M1751">
        <v>234.708803529471</v>
      </c>
      <c r="N1751">
        <v>64.143125297065794</v>
      </c>
      <c r="O1751">
        <v>63.904339849290501</v>
      </c>
      <c r="P1751">
        <v>-0.65400410390129404</v>
      </c>
      <c r="Q1751">
        <v>0.28773528176866803</v>
      </c>
      <c r="R1751">
        <v>0.66360199111073503</v>
      </c>
      <c r="S1751" t="s">
        <v>7334</v>
      </c>
      <c r="T1751" t="s">
        <v>11164</v>
      </c>
      <c r="U1751" t="s">
        <v>11164</v>
      </c>
      <c r="V1751" t="s">
        <v>11164</v>
      </c>
      <c r="W1751" t="s">
        <v>12883</v>
      </c>
      <c r="X1751">
        <v>17</v>
      </c>
      <c r="Y1751" t="s">
        <v>18406</v>
      </c>
      <c r="Z1751" t="s">
        <v>23901</v>
      </c>
      <c r="AA1751">
        <v>0.92670298960450392</v>
      </c>
      <c r="AB1751" t="str">
        <f>HYPERLINK("Melting_Curves/meltCurve_P07196_NEFL.pdf", "Melting_Curves/meltCurve_P07196_NEFL.pdf")</f>
        <v>Melting_Curves/meltCurve_P07196_NEFL.pdf</v>
      </c>
    </row>
    <row r="1752" spans="1:28" x14ac:dyDescent="0.25">
      <c r="A1752" t="s">
        <v>1756</v>
      </c>
      <c r="B1752">
        <v>0.99796759195183404</v>
      </c>
      <c r="C1752">
        <v>0.83432706487543995</v>
      </c>
      <c r="D1752">
        <v>0.83942529821268197</v>
      </c>
      <c r="E1752">
        <v>0.76349234900746898</v>
      </c>
      <c r="F1752">
        <v>0.71500415708191101</v>
      </c>
      <c r="G1752">
        <v>0.55654663790417802</v>
      </c>
      <c r="H1752">
        <v>0.50642559398114395</v>
      </c>
      <c r="I1752">
        <v>0.42649633888023097</v>
      </c>
      <c r="J1752">
        <v>0.60520483166566097</v>
      </c>
      <c r="K1752">
        <v>0.73002450774167404</v>
      </c>
      <c r="L1752">
        <v>517.61912742276797</v>
      </c>
      <c r="M1752">
        <v>11.581368476156999</v>
      </c>
      <c r="O1752">
        <v>43.423919976527003</v>
      </c>
      <c r="P1752">
        <v>-2.9680289125590099E-2</v>
      </c>
      <c r="Q1752">
        <v>0.554982422848736</v>
      </c>
      <c r="R1752">
        <v>0.73413922838557</v>
      </c>
      <c r="S1752" t="s">
        <v>7335</v>
      </c>
      <c r="T1752" t="s">
        <v>11164</v>
      </c>
      <c r="U1752" t="s">
        <v>11164</v>
      </c>
      <c r="V1752" t="s">
        <v>11164</v>
      </c>
      <c r="W1752" t="s">
        <v>12884</v>
      </c>
      <c r="X1752">
        <v>7</v>
      </c>
      <c r="Y1752" t="s">
        <v>18407</v>
      </c>
      <c r="Z1752" t="s">
        <v>23902</v>
      </c>
      <c r="AA1752">
        <v>0.6866781700691007</v>
      </c>
      <c r="AB1752" t="str">
        <f>HYPERLINK("Melting_Curves/meltCurve_P07203_GPX1.pdf", "Melting_Curves/meltCurve_P07203_GPX1.pdf")</f>
        <v>Melting_Curves/meltCurve_P07203_GPX1.pdf</v>
      </c>
    </row>
    <row r="1753" spans="1:28" x14ac:dyDescent="0.25">
      <c r="A1753" t="s">
        <v>1757</v>
      </c>
      <c r="B1753">
        <v>0.99796759195183404</v>
      </c>
      <c r="C1753">
        <v>0.93545392164464203</v>
      </c>
      <c r="D1753">
        <v>0.93414905725736896</v>
      </c>
      <c r="E1753">
        <v>0.89568287614611797</v>
      </c>
      <c r="F1753">
        <v>0.71129067833646198</v>
      </c>
      <c r="G1753">
        <v>0.60792644892130598</v>
      </c>
      <c r="H1753">
        <v>0.38549692184530798</v>
      </c>
      <c r="I1753">
        <v>0.13166543657172999</v>
      </c>
      <c r="J1753">
        <v>9.0433536586082497E-2</v>
      </c>
      <c r="K1753">
        <v>8.6765851788141807E-2</v>
      </c>
      <c r="L1753">
        <v>718.45519940319696</v>
      </c>
      <c r="M1753">
        <v>13.1673257736403</v>
      </c>
      <c r="N1753">
        <v>54.563486332516597</v>
      </c>
      <c r="O1753">
        <v>53.351013285397599</v>
      </c>
      <c r="P1753">
        <v>-6.1711756720283902E-2</v>
      </c>
      <c r="Q1753">
        <v>0</v>
      </c>
      <c r="R1753">
        <v>0.98556204953806004</v>
      </c>
      <c r="S1753" t="s">
        <v>7336</v>
      </c>
      <c r="T1753" t="s">
        <v>11164</v>
      </c>
      <c r="U1753" t="s">
        <v>11164</v>
      </c>
      <c r="V1753" t="s">
        <v>11164</v>
      </c>
      <c r="W1753" t="s">
        <v>12885</v>
      </c>
      <c r="X1753">
        <v>7</v>
      </c>
      <c r="Y1753" t="s">
        <v>18408</v>
      </c>
      <c r="Z1753" t="s">
        <v>23903</v>
      </c>
      <c r="AA1753">
        <v>0.60127491115368936</v>
      </c>
      <c r="AB1753" t="str">
        <f>HYPERLINK("Melting_Curves/meltCurve_P07205_PGK2.pdf", "Melting_Curves/meltCurve_P07205_PGK2.pdf")</f>
        <v>Melting_Curves/meltCurve_P07205_PGK2.pdf</v>
      </c>
    </row>
    <row r="1754" spans="1:28" x14ac:dyDescent="0.25">
      <c r="A1754" t="s">
        <v>1758</v>
      </c>
      <c r="B1754">
        <v>0.99796759195183404</v>
      </c>
      <c r="C1754">
        <v>1.0040551816204599</v>
      </c>
      <c r="D1754">
        <v>1.00514012942884</v>
      </c>
      <c r="E1754">
        <v>0.93263085472319396</v>
      </c>
      <c r="F1754">
        <v>0.84125987404212399</v>
      </c>
      <c r="G1754">
        <v>0.69687548739570304</v>
      </c>
      <c r="H1754">
        <v>0.63900698615784501</v>
      </c>
      <c r="I1754">
        <v>0.51331024983479401</v>
      </c>
      <c r="J1754">
        <v>0.49306071012879998</v>
      </c>
      <c r="K1754">
        <v>0.39775005428029903</v>
      </c>
      <c r="L1754">
        <v>602.79116095962002</v>
      </c>
      <c r="M1754">
        <v>10.817219259909001</v>
      </c>
      <c r="N1754">
        <v>61.947622217668197</v>
      </c>
      <c r="O1754">
        <v>53.922109620454101</v>
      </c>
      <c r="P1754">
        <v>-3.3548131428960598E-2</v>
      </c>
      <c r="Q1754">
        <v>0.33131258180308099</v>
      </c>
      <c r="R1754">
        <v>0.99064947903632306</v>
      </c>
      <c r="S1754" t="s">
        <v>7337</v>
      </c>
      <c r="T1754" t="s">
        <v>11164</v>
      </c>
      <c r="U1754" t="s">
        <v>11164</v>
      </c>
      <c r="V1754" t="s">
        <v>11164</v>
      </c>
      <c r="W1754" t="s">
        <v>12886</v>
      </c>
      <c r="X1754">
        <v>38</v>
      </c>
      <c r="Y1754" t="s">
        <v>18409</v>
      </c>
      <c r="Z1754" t="s">
        <v>23904</v>
      </c>
      <c r="AA1754">
        <v>0.75503526228238393</v>
      </c>
      <c r="AB1754" t="str">
        <f>HYPERLINK("Melting_Curves/meltCurve_P07237_P4HB.pdf", "Melting_Curves/meltCurve_P07237_P4HB.pdf")</f>
        <v>Melting_Curves/meltCurve_P07237_P4HB.pdf</v>
      </c>
    </row>
    <row r="1755" spans="1:28" x14ac:dyDescent="0.25">
      <c r="A1755" t="s">
        <v>1759</v>
      </c>
      <c r="B1755">
        <v>0.99796759195183404</v>
      </c>
      <c r="C1755">
        <v>0.94452490923584298</v>
      </c>
      <c r="D1755">
        <v>0.95194156678934405</v>
      </c>
      <c r="E1755">
        <v>0.881466820319594</v>
      </c>
      <c r="F1755">
        <v>0.77130998032644704</v>
      </c>
      <c r="G1755">
        <v>0.70353291889668101</v>
      </c>
      <c r="H1755">
        <v>0.58748618172803801</v>
      </c>
      <c r="I1755">
        <v>0.44945266000580603</v>
      </c>
      <c r="J1755">
        <v>0.25352739181929801</v>
      </c>
      <c r="K1755">
        <v>0.116003017995462</v>
      </c>
      <c r="L1755">
        <v>576.66664075704398</v>
      </c>
      <c r="M1755">
        <v>9.9280854275387096</v>
      </c>
      <c r="N1755">
        <v>58.0843753919427</v>
      </c>
      <c r="O1755">
        <v>55.875153953510299</v>
      </c>
      <c r="P1755">
        <v>-4.44430318577273E-2</v>
      </c>
      <c r="Q1755">
        <v>0</v>
      </c>
      <c r="R1755">
        <v>0.97119148822851498</v>
      </c>
      <c r="S1755" t="s">
        <v>7338</v>
      </c>
      <c r="T1755" t="s">
        <v>11164</v>
      </c>
      <c r="U1755" t="s">
        <v>11164</v>
      </c>
      <c r="V1755" t="s">
        <v>11164</v>
      </c>
      <c r="W1755" t="s">
        <v>12887</v>
      </c>
      <c r="X1755">
        <v>19</v>
      </c>
      <c r="Y1755" t="s">
        <v>18410</v>
      </c>
      <c r="Z1755" t="s">
        <v>23905</v>
      </c>
      <c r="AA1755">
        <v>0.69319627416784135</v>
      </c>
      <c r="AB1755" t="str">
        <f>HYPERLINK("Melting_Curves/meltCurve_P07339_CTSD.pdf", "Melting_Curves/meltCurve_P07339_CTSD.pdf")</f>
        <v>Melting_Curves/meltCurve_P07339_CTSD.pdf</v>
      </c>
    </row>
    <row r="1756" spans="1:28" x14ac:dyDescent="0.25">
      <c r="A1756" t="s">
        <v>1760</v>
      </c>
      <c r="B1756">
        <v>0.99796759195183404</v>
      </c>
      <c r="C1756">
        <v>0.94436997613472395</v>
      </c>
      <c r="D1756">
        <v>0.91972631739118804</v>
      </c>
      <c r="E1756">
        <v>0.84944561508688399</v>
      </c>
      <c r="F1756">
        <v>0.71220498183033099</v>
      </c>
      <c r="G1756">
        <v>0.51849977426212601</v>
      </c>
      <c r="H1756">
        <v>0.35880063900242398</v>
      </c>
      <c r="I1756">
        <v>0.14656531657508601</v>
      </c>
      <c r="J1756">
        <v>0.119038931457371</v>
      </c>
      <c r="K1756">
        <v>9.3360937368770894E-2</v>
      </c>
      <c r="L1756">
        <v>637.47146277734998</v>
      </c>
      <c r="M1756">
        <v>11.8372247732331</v>
      </c>
      <c r="N1756">
        <v>53.853116301006203</v>
      </c>
      <c r="O1756">
        <v>52.385109209134598</v>
      </c>
      <c r="P1756">
        <v>-5.6505697291156197E-2</v>
      </c>
      <c r="Q1756">
        <v>0</v>
      </c>
      <c r="R1756">
        <v>0.99390536103847504</v>
      </c>
      <c r="S1756" t="s">
        <v>7339</v>
      </c>
      <c r="T1756" t="s">
        <v>11164</v>
      </c>
      <c r="U1756" t="s">
        <v>11164</v>
      </c>
      <c r="V1756" t="s">
        <v>11164</v>
      </c>
      <c r="W1756" t="s">
        <v>12888</v>
      </c>
      <c r="X1756">
        <v>47</v>
      </c>
      <c r="Y1756" t="s">
        <v>18411</v>
      </c>
      <c r="Z1756" t="s">
        <v>23906</v>
      </c>
      <c r="AA1756">
        <v>0.58023772871840607</v>
      </c>
      <c r="AB1756" t="str">
        <f>HYPERLINK("Melting_Curves/meltCurve_P07355_ANXA2.pdf", "Melting_Curves/meltCurve_P07355_ANXA2.pdf")</f>
        <v>Melting_Curves/meltCurve_P07355_ANXA2.pdf</v>
      </c>
    </row>
    <row r="1757" spans="1:28" x14ac:dyDescent="0.25">
      <c r="A1757" t="s">
        <v>1761</v>
      </c>
      <c r="B1757">
        <v>0.99796759195183404</v>
      </c>
      <c r="C1757">
        <v>0.98260673217795702</v>
      </c>
      <c r="D1757">
        <v>0.96876000788999606</v>
      </c>
      <c r="E1757">
        <v>0.92929947763417498</v>
      </c>
      <c r="F1757">
        <v>0.83458006883031699</v>
      </c>
      <c r="G1757">
        <v>0.81576561235246303</v>
      </c>
      <c r="H1757">
        <v>0.69108283022806605</v>
      </c>
      <c r="I1757">
        <v>0.53004637755629902</v>
      </c>
      <c r="J1757">
        <v>0.319615876732596</v>
      </c>
      <c r="K1757">
        <v>0.133165944011605</v>
      </c>
      <c r="L1757">
        <v>762.21536515796004</v>
      </c>
      <c r="M1757">
        <v>12.635233740373099</v>
      </c>
      <c r="N1757">
        <v>60.324595565750897</v>
      </c>
      <c r="O1757">
        <v>58.873392935947798</v>
      </c>
      <c r="P1757">
        <v>-5.3664850039590498E-2</v>
      </c>
      <c r="Q1757">
        <v>0</v>
      </c>
      <c r="R1757">
        <v>0.96935577584355903</v>
      </c>
      <c r="S1757" t="s">
        <v>7340</v>
      </c>
      <c r="T1757" t="s">
        <v>11164</v>
      </c>
      <c r="U1757" t="s">
        <v>11164</v>
      </c>
      <c r="V1757" t="s">
        <v>11164</v>
      </c>
      <c r="W1757" t="s">
        <v>12889</v>
      </c>
      <c r="X1757">
        <v>25</v>
      </c>
      <c r="Y1757" t="s">
        <v>18412</v>
      </c>
      <c r="Z1757" t="s">
        <v>23907</v>
      </c>
      <c r="AA1757">
        <v>0.76105805519547931</v>
      </c>
      <c r="AB1757" t="str">
        <f>HYPERLINK("Melting_Curves/meltCurve_P07384_CAPN1.pdf", "Melting_Curves/meltCurve_P07384_CAPN1.pdf")</f>
        <v>Melting_Curves/meltCurve_P07384_CAPN1.pdf</v>
      </c>
    </row>
    <row r="1758" spans="1:28" x14ac:dyDescent="0.25">
      <c r="A1758" t="s">
        <v>1762</v>
      </c>
      <c r="B1758">
        <v>0.99796759195183404</v>
      </c>
      <c r="C1758">
        <v>1.0158091550847299</v>
      </c>
      <c r="D1758">
        <v>0.97248668387952697</v>
      </c>
      <c r="E1758">
        <v>0.95846346472308797</v>
      </c>
      <c r="F1758">
        <v>0.827413189534837</v>
      </c>
      <c r="G1758">
        <v>0.89551883585005598</v>
      </c>
      <c r="H1758">
        <v>0.79005848100170795</v>
      </c>
      <c r="I1758">
        <v>0.70111902601125597</v>
      </c>
      <c r="J1758">
        <v>0.49459217935302402</v>
      </c>
      <c r="K1758">
        <v>0.19891288267632801</v>
      </c>
      <c r="L1758">
        <v>930.736103697266</v>
      </c>
      <c r="M1758">
        <v>14.744054935352301</v>
      </c>
      <c r="N1758">
        <v>63.126192826519897</v>
      </c>
      <c r="O1758">
        <v>61.999061738229898</v>
      </c>
      <c r="P1758">
        <v>-5.9459160441740801E-2</v>
      </c>
      <c r="Q1758">
        <v>0</v>
      </c>
      <c r="R1758">
        <v>0.92693688357243398</v>
      </c>
      <c r="S1758" t="s">
        <v>7341</v>
      </c>
      <c r="T1758" t="s">
        <v>11164</v>
      </c>
      <c r="U1758" t="s">
        <v>11164</v>
      </c>
      <c r="V1758" t="s">
        <v>11164</v>
      </c>
      <c r="W1758" t="s">
        <v>12890</v>
      </c>
      <c r="X1758">
        <v>19</v>
      </c>
      <c r="Y1758" t="s">
        <v>18413</v>
      </c>
      <c r="Z1758" t="s">
        <v>23908</v>
      </c>
      <c r="AA1758">
        <v>0.83602446890827875</v>
      </c>
      <c r="AB1758" t="str">
        <f>HYPERLINK("Melting_Curves/meltCurve_P07686_HEXB.pdf", "Melting_Curves/meltCurve_P07686_HEXB.pdf")</f>
        <v>Melting_Curves/meltCurve_P07686_HEXB.pdf</v>
      </c>
    </row>
    <row r="1759" spans="1:28" x14ac:dyDescent="0.25">
      <c r="A1759" t="s">
        <v>1763</v>
      </c>
      <c r="B1759">
        <v>0.99796759195183404</v>
      </c>
      <c r="C1759">
        <v>0.816913694623983</v>
      </c>
      <c r="D1759">
        <v>0.98077790991604097</v>
      </c>
      <c r="E1759">
        <v>0.96414076385563496</v>
      </c>
      <c r="F1759">
        <v>0.85149932892605096</v>
      </c>
      <c r="G1759">
        <v>0.77095374022764096</v>
      </c>
      <c r="H1759">
        <v>0.34981171935829503</v>
      </c>
      <c r="I1759">
        <v>0.32942239858107702</v>
      </c>
      <c r="J1759">
        <v>0.165688659379542</v>
      </c>
      <c r="K1759">
        <v>6.6205734998089696E-2</v>
      </c>
      <c r="L1759">
        <v>842.564580194678</v>
      </c>
      <c r="M1759">
        <v>14.8520655321707</v>
      </c>
      <c r="N1759">
        <v>56.7304651011708</v>
      </c>
      <c r="O1759">
        <v>55.731778111527099</v>
      </c>
      <c r="P1759">
        <v>-6.6629962190044495E-2</v>
      </c>
      <c r="Q1759">
        <v>0</v>
      </c>
      <c r="R1759">
        <v>0.95183962565168301</v>
      </c>
      <c r="S1759" t="s">
        <v>7342</v>
      </c>
      <c r="T1759" t="s">
        <v>11164</v>
      </c>
      <c r="U1759" t="s">
        <v>11164</v>
      </c>
      <c r="V1759" t="s">
        <v>11164</v>
      </c>
      <c r="W1759" t="s">
        <v>12891</v>
      </c>
      <c r="X1759">
        <v>4</v>
      </c>
      <c r="Y1759" t="s">
        <v>18414</v>
      </c>
      <c r="Z1759" t="s">
        <v>23909</v>
      </c>
      <c r="AA1759">
        <v>0.66675573278524536</v>
      </c>
      <c r="AB1759" t="str">
        <f>HYPERLINK("Melting_Curves/meltCurve_P07711_CTSL1.pdf", "Melting_Curves/meltCurve_P07711_CTSL1.pdf")</f>
        <v>Melting_Curves/meltCurve_P07711_CTSL1.pdf</v>
      </c>
    </row>
    <row r="1760" spans="1:28" x14ac:dyDescent="0.25">
      <c r="A1760" t="s">
        <v>1764</v>
      </c>
      <c r="B1760">
        <v>0.99796759195183404</v>
      </c>
      <c r="C1760">
        <v>1.1144594940495001</v>
      </c>
      <c r="D1760">
        <v>1.0829103939303</v>
      </c>
      <c r="E1760">
        <v>0.96188847351135798</v>
      </c>
      <c r="F1760">
        <v>0.85169410738564499</v>
      </c>
      <c r="G1760">
        <v>0.65882676176891497</v>
      </c>
      <c r="H1760">
        <v>0.37309050744126898</v>
      </c>
      <c r="I1760">
        <v>0.15762240009588299</v>
      </c>
      <c r="J1760">
        <v>0.124405487772178</v>
      </c>
      <c r="K1760">
        <v>9.2187580710986899E-2</v>
      </c>
      <c r="L1760">
        <v>1052.22089854</v>
      </c>
      <c r="M1760">
        <v>19.046494942332</v>
      </c>
      <c r="N1760">
        <v>55.563573866053403</v>
      </c>
      <c r="O1760">
        <v>54.646673573438903</v>
      </c>
      <c r="P1760">
        <v>-8.2629120698196695E-2</v>
      </c>
      <c r="Q1760">
        <v>5.1746088485156397E-2</v>
      </c>
      <c r="R1760">
        <v>0.98536988413530802</v>
      </c>
      <c r="S1760" t="s">
        <v>7343</v>
      </c>
      <c r="T1760" t="s">
        <v>11164</v>
      </c>
      <c r="U1760" t="s">
        <v>11164</v>
      </c>
      <c r="V1760" t="s">
        <v>11164</v>
      </c>
      <c r="W1760" t="s">
        <v>12892</v>
      </c>
      <c r="X1760">
        <v>23</v>
      </c>
      <c r="Y1760" t="s">
        <v>18415</v>
      </c>
      <c r="Z1760" t="s">
        <v>23910</v>
      </c>
      <c r="AA1760">
        <v>0.63949167739867041</v>
      </c>
      <c r="AB1760" t="str">
        <f>HYPERLINK("Melting_Curves/meltCurve_P07737_PFN1.pdf", "Melting_Curves/meltCurve_P07737_PFN1.pdf")</f>
        <v>Melting_Curves/meltCurve_P07737_PFN1.pdf</v>
      </c>
    </row>
    <row r="1761" spans="1:28" x14ac:dyDescent="0.25">
      <c r="A1761" t="s">
        <v>1765</v>
      </c>
      <c r="B1761">
        <v>0.99796759195183404</v>
      </c>
      <c r="C1761">
        <v>1.01521373340474</v>
      </c>
      <c r="D1761">
        <v>0.99135571815299195</v>
      </c>
      <c r="E1761">
        <v>1.18698473706517</v>
      </c>
      <c r="F1761">
        <v>0.86625608664729803</v>
      </c>
      <c r="G1761">
        <v>0.63014751384052503</v>
      </c>
      <c r="H1761">
        <v>0.59717140455739204</v>
      </c>
      <c r="I1761">
        <v>0.34812703756895602</v>
      </c>
      <c r="J1761">
        <v>0.16752823891518301</v>
      </c>
      <c r="K1761">
        <v>9.7135163428870699E-2</v>
      </c>
      <c r="L1761">
        <v>835.18044266520894</v>
      </c>
      <c r="M1761">
        <v>14.4549071588002</v>
      </c>
      <c r="N1761">
        <v>57.778333303789999</v>
      </c>
      <c r="O1761">
        <v>56.706276692531503</v>
      </c>
      <c r="P1761">
        <v>-6.3734546134087605E-2</v>
      </c>
      <c r="Q1761">
        <v>0</v>
      </c>
      <c r="R1761">
        <v>0.94777020538128598</v>
      </c>
      <c r="S1761" t="s">
        <v>7344</v>
      </c>
      <c r="T1761" t="s">
        <v>11164</v>
      </c>
      <c r="U1761" t="s">
        <v>11164</v>
      </c>
      <c r="V1761" t="s">
        <v>11164</v>
      </c>
      <c r="W1761" t="s">
        <v>12893</v>
      </c>
      <c r="X1761">
        <v>11</v>
      </c>
      <c r="Y1761" t="s">
        <v>18416</v>
      </c>
      <c r="Z1761" t="s">
        <v>23911</v>
      </c>
      <c r="AA1761">
        <v>0.69712489680495537</v>
      </c>
      <c r="AB1761" t="str">
        <f>HYPERLINK("Melting_Curves/meltCurve_P07738_BPGM.pdf", "Melting_Curves/meltCurve_P07738_BPGM.pdf")</f>
        <v>Melting_Curves/meltCurve_P07738_BPGM.pdf</v>
      </c>
    </row>
    <row r="1762" spans="1:28" x14ac:dyDescent="0.25">
      <c r="A1762" t="s">
        <v>1766</v>
      </c>
      <c r="B1762">
        <v>0.99796759195183404</v>
      </c>
      <c r="C1762">
        <v>0.952260937042403</v>
      </c>
      <c r="D1762">
        <v>0.924694053867399</v>
      </c>
      <c r="E1762">
        <v>0.87048301735579303</v>
      </c>
      <c r="F1762">
        <v>0.74631430970967805</v>
      </c>
      <c r="G1762">
        <v>0.68196960971547804</v>
      </c>
      <c r="H1762">
        <v>0.51070154397891598</v>
      </c>
      <c r="I1762">
        <v>0.37897116048876101</v>
      </c>
      <c r="J1762">
        <v>0.29304886803119301</v>
      </c>
      <c r="K1762">
        <v>0.103927296698807</v>
      </c>
      <c r="L1762">
        <v>533.01299836179203</v>
      </c>
      <c r="M1762">
        <v>9.3318062553129408</v>
      </c>
      <c r="N1762">
        <v>57.117865341979403</v>
      </c>
      <c r="O1762">
        <v>54.678945647751</v>
      </c>
      <c r="P1762">
        <v>-4.2693387646607503E-2</v>
      </c>
      <c r="Q1762">
        <v>0</v>
      </c>
      <c r="R1762">
        <v>0.98061615745409803</v>
      </c>
      <c r="S1762" t="s">
        <v>7345</v>
      </c>
      <c r="T1762" t="s">
        <v>11164</v>
      </c>
      <c r="U1762" t="s">
        <v>11164</v>
      </c>
      <c r="V1762" t="s">
        <v>11164</v>
      </c>
      <c r="W1762" t="s">
        <v>12894</v>
      </c>
      <c r="X1762">
        <v>13</v>
      </c>
      <c r="Y1762" t="s">
        <v>18417</v>
      </c>
      <c r="Z1762" t="s">
        <v>23912</v>
      </c>
      <c r="AA1762">
        <v>0.66607783607528814</v>
      </c>
      <c r="AB1762" t="str">
        <f>HYPERLINK("Melting_Curves/meltCurve_P07741_APRT.pdf", "Melting_Curves/meltCurve_P07741_APRT.pdf")</f>
        <v>Melting_Curves/meltCurve_P07741_APRT.pdf</v>
      </c>
    </row>
    <row r="1763" spans="1:28" x14ac:dyDescent="0.25">
      <c r="A1763" t="s">
        <v>1767</v>
      </c>
      <c r="B1763">
        <v>0.99796759195183404</v>
      </c>
      <c r="C1763">
        <v>1.225410766228</v>
      </c>
      <c r="D1763">
        <v>1.1220242555375299</v>
      </c>
      <c r="E1763">
        <v>1.10140237882112</v>
      </c>
      <c r="F1763">
        <v>0.97562870727538398</v>
      </c>
      <c r="G1763">
        <v>0.91678335312248704</v>
      </c>
      <c r="H1763">
        <v>0.66264222328244704</v>
      </c>
      <c r="I1763">
        <v>0.46908329458865</v>
      </c>
      <c r="J1763">
        <v>0.46295934462007798</v>
      </c>
      <c r="K1763">
        <v>0.39799791891030301</v>
      </c>
      <c r="L1763">
        <v>1777.3352729781</v>
      </c>
      <c r="M1763">
        <v>31.275126144340099</v>
      </c>
      <c r="N1763">
        <v>60.261682194963598</v>
      </c>
      <c r="O1763">
        <v>56.5982142320332</v>
      </c>
      <c r="P1763">
        <v>-8.0703928194660393E-2</v>
      </c>
      <c r="Q1763">
        <v>0.41580761287633999</v>
      </c>
      <c r="R1763">
        <v>0.90855216730384702</v>
      </c>
      <c r="S1763" t="s">
        <v>7346</v>
      </c>
      <c r="T1763" t="s">
        <v>11164</v>
      </c>
      <c r="U1763" t="s">
        <v>11164</v>
      </c>
      <c r="V1763" t="s">
        <v>11164</v>
      </c>
      <c r="W1763" t="s">
        <v>12895</v>
      </c>
      <c r="X1763">
        <v>1</v>
      </c>
      <c r="Y1763" t="s">
        <v>18418</v>
      </c>
      <c r="Z1763" t="s">
        <v>23913</v>
      </c>
      <c r="AA1763">
        <v>0.80525540927196659</v>
      </c>
      <c r="AB1763" t="str">
        <f>HYPERLINK("Melting_Curves/meltCurve_P07814_EPRS.pdf", "Melting_Curves/meltCurve_P07814_EPRS.pdf")</f>
        <v>Melting_Curves/meltCurve_P07814_EPRS.pdf</v>
      </c>
    </row>
    <row r="1764" spans="1:28" x14ac:dyDescent="0.25">
      <c r="A1764" t="s">
        <v>1768</v>
      </c>
      <c r="B1764">
        <v>0.99796759195183404</v>
      </c>
      <c r="C1764">
        <v>1.04411013973788</v>
      </c>
      <c r="D1764">
        <v>1.1108924737772601</v>
      </c>
      <c r="E1764">
        <v>1.11821740787028</v>
      </c>
      <c r="F1764">
        <v>0.868244070354249</v>
      </c>
      <c r="G1764">
        <v>0.68492409363860396</v>
      </c>
      <c r="H1764">
        <v>0.68467913537400604</v>
      </c>
      <c r="I1764">
        <v>0.48342501022471002</v>
      </c>
      <c r="J1764">
        <v>0.35095784261151203</v>
      </c>
      <c r="K1764">
        <v>0.29532546393680298</v>
      </c>
      <c r="L1764">
        <v>765.55822857611099</v>
      </c>
      <c r="M1764">
        <v>13.2002654660653</v>
      </c>
      <c r="N1764">
        <v>60.102224038708997</v>
      </c>
      <c r="O1764">
        <v>56.713118142615301</v>
      </c>
      <c r="P1764">
        <v>-4.7420236035791402E-2</v>
      </c>
      <c r="Q1764">
        <v>0.18519764127189201</v>
      </c>
      <c r="R1764">
        <v>0.93692619121848397</v>
      </c>
      <c r="S1764" t="s">
        <v>7347</v>
      </c>
      <c r="T1764" t="s">
        <v>11164</v>
      </c>
      <c r="U1764" t="s">
        <v>11164</v>
      </c>
      <c r="V1764" t="s">
        <v>11164</v>
      </c>
      <c r="W1764" t="s">
        <v>12896</v>
      </c>
      <c r="X1764">
        <v>10</v>
      </c>
      <c r="Y1764" t="s">
        <v>18419</v>
      </c>
      <c r="Z1764" t="s">
        <v>23914</v>
      </c>
      <c r="AA1764">
        <v>0.75662871480418448</v>
      </c>
      <c r="AB1764" t="str">
        <f>HYPERLINK("Melting_Curves/meltCurve_P07858_CTSB.pdf", "Melting_Curves/meltCurve_P07858_CTSB.pdf")</f>
        <v>Melting_Curves/meltCurve_P07858_CTSB.pdf</v>
      </c>
    </row>
    <row r="1765" spans="1:28" x14ac:dyDescent="0.25">
      <c r="A1765" t="s">
        <v>1769</v>
      </c>
      <c r="B1765">
        <v>0.99796759195183404</v>
      </c>
      <c r="C1765">
        <v>1.0384370677735799</v>
      </c>
      <c r="D1765">
        <v>0.99241487247053595</v>
      </c>
      <c r="E1765">
        <v>0.91820449474210997</v>
      </c>
      <c r="F1765">
        <v>0.62899923781224998</v>
      </c>
      <c r="G1765">
        <v>0.58030515999171195</v>
      </c>
      <c r="H1765">
        <v>0.14468455526651999</v>
      </c>
      <c r="I1765">
        <v>0.112386390047056</v>
      </c>
      <c r="J1765">
        <v>7.7051013914476496E-2</v>
      </c>
      <c r="K1765">
        <v>6.3141407039010805E-2</v>
      </c>
      <c r="L1765">
        <v>844.65670939563302</v>
      </c>
      <c r="M1765">
        <v>15.9099570968254</v>
      </c>
      <c r="N1765">
        <v>53.137035869115799</v>
      </c>
      <c r="O1765">
        <v>52.272336982938803</v>
      </c>
      <c r="P1765">
        <v>-7.55635983521835E-2</v>
      </c>
      <c r="Q1765">
        <v>7.0198811066401901E-3</v>
      </c>
      <c r="R1765">
        <v>0.97753016223199896</v>
      </c>
      <c r="S1765" t="s">
        <v>7348</v>
      </c>
      <c r="T1765" t="s">
        <v>11164</v>
      </c>
      <c r="U1765" t="s">
        <v>11164</v>
      </c>
      <c r="V1765" t="s">
        <v>11164</v>
      </c>
      <c r="W1765" t="s">
        <v>12897</v>
      </c>
      <c r="X1765">
        <v>71</v>
      </c>
      <c r="Y1765" t="s">
        <v>18420</v>
      </c>
      <c r="Z1765" t="s">
        <v>23915</v>
      </c>
      <c r="AA1765">
        <v>0.55617081071894392</v>
      </c>
      <c r="AB1765" t="str">
        <f>HYPERLINK("Melting_Curves/meltCurve_P07900_HSP90AA1.pdf", "Melting_Curves/meltCurve_P07900_HSP90AA1.pdf")</f>
        <v>Melting_Curves/meltCurve_P07900_HSP90AA1.pdf</v>
      </c>
    </row>
    <row r="1766" spans="1:28" x14ac:dyDescent="0.25">
      <c r="A1766" t="s">
        <v>1770</v>
      </c>
      <c r="B1766">
        <v>0.99796759195183404</v>
      </c>
      <c r="C1766">
        <v>1.08079058523546</v>
      </c>
      <c r="D1766">
        <v>1.08510398407016</v>
      </c>
      <c r="E1766">
        <v>1.03074881835333</v>
      </c>
      <c r="F1766">
        <v>0.88671102053762096</v>
      </c>
      <c r="G1766">
        <v>0.723561822051766</v>
      </c>
      <c r="H1766">
        <v>0.66839211764391704</v>
      </c>
      <c r="I1766">
        <v>0.37268227873169002</v>
      </c>
      <c r="J1766">
        <v>0.24539910554649699</v>
      </c>
      <c r="K1766">
        <v>0.122412825303641</v>
      </c>
      <c r="L1766">
        <v>834.63362021663295</v>
      </c>
      <c r="M1766">
        <v>14.162183658018</v>
      </c>
      <c r="N1766">
        <v>58.933951232174799</v>
      </c>
      <c r="O1766">
        <v>57.796262942516499</v>
      </c>
      <c r="P1766">
        <v>-6.1266844414392903E-2</v>
      </c>
      <c r="Q1766">
        <v>0</v>
      </c>
      <c r="R1766">
        <v>0.97377885812617004</v>
      </c>
      <c r="S1766" t="s">
        <v>7349</v>
      </c>
      <c r="T1766" t="s">
        <v>11164</v>
      </c>
      <c r="U1766" t="s">
        <v>11164</v>
      </c>
      <c r="V1766" t="s">
        <v>11164</v>
      </c>
      <c r="W1766" t="s">
        <v>12898</v>
      </c>
      <c r="X1766">
        <v>8</v>
      </c>
      <c r="Y1766" t="s">
        <v>18421</v>
      </c>
      <c r="Z1766" t="s">
        <v>23916</v>
      </c>
      <c r="AA1766">
        <v>0.72915333137463323</v>
      </c>
      <c r="AB1766" t="str">
        <f>HYPERLINK("Melting_Curves/meltCurve_P07902_GALT.pdf", "Melting_Curves/meltCurve_P07902_GALT.pdf")</f>
        <v>Melting_Curves/meltCurve_P07902_GALT.pdf</v>
      </c>
    </row>
    <row r="1767" spans="1:28" x14ac:dyDescent="0.25">
      <c r="A1767" t="s">
        <v>1771</v>
      </c>
      <c r="B1767">
        <v>0.99796759195183404</v>
      </c>
      <c r="C1767">
        <v>1.05669697473515</v>
      </c>
      <c r="D1767">
        <v>0.97461670970775105</v>
      </c>
      <c r="E1767">
        <v>0.98226664598638302</v>
      </c>
      <c r="F1767">
        <v>0.88224248956434403</v>
      </c>
      <c r="G1767">
        <v>0.68229522382739505</v>
      </c>
      <c r="H1767">
        <v>0.87601394650337505</v>
      </c>
      <c r="I1767">
        <v>0.98513893962041799</v>
      </c>
      <c r="J1767">
        <v>1.43634237993678</v>
      </c>
      <c r="K1767">
        <v>1.3465071626166301</v>
      </c>
      <c r="L1767">
        <v>15000</v>
      </c>
      <c r="M1767">
        <v>240.46179610679999</v>
      </c>
      <c r="O1767">
        <v>62.3756604764421</v>
      </c>
      <c r="P1767">
        <v>0.377469478755457</v>
      </c>
      <c r="Q1767">
        <v>1.3916614942894601</v>
      </c>
      <c r="R1767">
        <v>0.68486945984066305</v>
      </c>
      <c r="S1767" t="s">
        <v>7350</v>
      </c>
      <c r="T1767" t="s">
        <v>11164</v>
      </c>
      <c r="U1767" t="s">
        <v>11164</v>
      </c>
      <c r="V1767" t="s">
        <v>11164</v>
      </c>
      <c r="W1767" t="s">
        <v>12899</v>
      </c>
      <c r="X1767">
        <v>9</v>
      </c>
      <c r="Y1767" t="s">
        <v>18422</v>
      </c>
      <c r="Z1767" t="s">
        <v>23917</v>
      </c>
      <c r="AA1767">
        <v>1.060269894441457</v>
      </c>
      <c r="AB1767" t="str">
        <f>HYPERLINK("Melting_Curves/meltCurve_P07919_UQCRH.pdf", "Melting_Curves/meltCurve_P07919_UQCRH.pdf")</f>
        <v>Melting_Curves/meltCurve_P07919_UQCRH.pdf</v>
      </c>
    </row>
    <row r="1768" spans="1:28" x14ac:dyDescent="0.25">
      <c r="A1768" t="s">
        <v>1772</v>
      </c>
      <c r="B1768">
        <v>0.99796759195183404</v>
      </c>
      <c r="C1768">
        <v>1.0255707411761801</v>
      </c>
      <c r="D1768">
        <v>0.99161349663885201</v>
      </c>
      <c r="E1768">
        <v>0.868220151242033</v>
      </c>
      <c r="F1768">
        <v>0.70743670106781498</v>
      </c>
      <c r="G1768">
        <v>0.356772898446022</v>
      </c>
      <c r="H1768">
        <v>0.24784684332957199</v>
      </c>
      <c r="I1768">
        <v>0.12860862344850399</v>
      </c>
      <c r="J1768">
        <v>9.4519152092007494E-2</v>
      </c>
      <c r="K1768">
        <v>7.3303097512377596E-2</v>
      </c>
      <c r="L1768">
        <v>921.46153735802898</v>
      </c>
      <c r="M1768">
        <v>17.721181946650301</v>
      </c>
      <c r="N1768">
        <v>52.409386950053303</v>
      </c>
      <c r="O1768">
        <v>51.349169633963498</v>
      </c>
      <c r="P1768">
        <v>-8.0676816884190997E-2</v>
      </c>
      <c r="Q1768">
        <v>6.4967596672151101E-2</v>
      </c>
      <c r="R1768">
        <v>0.99619346405093601</v>
      </c>
      <c r="S1768" t="s">
        <v>7351</v>
      </c>
      <c r="T1768" t="s">
        <v>11164</v>
      </c>
      <c r="U1768" t="s">
        <v>11164</v>
      </c>
      <c r="V1768" t="s">
        <v>11164</v>
      </c>
      <c r="W1768" t="s">
        <v>12900</v>
      </c>
      <c r="X1768">
        <v>4</v>
      </c>
      <c r="Y1768" t="s">
        <v>18423</v>
      </c>
      <c r="Z1768" t="s">
        <v>23918</v>
      </c>
      <c r="AA1768">
        <v>0.54686866973096449</v>
      </c>
      <c r="AB1768" t="str">
        <f>HYPERLINK("Melting_Curves/meltCurve_P07948_LYN.pdf", "Melting_Curves/meltCurve_P07948_LYN.pdf")</f>
        <v>Melting_Curves/meltCurve_P07948_LYN.pdf</v>
      </c>
    </row>
    <row r="1769" spans="1:28" x14ac:dyDescent="0.25">
      <c r="A1769" t="s">
        <v>1773</v>
      </c>
      <c r="B1769">
        <v>0.99796759195183404</v>
      </c>
      <c r="C1769">
        <v>1.04683144549596</v>
      </c>
      <c r="D1769">
        <v>1.0186423250730301</v>
      </c>
      <c r="E1769">
        <v>1.05192948685698</v>
      </c>
      <c r="F1769">
        <v>0.870530602118883</v>
      </c>
      <c r="G1769">
        <v>1.07701478465829</v>
      </c>
      <c r="H1769">
        <v>0.35759595414928103</v>
      </c>
      <c r="I1769">
        <v>0.17231348791592299</v>
      </c>
      <c r="J1769">
        <v>0.13166996684334401</v>
      </c>
      <c r="K1769">
        <v>0.10570791462981501</v>
      </c>
      <c r="L1769">
        <v>14288.7594610171</v>
      </c>
      <c r="M1769">
        <v>250</v>
      </c>
      <c r="N1769">
        <v>57.228058991131597</v>
      </c>
      <c r="O1769">
        <v>57.151380243313703</v>
      </c>
      <c r="P1769">
        <v>-0.944242586459345</v>
      </c>
      <c r="Q1769">
        <v>0.136563726533657</v>
      </c>
      <c r="R1769">
        <v>0.98197311754790495</v>
      </c>
      <c r="S1769" t="s">
        <v>7352</v>
      </c>
      <c r="T1769" t="s">
        <v>11164</v>
      </c>
      <c r="U1769" t="s">
        <v>11164</v>
      </c>
      <c r="V1769" t="s">
        <v>11164</v>
      </c>
      <c r="W1769" t="s">
        <v>12901</v>
      </c>
      <c r="X1769">
        <v>16</v>
      </c>
      <c r="Y1769" t="s">
        <v>18424</v>
      </c>
      <c r="Z1769" t="s">
        <v>23919</v>
      </c>
      <c r="AA1769">
        <v>0.71673669346867142</v>
      </c>
      <c r="AB1769" t="str">
        <f>HYPERLINK("Melting_Curves/meltCurve_P07954_2_FH.pdf", "Melting_Curves/meltCurve_P07954_2_FH.pdf")</f>
        <v>Melting_Curves/meltCurve_P07954_2_FH.pdf</v>
      </c>
    </row>
    <row r="1770" spans="1:28" x14ac:dyDescent="0.25">
      <c r="A1770" t="s">
        <v>1774</v>
      </c>
      <c r="B1770">
        <v>0.99796759195183404</v>
      </c>
      <c r="C1770">
        <v>1.1099901306529001</v>
      </c>
      <c r="D1770">
        <v>1.14231208535742</v>
      </c>
      <c r="E1770">
        <v>1.0483723837148999</v>
      </c>
      <c r="F1770">
        <v>0.90832205640137498</v>
      </c>
      <c r="G1770">
        <v>0.54494769398913101</v>
      </c>
      <c r="H1770">
        <v>0.280075716128593</v>
      </c>
      <c r="I1770">
        <v>0.25384440408758602</v>
      </c>
      <c r="J1770">
        <v>0.18676192900434499</v>
      </c>
      <c r="K1770">
        <v>0.114104899555297</v>
      </c>
      <c r="L1770">
        <v>1589.9112755327899</v>
      </c>
      <c r="M1770">
        <v>29.6859510832568</v>
      </c>
      <c r="N1770">
        <v>54.342345677143001</v>
      </c>
      <c r="O1770">
        <v>53.316427173153897</v>
      </c>
      <c r="P1770">
        <v>-0.114936167731732</v>
      </c>
      <c r="Q1770">
        <v>0.174297083760133</v>
      </c>
      <c r="R1770">
        <v>0.97291605102567102</v>
      </c>
      <c r="S1770" t="s">
        <v>7353</v>
      </c>
      <c r="T1770" t="s">
        <v>11164</v>
      </c>
      <c r="U1770" t="s">
        <v>11164</v>
      </c>
      <c r="V1770" t="s">
        <v>11164</v>
      </c>
      <c r="W1770" t="s">
        <v>12902</v>
      </c>
      <c r="X1770">
        <v>1</v>
      </c>
      <c r="Y1770" t="s">
        <v>18425</v>
      </c>
      <c r="Z1770" t="s">
        <v>23920</v>
      </c>
      <c r="AA1770">
        <v>0.63539381200621614</v>
      </c>
      <c r="AB1770" t="str">
        <f>HYPERLINK("Melting_Curves/meltCurve_P07992_ERCC1.pdf", "Melting_Curves/meltCurve_P07992_ERCC1.pdf")</f>
        <v>Melting_Curves/meltCurve_P07992_ERCC1.pdf</v>
      </c>
    </row>
    <row r="1771" spans="1:28" x14ac:dyDescent="0.25">
      <c r="A1771" t="s">
        <v>1775</v>
      </c>
      <c r="B1771">
        <v>0.99796759195183404</v>
      </c>
      <c r="C1771">
        <v>0.990793235082992</v>
      </c>
      <c r="D1771">
        <v>0.89055487530773603</v>
      </c>
      <c r="E1771">
        <v>0.90611360065935298</v>
      </c>
      <c r="F1771">
        <v>0.77170802482655299</v>
      </c>
      <c r="G1771">
        <v>0.57292472244385995</v>
      </c>
      <c r="H1771">
        <v>0.41160166915969099</v>
      </c>
      <c r="I1771">
        <v>0.26843983075566302</v>
      </c>
      <c r="J1771">
        <v>0.23497934112306701</v>
      </c>
      <c r="K1771">
        <v>0.154926234514425</v>
      </c>
      <c r="L1771">
        <v>602.21788158904201</v>
      </c>
      <c r="M1771">
        <v>10.9453036960512</v>
      </c>
      <c r="N1771">
        <v>55.477736678843698</v>
      </c>
      <c r="O1771">
        <v>53.279672226919502</v>
      </c>
      <c r="P1771">
        <v>-4.9160368788029297E-2</v>
      </c>
      <c r="Q1771">
        <v>4.3115514179151299E-2</v>
      </c>
      <c r="R1771">
        <v>0.99354019306508001</v>
      </c>
      <c r="S1771" t="s">
        <v>7354</v>
      </c>
      <c r="T1771" t="s">
        <v>11164</v>
      </c>
      <c r="U1771" t="s">
        <v>11164</v>
      </c>
      <c r="V1771" t="s">
        <v>11164</v>
      </c>
      <c r="W1771" t="s">
        <v>12903</v>
      </c>
      <c r="X1771">
        <v>10</v>
      </c>
      <c r="Y1771" t="s">
        <v>18426</v>
      </c>
      <c r="Z1771" t="s">
        <v>23921</v>
      </c>
      <c r="AA1771">
        <v>0.63065870284533709</v>
      </c>
      <c r="AB1771" t="str">
        <f>HYPERLINK("Melting_Curves/meltCurve_P08047_SP1.pdf", "Melting_Curves/meltCurve_P08047_SP1.pdf")</f>
        <v>Melting_Curves/meltCurve_P08047_SP1.pdf</v>
      </c>
    </row>
    <row r="1772" spans="1:28" x14ac:dyDescent="0.25">
      <c r="A1772" t="s">
        <v>1776</v>
      </c>
      <c r="B1772">
        <v>0.99796759195183404</v>
      </c>
      <c r="C1772">
        <v>0.97011568134605297</v>
      </c>
      <c r="D1772">
        <v>0.956682428586068</v>
      </c>
      <c r="E1772">
        <v>0.90473830121174004</v>
      </c>
      <c r="F1772">
        <v>0.79770435965672604</v>
      </c>
      <c r="G1772">
        <v>0.90035594579849398</v>
      </c>
      <c r="H1772">
        <v>0.61888906269600297</v>
      </c>
      <c r="I1772">
        <v>0.17407019639400101</v>
      </c>
      <c r="J1772">
        <v>6.09564725061311E-2</v>
      </c>
      <c r="K1772">
        <v>4.4353035835134898E-2</v>
      </c>
      <c r="L1772">
        <v>1598.5137220351801</v>
      </c>
      <c r="M1772">
        <v>27.5178523595245</v>
      </c>
      <c r="N1772">
        <v>58.090060980627598</v>
      </c>
      <c r="O1772">
        <v>57.7858807110551</v>
      </c>
      <c r="P1772">
        <v>-0.119052027687756</v>
      </c>
      <c r="Q1772">
        <v>0</v>
      </c>
      <c r="R1772">
        <v>0.96398045746873795</v>
      </c>
      <c r="S1772" t="s">
        <v>7355</v>
      </c>
      <c r="T1772" t="s">
        <v>11164</v>
      </c>
      <c r="U1772" t="s">
        <v>11164</v>
      </c>
      <c r="V1772" t="s">
        <v>11164</v>
      </c>
      <c r="W1772" t="s">
        <v>12904</v>
      </c>
      <c r="X1772">
        <v>70</v>
      </c>
      <c r="Y1772" t="s">
        <v>18427</v>
      </c>
      <c r="Z1772" t="s">
        <v>23922</v>
      </c>
      <c r="AA1772">
        <v>0.70896385556493746</v>
      </c>
      <c r="AB1772" t="str">
        <f>HYPERLINK("Melting_Curves/meltCurve_P08107_HSPA1A.pdf", "Melting_Curves/meltCurve_P08107_HSPA1A.pdf")</f>
        <v>Melting_Curves/meltCurve_P08107_HSPA1A.pdf</v>
      </c>
    </row>
    <row r="1773" spans="1:28" x14ac:dyDescent="0.25">
      <c r="A1773" t="s">
        <v>1777</v>
      </c>
      <c r="B1773">
        <v>0.99796759195183404</v>
      </c>
      <c r="C1773">
        <v>0.99147433523926598</v>
      </c>
      <c r="D1773">
        <v>1.0091777357054801</v>
      </c>
      <c r="E1773">
        <v>0.97235671099056298</v>
      </c>
      <c r="F1773">
        <v>0.76962340217249903</v>
      </c>
      <c r="G1773">
        <v>0.419392702060503</v>
      </c>
      <c r="H1773">
        <v>0.16880671868422101</v>
      </c>
      <c r="I1773">
        <v>0.13380662069368601</v>
      </c>
      <c r="J1773">
        <v>0.10520509615689699</v>
      </c>
      <c r="K1773">
        <v>7.2696703761278306E-2</v>
      </c>
      <c r="L1773">
        <v>1298.0483633895101</v>
      </c>
      <c r="M1773">
        <v>24.722460350258299</v>
      </c>
      <c r="N1773">
        <v>52.908407117514002</v>
      </c>
      <c r="O1773">
        <v>52.164904933825298</v>
      </c>
      <c r="P1773">
        <v>-0.10830209989448</v>
      </c>
      <c r="Q1773">
        <v>8.5934124910932497E-2</v>
      </c>
      <c r="R1773">
        <v>0.99904544067281398</v>
      </c>
      <c r="S1773" t="s">
        <v>7356</v>
      </c>
      <c r="T1773" t="s">
        <v>11164</v>
      </c>
      <c r="U1773" t="s">
        <v>11164</v>
      </c>
      <c r="V1773" t="s">
        <v>11164</v>
      </c>
      <c r="W1773" t="s">
        <v>12905</v>
      </c>
      <c r="X1773">
        <v>41</v>
      </c>
      <c r="Y1773" t="s">
        <v>16749</v>
      </c>
      <c r="Z1773" t="s">
        <v>23923</v>
      </c>
      <c r="AA1773">
        <v>0.5666042259670161</v>
      </c>
      <c r="AB1773" t="str">
        <f>HYPERLINK("Melting_Curves/meltCurve_P08133_ANXA6.pdf", "Melting_Curves/meltCurve_P08133_ANXA6.pdf")</f>
        <v>Melting_Curves/meltCurve_P08133_ANXA6.pdf</v>
      </c>
    </row>
    <row r="1774" spans="1:28" x14ac:dyDescent="0.25">
      <c r="A1774" t="s">
        <v>1778</v>
      </c>
      <c r="B1774">
        <v>0.99796759195183404</v>
      </c>
      <c r="C1774">
        <v>0.99925218131514404</v>
      </c>
      <c r="D1774">
        <v>0.96064105858271798</v>
      </c>
      <c r="E1774">
        <v>0.859452691127506</v>
      </c>
      <c r="F1774">
        <v>0.76554042492514496</v>
      </c>
      <c r="G1774">
        <v>0.732642446981981</v>
      </c>
      <c r="H1774">
        <v>0.65465457603896504</v>
      </c>
      <c r="I1774">
        <v>0.65765552057648002</v>
      </c>
      <c r="J1774">
        <v>0.68872149364814905</v>
      </c>
      <c r="K1774">
        <v>0.47359966055140001</v>
      </c>
      <c r="L1774">
        <v>439.34710855005699</v>
      </c>
      <c r="M1774">
        <v>8.3297190901020404</v>
      </c>
      <c r="O1774">
        <v>49.967062870146997</v>
      </c>
      <c r="P1774">
        <v>-2.08613919168468E-2</v>
      </c>
      <c r="Q1774">
        <v>0.49992574201791101</v>
      </c>
      <c r="R1774">
        <v>0.91179268436120497</v>
      </c>
      <c r="S1774" t="s">
        <v>7357</v>
      </c>
      <c r="T1774" t="s">
        <v>11164</v>
      </c>
      <c r="U1774" t="s">
        <v>11164</v>
      </c>
      <c r="V1774" t="s">
        <v>11164</v>
      </c>
      <c r="W1774" t="s">
        <v>12906</v>
      </c>
      <c r="X1774">
        <v>22</v>
      </c>
      <c r="Y1774" t="s">
        <v>18428</v>
      </c>
      <c r="Z1774" t="s">
        <v>23924</v>
      </c>
      <c r="AA1774">
        <v>0.7742574976746821</v>
      </c>
      <c r="AB1774" t="str">
        <f>HYPERLINK("Melting_Curves/meltCurve_P08237_PFKM.pdf", "Melting_Curves/meltCurve_P08237_PFKM.pdf")</f>
        <v>Melting_Curves/meltCurve_P08237_PFKM.pdf</v>
      </c>
    </row>
    <row r="1775" spans="1:28" x14ac:dyDescent="0.25">
      <c r="A1775" t="s">
        <v>1779</v>
      </c>
      <c r="B1775">
        <v>0.99796759195183404</v>
      </c>
      <c r="C1775">
        <v>1.04386635046236</v>
      </c>
      <c r="D1775">
        <v>0.984482930863669</v>
      </c>
      <c r="E1775">
        <v>0.91402971730997096</v>
      </c>
      <c r="F1775">
        <v>0.73387493189321196</v>
      </c>
      <c r="G1775">
        <v>0.600612318096304</v>
      </c>
      <c r="H1775">
        <v>0.16981446063161801</v>
      </c>
      <c r="I1775">
        <v>0.13181428499884401</v>
      </c>
      <c r="J1775">
        <v>9.5064350093222699E-2</v>
      </c>
      <c r="K1775">
        <v>6.8050662361067105E-2</v>
      </c>
      <c r="L1775">
        <v>959.65752828701704</v>
      </c>
      <c r="M1775">
        <v>17.884562685170401</v>
      </c>
      <c r="N1775">
        <v>53.834555591895104</v>
      </c>
      <c r="O1775">
        <v>53.0010580820257</v>
      </c>
      <c r="P1775">
        <v>-8.1966412020006693E-2</v>
      </c>
      <c r="Q1775">
        <v>2.8416451692554998E-2</v>
      </c>
      <c r="R1775">
        <v>0.98522924348569396</v>
      </c>
      <c r="S1775" t="s">
        <v>7358</v>
      </c>
      <c r="T1775" t="s">
        <v>11164</v>
      </c>
      <c r="U1775" t="s">
        <v>11164</v>
      </c>
      <c r="V1775" t="s">
        <v>11164</v>
      </c>
      <c r="W1775" t="s">
        <v>12907</v>
      </c>
      <c r="X1775">
        <v>80</v>
      </c>
      <c r="Y1775" t="s">
        <v>18429</v>
      </c>
      <c r="Z1775" t="s">
        <v>23925</v>
      </c>
      <c r="AA1775">
        <v>0.58164984399914832</v>
      </c>
      <c r="AB1775" t="str">
        <f>HYPERLINK("Melting_Curves/meltCurve_P08238_HSP90AB1.pdf", "Melting_Curves/meltCurve_P08238_HSP90AB1.pdf")</f>
        <v>Melting_Curves/meltCurve_P08238_HSP90AB1.pdf</v>
      </c>
    </row>
    <row r="1776" spans="1:28" x14ac:dyDescent="0.25">
      <c r="A1776" t="s">
        <v>1780</v>
      </c>
      <c r="B1776">
        <v>0.99796759195183404</v>
      </c>
      <c r="C1776">
        <v>0.94026088841191602</v>
      </c>
      <c r="D1776">
        <v>0.98863027102995904</v>
      </c>
      <c r="E1776">
        <v>0.80804564352333197</v>
      </c>
      <c r="F1776">
        <v>0.75724715516407104</v>
      </c>
      <c r="G1776">
        <v>0.37636596755457902</v>
      </c>
      <c r="H1776">
        <v>0.20110540226708701</v>
      </c>
      <c r="I1776">
        <v>0.16225498737548799</v>
      </c>
      <c r="J1776">
        <v>0.133280783501323</v>
      </c>
      <c r="K1776">
        <v>0.11324791960430999</v>
      </c>
      <c r="L1776">
        <v>926.53097184187698</v>
      </c>
      <c r="M1776">
        <v>17.861310782682601</v>
      </c>
      <c r="N1776">
        <v>52.475869106827503</v>
      </c>
      <c r="O1776">
        <v>51.236498238786503</v>
      </c>
      <c r="P1776">
        <v>-7.9079030324716595E-2</v>
      </c>
      <c r="Q1776">
        <v>9.2669803937998896E-2</v>
      </c>
      <c r="R1776">
        <v>0.98567399172938597</v>
      </c>
      <c r="S1776" t="s">
        <v>7359</v>
      </c>
      <c r="T1776" t="s">
        <v>11164</v>
      </c>
      <c r="U1776" t="s">
        <v>11164</v>
      </c>
      <c r="V1776" t="s">
        <v>11164</v>
      </c>
      <c r="W1776" t="s">
        <v>12908</v>
      </c>
      <c r="X1776">
        <v>11</v>
      </c>
      <c r="Y1776" t="s">
        <v>18430</v>
      </c>
      <c r="Z1776" t="s">
        <v>23926</v>
      </c>
      <c r="AA1776">
        <v>0.55643927783161684</v>
      </c>
      <c r="AB1776" t="str">
        <f>HYPERLINK("Melting_Curves/meltCurve_P08240_SRPR.pdf", "Melting_Curves/meltCurve_P08240_SRPR.pdf")</f>
        <v>Melting_Curves/meltCurve_P08240_SRPR.pdf</v>
      </c>
    </row>
    <row r="1777" spans="1:28" x14ac:dyDescent="0.25">
      <c r="A1777" t="s">
        <v>1781</v>
      </c>
      <c r="B1777">
        <v>0.99796759195183404</v>
      </c>
      <c r="C1777">
        <v>1.0087641066808199</v>
      </c>
      <c r="D1777">
        <v>0.99458936873485304</v>
      </c>
      <c r="E1777">
        <v>0.95656271354466804</v>
      </c>
      <c r="F1777">
        <v>0.76845257998093597</v>
      </c>
      <c r="G1777">
        <v>0.57796750592482204</v>
      </c>
      <c r="H1777">
        <v>0.21245445133678401</v>
      </c>
      <c r="I1777">
        <v>0.13533852312981301</v>
      </c>
      <c r="J1777">
        <v>9.5657007767331395E-2</v>
      </c>
      <c r="K1777">
        <v>7.6372939582477095E-2</v>
      </c>
      <c r="L1777">
        <v>1047.84300741784</v>
      </c>
      <c r="M1777">
        <v>19.492582711571998</v>
      </c>
      <c r="N1777">
        <v>54.036974910814003</v>
      </c>
      <c r="O1777">
        <v>53.199807987694697</v>
      </c>
      <c r="P1777">
        <v>-8.7189137279556198E-2</v>
      </c>
      <c r="Q1777">
        <v>4.8196265153206803E-2</v>
      </c>
      <c r="R1777">
        <v>0.99497692395078097</v>
      </c>
      <c r="S1777" t="s">
        <v>7360</v>
      </c>
      <c r="T1777" t="s">
        <v>11164</v>
      </c>
      <c r="U1777" t="s">
        <v>11164</v>
      </c>
      <c r="V1777" t="s">
        <v>11164</v>
      </c>
      <c r="W1777" t="s">
        <v>12909</v>
      </c>
      <c r="X1777">
        <v>28</v>
      </c>
      <c r="Y1777" t="s">
        <v>18431</v>
      </c>
      <c r="Z1777" t="s">
        <v>23927</v>
      </c>
      <c r="AA1777">
        <v>0.59185410396268134</v>
      </c>
      <c r="AB1777" t="str">
        <f>HYPERLINK("Melting_Curves/meltCurve_P08243_2_ASNS.pdf", "Melting_Curves/meltCurve_P08243_2_ASNS.pdf")</f>
        <v>Melting_Curves/meltCurve_P08243_2_ASNS.pdf</v>
      </c>
    </row>
    <row r="1778" spans="1:28" x14ac:dyDescent="0.25">
      <c r="A1778" t="s">
        <v>1782</v>
      </c>
      <c r="B1778">
        <v>0.99796759195183404</v>
      </c>
      <c r="C1778">
        <v>0.85323898589182101</v>
      </c>
      <c r="D1778">
        <v>0.85910282289620699</v>
      </c>
      <c r="E1778">
        <v>0.80925692456660003</v>
      </c>
      <c r="F1778">
        <v>0.60733543453686401</v>
      </c>
      <c r="G1778">
        <v>0.38544271666164598</v>
      </c>
      <c r="H1778">
        <v>0.44249312130072799</v>
      </c>
      <c r="I1778">
        <v>0.47155795198953199</v>
      </c>
      <c r="J1778">
        <v>0.64642347291023405</v>
      </c>
      <c r="K1778">
        <v>0.67285843409485302</v>
      </c>
      <c r="L1778">
        <v>799.847355369056</v>
      </c>
      <c r="M1778">
        <v>17.557931127384201</v>
      </c>
      <c r="O1778">
        <v>44.976151761534297</v>
      </c>
      <c r="P1778">
        <v>-4.6361762549933197E-2</v>
      </c>
      <c r="Q1778">
        <v>0.524987268220515</v>
      </c>
      <c r="R1778">
        <v>0.73748745530636595</v>
      </c>
      <c r="S1778" t="s">
        <v>7361</v>
      </c>
      <c r="T1778" t="s">
        <v>11164</v>
      </c>
      <c r="U1778" t="s">
        <v>11164</v>
      </c>
      <c r="V1778" t="s">
        <v>11164</v>
      </c>
      <c r="W1778" t="s">
        <v>12910</v>
      </c>
      <c r="X1778">
        <v>14</v>
      </c>
      <c r="Y1778" t="s">
        <v>18432</v>
      </c>
      <c r="Z1778" t="s">
        <v>23928</v>
      </c>
      <c r="AA1778">
        <v>0.66855628529016642</v>
      </c>
      <c r="AB1778" t="str">
        <f>HYPERLINK("Melting_Curves/meltCurve_P08397_2_HMBS.pdf", "Melting_Curves/meltCurve_P08397_2_HMBS.pdf")</f>
        <v>Melting_Curves/meltCurve_P08397_2_HMBS.pdf</v>
      </c>
    </row>
    <row r="1779" spans="1:28" x14ac:dyDescent="0.25">
      <c r="A1779" t="s">
        <v>1783</v>
      </c>
      <c r="B1779">
        <v>0.99796759195183404</v>
      </c>
      <c r="C1779">
        <v>0.998751292799959</v>
      </c>
      <c r="D1779">
        <v>0.901513491623537</v>
      </c>
      <c r="E1779">
        <v>0.90795343292446895</v>
      </c>
      <c r="F1779">
        <v>0.86149659339714002</v>
      </c>
      <c r="G1779">
        <v>0.58367823290313003</v>
      </c>
      <c r="H1779">
        <v>0.24464216365417099</v>
      </c>
      <c r="I1779">
        <v>0.18769300636092001</v>
      </c>
      <c r="J1779">
        <v>0.160909244155965</v>
      </c>
      <c r="K1779">
        <v>0.11438870946433299</v>
      </c>
      <c r="L1779">
        <v>1199.15564228673</v>
      </c>
      <c r="M1779">
        <v>22.290765134797802</v>
      </c>
      <c r="N1779">
        <v>54.432186993337503</v>
      </c>
      <c r="O1779">
        <v>53.368732069015401</v>
      </c>
      <c r="P1779">
        <v>-9.2447361301782202E-2</v>
      </c>
      <c r="Q1779">
        <v>0.114665995128759</v>
      </c>
      <c r="R1779">
        <v>0.98694889520111195</v>
      </c>
      <c r="S1779" t="s">
        <v>7362</v>
      </c>
      <c r="T1779" t="s">
        <v>11164</v>
      </c>
      <c r="U1779" t="s">
        <v>11164</v>
      </c>
      <c r="V1779" t="s">
        <v>11164</v>
      </c>
      <c r="W1779" t="s">
        <v>12911</v>
      </c>
      <c r="X1779">
        <v>16</v>
      </c>
      <c r="Y1779" t="s">
        <v>18433</v>
      </c>
      <c r="Z1779" t="s">
        <v>23929</v>
      </c>
      <c r="AA1779">
        <v>0.61961970055352034</v>
      </c>
      <c r="AB1779" t="str">
        <f>HYPERLINK("Melting_Curves/meltCurve_P08559_3_PDHA1.pdf", "Melting_Curves/meltCurve_P08559_3_PDHA1.pdf")</f>
        <v>Melting_Curves/meltCurve_P08559_3_PDHA1.pdf</v>
      </c>
    </row>
    <row r="1780" spans="1:28" x14ac:dyDescent="0.25">
      <c r="A1780" t="s">
        <v>1784</v>
      </c>
      <c r="B1780">
        <v>0.99796759195183404</v>
      </c>
      <c r="C1780">
        <v>1.0274034648238</v>
      </c>
      <c r="D1780">
        <v>0.95072624906431402</v>
      </c>
      <c r="E1780">
        <v>1.1469320787791899</v>
      </c>
      <c r="F1780">
        <v>1.0857247522418101</v>
      </c>
      <c r="G1780">
        <v>1.2655960059484199</v>
      </c>
      <c r="H1780">
        <v>0.85859422020829601</v>
      </c>
      <c r="I1780">
        <v>0.660146734739118</v>
      </c>
      <c r="J1780">
        <v>0.21591612128721699</v>
      </c>
      <c r="K1780">
        <v>9.6591200467791599E-2</v>
      </c>
      <c r="L1780">
        <v>2255.9376460798899</v>
      </c>
      <c r="M1780">
        <v>36.492140013465097</v>
      </c>
      <c r="N1780">
        <v>61.927350980391303</v>
      </c>
      <c r="O1780">
        <v>61.635057416993803</v>
      </c>
      <c r="P1780">
        <v>-0.143473471563689</v>
      </c>
      <c r="Q1780">
        <v>3.0698749640481301E-2</v>
      </c>
      <c r="R1780">
        <v>0.91762264938696703</v>
      </c>
      <c r="S1780" t="s">
        <v>7363</v>
      </c>
      <c r="T1780" t="s">
        <v>11164</v>
      </c>
      <c r="U1780" t="s">
        <v>11164</v>
      </c>
      <c r="V1780" t="s">
        <v>11164</v>
      </c>
      <c r="W1780" t="s">
        <v>12912</v>
      </c>
      <c r="X1780">
        <v>4</v>
      </c>
      <c r="Y1780" t="s">
        <v>18434</v>
      </c>
      <c r="Z1780" t="s">
        <v>23930</v>
      </c>
      <c r="AA1780">
        <v>0.83365112253313778</v>
      </c>
      <c r="AB1780" t="str">
        <f>HYPERLINK("Melting_Curves/meltCurve_P08574_CYC1.pdf", "Melting_Curves/meltCurve_P08574_CYC1.pdf")</f>
        <v>Melting_Curves/meltCurve_P08574_CYC1.pdf</v>
      </c>
    </row>
    <row r="1781" spans="1:28" x14ac:dyDescent="0.25">
      <c r="A1781" t="s">
        <v>1785</v>
      </c>
      <c r="B1781">
        <v>0.99796759195183404</v>
      </c>
      <c r="C1781">
        <v>0.986353118068933</v>
      </c>
      <c r="D1781">
        <v>1.0198505767200301</v>
      </c>
      <c r="E1781">
        <v>1.00747672390975</v>
      </c>
      <c r="F1781">
        <v>0.87385618892228001</v>
      </c>
      <c r="G1781">
        <v>0.64116809512733497</v>
      </c>
      <c r="H1781">
        <v>0.442619051527949</v>
      </c>
      <c r="I1781">
        <v>0.24616766749069399</v>
      </c>
      <c r="J1781">
        <v>0.11157748734895601</v>
      </c>
      <c r="K1781">
        <v>9.2562130356695596E-2</v>
      </c>
      <c r="L1781">
        <v>902.69532942932096</v>
      </c>
      <c r="M1781">
        <v>16.0830113995716</v>
      </c>
      <c r="N1781">
        <v>56.259076044650499</v>
      </c>
      <c r="O1781">
        <v>55.281045084397</v>
      </c>
      <c r="P1781">
        <v>-7.1393553374203403E-2</v>
      </c>
      <c r="Q1781">
        <v>1.8490886287946501E-2</v>
      </c>
      <c r="R1781">
        <v>0.99631449549415096</v>
      </c>
      <c r="S1781" t="s">
        <v>7364</v>
      </c>
      <c r="T1781" t="s">
        <v>11164</v>
      </c>
      <c r="U1781" t="s">
        <v>11164</v>
      </c>
      <c r="V1781" t="s">
        <v>11164</v>
      </c>
      <c r="W1781" t="s">
        <v>12913</v>
      </c>
      <c r="X1781">
        <v>1</v>
      </c>
      <c r="Y1781" t="s">
        <v>18435</v>
      </c>
      <c r="Z1781" t="s">
        <v>23931</v>
      </c>
      <c r="AA1781">
        <v>0.65520775917289598</v>
      </c>
      <c r="AB1781" t="str">
        <f>HYPERLINK("Melting_Curves/meltCurve_P08581_MET.pdf", "Melting_Curves/meltCurve_P08581_MET.pdf")</f>
        <v>Melting_Curves/meltCurve_P08581_MET.pdf</v>
      </c>
    </row>
    <row r="1782" spans="1:28" x14ac:dyDescent="0.25">
      <c r="A1782" t="s">
        <v>1786</v>
      </c>
      <c r="B1782">
        <v>0.99796759195183404</v>
      </c>
      <c r="C1782">
        <v>0.97493033965829401</v>
      </c>
      <c r="D1782">
        <v>0.92823902514319501</v>
      </c>
      <c r="E1782">
        <v>0.915491147709246</v>
      </c>
      <c r="F1782">
        <v>0.79224000443086695</v>
      </c>
      <c r="G1782">
        <v>0.77550651547193705</v>
      </c>
      <c r="H1782">
        <v>0.61113058285461697</v>
      </c>
      <c r="I1782">
        <v>0.42757671769197297</v>
      </c>
      <c r="J1782">
        <v>0.31537867608380898</v>
      </c>
      <c r="K1782">
        <v>0.193260992887136</v>
      </c>
      <c r="L1782">
        <v>586.31177551423696</v>
      </c>
      <c r="M1782">
        <v>9.9126018167216507</v>
      </c>
      <c r="N1782">
        <v>59.148121400150998</v>
      </c>
      <c r="O1782">
        <v>56.891870719833697</v>
      </c>
      <c r="P1782">
        <v>-4.3580864430185801E-2</v>
      </c>
      <c r="Q1782">
        <v>0</v>
      </c>
      <c r="R1782">
        <v>0.98374852577212302</v>
      </c>
      <c r="S1782" t="s">
        <v>7365</v>
      </c>
      <c r="T1782" t="s">
        <v>11164</v>
      </c>
      <c r="U1782" t="s">
        <v>11164</v>
      </c>
      <c r="V1782" t="s">
        <v>11164</v>
      </c>
      <c r="W1782" t="s">
        <v>12914</v>
      </c>
      <c r="X1782">
        <v>7</v>
      </c>
      <c r="Y1782" t="s">
        <v>18436</v>
      </c>
      <c r="Z1782" t="s">
        <v>23932</v>
      </c>
      <c r="AA1782">
        <v>0.71915506017394459</v>
      </c>
      <c r="AB1782" t="str">
        <f>HYPERLINK("Melting_Curves/meltCurve_P08582_MFI2.pdf", "Melting_Curves/meltCurve_P08582_MFI2.pdf")</f>
        <v>Melting_Curves/meltCurve_P08582_MFI2.pdf</v>
      </c>
    </row>
    <row r="1783" spans="1:28" x14ac:dyDescent="0.25">
      <c r="A1783" t="s">
        <v>1787</v>
      </c>
      <c r="B1783">
        <v>0.99796759195183404</v>
      </c>
      <c r="C1783">
        <v>0.95885208368263997</v>
      </c>
      <c r="D1783">
        <v>0.90711473093245298</v>
      </c>
      <c r="E1783">
        <v>1.00357841371958</v>
      </c>
      <c r="F1783">
        <v>0.72139936481532796</v>
      </c>
      <c r="G1783">
        <v>0.94792749609978999</v>
      </c>
      <c r="H1783">
        <v>0.50505115102033404</v>
      </c>
      <c r="I1783">
        <v>0.17841375839116799</v>
      </c>
      <c r="J1783">
        <v>0.41772829826954699</v>
      </c>
      <c r="K1783">
        <v>0.205506891726702</v>
      </c>
      <c r="L1783">
        <v>3171.7040228249198</v>
      </c>
      <c r="M1783">
        <v>56.050676655580098</v>
      </c>
      <c r="N1783">
        <v>57.360698736491699</v>
      </c>
      <c r="O1783">
        <v>56.514469233708297</v>
      </c>
      <c r="P1783">
        <v>-0.182146977713841</v>
      </c>
      <c r="Q1783">
        <v>0.265383744519125</v>
      </c>
      <c r="R1783">
        <v>0.87371635070675402</v>
      </c>
      <c r="S1783" t="s">
        <v>7366</v>
      </c>
      <c r="T1783" t="s">
        <v>11164</v>
      </c>
      <c r="U1783" t="s">
        <v>11164</v>
      </c>
      <c r="V1783" t="s">
        <v>11164</v>
      </c>
      <c r="W1783" t="s">
        <v>12915</v>
      </c>
      <c r="X1783">
        <v>3</v>
      </c>
      <c r="Y1783" t="s">
        <v>18437</v>
      </c>
      <c r="Z1783" t="s">
        <v>23933</v>
      </c>
      <c r="AA1783">
        <v>0.74645062221584335</v>
      </c>
      <c r="AB1783" t="str">
        <f>HYPERLINK("Melting_Curves/meltCurve_P08621_2_SNRNP70.pdf", "Melting_Curves/meltCurve_P08621_2_SNRNP70.pdf")</f>
        <v>Melting_Curves/meltCurve_P08621_2_SNRNP70.pdf</v>
      </c>
    </row>
    <row r="1784" spans="1:28" x14ac:dyDescent="0.25">
      <c r="A1784" t="s">
        <v>1788</v>
      </c>
      <c r="B1784">
        <v>0.99796759195183404</v>
      </c>
      <c r="C1784">
        <v>0.95149023984996906</v>
      </c>
      <c r="D1784">
        <v>1.0410004002686799</v>
      </c>
      <c r="E1784">
        <v>1.04798897324928</v>
      </c>
      <c r="F1784">
        <v>0.91292443634721399</v>
      </c>
      <c r="G1784">
        <v>0.82893134606294205</v>
      </c>
      <c r="H1784">
        <v>0.86840338667657802</v>
      </c>
      <c r="I1784">
        <v>0.74934999536482505</v>
      </c>
      <c r="J1784">
        <v>0.713335068633977</v>
      </c>
      <c r="K1784">
        <v>0.56829254134081597</v>
      </c>
      <c r="L1784">
        <v>491.54424218803399</v>
      </c>
      <c r="M1784">
        <v>6.9434786840780802</v>
      </c>
      <c r="O1784">
        <v>65.620314433241802</v>
      </c>
      <c r="P1784">
        <v>-2.6503757554302999E-2</v>
      </c>
      <c r="Q1784">
        <v>0</v>
      </c>
      <c r="R1784">
        <v>0.90913195509129396</v>
      </c>
      <c r="S1784" t="s">
        <v>7367</v>
      </c>
      <c r="T1784" t="s">
        <v>11164</v>
      </c>
      <c r="U1784" t="s">
        <v>11164</v>
      </c>
      <c r="V1784" t="s">
        <v>11164</v>
      </c>
      <c r="W1784" t="s">
        <v>12916</v>
      </c>
      <c r="X1784">
        <v>7</v>
      </c>
      <c r="Y1784" t="s">
        <v>18438</v>
      </c>
      <c r="Z1784" t="s">
        <v>23934</v>
      </c>
      <c r="AA1784">
        <v>0.87778810228384663</v>
      </c>
      <c r="AB1784" t="str">
        <f>HYPERLINK("Melting_Curves/meltCurve_P08648_ITGA5.pdf", "Melting_Curves/meltCurve_P08648_ITGA5.pdf")</f>
        <v>Melting_Curves/meltCurve_P08648_ITGA5.pdf</v>
      </c>
    </row>
    <row r="1785" spans="1:28" x14ac:dyDescent="0.25">
      <c r="A1785" t="s">
        <v>1789</v>
      </c>
      <c r="B1785">
        <v>0.99796759195183404</v>
      </c>
      <c r="C1785">
        <v>0.96378403551439396</v>
      </c>
      <c r="D1785">
        <v>0.91498651214614302</v>
      </c>
      <c r="E1785">
        <v>0.88545377573080897</v>
      </c>
      <c r="F1785">
        <v>0.83745119252201705</v>
      </c>
      <c r="G1785">
        <v>1.3239563281045701</v>
      </c>
      <c r="H1785">
        <v>2.6036650552037401</v>
      </c>
      <c r="I1785">
        <v>1.2927429442546201</v>
      </c>
      <c r="J1785">
        <v>0.53960581409517505</v>
      </c>
      <c r="K1785">
        <v>0.40434446633898202</v>
      </c>
      <c r="L1785">
        <v>15000</v>
      </c>
      <c r="M1785">
        <v>235.23364041920701</v>
      </c>
      <c r="N1785">
        <v>64.217776893069598</v>
      </c>
      <c r="O1785">
        <v>63.761800257665001</v>
      </c>
      <c r="P1785">
        <v>-0.54940951767892598</v>
      </c>
      <c r="Q1785">
        <v>0.40431429498773502</v>
      </c>
      <c r="R1785">
        <v>0.15318337218676201</v>
      </c>
      <c r="S1785" t="s">
        <v>7368</v>
      </c>
      <c r="T1785" t="s">
        <v>11164</v>
      </c>
      <c r="U1785" t="s">
        <v>11164</v>
      </c>
      <c r="V1785" t="s">
        <v>11164</v>
      </c>
      <c r="W1785" t="s">
        <v>12917</v>
      </c>
      <c r="X1785">
        <v>53</v>
      </c>
      <c r="Y1785" t="s">
        <v>18439</v>
      </c>
      <c r="Z1785" t="s">
        <v>23935</v>
      </c>
      <c r="AA1785">
        <v>0.93586804651166233</v>
      </c>
      <c r="AB1785" t="str">
        <f>HYPERLINK("Melting_Curves/meltCurve_P08670_VIM.pdf", "Melting_Curves/meltCurve_P08670_VIM.pdf")</f>
        <v>Melting_Curves/meltCurve_P08670_VIM.pdf</v>
      </c>
    </row>
    <row r="1786" spans="1:28" x14ac:dyDescent="0.25">
      <c r="A1786" t="s">
        <v>1790</v>
      </c>
      <c r="B1786">
        <v>0.99796759195183404</v>
      </c>
      <c r="C1786">
        <v>1.0250367556558799</v>
      </c>
      <c r="D1786">
        <v>0.95321012504971903</v>
      </c>
      <c r="E1786">
        <v>0.90619435131227</v>
      </c>
      <c r="F1786">
        <v>0.74222588445132498</v>
      </c>
      <c r="G1786">
        <v>0.65755243618285797</v>
      </c>
      <c r="H1786">
        <v>0.42959543946477202</v>
      </c>
      <c r="I1786">
        <v>0.19431069788591601</v>
      </c>
      <c r="J1786">
        <v>0.11719314206761799</v>
      </c>
      <c r="K1786">
        <v>8.4451669448552799E-2</v>
      </c>
      <c r="L1786">
        <v>733.390147117526</v>
      </c>
      <c r="M1786">
        <v>13.2159559259966</v>
      </c>
      <c r="N1786">
        <v>55.492781099442396</v>
      </c>
      <c r="O1786">
        <v>54.268384923184897</v>
      </c>
      <c r="P1786">
        <v>-6.0892475766808701E-2</v>
      </c>
      <c r="Q1786">
        <v>0</v>
      </c>
      <c r="R1786">
        <v>0.99038425364129901</v>
      </c>
      <c r="S1786" t="s">
        <v>7369</v>
      </c>
      <c r="T1786" t="s">
        <v>11164</v>
      </c>
      <c r="U1786" t="s">
        <v>11164</v>
      </c>
      <c r="V1786" t="s">
        <v>11164</v>
      </c>
      <c r="W1786" t="s">
        <v>12918</v>
      </c>
      <c r="X1786">
        <v>18</v>
      </c>
      <c r="Y1786" t="s">
        <v>18440</v>
      </c>
      <c r="Z1786" t="s">
        <v>23936</v>
      </c>
      <c r="AA1786">
        <v>0.62919671548568445</v>
      </c>
      <c r="AB1786" t="str">
        <f>HYPERLINK("Melting_Curves/meltCurve_P08754_GNAI3.pdf", "Melting_Curves/meltCurve_P08754_GNAI3.pdf")</f>
        <v>Melting_Curves/meltCurve_P08754_GNAI3.pdf</v>
      </c>
    </row>
    <row r="1787" spans="1:28" x14ac:dyDescent="0.25">
      <c r="A1787" t="s">
        <v>1791</v>
      </c>
      <c r="B1787">
        <v>0.99796759195183404</v>
      </c>
      <c r="C1787">
        <v>0.96868855220372696</v>
      </c>
      <c r="D1787">
        <v>0.89593903814380305</v>
      </c>
      <c r="E1787">
        <v>0.83944863818837101</v>
      </c>
      <c r="F1787">
        <v>0.72075101135102704</v>
      </c>
      <c r="G1787">
        <v>0.25485060661057202</v>
      </c>
      <c r="H1787">
        <v>0.110070163623568</v>
      </c>
      <c r="I1787">
        <v>7.7306874794229194E-2</v>
      </c>
      <c r="J1787">
        <v>5.64891659977865E-2</v>
      </c>
      <c r="K1787">
        <v>4.0278416838752398E-2</v>
      </c>
      <c r="L1787">
        <v>1123.3850008366701</v>
      </c>
      <c r="M1787">
        <v>21.828348295203899</v>
      </c>
      <c r="N1787">
        <v>51.621480037173299</v>
      </c>
      <c r="O1787">
        <v>51.038405802365702</v>
      </c>
      <c r="P1787">
        <v>-0.103490070848438</v>
      </c>
      <c r="Q1787">
        <v>3.2112456385702502E-2</v>
      </c>
      <c r="R1787">
        <v>0.98577889028216104</v>
      </c>
      <c r="S1787" t="s">
        <v>7370</v>
      </c>
      <c r="T1787" t="s">
        <v>11164</v>
      </c>
      <c r="U1787" t="s">
        <v>11164</v>
      </c>
      <c r="V1787" t="s">
        <v>11164</v>
      </c>
      <c r="W1787" t="s">
        <v>12919</v>
      </c>
      <c r="X1787">
        <v>24</v>
      </c>
      <c r="Y1787" t="s">
        <v>18441</v>
      </c>
      <c r="Z1787" t="s">
        <v>23937</v>
      </c>
      <c r="AA1787">
        <v>0.5096732251981092</v>
      </c>
      <c r="AB1787" t="str">
        <f>HYPERLINK("Melting_Curves/meltCurve_P08758_ANXA5.pdf", "Melting_Curves/meltCurve_P08758_ANXA5.pdf")</f>
        <v>Melting_Curves/meltCurve_P08758_ANXA5.pdf</v>
      </c>
    </row>
    <row r="1788" spans="1:28" x14ac:dyDescent="0.25">
      <c r="A1788" t="s">
        <v>1792</v>
      </c>
      <c r="B1788">
        <v>0.99796759195183404</v>
      </c>
      <c r="C1788">
        <v>0.99546264403123397</v>
      </c>
      <c r="D1788">
        <v>1.00238231050343</v>
      </c>
      <c r="E1788">
        <v>0.94544535942797603</v>
      </c>
      <c r="F1788">
        <v>0.85479965980960704</v>
      </c>
      <c r="G1788">
        <v>0.73398202087046605</v>
      </c>
      <c r="H1788">
        <v>0.64891695820533501</v>
      </c>
      <c r="I1788">
        <v>0.50646812488817305</v>
      </c>
      <c r="J1788">
        <v>0.416267925519204</v>
      </c>
      <c r="K1788">
        <v>0.148656477464299</v>
      </c>
      <c r="L1788">
        <v>619.34593802904305</v>
      </c>
      <c r="M1788">
        <v>10.288074969248999</v>
      </c>
      <c r="N1788">
        <v>60.200371790218597</v>
      </c>
      <c r="O1788">
        <v>58.058961644120302</v>
      </c>
      <c r="P1788">
        <v>-4.4319440120714697E-2</v>
      </c>
      <c r="Q1788">
        <v>0</v>
      </c>
      <c r="R1788">
        <v>0.97117552227185</v>
      </c>
      <c r="S1788" t="s">
        <v>7371</v>
      </c>
      <c r="T1788" t="s">
        <v>11164</v>
      </c>
      <c r="U1788" t="s">
        <v>11164</v>
      </c>
      <c r="V1788" t="s">
        <v>11164</v>
      </c>
      <c r="W1788" t="s">
        <v>12920</v>
      </c>
      <c r="X1788">
        <v>15</v>
      </c>
      <c r="Y1788" t="s">
        <v>18442</v>
      </c>
      <c r="Z1788" t="s">
        <v>23938</v>
      </c>
      <c r="AA1788">
        <v>0.74626368282218969</v>
      </c>
      <c r="AB1788" t="str">
        <f>HYPERLINK("Melting_Curves/meltCurve_P09104_ENO2.pdf", "Melting_Curves/meltCurve_P09104_ENO2.pdf")</f>
        <v>Melting_Curves/meltCurve_P09104_ENO2.pdf</v>
      </c>
    </row>
    <row r="1789" spans="1:28" x14ac:dyDescent="0.25">
      <c r="A1789" t="s">
        <v>1793</v>
      </c>
      <c r="B1789">
        <v>0.99796759195183404</v>
      </c>
      <c r="C1789">
        <v>1.01043382018035</v>
      </c>
      <c r="D1789">
        <v>0.97567945773085096</v>
      </c>
      <c r="E1789">
        <v>0.93107953867166904</v>
      </c>
      <c r="F1789">
        <v>0.91143104760608995</v>
      </c>
      <c r="G1789">
        <v>0.80602817422449902</v>
      </c>
      <c r="H1789">
        <v>0.54313171595572096</v>
      </c>
      <c r="I1789">
        <v>0.395179486787473</v>
      </c>
      <c r="J1789">
        <v>0.162261350493666</v>
      </c>
      <c r="K1789">
        <v>8.9280069209420193E-2</v>
      </c>
      <c r="L1789">
        <v>914.010942095362</v>
      </c>
      <c r="M1789">
        <v>15.663191807377901</v>
      </c>
      <c r="N1789">
        <v>58.354066991779703</v>
      </c>
      <c r="O1789">
        <v>57.427718628698003</v>
      </c>
      <c r="P1789">
        <v>-6.8192360268234706E-2</v>
      </c>
      <c r="Q1789">
        <v>0</v>
      </c>
      <c r="R1789">
        <v>0.99174740129557903</v>
      </c>
      <c r="S1789" t="s">
        <v>7372</v>
      </c>
      <c r="T1789" t="s">
        <v>11164</v>
      </c>
      <c r="U1789" t="s">
        <v>11164</v>
      </c>
      <c r="V1789" t="s">
        <v>11164</v>
      </c>
      <c r="W1789" t="s">
        <v>12921</v>
      </c>
      <c r="X1789">
        <v>13</v>
      </c>
      <c r="Y1789" t="s">
        <v>18443</v>
      </c>
      <c r="Z1789" t="s">
        <v>23939</v>
      </c>
      <c r="AA1789">
        <v>0.71512551324362783</v>
      </c>
      <c r="AB1789" t="str">
        <f>HYPERLINK("Melting_Curves/meltCurve_P09110_ACAA1.pdf", "Melting_Curves/meltCurve_P09110_ACAA1.pdf")</f>
        <v>Melting_Curves/meltCurve_P09110_ACAA1.pdf</v>
      </c>
    </row>
    <row r="1790" spans="1:28" x14ac:dyDescent="0.25">
      <c r="A1790" t="s">
        <v>1794</v>
      </c>
      <c r="B1790">
        <v>0.99796759195183404</v>
      </c>
      <c r="C1790">
        <v>0.95543924541469705</v>
      </c>
      <c r="D1790">
        <v>0.86941994644850595</v>
      </c>
      <c r="E1790">
        <v>0.89343767179605105</v>
      </c>
      <c r="F1790">
        <v>0.87669573669134604</v>
      </c>
      <c r="G1790">
        <v>1.23913937292639</v>
      </c>
      <c r="H1790">
        <v>0.68909750169393003</v>
      </c>
      <c r="I1790">
        <v>0.47916793631403298</v>
      </c>
      <c r="J1790">
        <v>0.277218025657402</v>
      </c>
      <c r="K1790">
        <v>0.17444124709935699</v>
      </c>
      <c r="L1790">
        <v>1842.90171111374</v>
      </c>
      <c r="M1790">
        <v>31.023761656702298</v>
      </c>
      <c r="N1790">
        <v>60.287834865713499</v>
      </c>
      <c r="O1790">
        <v>59.157741188363701</v>
      </c>
      <c r="P1790">
        <v>-0.10712799004823</v>
      </c>
      <c r="Q1790">
        <v>0.18289565594968901</v>
      </c>
      <c r="R1790">
        <v>0.87114814011510799</v>
      </c>
      <c r="S1790" t="s">
        <v>7373</v>
      </c>
      <c r="T1790" t="s">
        <v>11164</v>
      </c>
      <c r="U1790" t="s">
        <v>11164</v>
      </c>
      <c r="V1790" t="s">
        <v>11164</v>
      </c>
      <c r="W1790" t="s">
        <v>12922</v>
      </c>
      <c r="X1790">
        <v>5</v>
      </c>
      <c r="Y1790" t="s">
        <v>18444</v>
      </c>
      <c r="Z1790" t="s">
        <v>23940</v>
      </c>
      <c r="AA1790">
        <v>0.79659205460510252</v>
      </c>
      <c r="AB1790" t="str">
        <f>HYPERLINK("Melting_Curves/meltCurve_P09132_SRP19.pdf", "Melting_Curves/meltCurve_P09132_SRP19.pdf")</f>
        <v>Melting_Curves/meltCurve_P09132_SRP19.pdf</v>
      </c>
    </row>
    <row r="1791" spans="1:28" x14ac:dyDescent="0.25">
      <c r="A1791" t="s">
        <v>1795</v>
      </c>
      <c r="B1791">
        <v>0.99796759195183404</v>
      </c>
      <c r="C1791">
        <v>0.99619818203069599</v>
      </c>
      <c r="D1791">
        <v>0.97846121601347702</v>
      </c>
      <c r="E1791">
        <v>0.87594959426197905</v>
      </c>
      <c r="F1791">
        <v>0.68189174395165897</v>
      </c>
      <c r="G1791">
        <v>0.48101533045218198</v>
      </c>
      <c r="H1791">
        <v>0.23190534501344001</v>
      </c>
      <c r="I1791">
        <v>0.103730927893914</v>
      </c>
      <c r="J1791">
        <v>9.5188399697008805E-2</v>
      </c>
      <c r="K1791">
        <v>7.5208262930989006E-2</v>
      </c>
      <c r="L1791">
        <v>801.73671966065001</v>
      </c>
      <c r="M1791">
        <v>15.1700368254448</v>
      </c>
      <c r="N1791">
        <v>53.000610262321402</v>
      </c>
      <c r="O1791">
        <v>51.957160695888099</v>
      </c>
      <c r="P1791">
        <v>-7.1460222586922306E-2</v>
      </c>
      <c r="Q1791">
        <v>2.10936395839115E-2</v>
      </c>
      <c r="R1791">
        <v>0.99774673536229497</v>
      </c>
      <c r="S1791" t="s">
        <v>7374</v>
      </c>
      <c r="T1791" t="s">
        <v>11164</v>
      </c>
      <c r="U1791" t="s">
        <v>11164</v>
      </c>
      <c r="V1791" t="s">
        <v>11164</v>
      </c>
      <c r="W1791" t="s">
        <v>12923</v>
      </c>
      <c r="X1791">
        <v>16</v>
      </c>
      <c r="Y1791" t="s">
        <v>18445</v>
      </c>
      <c r="Z1791" t="s">
        <v>23941</v>
      </c>
      <c r="AA1791">
        <v>0.5557659491337209</v>
      </c>
      <c r="AB1791" t="str">
        <f>HYPERLINK("Melting_Curves/meltCurve_P09211_GSTP1.pdf", "Melting_Curves/meltCurve_P09211_GSTP1.pdf")</f>
        <v>Melting_Curves/meltCurve_P09211_GSTP1.pdf</v>
      </c>
    </row>
    <row r="1792" spans="1:28" x14ac:dyDescent="0.25">
      <c r="A1792" t="s">
        <v>1796</v>
      </c>
      <c r="B1792">
        <v>0.99796759195183404</v>
      </c>
      <c r="C1792">
        <v>1.0628878024805</v>
      </c>
      <c r="D1792">
        <v>1.00500768633411</v>
      </c>
      <c r="E1792">
        <v>1.0154155221544501</v>
      </c>
      <c r="F1792">
        <v>0.94264608583524001</v>
      </c>
      <c r="G1792">
        <v>0.81672858934093495</v>
      </c>
      <c r="H1792">
        <v>1.0733673971686299</v>
      </c>
      <c r="I1792">
        <v>0.91999390587014995</v>
      </c>
      <c r="J1792">
        <v>0.98063093396191703</v>
      </c>
      <c r="K1792">
        <v>0.997535198237121</v>
      </c>
      <c r="S1792" t="s">
        <v>7375</v>
      </c>
      <c r="T1792" t="s">
        <v>11164</v>
      </c>
      <c r="U1792" t="s">
        <v>11165</v>
      </c>
      <c r="V1792" t="s">
        <v>11164</v>
      </c>
      <c r="W1792" t="s">
        <v>12924</v>
      </c>
      <c r="X1792">
        <v>4</v>
      </c>
      <c r="Y1792" t="s">
        <v>18446</v>
      </c>
      <c r="Z1792" t="s">
        <v>23942</v>
      </c>
      <c r="AB1792" t="str">
        <f>HYPERLINK("Melting_Curves/meltCurve_P09234_SNRPC.pdf", "Melting_Curves/meltCurve_P09234_SNRPC.pdf")</f>
        <v>Melting_Curves/meltCurve_P09234_SNRPC.pdf</v>
      </c>
    </row>
    <row r="1793" spans="1:28" x14ac:dyDescent="0.25">
      <c r="A1793" t="s">
        <v>1797</v>
      </c>
      <c r="B1793">
        <v>0.99796759195183404</v>
      </c>
      <c r="C1793">
        <v>1.10978097233817</v>
      </c>
      <c r="D1793">
        <v>0.88313846134748897</v>
      </c>
      <c r="E1793">
        <v>0.87454338235534002</v>
      </c>
      <c r="F1793">
        <v>0.83024166115201103</v>
      </c>
      <c r="G1793">
        <v>0.86968664789852901</v>
      </c>
      <c r="H1793">
        <v>0.42160733834950997</v>
      </c>
      <c r="I1793">
        <v>0.31196565626662698</v>
      </c>
      <c r="J1793">
        <v>0.21900974664624301</v>
      </c>
      <c r="K1793">
        <v>0.19952684479271901</v>
      </c>
      <c r="L1793">
        <v>977.45821675906404</v>
      </c>
      <c r="M1793">
        <v>17.333080271693898</v>
      </c>
      <c r="N1793">
        <v>57.360677208157398</v>
      </c>
      <c r="O1793">
        <v>55.658075257241201</v>
      </c>
      <c r="P1793">
        <v>-6.7986437600097399E-2</v>
      </c>
      <c r="Q1793">
        <v>0.126807759198764</v>
      </c>
      <c r="R1793">
        <v>0.93847442750964305</v>
      </c>
      <c r="S1793" t="s">
        <v>7376</v>
      </c>
      <c r="T1793" t="s">
        <v>11164</v>
      </c>
      <c r="U1793" t="s">
        <v>11164</v>
      </c>
      <c r="V1793" t="s">
        <v>11164</v>
      </c>
      <c r="W1793" t="s">
        <v>12925</v>
      </c>
      <c r="X1793">
        <v>9</v>
      </c>
      <c r="Y1793" t="s">
        <v>18447</v>
      </c>
      <c r="Z1793" t="s">
        <v>23943</v>
      </c>
      <c r="AA1793">
        <v>0.70033310360495959</v>
      </c>
      <c r="AB1793" t="str">
        <f>HYPERLINK("Melting_Curves/meltCurve_P09382_LGALS1.pdf", "Melting_Curves/meltCurve_P09382_LGALS1.pdf")</f>
        <v>Melting_Curves/meltCurve_P09382_LGALS1.pdf</v>
      </c>
    </row>
    <row r="1794" spans="1:28" x14ac:dyDescent="0.25">
      <c r="A1794" t="s">
        <v>1798</v>
      </c>
      <c r="B1794">
        <v>0.99796759195183404</v>
      </c>
      <c r="C1794">
        <v>0.89916984546675904</v>
      </c>
      <c r="D1794">
        <v>0.91869721955318795</v>
      </c>
      <c r="E1794">
        <v>0.857744718250251</v>
      </c>
      <c r="F1794">
        <v>0.72738841163496604</v>
      </c>
      <c r="G1794">
        <v>0.58998172072525301</v>
      </c>
      <c r="H1794">
        <v>0.44162662211564102</v>
      </c>
      <c r="I1794">
        <v>0.199856976478923</v>
      </c>
      <c r="J1794">
        <v>0.12678101078346901</v>
      </c>
      <c r="K1794">
        <v>8.5798630088603306E-2</v>
      </c>
      <c r="L1794">
        <v>619.81980143778401</v>
      </c>
      <c r="M1794">
        <v>11.298487580263201</v>
      </c>
      <c r="N1794">
        <v>54.858632750187802</v>
      </c>
      <c r="O1794">
        <v>53.224392667876302</v>
      </c>
      <c r="P1794">
        <v>-5.3086212609521399E-2</v>
      </c>
      <c r="Q1794">
        <v>0</v>
      </c>
      <c r="R1794">
        <v>0.98271170698490495</v>
      </c>
      <c r="S1794" t="s">
        <v>7377</v>
      </c>
      <c r="T1794" t="s">
        <v>11164</v>
      </c>
      <c r="U1794" t="s">
        <v>11164</v>
      </c>
      <c r="V1794" t="s">
        <v>11164</v>
      </c>
      <c r="W1794" t="s">
        <v>12926</v>
      </c>
      <c r="X1794">
        <v>7</v>
      </c>
      <c r="Y1794" t="s">
        <v>18448</v>
      </c>
      <c r="Z1794" t="s">
        <v>23944</v>
      </c>
      <c r="AA1794">
        <v>0.60967733942267133</v>
      </c>
      <c r="AB1794" t="str">
        <f>HYPERLINK("Melting_Curves/meltCurve_P09417_QDPR.pdf", "Melting_Curves/meltCurve_P09417_QDPR.pdf")</f>
        <v>Melting_Curves/meltCurve_P09417_QDPR.pdf</v>
      </c>
    </row>
    <row r="1795" spans="1:28" x14ac:dyDescent="0.25">
      <c r="A1795" t="s">
        <v>1799</v>
      </c>
      <c r="B1795">
        <v>0.99796759195183404</v>
      </c>
      <c r="C1795">
        <v>1.0595528482580701</v>
      </c>
      <c r="D1795">
        <v>0.96839217195566796</v>
      </c>
      <c r="E1795">
        <v>0.935267434968311</v>
      </c>
      <c r="F1795">
        <v>0.79081962610553802</v>
      </c>
      <c r="G1795">
        <v>0.53790727112136505</v>
      </c>
      <c r="H1795">
        <v>0.51419561839415096</v>
      </c>
      <c r="I1795">
        <v>0.34083310925172899</v>
      </c>
      <c r="J1795">
        <v>0.37261153437039002</v>
      </c>
      <c r="K1795">
        <v>0.31790503447302398</v>
      </c>
      <c r="L1795">
        <v>880.54528175621203</v>
      </c>
      <c r="M1795">
        <v>16.8092684418753</v>
      </c>
      <c r="N1795">
        <v>55.769659518602801</v>
      </c>
      <c r="O1795">
        <v>51.659952695945002</v>
      </c>
      <c r="P1795">
        <v>-5.5338450008145898E-2</v>
      </c>
      <c r="Q1795">
        <v>0.31975694816467998</v>
      </c>
      <c r="R1795">
        <v>0.98302103086191905</v>
      </c>
      <c r="S1795" t="s">
        <v>7378</v>
      </c>
      <c r="T1795" t="s">
        <v>11164</v>
      </c>
      <c r="U1795" t="s">
        <v>11164</v>
      </c>
      <c r="V1795" t="s">
        <v>11164</v>
      </c>
      <c r="W1795" t="s">
        <v>12927</v>
      </c>
      <c r="X1795">
        <v>27</v>
      </c>
      <c r="Y1795" t="s">
        <v>18449</v>
      </c>
      <c r="Z1795" t="s">
        <v>23945</v>
      </c>
      <c r="AA1795">
        <v>0.67970949008512827</v>
      </c>
      <c r="AB1795" t="str">
        <f>HYPERLINK("Melting_Curves/meltCurve_P09429_HMGB1.pdf", "Melting_Curves/meltCurve_P09429_HMGB1.pdf")</f>
        <v>Melting_Curves/meltCurve_P09429_HMGB1.pdf</v>
      </c>
    </row>
    <row r="1796" spans="1:28" x14ac:dyDescent="0.25">
      <c r="A1796" t="s">
        <v>1800</v>
      </c>
      <c r="B1796">
        <v>0.99796759195183404</v>
      </c>
      <c r="C1796">
        <v>1.03588968254351</v>
      </c>
      <c r="D1796">
        <v>1.0043861726918999</v>
      </c>
      <c r="E1796">
        <v>0.95809736492755604</v>
      </c>
      <c r="F1796">
        <v>0.84429289923751705</v>
      </c>
      <c r="G1796">
        <v>0.54625027374350699</v>
      </c>
      <c r="H1796">
        <v>0.45953584337652997</v>
      </c>
      <c r="I1796">
        <v>0.432152451392388</v>
      </c>
      <c r="J1796">
        <v>0.45027845862301302</v>
      </c>
      <c r="K1796">
        <v>0.39284931149206098</v>
      </c>
      <c r="L1796">
        <v>1589.79481753398</v>
      </c>
      <c r="M1796">
        <v>30.7604245248796</v>
      </c>
      <c r="N1796">
        <v>55.053498894002502</v>
      </c>
      <c r="O1796">
        <v>51.466163908358602</v>
      </c>
      <c r="P1796">
        <v>-8.6075002197448403E-2</v>
      </c>
      <c r="Q1796">
        <v>0.42394500201676899</v>
      </c>
      <c r="R1796">
        <v>0.99456514032251397</v>
      </c>
      <c r="S1796" t="s">
        <v>7379</v>
      </c>
      <c r="T1796" t="s">
        <v>11164</v>
      </c>
      <c r="U1796" t="s">
        <v>11164</v>
      </c>
      <c r="V1796" t="s">
        <v>11164</v>
      </c>
      <c r="W1796" t="s">
        <v>12928</v>
      </c>
      <c r="X1796">
        <v>5</v>
      </c>
      <c r="Y1796" t="s">
        <v>12928</v>
      </c>
      <c r="Z1796" t="s">
        <v>23946</v>
      </c>
      <c r="AA1796">
        <v>0.70933814440960097</v>
      </c>
      <c r="AB1796" t="str">
        <f>HYPERLINK("Melting_Curves/meltCurve_P09486_SPARC.pdf", "Melting_Curves/meltCurve_P09486_SPARC.pdf")</f>
        <v>Melting_Curves/meltCurve_P09486_SPARC.pdf</v>
      </c>
    </row>
    <row r="1797" spans="1:28" x14ac:dyDescent="0.25">
      <c r="A1797" t="s">
        <v>1801</v>
      </c>
      <c r="B1797">
        <v>0.99796759195183404</v>
      </c>
      <c r="C1797">
        <v>0.96313233925144603</v>
      </c>
      <c r="D1797">
        <v>0.96315614190988996</v>
      </c>
      <c r="E1797">
        <v>0.88849747873978402</v>
      </c>
      <c r="F1797">
        <v>0.90002342481963105</v>
      </c>
      <c r="G1797">
        <v>0.64282806554691496</v>
      </c>
      <c r="H1797">
        <v>0.62282033086400701</v>
      </c>
      <c r="I1797">
        <v>0.570986777776471</v>
      </c>
      <c r="J1797">
        <v>0.75274466609781598</v>
      </c>
      <c r="K1797">
        <v>0.64926449435471001</v>
      </c>
      <c r="L1797">
        <v>3847.7930711784102</v>
      </c>
      <c r="M1797">
        <v>75.737023775723699</v>
      </c>
      <c r="O1797">
        <v>50.7692642658292</v>
      </c>
      <c r="P1797">
        <v>-0.13173820234362199</v>
      </c>
      <c r="Q1797">
        <v>0.64676454456977295</v>
      </c>
      <c r="R1797">
        <v>0.86568116827238595</v>
      </c>
      <c r="S1797" t="s">
        <v>7380</v>
      </c>
      <c r="T1797" t="s">
        <v>11164</v>
      </c>
      <c r="U1797" t="s">
        <v>11164</v>
      </c>
      <c r="V1797" t="s">
        <v>11164</v>
      </c>
      <c r="W1797" t="s">
        <v>12929</v>
      </c>
      <c r="X1797">
        <v>32</v>
      </c>
      <c r="Y1797" t="s">
        <v>17542</v>
      </c>
      <c r="Z1797" t="s">
        <v>23947</v>
      </c>
      <c r="AA1797">
        <v>0.80965154017647312</v>
      </c>
      <c r="AB1797" t="str">
        <f>HYPERLINK("Melting_Curves/meltCurve_P09493_4_TPM1.pdf", "Melting_Curves/meltCurve_P09493_4_TPM1.pdf")</f>
        <v>Melting_Curves/meltCurve_P09493_4_TPM1.pdf</v>
      </c>
    </row>
    <row r="1798" spans="1:28" x14ac:dyDescent="0.25">
      <c r="A1798" t="s">
        <v>1802</v>
      </c>
      <c r="B1798">
        <v>0.99796759195183404</v>
      </c>
      <c r="C1798">
        <v>1.01243970207275</v>
      </c>
      <c r="D1798">
        <v>0.92613877179640602</v>
      </c>
      <c r="E1798">
        <v>0.93574040310667905</v>
      </c>
      <c r="F1798">
        <v>0.86556979455045702</v>
      </c>
      <c r="G1798">
        <v>1.29400610183612</v>
      </c>
      <c r="H1798">
        <v>1.8582960266200801</v>
      </c>
      <c r="I1798">
        <v>1.7116440295358699</v>
      </c>
      <c r="J1798">
        <v>2.2926907711669302</v>
      </c>
      <c r="K1798">
        <v>2.3169657653209801</v>
      </c>
      <c r="L1798">
        <v>13430.8603741467</v>
      </c>
      <c r="M1798">
        <v>250</v>
      </c>
      <c r="O1798">
        <v>53.720003609950403</v>
      </c>
      <c r="P1798">
        <v>0.58171999199495905</v>
      </c>
      <c r="Q1798">
        <v>1.5</v>
      </c>
      <c r="R1798">
        <v>0.49926758133375099</v>
      </c>
      <c r="S1798" t="s">
        <v>7381</v>
      </c>
      <c r="T1798" t="s">
        <v>11164</v>
      </c>
      <c r="U1798" t="s">
        <v>11164</v>
      </c>
      <c r="V1798" t="s">
        <v>11164</v>
      </c>
      <c r="W1798" t="s">
        <v>12930</v>
      </c>
      <c r="X1798">
        <v>22</v>
      </c>
      <c r="Y1798" t="s">
        <v>18450</v>
      </c>
      <c r="Z1798" t="s">
        <v>23948</v>
      </c>
      <c r="AA1798">
        <v>1.2212288331550341</v>
      </c>
      <c r="AB1798" t="str">
        <f>HYPERLINK("Melting_Curves/meltCurve_P09496_2_CLTA.pdf", "Melting_Curves/meltCurve_P09496_2_CLTA.pdf")</f>
        <v>Melting_Curves/meltCurve_P09496_2_CLTA.pdf</v>
      </c>
    </row>
    <row r="1799" spans="1:28" x14ac:dyDescent="0.25">
      <c r="A1799" t="s">
        <v>1803</v>
      </c>
      <c r="B1799">
        <v>0.99796759195183404</v>
      </c>
      <c r="C1799">
        <v>1.0358947950313699</v>
      </c>
      <c r="D1799">
        <v>0.97390707663654896</v>
      </c>
      <c r="E1799">
        <v>0.93772641387081501</v>
      </c>
      <c r="F1799">
        <v>0.84583128225304205</v>
      </c>
      <c r="G1799">
        <v>1.30656539398266</v>
      </c>
      <c r="H1799">
        <v>2.1210786648034499</v>
      </c>
      <c r="I1799">
        <v>1.9507329769583099</v>
      </c>
      <c r="J1799">
        <v>2.7918382713632002</v>
      </c>
      <c r="K1799">
        <v>2.47872211687078</v>
      </c>
      <c r="L1799">
        <v>13425.2254488537</v>
      </c>
      <c r="M1799">
        <v>250</v>
      </c>
      <c r="O1799">
        <v>53.697467813617898</v>
      </c>
      <c r="P1799">
        <v>0.58196415537547797</v>
      </c>
      <c r="Q1799">
        <v>1.5</v>
      </c>
      <c r="R1799">
        <v>0.31273114388587198</v>
      </c>
      <c r="S1799" t="s">
        <v>7382</v>
      </c>
      <c r="T1799" t="s">
        <v>11164</v>
      </c>
      <c r="U1799" t="s">
        <v>11164</v>
      </c>
      <c r="V1799" t="s">
        <v>11164</v>
      </c>
      <c r="W1799" t="s">
        <v>12931</v>
      </c>
      <c r="X1799">
        <v>23</v>
      </c>
      <c r="Y1799" t="s">
        <v>18451</v>
      </c>
      <c r="Z1799" t="s">
        <v>23949</v>
      </c>
      <c r="AA1799">
        <v>1.2216045146196459</v>
      </c>
      <c r="AB1799" t="str">
        <f>HYPERLINK("Melting_Curves/meltCurve_P09497_2_CLTB.pdf", "Melting_Curves/meltCurve_P09497_2_CLTB.pdf")</f>
        <v>Melting_Curves/meltCurve_P09497_2_CLTB.pdf</v>
      </c>
    </row>
    <row r="1800" spans="1:28" x14ac:dyDescent="0.25">
      <c r="A1800" t="s">
        <v>1804</v>
      </c>
      <c r="B1800">
        <v>0.99796759195183404</v>
      </c>
      <c r="C1800">
        <v>0.95645536262891295</v>
      </c>
      <c r="D1800">
        <v>0.95681162277712395</v>
      </c>
      <c r="E1800">
        <v>0.89244978716337298</v>
      </c>
      <c r="F1800">
        <v>0.73562113364263104</v>
      </c>
      <c r="G1800">
        <v>0.294753909850128</v>
      </c>
      <c r="H1800">
        <v>0.15262620523665901</v>
      </c>
      <c r="I1800">
        <v>0.14074870350704</v>
      </c>
      <c r="J1800">
        <v>0.105705631240333</v>
      </c>
      <c r="K1800">
        <v>6.6657503948857097E-2</v>
      </c>
      <c r="L1800">
        <v>1328.43116919213</v>
      </c>
      <c r="M1800">
        <v>25.761948017310701</v>
      </c>
      <c r="N1800">
        <v>51.973380558668197</v>
      </c>
      <c r="O1800">
        <v>51.257933131082297</v>
      </c>
      <c r="P1800">
        <v>-0.114153405777263</v>
      </c>
      <c r="Q1800">
        <v>9.14976248318526E-2</v>
      </c>
      <c r="R1800">
        <v>0.99324346244324602</v>
      </c>
      <c r="S1800" t="s">
        <v>7383</v>
      </c>
      <c r="T1800" t="s">
        <v>11164</v>
      </c>
      <c r="U1800" t="s">
        <v>11164</v>
      </c>
      <c r="V1800" t="s">
        <v>11164</v>
      </c>
      <c r="W1800" t="s">
        <v>12932</v>
      </c>
      <c r="X1800">
        <v>17</v>
      </c>
      <c r="Y1800" t="s">
        <v>18452</v>
      </c>
      <c r="Z1800" t="s">
        <v>23950</v>
      </c>
      <c r="AA1800">
        <v>0.54020316985576633</v>
      </c>
      <c r="AB1800" t="str">
        <f>HYPERLINK("Melting_Curves/meltCurve_P09525_ANXA4.pdf", "Melting_Curves/meltCurve_P09525_ANXA4.pdf")</f>
        <v>Melting_Curves/meltCurve_P09525_ANXA4.pdf</v>
      </c>
    </row>
    <row r="1801" spans="1:28" x14ac:dyDescent="0.25">
      <c r="A1801" t="s">
        <v>1805</v>
      </c>
      <c r="B1801">
        <v>0.99796759195183404</v>
      </c>
      <c r="C1801">
        <v>1.0646247823458701</v>
      </c>
      <c r="D1801">
        <v>1.0426790235302501</v>
      </c>
      <c r="E1801">
        <v>0.97226075432276404</v>
      </c>
      <c r="F1801">
        <v>0.77266590132540103</v>
      </c>
      <c r="G1801">
        <v>0.390847577670352</v>
      </c>
      <c r="H1801">
        <v>0.21418851638077999</v>
      </c>
      <c r="I1801">
        <v>0.158344520945394</v>
      </c>
      <c r="J1801">
        <v>0.12609752410782099</v>
      </c>
      <c r="K1801">
        <v>9.3913180624148093E-2</v>
      </c>
      <c r="L1801">
        <v>1348.80183257111</v>
      </c>
      <c r="M1801">
        <v>25.816022525231499</v>
      </c>
      <c r="N1801">
        <v>52.798909476142697</v>
      </c>
      <c r="O1801">
        <v>51.936220985019901</v>
      </c>
      <c r="P1801">
        <v>-0.109566804858867</v>
      </c>
      <c r="Q1801">
        <v>0.11831213584961101</v>
      </c>
      <c r="R1801">
        <v>0.99504806103775101</v>
      </c>
      <c r="S1801" t="s">
        <v>7384</v>
      </c>
      <c r="T1801" t="s">
        <v>11164</v>
      </c>
      <c r="U1801" t="s">
        <v>11164</v>
      </c>
      <c r="V1801" t="s">
        <v>11164</v>
      </c>
      <c r="W1801" t="s">
        <v>12933</v>
      </c>
      <c r="X1801">
        <v>27</v>
      </c>
      <c r="Y1801" t="s">
        <v>18453</v>
      </c>
      <c r="Z1801" t="s">
        <v>23951</v>
      </c>
      <c r="AA1801">
        <v>0.57378091166467982</v>
      </c>
      <c r="AB1801" t="str">
        <f>HYPERLINK("Melting_Curves/meltCurve_P09543_2_CNP.pdf", "Melting_Curves/meltCurve_P09543_2_CNP.pdf")</f>
        <v>Melting_Curves/meltCurve_P09543_2_CNP.pdf</v>
      </c>
    </row>
    <row r="1802" spans="1:28" x14ac:dyDescent="0.25">
      <c r="A1802" t="s">
        <v>1806</v>
      </c>
      <c r="B1802">
        <v>0.99796759195183404</v>
      </c>
      <c r="C1802">
        <v>1.0213560935086301</v>
      </c>
      <c r="D1802">
        <v>1.0673773820112</v>
      </c>
      <c r="E1802">
        <v>1.09652010557924</v>
      </c>
      <c r="F1802">
        <v>0.95090418153439005</v>
      </c>
      <c r="G1802">
        <v>0.60432107385534495</v>
      </c>
      <c r="H1802">
        <v>0.42634895018590802</v>
      </c>
      <c r="I1802">
        <v>0.14925411611730499</v>
      </c>
      <c r="J1802">
        <v>0.123513286491299</v>
      </c>
      <c r="K1802">
        <v>7.8701016507195104E-2</v>
      </c>
      <c r="L1802">
        <v>1207.57637019651</v>
      </c>
      <c r="M1802">
        <v>21.8085333111887</v>
      </c>
      <c r="N1802">
        <v>55.7423037337526</v>
      </c>
      <c r="O1802">
        <v>54.912472846493202</v>
      </c>
      <c r="P1802">
        <v>-9.2589890596405197E-2</v>
      </c>
      <c r="Q1802">
        <v>6.74801881867991E-2</v>
      </c>
      <c r="R1802">
        <v>0.98174869497107298</v>
      </c>
      <c r="S1802" t="s">
        <v>7385</v>
      </c>
      <c r="T1802" t="s">
        <v>11164</v>
      </c>
      <c r="U1802" t="s">
        <v>11164</v>
      </c>
      <c r="V1802" t="s">
        <v>11164</v>
      </c>
      <c r="W1802" t="s">
        <v>12934</v>
      </c>
      <c r="X1802">
        <v>2</v>
      </c>
      <c r="Y1802" t="s">
        <v>18454</v>
      </c>
      <c r="Z1802" t="s">
        <v>23952</v>
      </c>
      <c r="AA1802">
        <v>0.64787741398793919</v>
      </c>
      <c r="AB1802" t="str">
        <f>HYPERLINK("Melting_Curves/meltCurve_P09601_HMOX1.pdf", "Melting_Curves/meltCurve_P09601_HMOX1.pdf")</f>
        <v>Melting_Curves/meltCurve_P09601_HMOX1.pdf</v>
      </c>
    </row>
    <row r="1803" spans="1:28" x14ac:dyDescent="0.25">
      <c r="A1803" t="s">
        <v>1807</v>
      </c>
      <c r="B1803">
        <v>0.99796759195183404</v>
      </c>
      <c r="C1803">
        <v>0.90476664442968602</v>
      </c>
      <c r="D1803">
        <v>0.89102707077713805</v>
      </c>
      <c r="E1803">
        <v>0.955591810954316</v>
      </c>
      <c r="F1803">
        <v>0.82999446209555605</v>
      </c>
      <c r="G1803">
        <v>0.95349364941648396</v>
      </c>
      <c r="H1803">
        <v>0.60126091888921696</v>
      </c>
      <c r="I1803">
        <v>0.56027615069312697</v>
      </c>
      <c r="J1803">
        <v>0.59561781663491997</v>
      </c>
      <c r="K1803">
        <v>0.61924419358080796</v>
      </c>
      <c r="L1803">
        <v>628.34790358129499</v>
      </c>
      <c r="M1803">
        <v>11.422986124987199</v>
      </c>
      <c r="O1803">
        <v>53.4024594115753</v>
      </c>
      <c r="P1803">
        <v>-2.6285362140414902E-2</v>
      </c>
      <c r="Q1803">
        <v>0.50860707209957401</v>
      </c>
      <c r="R1803">
        <v>0.77211382168365705</v>
      </c>
      <c r="S1803" t="s">
        <v>7386</v>
      </c>
      <c r="T1803" t="s">
        <v>11164</v>
      </c>
      <c r="U1803" t="s">
        <v>11164</v>
      </c>
      <c r="V1803" t="s">
        <v>11164</v>
      </c>
      <c r="W1803" t="s">
        <v>12935</v>
      </c>
      <c r="X1803">
        <v>23</v>
      </c>
      <c r="Y1803" t="s">
        <v>18455</v>
      </c>
      <c r="Z1803" t="s">
        <v>23953</v>
      </c>
      <c r="AA1803">
        <v>0.81034929231647157</v>
      </c>
      <c r="AB1803" t="str">
        <f>HYPERLINK("Melting_Curves/meltCurve_P09622_DLD.pdf", "Melting_Curves/meltCurve_P09622_DLD.pdf")</f>
        <v>Melting_Curves/meltCurve_P09622_DLD.pdf</v>
      </c>
    </row>
    <row r="1804" spans="1:28" x14ac:dyDescent="0.25">
      <c r="A1804" t="s">
        <v>1808</v>
      </c>
      <c r="B1804">
        <v>0.99796759195183404</v>
      </c>
      <c r="C1804">
        <v>0.98904582406928698</v>
      </c>
      <c r="D1804">
        <v>0.99392892028045898</v>
      </c>
      <c r="E1804">
        <v>1.04572069372044</v>
      </c>
      <c r="F1804">
        <v>0.85544725307120895</v>
      </c>
      <c r="G1804">
        <v>1.7788088488804401</v>
      </c>
      <c r="H1804">
        <v>1.82886294783697</v>
      </c>
      <c r="I1804">
        <v>1.24435355959127</v>
      </c>
      <c r="J1804">
        <v>0.34158059503070598</v>
      </c>
      <c r="K1804">
        <v>0.247626702818877</v>
      </c>
      <c r="L1804">
        <v>15000</v>
      </c>
      <c r="M1804">
        <v>235.954185372789</v>
      </c>
      <c r="N1804">
        <v>63.756311803204703</v>
      </c>
      <c r="O1804">
        <v>63.567096368498099</v>
      </c>
      <c r="P1804">
        <v>-0.69826194531573405</v>
      </c>
      <c r="Q1804">
        <v>0.24754063245496</v>
      </c>
      <c r="R1804">
        <v>0.41813258846177598</v>
      </c>
      <c r="S1804" t="s">
        <v>7387</v>
      </c>
      <c r="T1804" t="s">
        <v>11164</v>
      </c>
      <c r="U1804" t="s">
        <v>11164</v>
      </c>
      <c r="V1804" t="s">
        <v>11164</v>
      </c>
      <c r="W1804" t="s">
        <v>12936</v>
      </c>
      <c r="X1804">
        <v>12</v>
      </c>
      <c r="Y1804" t="s">
        <v>18456</v>
      </c>
      <c r="Z1804" t="s">
        <v>23954</v>
      </c>
      <c r="AA1804">
        <v>0.91410472965482259</v>
      </c>
      <c r="AB1804" t="str">
        <f>HYPERLINK("Melting_Curves/meltCurve_P09661_SNRPA1.pdf", "Melting_Curves/meltCurve_P09661_SNRPA1.pdf")</f>
        <v>Melting_Curves/meltCurve_P09661_SNRPA1.pdf</v>
      </c>
    </row>
    <row r="1805" spans="1:28" x14ac:dyDescent="0.25">
      <c r="A1805" t="s">
        <v>1809</v>
      </c>
      <c r="B1805">
        <v>0.99796759195183404</v>
      </c>
      <c r="C1805">
        <v>0.92169344677214005</v>
      </c>
      <c r="D1805">
        <v>0.94493501802958302</v>
      </c>
      <c r="E1805">
        <v>0.94150224652413705</v>
      </c>
      <c r="F1805">
        <v>0.73116972645591205</v>
      </c>
      <c r="G1805">
        <v>0.57585205435797304</v>
      </c>
      <c r="H1805">
        <v>0.85880990166799198</v>
      </c>
      <c r="I1805">
        <v>1.02872684430802</v>
      </c>
      <c r="J1805">
        <v>1.3623627861816401</v>
      </c>
      <c r="K1805">
        <v>2.5493609388715899</v>
      </c>
      <c r="L1805">
        <v>15000</v>
      </c>
      <c r="M1805">
        <v>234.97821018834199</v>
      </c>
      <c r="O1805">
        <v>63.831082275753801</v>
      </c>
      <c r="P1805">
        <v>0.46015632638943899</v>
      </c>
      <c r="Q1805">
        <v>1.5</v>
      </c>
      <c r="R1805">
        <v>0.492815468231389</v>
      </c>
      <c r="S1805" t="s">
        <v>7388</v>
      </c>
      <c r="T1805" t="s">
        <v>11164</v>
      </c>
      <c r="U1805" t="s">
        <v>11164</v>
      </c>
      <c r="V1805" t="s">
        <v>11164</v>
      </c>
      <c r="W1805" t="s">
        <v>12937</v>
      </c>
      <c r="X1805">
        <v>6</v>
      </c>
      <c r="Y1805" t="s">
        <v>18457</v>
      </c>
      <c r="Z1805" t="s">
        <v>23955</v>
      </c>
      <c r="AA1805">
        <v>1.0526748974010181</v>
      </c>
      <c r="AB1805" t="str">
        <f>HYPERLINK("Melting_Curves/meltCurve_P09669_COX6C.pdf", "Melting_Curves/meltCurve_P09669_COX6C.pdf")</f>
        <v>Melting_Curves/meltCurve_P09669_COX6C.pdf</v>
      </c>
    </row>
    <row r="1806" spans="1:28" x14ac:dyDescent="0.25">
      <c r="A1806" t="s">
        <v>1810</v>
      </c>
      <c r="B1806">
        <v>0.99796759195183404</v>
      </c>
      <c r="C1806">
        <v>0.95714786474196101</v>
      </c>
      <c r="D1806">
        <v>0.91295657327063695</v>
      </c>
      <c r="E1806">
        <v>0.85174867516361197</v>
      </c>
      <c r="F1806">
        <v>0.535329803624366</v>
      </c>
      <c r="G1806">
        <v>0.18604237778738</v>
      </c>
      <c r="H1806">
        <v>0.14048459596430399</v>
      </c>
      <c r="I1806">
        <v>0.111806384215307</v>
      </c>
      <c r="J1806">
        <v>8.9486990884952905E-2</v>
      </c>
      <c r="K1806">
        <v>6.8704545958617802E-2</v>
      </c>
      <c r="L1806">
        <v>1132.9833971398</v>
      </c>
      <c r="M1806">
        <v>22.693055257669499</v>
      </c>
      <c r="N1806">
        <v>50.307377151337803</v>
      </c>
      <c r="O1806">
        <v>49.543588025501101</v>
      </c>
      <c r="P1806">
        <v>-0.10547304818063399</v>
      </c>
      <c r="Q1806">
        <v>7.8941134583231598E-2</v>
      </c>
      <c r="R1806">
        <v>0.99398937857450198</v>
      </c>
      <c r="S1806" t="s">
        <v>7389</v>
      </c>
      <c r="T1806" t="s">
        <v>11164</v>
      </c>
      <c r="U1806" t="s">
        <v>11164</v>
      </c>
      <c r="V1806" t="s">
        <v>11164</v>
      </c>
      <c r="W1806" t="s">
        <v>12938</v>
      </c>
      <c r="X1806">
        <v>34</v>
      </c>
      <c r="Y1806" t="s">
        <v>18458</v>
      </c>
      <c r="Z1806" t="s">
        <v>23956</v>
      </c>
      <c r="AA1806">
        <v>0.48546496455704441</v>
      </c>
      <c r="AB1806" t="str">
        <f>HYPERLINK("Melting_Curves/meltCurve_P09874_PARP1.pdf", "Melting_Curves/meltCurve_P09874_PARP1.pdf")</f>
        <v>Melting_Curves/meltCurve_P09874_PARP1.pdf</v>
      </c>
    </row>
    <row r="1807" spans="1:28" x14ac:dyDescent="0.25">
      <c r="A1807" t="s">
        <v>1811</v>
      </c>
      <c r="B1807">
        <v>0.99796759195183404</v>
      </c>
      <c r="C1807">
        <v>0.93207882732834502</v>
      </c>
      <c r="D1807">
        <v>0.94698437279111403</v>
      </c>
      <c r="E1807">
        <v>0.89571385750875099</v>
      </c>
      <c r="F1807">
        <v>0.76266296261759903</v>
      </c>
      <c r="G1807">
        <v>0.52985182702125899</v>
      </c>
      <c r="H1807">
        <v>0.38432310927942798</v>
      </c>
      <c r="I1807">
        <v>0.224444212560444</v>
      </c>
      <c r="J1807">
        <v>0.20820441119299901</v>
      </c>
      <c r="K1807">
        <v>0.21433768622317401</v>
      </c>
      <c r="L1807">
        <v>757.30935068318399</v>
      </c>
      <c r="M1807">
        <v>14.2369263997779</v>
      </c>
      <c r="N1807">
        <v>54.493119725501401</v>
      </c>
      <c r="O1807">
        <v>52.176831550983302</v>
      </c>
      <c r="P1807">
        <v>-5.8401270397206898E-2</v>
      </c>
      <c r="Q1807">
        <v>0.14396798877685399</v>
      </c>
      <c r="R1807">
        <v>0.99269684050609097</v>
      </c>
      <c r="S1807" t="s">
        <v>7390</v>
      </c>
      <c r="T1807" t="s">
        <v>11164</v>
      </c>
      <c r="U1807" t="s">
        <v>11164</v>
      </c>
      <c r="V1807" t="s">
        <v>11164</v>
      </c>
      <c r="W1807" t="s">
        <v>12939</v>
      </c>
      <c r="X1807">
        <v>17</v>
      </c>
      <c r="Y1807" t="s">
        <v>18459</v>
      </c>
      <c r="Z1807" t="s">
        <v>23957</v>
      </c>
      <c r="AA1807">
        <v>0.62176340546499842</v>
      </c>
      <c r="AB1807" t="str">
        <f>HYPERLINK("Melting_Curves/meltCurve_P09936_UCHL1.pdf", "Melting_Curves/meltCurve_P09936_UCHL1.pdf")</f>
        <v>Melting_Curves/meltCurve_P09936_UCHL1.pdf</v>
      </c>
    </row>
    <row r="1808" spans="1:28" x14ac:dyDescent="0.25">
      <c r="A1808" t="s">
        <v>1812</v>
      </c>
      <c r="B1808">
        <v>0.99796759195183404</v>
      </c>
      <c r="C1808">
        <v>1.0251088598807201</v>
      </c>
      <c r="D1808">
        <v>1.01133675671224</v>
      </c>
      <c r="E1808">
        <v>0.97395842760720497</v>
      </c>
      <c r="F1808">
        <v>0.85525561164867303</v>
      </c>
      <c r="G1808">
        <v>0.70468375707206499</v>
      </c>
      <c r="H1808">
        <v>0.45470945577280703</v>
      </c>
      <c r="I1808">
        <v>0.17108937106834499</v>
      </c>
      <c r="J1808">
        <v>0.102985554706351</v>
      </c>
      <c r="K1808">
        <v>7.2497334630795301E-2</v>
      </c>
      <c r="L1808">
        <v>977.40885122197699</v>
      </c>
      <c r="M1808">
        <v>17.3435488086551</v>
      </c>
      <c r="N1808">
        <v>56.355759011339799</v>
      </c>
      <c r="O1808">
        <v>55.622538226118003</v>
      </c>
      <c r="P1808">
        <v>-7.7956433408187406E-2</v>
      </c>
      <c r="Q1808">
        <v>0</v>
      </c>
      <c r="R1808">
        <v>0.99629259627130096</v>
      </c>
      <c r="S1808" t="s">
        <v>7391</v>
      </c>
      <c r="T1808" t="s">
        <v>11164</v>
      </c>
      <c r="U1808" t="s">
        <v>11164</v>
      </c>
      <c r="V1808" t="s">
        <v>11164</v>
      </c>
      <c r="W1808" t="s">
        <v>12940</v>
      </c>
      <c r="X1808">
        <v>32</v>
      </c>
      <c r="Y1808" t="s">
        <v>18460</v>
      </c>
      <c r="Z1808" t="s">
        <v>23958</v>
      </c>
      <c r="AA1808">
        <v>0.65566473452519103</v>
      </c>
      <c r="AB1808" t="str">
        <f>HYPERLINK("Melting_Curves/meltCurve_P09960_LTA4H.pdf", "Melting_Curves/meltCurve_P09960_LTA4H.pdf")</f>
        <v>Melting_Curves/meltCurve_P09960_LTA4H.pdf</v>
      </c>
    </row>
    <row r="1809" spans="1:28" x14ac:dyDescent="0.25">
      <c r="A1809" t="s">
        <v>1813</v>
      </c>
      <c r="B1809">
        <v>0.99796759195183404</v>
      </c>
      <c r="C1809">
        <v>0.99863932334250805</v>
      </c>
      <c r="D1809">
        <v>0.94877099806556497</v>
      </c>
      <c r="E1809">
        <v>0.90256861719215398</v>
      </c>
      <c r="F1809">
        <v>0.86206737528044897</v>
      </c>
      <c r="G1809">
        <v>0.8859957265831</v>
      </c>
      <c r="H1809">
        <v>0.88088501815055498</v>
      </c>
      <c r="I1809">
        <v>0.87553466616315101</v>
      </c>
      <c r="J1809">
        <v>0.85611382985037698</v>
      </c>
      <c r="K1809">
        <v>0.34482142335432397</v>
      </c>
      <c r="L1809">
        <v>3218.1749344349701</v>
      </c>
      <c r="M1809">
        <v>48.632218176482098</v>
      </c>
      <c r="N1809">
        <v>66.1737230231317</v>
      </c>
      <c r="O1809">
        <v>66.062124519942699</v>
      </c>
      <c r="P1809">
        <v>-0.184039901696541</v>
      </c>
      <c r="Q1809">
        <v>0</v>
      </c>
      <c r="R1809">
        <v>0.774754855076487</v>
      </c>
      <c r="S1809" t="s">
        <v>7392</v>
      </c>
      <c r="T1809" t="s">
        <v>11164</v>
      </c>
      <c r="U1809" t="s">
        <v>11164</v>
      </c>
      <c r="V1809" t="s">
        <v>11164</v>
      </c>
      <c r="W1809" t="s">
        <v>12941</v>
      </c>
      <c r="X1809">
        <v>29</v>
      </c>
      <c r="Y1809" t="s">
        <v>17731</v>
      </c>
      <c r="Z1809" t="s">
        <v>23959</v>
      </c>
      <c r="AA1809">
        <v>0.95418551364848425</v>
      </c>
      <c r="AB1809" t="str">
        <f>HYPERLINK("Melting_Curves/meltCurve_P09972_ALDOC.pdf", "Melting_Curves/meltCurve_P09972_ALDOC.pdf")</f>
        <v>Melting_Curves/meltCurve_P09972_ALDOC.pdf</v>
      </c>
    </row>
    <row r="1810" spans="1:28" x14ac:dyDescent="0.25">
      <c r="A1810" t="s">
        <v>1814</v>
      </c>
      <c r="B1810">
        <v>0.99796759195183404</v>
      </c>
      <c r="C1810">
        <v>0.99521878860397495</v>
      </c>
      <c r="D1810">
        <v>0.982437532435949</v>
      </c>
      <c r="E1810">
        <v>0.96881460383991602</v>
      </c>
      <c r="F1810">
        <v>0.63924668370906201</v>
      </c>
      <c r="G1810">
        <v>0.28035475138792998</v>
      </c>
      <c r="H1810">
        <v>0.203739910332774</v>
      </c>
      <c r="I1810">
        <v>0.18929363523408199</v>
      </c>
      <c r="J1810">
        <v>0.12678339334135699</v>
      </c>
      <c r="K1810">
        <v>9.9427779334653396E-2</v>
      </c>
      <c r="L1810">
        <v>1479.4711819111899</v>
      </c>
      <c r="M1810">
        <v>29.111949729729499</v>
      </c>
      <c r="N1810">
        <v>51.416097935940499</v>
      </c>
      <c r="O1810">
        <v>50.582077949937499</v>
      </c>
      <c r="P1810">
        <v>-0.12327849310177801</v>
      </c>
      <c r="Q1810">
        <v>0.14321965900198999</v>
      </c>
      <c r="R1810">
        <v>0.99604154042228099</v>
      </c>
      <c r="S1810" t="s">
        <v>7393</v>
      </c>
      <c r="T1810" t="s">
        <v>11164</v>
      </c>
      <c r="U1810" t="s">
        <v>11164</v>
      </c>
      <c r="V1810" t="s">
        <v>11164</v>
      </c>
      <c r="W1810" t="s">
        <v>12942</v>
      </c>
      <c r="X1810">
        <v>3</v>
      </c>
      <c r="Y1810" t="s">
        <v>18461</v>
      </c>
      <c r="Z1810" t="s">
        <v>23960</v>
      </c>
      <c r="AA1810">
        <v>0.54355692970220049</v>
      </c>
      <c r="AB1810" t="str">
        <f>HYPERLINK("Melting_Curves/meltCurve_P0C7P0_CISD3.pdf", "Melting_Curves/meltCurve_P0C7P0_CISD3.pdf")</f>
        <v>Melting_Curves/meltCurve_P0C7P0_CISD3.pdf</v>
      </c>
    </row>
    <row r="1811" spans="1:28" x14ac:dyDescent="0.25">
      <c r="A1811" t="s">
        <v>1815</v>
      </c>
      <c r="B1811">
        <v>0.99796759195183404</v>
      </c>
      <c r="C1811">
        <v>0.96412049016929002</v>
      </c>
      <c r="D1811">
        <v>0.91151861030592796</v>
      </c>
      <c r="E1811">
        <v>0.88790974513209997</v>
      </c>
      <c r="F1811">
        <v>0.73532788002613703</v>
      </c>
      <c r="G1811">
        <v>0.46223525747438599</v>
      </c>
      <c r="H1811">
        <v>0.25501064205080098</v>
      </c>
      <c r="I1811">
        <v>0.178632413267451</v>
      </c>
      <c r="J1811">
        <v>0.142534554088179</v>
      </c>
      <c r="K1811">
        <v>0.10699435451686901</v>
      </c>
      <c r="L1811">
        <v>809.06981465955698</v>
      </c>
      <c r="M1811">
        <v>15.348563653548601</v>
      </c>
      <c r="N1811">
        <v>53.263563031643201</v>
      </c>
      <c r="O1811">
        <v>51.842554052931099</v>
      </c>
      <c r="P1811">
        <v>-6.8592714417420902E-2</v>
      </c>
      <c r="Q1811">
        <v>7.3348285406152902E-2</v>
      </c>
      <c r="R1811">
        <v>0.99509333457957705</v>
      </c>
      <c r="S1811" t="s">
        <v>7394</v>
      </c>
      <c r="T1811" t="s">
        <v>11164</v>
      </c>
      <c r="U1811" t="s">
        <v>11164</v>
      </c>
      <c r="V1811" t="s">
        <v>11164</v>
      </c>
      <c r="W1811" t="s">
        <v>12943</v>
      </c>
      <c r="X1811">
        <v>3</v>
      </c>
      <c r="Y1811" t="s">
        <v>18462</v>
      </c>
      <c r="Z1811" t="s">
        <v>23961</v>
      </c>
      <c r="AA1811">
        <v>0.57521289806569376</v>
      </c>
      <c r="AB1811" t="str">
        <f>HYPERLINK("Melting_Curves/meltCurve_P0C7T5_ATXN1L.pdf", "Melting_Curves/meltCurve_P0C7T5_ATXN1L.pdf")</f>
        <v>Melting_Curves/meltCurve_P0C7T5_ATXN1L.pdf</v>
      </c>
    </row>
    <row r="1812" spans="1:28" x14ac:dyDescent="0.25">
      <c r="A1812" t="s">
        <v>1816</v>
      </c>
      <c r="B1812">
        <v>0.99796759195183404</v>
      </c>
      <c r="C1812">
        <v>0.89457948727147196</v>
      </c>
      <c r="D1812">
        <v>0.96450558664469499</v>
      </c>
      <c r="E1812">
        <v>0.67419853073363201</v>
      </c>
      <c r="F1812">
        <v>0.76362781529228196</v>
      </c>
      <c r="G1812">
        <v>0.490819686193184</v>
      </c>
      <c r="H1812">
        <v>0.55514053917731099</v>
      </c>
      <c r="I1812">
        <v>0.71633933985298404</v>
      </c>
      <c r="J1812">
        <v>0.49845204880428801</v>
      </c>
      <c r="K1812">
        <v>0.38872720468263</v>
      </c>
      <c r="L1812">
        <v>484.58150227997203</v>
      </c>
      <c r="M1812">
        <v>10.116113721227901</v>
      </c>
      <c r="N1812">
        <v>66.950364731819803</v>
      </c>
      <c r="O1812">
        <v>46.143074537982997</v>
      </c>
      <c r="P1812">
        <v>-2.8958772421577E-2</v>
      </c>
      <c r="Q1812">
        <v>0.47188182703197701</v>
      </c>
      <c r="R1812">
        <v>0.77800582727017198</v>
      </c>
      <c r="S1812" t="s">
        <v>7395</v>
      </c>
      <c r="T1812" t="s">
        <v>11164</v>
      </c>
      <c r="U1812" t="s">
        <v>11164</v>
      </c>
      <c r="V1812" t="s">
        <v>11164</v>
      </c>
      <c r="W1812" t="s">
        <v>12944</v>
      </c>
      <c r="X1812">
        <v>1</v>
      </c>
      <c r="Y1812" t="s">
        <v>18463</v>
      </c>
      <c r="Z1812" t="s">
        <v>23962</v>
      </c>
      <c r="AA1812">
        <v>0.68484896953112229</v>
      </c>
      <c r="AB1812" t="str">
        <f>HYPERLINK("Melting_Curves/meltCurve_P0CAP2_2_POLR2M.pdf", "Melting_Curves/meltCurve_P0CAP2_2_POLR2M.pdf")</f>
        <v>Melting_Curves/meltCurve_P0CAP2_2_POLR2M.pdf</v>
      </c>
    </row>
    <row r="1813" spans="1:28" x14ac:dyDescent="0.25">
      <c r="A1813" t="s">
        <v>1817</v>
      </c>
      <c r="B1813">
        <v>0.99796759195183404</v>
      </c>
      <c r="C1813">
        <v>1.0331484978409999</v>
      </c>
      <c r="D1813">
        <v>1.0342969170129499</v>
      </c>
      <c r="E1813">
        <v>0.96633297368806004</v>
      </c>
      <c r="F1813">
        <v>0.96214380452694703</v>
      </c>
      <c r="G1813">
        <v>0.70851274404151399</v>
      </c>
      <c r="H1813">
        <v>0.74898825779711398</v>
      </c>
      <c r="I1813">
        <v>0.63719987972104097</v>
      </c>
      <c r="J1813">
        <v>0.90615033893587005</v>
      </c>
      <c r="K1813">
        <v>0.95923708862180102</v>
      </c>
      <c r="L1813">
        <v>12625.4376408523</v>
      </c>
      <c r="M1813">
        <v>250</v>
      </c>
      <c r="O1813">
        <v>50.498518803012097</v>
      </c>
      <c r="P1813">
        <v>-0.25741143552302498</v>
      </c>
      <c r="Q1813">
        <v>0.79201766084251601</v>
      </c>
      <c r="R1813">
        <v>0.58384530360056897</v>
      </c>
      <c r="S1813" t="s">
        <v>7396</v>
      </c>
      <c r="T1813" t="s">
        <v>11164</v>
      </c>
      <c r="U1813" t="s">
        <v>11164</v>
      </c>
      <c r="V1813" t="s">
        <v>11164</v>
      </c>
      <c r="W1813" t="s">
        <v>12945</v>
      </c>
      <c r="X1813">
        <v>6</v>
      </c>
      <c r="Y1813" t="s">
        <v>18464</v>
      </c>
      <c r="Z1813" t="s">
        <v>23963</v>
      </c>
      <c r="AA1813">
        <v>0.88564028310273835</v>
      </c>
      <c r="AB1813" t="str">
        <f>HYPERLINK("Melting_Curves/meltCurve_P0CG12_CHTF8.pdf", "Melting_Curves/meltCurve_P0CG12_CHTF8.pdf")</f>
        <v>Melting_Curves/meltCurve_P0CG12_CHTF8.pdf</v>
      </c>
    </row>
    <row r="1814" spans="1:28" x14ac:dyDescent="0.25">
      <c r="A1814" t="s">
        <v>1818</v>
      </c>
      <c r="B1814">
        <v>0.99796759195183404</v>
      </c>
      <c r="C1814">
        <v>1.00077675804165</v>
      </c>
      <c r="D1814">
        <v>1.0928129111590299</v>
      </c>
      <c r="E1814">
        <v>0.95700606993589798</v>
      </c>
      <c r="F1814">
        <v>0.92541906552839903</v>
      </c>
      <c r="G1814">
        <v>0.54992695197071295</v>
      </c>
      <c r="H1814">
        <v>0.64491884011831502</v>
      </c>
      <c r="I1814">
        <v>0.75079112504509604</v>
      </c>
      <c r="J1814">
        <v>0.96555373361402796</v>
      </c>
      <c r="K1814">
        <v>0.93451073793516304</v>
      </c>
      <c r="L1814">
        <v>12587.1356786587</v>
      </c>
      <c r="M1814">
        <v>250</v>
      </c>
      <c r="O1814">
        <v>50.3453268808925</v>
      </c>
      <c r="P1814">
        <v>-0.28659529927181498</v>
      </c>
      <c r="Q1814">
        <v>0.76914028397796497</v>
      </c>
      <c r="R1814">
        <v>0.48628563091937899</v>
      </c>
      <c r="S1814" t="s">
        <v>7397</v>
      </c>
      <c r="T1814" t="s">
        <v>11164</v>
      </c>
      <c r="U1814" t="s">
        <v>11164</v>
      </c>
      <c r="V1814" t="s">
        <v>11164</v>
      </c>
      <c r="W1814" t="s">
        <v>12946</v>
      </c>
      <c r="X1814">
        <v>2</v>
      </c>
      <c r="Y1814" t="s">
        <v>18465</v>
      </c>
      <c r="Z1814" t="s">
        <v>23964</v>
      </c>
      <c r="AA1814">
        <v>0.87188204229924549</v>
      </c>
      <c r="AB1814" t="str">
        <f>HYPERLINK("Melting_Curves/meltCurve_P0CG35_TMSB15B.pdf", "Melting_Curves/meltCurve_P0CG35_TMSB15B.pdf")</f>
        <v>Melting_Curves/meltCurve_P0CG35_TMSB15B.pdf</v>
      </c>
    </row>
    <row r="1815" spans="1:28" x14ac:dyDescent="0.25">
      <c r="A1815" t="s">
        <v>1819</v>
      </c>
      <c r="B1815">
        <v>0.99796759195183404</v>
      </c>
      <c r="C1815">
        <v>1.0969600648159801</v>
      </c>
      <c r="D1815">
        <v>1.00660814279337</v>
      </c>
      <c r="E1815">
        <v>1.09565558851492</v>
      </c>
      <c r="F1815">
        <v>1.22111544719089</v>
      </c>
      <c r="G1815">
        <v>2.1051343911295999</v>
      </c>
      <c r="H1815">
        <v>1.15308296112025</v>
      </c>
      <c r="I1815">
        <v>0.93027850130399503</v>
      </c>
      <c r="J1815">
        <v>0.69411518066142097</v>
      </c>
      <c r="K1815">
        <v>0.48754390923834701</v>
      </c>
      <c r="L1815">
        <v>3238.8173483015098</v>
      </c>
      <c r="M1815">
        <v>50.761525923901502</v>
      </c>
      <c r="N1815">
        <v>66.672789669809205</v>
      </c>
      <c r="O1815">
        <v>63.705801431381403</v>
      </c>
      <c r="P1815">
        <v>-0.110818835096503</v>
      </c>
      <c r="Q1815">
        <v>0.44368933855243797</v>
      </c>
      <c r="R1815">
        <v>0.18479901474879401</v>
      </c>
      <c r="S1815" t="s">
        <v>7398</v>
      </c>
      <c r="T1815" t="s">
        <v>11164</v>
      </c>
      <c r="U1815" t="s">
        <v>11164</v>
      </c>
      <c r="V1815" t="s">
        <v>11164</v>
      </c>
      <c r="W1815" t="s">
        <v>12947</v>
      </c>
      <c r="X1815">
        <v>9</v>
      </c>
      <c r="Y1815" t="s">
        <v>18466</v>
      </c>
      <c r="Z1815" t="s">
        <v>23965</v>
      </c>
      <c r="AA1815">
        <v>0.93997756180824343</v>
      </c>
      <c r="AB1815" t="str">
        <f>HYPERLINK("Melting_Curves/meltCurve_P0CW22_RPS17L.pdf", "Melting_Curves/meltCurve_P0CW22_RPS17L.pdf")</f>
        <v>Melting_Curves/meltCurve_P0CW22_RPS17L.pdf</v>
      </c>
    </row>
    <row r="1816" spans="1:28" x14ac:dyDescent="0.25">
      <c r="A1816" t="s">
        <v>1820</v>
      </c>
      <c r="B1816">
        <v>0.99796759195183404</v>
      </c>
      <c r="C1816">
        <v>1.14294922418793</v>
      </c>
      <c r="D1816">
        <v>1.0769879723461999</v>
      </c>
      <c r="E1816">
        <v>0.94844709960701401</v>
      </c>
      <c r="F1816">
        <v>0.85863060995293505</v>
      </c>
      <c r="G1816">
        <v>0.62998441665737004</v>
      </c>
      <c r="H1816">
        <v>0.57274918052405599</v>
      </c>
      <c r="I1816">
        <v>0.38967301888288303</v>
      </c>
      <c r="J1816">
        <v>0.438213963335775</v>
      </c>
      <c r="K1816">
        <v>0.36987711419714198</v>
      </c>
      <c r="L1816">
        <v>976.43030158825798</v>
      </c>
      <c r="M1816">
        <v>18.283988752972199</v>
      </c>
      <c r="N1816">
        <v>57.8214689046346</v>
      </c>
      <c r="O1816">
        <v>52.7770465666418</v>
      </c>
      <c r="P1816">
        <v>-5.4018227382586201E-2</v>
      </c>
      <c r="Q1816">
        <v>0.376330776498911</v>
      </c>
      <c r="R1816">
        <v>0.953633549835046</v>
      </c>
      <c r="S1816" t="s">
        <v>7399</v>
      </c>
      <c r="T1816" t="s">
        <v>11164</v>
      </c>
      <c r="U1816" t="s">
        <v>11164</v>
      </c>
      <c r="V1816" t="s">
        <v>11164</v>
      </c>
      <c r="W1816" t="s">
        <v>11243</v>
      </c>
      <c r="X1816">
        <v>1</v>
      </c>
      <c r="Y1816" t="s">
        <v>16773</v>
      </c>
      <c r="Z1816" t="s">
        <v>23966</v>
      </c>
      <c r="AA1816">
        <v>0.72605695428699957</v>
      </c>
      <c r="AB1816" t="str">
        <f>HYPERLINK("Melting_Curves/meltCurve_P0DI83_RAB34.pdf", "Melting_Curves/meltCurve_P0DI83_RAB34.pdf")</f>
        <v>Melting_Curves/meltCurve_P0DI83_RAB34.pdf</v>
      </c>
    </row>
    <row r="1817" spans="1:28" x14ac:dyDescent="0.25">
      <c r="A1817" t="s">
        <v>1821</v>
      </c>
      <c r="B1817">
        <v>0.99796759195183404</v>
      </c>
      <c r="C1817">
        <v>1.40797859946837</v>
      </c>
      <c r="D1817">
        <v>1.16794994701731</v>
      </c>
      <c r="E1817">
        <v>1.1982696129211201</v>
      </c>
      <c r="F1817">
        <v>1.4685644742800501</v>
      </c>
      <c r="G1817">
        <v>0.94288735039553495</v>
      </c>
      <c r="H1817">
        <v>0.89912053162337102</v>
      </c>
      <c r="I1817">
        <v>0.92521902929849897</v>
      </c>
      <c r="J1817">
        <v>1.20374253115793</v>
      </c>
      <c r="K1817">
        <v>1.2153822031520201</v>
      </c>
      <c r="L1817">
        <v>15000</v>
      </c>
      <c r="M1817">
        <v>236.84426081569799</v>
      </c>
      <c r="O1817">
        <v>63.328246537091204</v>
      </c>
      <c r="P1817">
        <v>0.201518710722255</v>
      </c>
      <c r="Q1817">
        <v>1.21553109185879</v>
      </c>
      <c r="R1817">
        <v>-0.32444157616573599</v>
      </c>
      <c r="S1817" t="s">
        <v>7400</v>
      </c>
      <c r="T1817" t="s">
        <v>11164</v>
      </c>
      <c r="U1817" t="s">
        <v>11164</v>
      </c>
      <c r="V1817" t="s">
        <v>11164</v>
      </c>
      <c r="W1817" t="s">
        <v>12948</v>
      </c>
      <c r="X1817">
        <v>2</v>
      </c>
      <c r="Y1817" t="s">
        <v>18467</v>
      </c>
      <c r="Z1817" t="s">
        <v>23967</v>
      </c>
      <c r="AA1817">
        <v>1.026320143462417</v>
      </c>
      <c r="AB1817" t="str">
        <f>HYPERLINK("Melting_Curves/meltCurve_P0DJ93_SMIM13.pdf", "Melting_Curves/meltCurve_P0DJ93_SMIM13.pdf")</f>
        <v>Melting_Curves/meltCurve_P0DJ93_SMIM13.pdf</v>
      </c>
    </row>
    <row r="1818" spans="1:28" x14ac:dyDescent="0.25">
      <c r="A1818" t="s">
        <v>1822</v>
      </c>
      <c r="B1818">
        <v>0.99796759195183404</v>
      </c>
      <c r="C1818">
        <v>1.0644122759697101</v>
      </c>
      <c r="D1818">
        <v>1.00787186252337</v>
      </c>
      <c r="E1818">
        <v>1.0046718994939801</v>
      </c>
      <c r="F1818">
        <v>0.92678758729705002</v>
      </c>
      <c r="G1818">
        <v>0.68143105475483901</v>
      </c>
      <c r="H1818">
        <v>0.579606593340798</v>
      </c>
      <c r="I1818">
        <v>0.52616937997010105</v>
      </c>
      <c r="J1818">
        <v>0.69119847688095204</v>
      </c>
      <c r="K1818">
        <v>0.672787268416282</v>
      </c>
      <c r="L1818">
        <v>2451.5766462005399</v>
      </c>
      <c r="M1818">
        <v>47.336301482398298</v>
      </c>
      <c r="O1818">
        <v>51.698439758174601</v>
      </c>
      <c r="P1818">
        <v>-8.7433565653071504E-2</v>
      </c>
      <c r="Q1818">
        <v>0.61803735847844499</v>
      </c>
      <c r="R1818">
        <v>0.93858208832467305</v>
      </c>
      <c r="S1818" t="s">
        <v>7401</v>
      </c>
      <c r="T1818" t="s">
        <v>11164</v>
      </c>
      <c r="U1818" t="s">
        <v>11164</v>
      </c>
      <c r="V1818" t="s">
        <v>11164</v>
      </c>
      <c r="W1818" t="s">
        <v>12949</v>
      </c>
      <c r="X1818">
        <v>7</v>
      </c>
      <c r="Y1818" t="s">
        <v>18468</v>
      </c>
      <c r="Z1818" t="s">
        <v>23968</v>
      </c>
      <c r="AA1818">
        <v>0.80732656909947109</v>
      </c>
      <c r="AB1818" t="str">
        <f>HYPERLINK("Melting_Curves/meltCurve_P10109_FDX1.pdf", "Melting_Curves/meltCurve_P10109_FDX1.pdf")</f>
        <v>Melting_Curves/meltCurve_P10109_FDX1.pdf</v>
      </c>
    </row>
    <row r="1819" spans="1:28" x14ac:dyDescent="0.25">
      <c r="A1819" t="s">
        <v>1823</v>
      </c>
      <c r="B1819">
        <v>0.99796759195183404</v>
      </c>
      <c r="C1819">
        <v>0.97982407782005199</v>
      </c>
      <c r="D1819">
        <v>0.98623237929877094</v>
      </c>
      <c r="E1819">
        <v>0.98091912337920695</v>
      </c>
      <c r="F1819">
        <v>0.91773963234582701</v>
      </c>
      <c r="G1819">
        <v>0.90973437144605995</v>
      </c>
      <c r="H1819">
        <v>0.81499317434285901</v>
      </c>
      <c r="I1819">
        <v>0.79305480393009697</v>
      </c>
      <c r="J1819">
        <v>0.77481815529226405</v>
      </c>
      <c r="K1819">
        <v>0.48722353493562098</v>
      </c>
      <c r="L1819">
        <v>583.91859057498596</v>
      </c>
      <c r="M1819">
        <v>8.4075993289061692</v>
      </c>
      <c r="O1819">
        <v>65.855805290201005</v>
      </c>
      <c r="P1819">
        <v>-3.1946662877216897E-2</v>
      </c>
      <c r="Q1819">
        <v>0</v>
      </c>
      <c r="R1819">
        <v>0.89143969394467204</v>
      </c>
      <c r="S1819" t="s">
        <v>7402</v>
      </c>
      <c r="T1819" t="s">
        <v>11164</v>
      </c>
      <c r="U1819" t="s">
        <v>11164</v>
      </c>
      <c r="V1819" t="s">
        <v>11164</v>
      </c>
      <c r="W1819" t="s">
        <v>12950</v>
      </c>
      <c r="X1819">
        <v>14</v>
      </c>
      <c r="Y1819" t="s">
        <v>18469</v>
      </c>
      <c r="Z1819" t="s">
        <v>23969</v>
      </c>
      <c r="AA1819">
        <v>0.88645047476049332</v>
      </c>
      <c r="AB1819" t="str">
        <f>HYPERLINK("Melting_Curves/meltCurve_P10155_3_TROVE2.pdf", "Melting_Curves/meltCurve_P10155_3_TROVE2.pdf")</f>
        <v>Melting_Curves/meltCurve_P10155_3_TROVE2.pdf</v>
      </c>
    </row>
    <row r="1820" spans="1:28" x14ac:dyDescent="0.25">
      <c r="A1820" t="s">
        <v>1824</v>
      </c>
      <c r="B1820">
        <v>0.99796759195183404</v>
      </c>
      <c r="C1820">
        <v>0.977185032454432</v>
      </c>
      <c r="D1820">
        <v>0.87005039804346296</v>
      </c>
      <c r="E1820">
        <v>0.93978797225773403</v>
      </c>
      <c r="F1820">
        <v>0.97864069604944404</v>
      </c>
      <c r="G1820">
        <v>0.62648719847601597</v>
      </c>
      <c r="H1820">
        <v>1.29626351304079</v>
      </c>
      <c r="I1820">
        <v>1.3054147093300901</v>
      </c>
      <c r="J1820">
        <v>1.67527405165556</v>
      </c>
      <c r="K1820">
        <v>2.4172490922299601</v>
      </c>
      <c r="L1820">
        <v>11056.4798231738</v>
      </c>
      <c r="M1820">
        <v>192.99592516018299</v>
      </c>
      <c r="O1820">
        <v>57.282518654526001</v>
      </c>
      <c r="P1820">
        <v>0.42114926700257199</v>
      </c>
      <c r="Q1820">
        <v>1.5</v>
      </c>
      <c r="R1820">
        <v>0.54854885262830999</v>
      </c>
      <c r="S1820" t="s">
        <v>7403</v>
      </c>
      <c r="T1820" t="s">
        <v>11164</v>
      </c>
      <c r="U1820" t="s">
        <v>11164</v>
      </c>
      <c r="V1820" t="s">
        <v>11164</v>
      </c>
      <c r="W1820" t="s">
        <v>12951</v>
      </c>
      <c r="X1820">
        <v>1</v>
      </c>
      <c r="Y1820" t="s">
        <v>18470</v>
      </c>
      <c r="Z1820" t="s">
        <v>23970</v>
      </c>
      <c r="AA1820">
        <v>1.161771139129544</v>
      </c>
      <c r="AB1820" t="str">
        <f>HYPERLINK("Melting_Curves/meltCurve_P10176_COX8A.pdf", "Melting_Curves/meltCurve_P10176_COX8A.pdf")</f>
        <v>Melting_Curves/meltCurve_P10176_COX8A.pdf</v>
      </c>
    </row>
    <row r="1821" spans="1:28" x14ac:dyDescent="0.25">
      <c r="A1821" t="s">
        <v>1825</v>
      </c>
      <c r="B1821">
        <v>0.99796759195183404</v>
      </c>
      <c r="C1821">
        <v>0.96597443292997898</v>
      </c>
      <c r="D1821">
        <v>0.97984314389812799</v>
      </c>
      <c r="E1821">
        <v>0.94065715603872901</v>
      </c>
      <c r="F1821">
        <v>0.83371041489426401</v>
      </c>
      <c r="G1821">
        <v>0.71558552801815101</v>
      </c>
      <c r="H1821">
        <v>0.71086125370367204</v>
      </c>
      <c r="I1821">
        <v>0.68580449787321396</v>
      </c>
      <c r="J1821">
        <v>0.80416559611230098</v>
      </c>
      <c r="K1821">
        <v>0.57626035657733699</v>
      </c>
      <c r="L1821">
        <v>1029.82161633029</v>
      </c>
      <c r="M1821">
        <v>20.714163168223699</v>
      </c>
      <c r="O1821">
        <v>49.259426876947003</v>
      </c>
      <c r="P1821">
        <v>-3.3310650304592099E-2</v>
      </c>
      <c r="Q1821">
        <v>0.68315069460734701</v>
      </c>
      <c r="R1821">
        <v>0.85837638669176097</v>
      </c>
      <c r="S1821" t="s">
        <v>7404</v>
      </c>
      <c r="T1821" t="s">
        <v>11164</v>
      </c>
      <c r="U1821" t="s">
        <v>11164</v>
      </c>
      <c r="V1821" t="s">
        <v>11164</v>
      </c>
      <c r="W1821" t="s">
        <v>12952</v>
      </c>
      <c r="X1821">
        <v>10</v>
      </c>
      <c r="Y1821" t="s">
        <v>18471</v>
      </c>
      <c r="Z1821" t="s">
        <v>23971</v>
      </c>
      <c r="AA1821">
        <v>0.8213720371362887</v>
      </c>
      <c r="AB1821" t="str">
        <f>HYPERLINK("Melting_Curves/meltCurve_P10253_GAA.pdf", "Melting_Curves/meltCurve_P10253_GAA.pdf")</f>
        <v>Melting_Curves/meltCurve_P10253_GAA.pdf</v>
      </c>
    </row>
    <row r="1822" spans="1:28" x14ac:dyDescent="0.25">
      <c r="A1822" t="s">
        <v>1826</v>
      </c>
      <c r="B1822">
        <v>0.99796759195183404</v>
      </c>
      <c r="C1822">
        <v>0.88418476182763295</v>
      </c>
      <c r="D1822">
        <v>0.80999048065246204</v>
      </c>
      <c r="E1822">
        <v>0.72643190169196104</v>
      </c>
      <c r="F1822">
        <v>0.79872437116083495</v>
      </c>
      <c r="G1822">
        <v>0.585951508440404</v>
      </c>
      <c r="H1822">
        <v>0.50715449712312299</v>
      </c>
      <c r="I1822">
        <v>0.34906890592253298</v>
      </c>
      <c r="J1822">
        <v>0.30910654641741497</v>
      </c>
      <c r="K1822">
        <v>9.52925092164955E-2</v>
      </c>
      <c r="L1822">
        <v>400.76391432774398</v>
      </c>
      <c r="M1822">
        <v>7.18280698083153</v>
      </c>
      <c r="N1822">
        <v>55.794889965735301</v>
      </c>
      <c r="O1822">
        <v>51.9562316182191</v>
      </c>
      <c r="P1822">
        <v>-3.4620111162047197E-2</v>
      </c>
      <c r="Q1822">
        <v>0</v>
      </c>
      <c r="R1822">
        <v>0.930218356546198</v>
      </c>
      <c r="S1822" t="s">
        <v>7405</v>
      </c>
      <c r="T1822" t="s">
        <v>11164</v>
      </c>
      <c r="U1822" t="s">
        <v>11164</v>
      </c>
      <c r="V1822" t="s">
        <v>11164</v>
      </c>
      <c r="W1822" t="s">
        <v>12953</v>
      </c>
      <c r="X1822">
        <v>5</v>
      </c>
      <c r="Y1822" t="s">
        <v>18472</v>
      </c>
      <c r="Z1822" t="s">
        <v>23972</v>
      </c>
      <c r="AA1822">
        <v>0.62187778596041798</v>
      </c>
      <c r="AB1822" t="str">
        <f>HYPERLINK("Melting_Curves/meltCurve_P10301_RRAS.pdf", "Melting_Curves/meltCurve_P10301_RRAS.pdf")</f>
        <v>Melting_Curves/meltCurve_P10301_RRAS.pdf</v>
      </c>
    </row>
    <row r="1823" spans="1:28" x14ac:dyDescent="0.25">
      <c r="A1823" t="s">
        <v>1827</v>
      </c>
      <c r="B1823">
        <v>0.99796759195183404</v>
      </c>
      <c r="C1823">
        <v>1.06513332074886</v>
      </c>
      <c r="D1823">
        <v>0.92318551721688502</v>
      </c>
      <c r="E1823">
        <v>0.96102361587395002</v>
      </c>
      <c r="F1823">
        <v>0.65486838776640399</v>
      </c>
      <c r="G1823">
        <v>0.31044818580100397</v>
      </c>
      <c r="H1823">
        <v>0.20608732926321299</v>
      </c>
      <c r="I1823">
        <v>0.167402737468858</v>
      </c>
      <c r="J1823">
        <v>0.14062465431129201</v>
      </c>
      <c r="K1823">
        <v>8.9757945912759193E-2</v>
      </c>
      <c r="L1823">
        <v>1288.3755220113201</v>
      </c>
      <c r="M1823">
        <v>25.213550075383299</v>
      </c>
      <c r="N1823">
        <v>51.716047212230698</v>
      </c>
      <c r="O1823">
        <v>50.780357774805601</v>
      </c>
      <c r="P1823">
        <v>-0.107996962501924</v>
      </c>
      <c r="Q1823">
        <v>0.12998325425789301</v>
      </c>
      <c r="R1823">
        <v>0.99108193356997498</v>
      </c>
      <c r="S1823" t="s">
        <v>7406</v>
      </c>
      <c r="T1823" t="s">
        <v>11164</v>
      </c>
      <c r="U1823" t="s">
        <v>11164</v>
      </c>
      <c r="V1823" t="s">
        <v>11164</v>
      </c>
      <c r="W1823" t="s">
        <v>12954</v>
      </c>
      <c r="X1823">
        <v>6</v>
      </c>
      <c r="Y1823" t="s">
        <v>18473</v>
      </c>
      <c r="Z1823" t="s">
        <v>23973</v>
      </c>
      <c r="AA1823">
        <v>0.54640920580729579</v>
      </c>
      <c r="AB1823" t="str">
        <f>HYPERLINK("Melting_Curves/meltCurve_P10398_ARAF.pdf", "Melting_Curves/meltCurve_P10398_ARAF.pdf")</f>
        <v>Melting_Curves/meltCurve_P10398_ARAF.pdf</v>
      </c>
    </row>
    <row r="1824" spans="1:28" x14ac:dyDescent="0.25">
      <c r="A1824" t="s">
        <v>1828</v>
      </c>
      <c r="B1824">
        <v>0.99796759195183404</v>
      </c>
      <c r="C1824">
        <v>0.94456244977980397</v>
      </c>
      <c r="D1824">
        <v>0.91613264983778198</v>
      </c>
      <c r="E1824">
        <v>0.83689881406766498</v>
      </c>
      <c r="F1824">
        <v>0.71252843246324404</v>
      </c>
      <c r="G1824">
        <v>0.38171661571070897</v>
      </c>
      <c r="H1824">
        <v>0.302643529562029</v>
      </c>
      <c r="I1824">
        <v>0.27549138526869899</v>
      </c>
      <c r="J1824">
        <v>0.182536177288878</v>
      </c>
      <c r="K1824">
        <v>0.13335726925919</v>
      </c>
      <c r="L1824">
        <v>687.66681283145601</v>
      </c>
      <c r="M1824">
        <v>13.2765359465891</v>
      </c>
      <c r="N1824">
        <v>52.858272266703203</v>
      </c>
      <c r="O1824">
        <v>50.6628381565898</v>
      </c>
      <c r="P1824">
        <v>-5.7850258134330701E-2</v>
      </c>
      <c r="Q1824">
        <v>0.11712435328619</v>
      </c>
      <c r="R1824">
        <v>0.98633218912530396</v>
      </c>
      <c r="S1824" t="s">
        <v>7407</v>
      </c>
      <c r="T1824" t="s">
        <v>11164</v>
      </c>
      <c r="U1824" t="s">
        <v>11164</v>
      </c>
      <c r="V1824" t="s">
        <v>11164</v>
      </c>
      <c r="W1824" t="s">
        <v>12955</v>
      </c>
      <c r="X1824">
        <v>30</v>
      </c>
      <c r="Y1824" t="s">
        <v>18474</v>
      </c>
      <c r="Z1824" t="s">
        <v>23974</v>
      </c>
      <c r="AA1824">
        <v>0.57207380072796354</v>
      </c>
      <c r="AB1824" t="str">
        <f>HYPERLINK("Melting_Curves/meltCurve_P10586_2_PTPRF.pdf", "Melting_Curves/meltCurve_P10586_2_PTPRF.pdf")</f>
        <v>Melting_Curves/meltCurve_P10586_2_PTPRF.pdf</v>
      </c>
    </row>
    <row r="1825" spans="1:28" x14ac:dyDescent="0.25">
      <c r="A1825" t="s">
        <v>1829</v>
      </c>
      <c r="B1825">
        <v>0.99796759195183404</v>
      </c>
      <c r="C1825">
        <v>0.97302225204119497</v>
      </c>
      <c r="D1825">
        <v>0.96374000879126398</v>
      </c>
      <c r="E1825">
        <v>0.89363070316189896</v>
      </c>
      <c r="F1825">
        <v>0.56458790525763902</v>
      </c>
      <c r="G1825">
        <v>0.33098080266744301</v>
      </c>
      <c r="H1825">
        <v>0.19143713211414601</v>
      </c>
      <c r="I1825">
        <v>0.22288862376103999</v>
      </c>
      <c r="J1825">
        <v>0.117236318806781</v>
      </c>
      <c r="K1825">
        <v>9.1160353291441606E-2</v>
      </c>
      <c r="L1825">
        <v>1006.43880291223</v>
      </c>
      <c r="M1825">
        <v>19.927437903704899</v>
      </c>
      <c r="N1825">
        <v>51.2454107743864</v>
      </c>
      <c r="O1825">
        <v>50.004820626478597</v>
      </c>
      <c r="P1825">
        <v>-8.7170788689374598E-2</v>
      </c>
      <c r="Q1825">
        <v>0.12506249229465599</v>
      </c>
      <c r="R1825">
        <v>0.99307855811400003</v>
      </c>
      <c r="S1825" t="s">
        <v>7408</v>
      </c>
      <c r="T1825" t="s">
        <v>11164</v>
      </c>
      <c r="U1825" t="s">
        <v>11164</v>
      </c>
      <c r="V1825" t="s">
        <v>11164</v>
      </c>
      <c r="W1825" t="s">
        <v>12956</v>
      </c>
      <c r="X1825">
        <v>4</v>
      </c>
      <c r="Y1825" t="s">
        <v>18475</v>
      </c>
      <c r="Z1825" t="s">
        <v>23975</v>
      </c>
      <c r="AA1825">
        <v>0.53050466195242063</v>
      </c>
      <c r="AB1825" t="str">
        <f>HYPERLINK("Melting_Curves/meltCurve_P10588_NR2F6.pdf", "Melting_Curves/meltCurve_P10588_NR2F6.pdf")</f>
        <v>Melting_Curves/meltCurve_P10588_NR2F6.pdf</v>
      </c>
    </row>
    <row r="1826" spans="1:28" x14ac:dyDescent="0.25">
      <c r="A1826" t="s">
        <v>1830</v>
      </c>
      <c r="B1826">
        <v>0.99796759195183404</v>
      </c>
      <c r="C1826">
        <v>0.84303367149694097</v>
      </c>
      <c r="D1826">
        <v>0.675650253752626</v>
      </c>
      <c r="E1826">
        <v>0.64279896777066803</v>
      </c>
      <c r="F1826">
        <v>0.67469165506408202</v>
      </c>
      <c r="G1826">
        <v>0.59895971550688598</v>
      </c>
      <c r="H1826">
        <v>0.63250408626823595</v>
      </c>
      <c r="I1826">
        <v>0.71095286909990896</v>
      </c>
      <c r="J1826">
        <v>0.64135415831307396</v>
      </c>
      <c r="K1826">
        <v>0.98195248620680797</v>
      </c>
      <c r="L1826">
        <v>9972.7004453962909</v>
      </c>
      <c r="M1826">
        <v>250</v>
      </c>
      <c r="O1826">
        <v>39.888249209544803</v>
      </c>
      <c r="P1826">
        <v>-0.478120098283426</v>
      </c>
      <c r="Q1826">
        <v>0.69485802357516102</v>
      </c>
      <c r="R1826">
        <v>0.47786626616142203</v>
      </c>
      <c r="S1826" t="s">
        <v>7409</v>
      </c>
      <c r="T1826" t="s">
        <v>11164</v>
      </c>
      <c r="U1826" t="s">
        <v>11164</v>
      </c>
      <c r="V1826" t="s">
        <v>11164</v>
      </c>
      <c r="W1826" t="s">
        <v>12957</v>
      </c>
      <c r="X1826">
        <v>11</v>
      </c>
      <c r="Y1826" t="s">
        <v>18476</v>
      </c>
      <c r="Z1826" t="s">
        <v>23976</v>
      </c>
      <c r="AA1826">
        <v>0.72428288484824832</v>
      </c>
      <c r="AB1826" t="str">
        <f>HYPERLINK("Melting_Curves/meltCurve_P10599_TXN.pdf", "Melting_Curves/meltCurve_P10599_TXN.pdf")</f>
        <v>Melting_Curves/meltCurve_P10599_TXN.pdf</v>
      </c>
    </row>
    <row r="1827" spans="1:28" x14ac:dyDescent="0.25">
      <c r="A1827" t="s">
        <v>1831</v>
      </c>
      <c r="B1827">
        <v>0.99796759195183404</v>
      </c>
      <c r="C1827">
        <v>0.98585011376013398</v>
      </c>
      <c r="D1827">
        <v>0.99382827908833704</v>
      </c>
      <c r="E1827">
        <v>0.93945535520104295</v>
      </c>
      <c r="F1827">
        <v>0.81185397778269897</v>
      </c>
      <c r="G1827">
        <v>0.60147323770165495</v>
      </c>
      <c r="H1827">
        <v>0.81908653788358399</v>
      </c>
      <c r="I1827">
        <v>0.92031054560112502</v>
      </c>
      <c r="J1827">
        <v>1.3381764327783801</v>
      </c>
      <c r="K1827">
        <v>1.94552419159546</v>
      </c>
      <c r="L1827">
        <v>15000</v>
      </c>
      <c r="M1827">
        <v>234.74672900083601</v>
      </c>
      <c r="O1827">
        <v>63.894025043146698</v>
      </c>
      <c r="P1827">
        <v>0.45925022221244999</v>
      </c>
      <c r="Q1827">
        <v>1.5</v>
      </c>
      <c r="R1827">
        <v>0.64665071472341096</v>
      </c>
      <c r="S1827" t="s">
        <v>7410</v>
      </c>
      <c r="T1827" t="s">
        <v>11164</v>
      </c>
      <c r="U1827" t="s">
        <v>11164</v>
      </c>
      <c r="V1827" t="s">
        <v>11164</v>
      </c>
      <c r="W1827" t="s">
        <v>12958</v>
      </c>
      <c r="X1827">
        <v>11</v>
      </c>
      <c r="Y1827" t="s">
        <v>18477</v>
      </c>
      <c r="Z1827" t="s">
        <v>23977</v>
      </c>
      <c r="AA1827">
        <v>1.051625601243712</v>
      </c>
      <c r="AB1827" t="str">
        <f>HYPERLINK("Melting_Curves/meltCurve_P10606_COX5B.pdf", "Melting_Curves/meltCurve_P10606_COX5B.pdf")</f>
        <v>Melting_Curves/meltCurve_P10606_COX5B.pdf</v>
      </c>
    </row>
    <row r="1828" spans="1:28" x14ac:dyDescent="0.25">
      <c r="A1828" t="s">
        <v>1832</v>
      </c>
      <c r="B1828">
        <v>0.99796759195183404</v>
      </c>
      <c r="C1828">
        <v>0.98452685350010805</v>
      </c>
      <c r="D1828">
        <v>0.94940749005706104</v>
      </c>
      <c r="E1828">
        <v>0.92869671770367901</v>
      </c>
      <c r="F1828">
        <v>0.93863690353362605</v>
      </c>
      <c r="G1828">
        <v>0.69287496639157597</v>
      </c>
      <c r="H1828">
        <v>0.67428074626064505</v>
      </c>
      <c r="I1828">
        <v>0.70023499713687698</v>
      </c>
      <c r="J1828">
        <v>0.31072120758951399</v>
      </c>
      <c r="K1828">
        <v>0.13878262698617899</v>
      </c>
      <c r="L1828">
        <v>697.67574932843195</v>
      </c>
      <c r="M1828">
        <v>11.461598180412899</v>
      </c>
      <c r="N1828">
        <v>60.870721383756297</v>
      </c>
      <c r="O1828">
        <v>59.106148568089402</v>
      </c>
      <c r="P1828">
        <v>-4.8492818208918598E-2</v>
      </c>
      <c r="Q1828">
        <v>0</v>
      </c>
      <c r="R1828">
        <v>0.90047430445769505</v>
      </c>
      <c r="S1828" t="s">
        <v>7411</v>
      </c>
      <c r="T1828" t="s">
        <v>11164</v>
      </c>
      <c r="U1828" t="s">
        <v>11164</v>
      </c>
      <c r="V1828" t="s">
        <v>11164</v>
      </c>
      <c r="W1828" t="s">
        <v>12959</v>
      </c>
      <c r="X1828">
        <v>5</v>
      </c>
      <c r="Y1828" t="s">
        <v>18478</v>
      </c>
      <c r="Z1828" t="s">
        <v>23978</v>
      </c>
      <c r="AA1828">
        <v>0.76874446285716413</v>
      </c>
      <c r="AB1828" t="str">
        <f>HYPERLINK("Melting_Curves/meltCurve_P10619_CTSA.pdf", "Melting_Curves/meltCurve_P10619_CTSA.pdf")</f>
        <v>Melting_Curves/meltCurve_P10619_CTSA.pdf</v>
      </c>
    </row>
    <row r="1829" spans="1:28" x14ac:dyDescent="0.25">
      <c r="A1829" t="s">
        <v>1833</v>
      </c>
      <c r="B1829">
        <v>0.99796759195183404</v>
      </c>
      <c r="C1829">
        <v>1.0587059104075101</v>
      </c>
      <c r="D1829">
        <v>1.0836325327560099</v>
      </c>
      <c r="E1829">
        <v>1.0358837635445299</v>
      </c>
      <c r="F1829">
        <v>0.90818218141816998</v>
      </c>
      <c r="G1829">
        <v>0.78240161341169001</v>
      </c>
      <c r="H1829">
        <v>0.81024025588380899</v>
      </c>
      <c r="I1829">
        <v>0.67022308396409502</v>
      </c>
      <c r="J1829">
        <v>0.76595942022208796</v>
      </c>
      <c r="K1829">
        <v>0.57105096879428097</v>
      </c>
      <c r="L1829">
        <v>816.55140200792198</v>
      </c>
      <c r="M1829">
        <v>14.869193284881399</v>
      </c>
      <c r="O1829">
        <v>53.951073183443398</v>
      </c>
      <c r="P1829">
        <v>-2.55688703674006E-2</v>
      </c>
      <c r="Q1829">
        <v>0.62894455532160698</v>
      </c>
      <c r="R1829">
        <v>0.859449431788187</v>
      </c>
      <c r="S1829" t="s">
        <v>7412</v>
      </c>
      <c r="T1829" t="s">
        <v>11164</v>
      </c>
      <c r="U1829" t="s">
        <v>11164</v>
      </c>
      <c r="V1829" t="s">
        <v>11164</v>
      </c>
      <c r="W1829" t="s">
        <v>12960</v>
      </c>
      <c r="X1829">
        <v>9</v>
      </c>
      <c r="Y1829" t="s">
        <v>18479</v>
      </c>
      <c r="Z1829" t="s">
        <v>23979</v>
      </c>
      <c r="AA1829">
        <v>0.85585869943979109</v>
      </c>
      <c r="AB1829" t="str">
        <f>HYPERLINK("Melting_Curves/meltCurve_P10636_MAPT.pdf", "Melting_Curves/meltCurve_P10636_MAPT.pdf")</f>
        <v>Melting_Curves/meltCurve_P10636_MAPT.pdf</v>
      </c>
    </row>
    <row r="1830" spans="1:28" x14ac:dyDescent="0.25">
      <c r="A1830" t="s">
        <v>1834</v>
      </c>
      <c r="B1830">
        <v>0.99796759195183404</v>
      </c>
      <c r="C1830">
        <v>0.96398415157733897</v>
      </c>
      <c r="D1830">
        <v>0.980839490502741</v>
      </c>
      <c r="E1830">
        <v>0.91977823782313695</v>
      </c>
      <c r="F1830">
        <v>0.80408659726256904</v>
      </c>
      <c r="G1830">
        <v>0.41230668597367998</v>
      </c>
      <c r="H1830">
        <v>0.191923248604255</v>
      </c>
      <c r="I1830">
        <v>0.12917020262779699</v>
      </c>
      <c r="J1830">
        <v>0.11389693531995</v>
      </c>
      <c r="K1830">
        <v>9.1338037662773902E-2</v>
      </c>
      <c r="L1830">
        <v>1290.48362556045</v>
      </c>
      <c r="M1830">
        <v>24.5581241668642</v>
      </c>
      <c r="N1830">
        <v>53.0013662838115</v>
      </c>
      <c r="O1830">
        <v>52.203419806503398</v>
      </c>
      <c r="P1830">
        <v>-0.106470794100227</v>
      </c>
      <c r="Q1830">
        <v>9.4709464613995306E-2</v>
      </c>
      <c r="R1830">
        <v>0.99726469567007003</v>
      </c>
      <c r="S1830" t="s">
        <v>7413</v>
      </c>
      <c r="T1830" t="s">
        <v>11164</v>
      </c>
      <c r="U1830" t="s">
        <v>11164</v>
      </c>
      <c r="V1830" t="s">
        <v>11164</v>
      </c>
      <c r="W1830" t="s">
        <v>12961</v>
      </c>
      <c r="X1830">
        <v>13</v>
      </c>
      <c r="Y1830" t="s">
        <v>18480</v>
      </c>
      <c r="Z1830" t="s">
        <v>23980</v>
      </c>
      <c r="AA1830">
        <v>0.57216637280428373</v>
      </c>
      <c r="AB1830" t="str">
        <f>HYPERLINK("Melting_Curves/meltCurve_P10644_PRKAR1A.pdf", "Melting_Curves/meltCurve_P10644_PRKAR1A.pdf")</f>
        <v>Melting_Curves/meltCurve_P10644_PRKAR1A.pdf</v>
      </c>
    </row>
    <row r="1831" spans="1:28" x14ac:dyDescent="0.25">
      <c r="A1831" t="s">
        <v>1835</v>
      </c>
      <c r="B1831">
        <v>0.99796759195183404</v>
      </c>
      <c r="C1831">
        <v>0.94430892075509998</v>
      </c>
      <c r="D1831">
        <v>1.0236986442982601</v>
      </c>
      <c r="E1831">
        <v>0.91761867250197604</v>
      </c>
      <c r="F1831">
        <v>0.79135427672471603</v>
      </c>
      <c r="G1831">
        <v>0.44204226360314802</v>
      </c>
      <c r="H1831">
        <v>0.239261427668812</v>
      </c>
      <c r="I1831">
        <v>0.166008165883551</v>
      </c>
      <c r="J1831">
        <v>0.134228832194142</v>
      </c>
      <c r="K1831">
        <v>8.4159720812480701E-2</v>
      </c>
      <c r="L1831">
        <v>1103.5583454003699</v>
      </c>
      <c r="M1831">
        <v>20.920438327649201</v>
      </c>
      <c r="N1831">
        <v>53.310551589795502</v>
      </c>
      <c r="O1831">
        <v>52.275368053223602</v>
      </c>
      <c r="P1831">
        <v>-9.0177708027405296E-2</v>
      </c>
      <c r="Q1831">
        <v>9.8691207183305693E-2</v>
      </c>
      <c r="R1831">
        <v>0.99525532713426301</v>
      </c>
      <c r="S1831" t="s">
        <v>7414</v>
      </c>
      <c r="T1831" t="s">
        <v>11164</v>
      </c>
      <c r="U1831" t="s">
        <v>11164</v>
      </c>
      <c r="V1831" t="s">
        <v>11164</v>
      </c>
      <c r="W1831" t="s">
        <v>12962</v>
      </c>
      <c r="X1831">
        <v>5</v>
      </c>
      <c r="Y1831" t="s">
        <v>18481</v>
      </c>
      <c r="Z1831" t="s">
        <v>23981</v>
      </c>
      <c r="AA1831">
        <v>0.58257500401352424</v>
      </c>
      <c r="AB1831" t="str">
        <f>HYPERLINK("Melting_Curves/meltCurve_P10746_UROS.pdf", "Melting_Curves/meltCurve_P10746_UROS.pdf")</f>
        <v>Melting_Curves/meltCurve_P10746_UROS.pdf</v>
      </c>
    </row>
    <row r="1832" spans="1:28" x14ac:dyDescent="0.25">
      <c r="A1832" t="s">
        <v>1836</v>
      </c>
      <c r="B1832">
        <v>0.99796759195183404</v>
      </c>
      <c r="C1832">
        <v>0.95433287951310697</v>
      </c>
      <c r="D1832">
        <v>0.99341524636346601</v>
      </c>
      <c r="E1832">
        <v>0.99136430408975496</v>
      </c>
      <c r="F1832">
        <v>0.81595730329440497</v>
      </c>
      <c r="G1832">
        <v>0.65919670033896205</v>
      </c>
      <c r="H1832">
        <v>0.56238307748531802</v>
      </c>
      <c r="I1832">
        <v>0.288849588069651</v>
      </c>
      <c r="J1832">
        <v>0.110975754594884</v>
      </c>
      <c r="K1832">
        <v>7.9065273875993797E-2</v>
      </c>
      <c r="L1832">
        <v>808.233296767963</v>
      </c>
      <c r="M1832">
        <v>14.1902934126117</v>
      </c>
      <c r="N1832">
        <v>56.956771591651197</v>
      </c>
      <c r="O1832">
        <v>55.861438926218</v>
      </c>
      <c r="P1832">
        <v>-6.3514629699188599E-2</v>
      </c>
      <c r="Q1832">
        <v>0</v>
      </c>
      <c r="R1832">
        <v>0.98389033398800896</v>
      </c>
      <c r="S1832" t="s">
        <v>7415</v>
      </c>
      <c r="T1832" t="s">
        <v>11164</v>
      </c>
      <c r="U1832" t="s">
        <v>11164</v>
      </c>
      <c r="V1832" t="s">
        <v>11164</v>
      </c>
      <c r="W1832" t="s">
        <v>12963</v>
      </c>
      <c r="X1832">
        <v>13</v>
      </c>
      <c r="Y1832" t="s">
        <v>18482</v>
      </c>
      <c r="Z1832" t="s">
        <v>23982</v>
      </c>
      <c r="AA1832">
        <v>0.67300737898003671</v>
      </c>
      <c r="AB1832" t="str">
        <f>HYPERLINK("Melting_Curves/meltCurve_P10768_ESD.pdf", "Melting_Curves/meltCurve_P10768_ESD.pdf")</f>
        <v>Melting_Curves/meltCurve_P10768_ESD.pdf</v>
      </c>
    </row>
    <row r="1833" spans="1:28" x14ac:dyDescent="0.25">
      <c r="A1833" t="s">
        <v>1837</v>
      </c>
      <c r="B1833">
        <v>0.99796759195183404</v>
      </c>
      <c r="C1833">
        <v>1.00849987759974</v>
      </c>
      <c r="D1833">
        <v>1.0027343814472101</v>
      </c>
      <c r="E1833">
        <v>0.93035818853886998</v>
      </c>
      <c r="F1833">
        <v>0.85532463078744003</v>
      </c>
      <c r="G1833">
        <v>0.78001097900144301</v>
      </c>
      <c r="H1833">
        <v>0.64784939949396902</v>
      </c>
      <c r="I1833">
        <v>0.230355916659465</v>
      </c>
      <c r="J1833">
        <v>0.101483178534303</v>
      </c>
      <c r="K1833">
        <v>7.0978606515982506E-2</v>
      </c>
      <c r="L1833">
        <v>1096.5308748059399</v>
      </c>
      <c r="M1833">
        <v>18.916095732481601</v>
      </c>
      <c r="N1833">
        <v>57.968144778294501</v>
      </c>
      <c r="O1833">
        <v>57.331938637118299</v>
      </c>
      <c r="P1833">
        <v>-8.2488322395513194E-2</v>
      </c>
      <c r="Q1833">
        <v>0</v>
      </c>
      <c r="R1833">
        <v>0.97893218438556795</v>
      </c>
      <c r="S1833" t="s">
        <v>7416</v>
      </c>
      <c r="T1833" t="s">
        <v>11164</v>
      </c>
      <c r="U1833" t="s">
        <v>11164</v>
      </c>
      <c r="V1833" t="s">
        <v>11164</v>
      </c>
      <c r="W1833" t="s">
        <v>12964</v>
      </c>
      <c r="X1833">
        <v>69</v>
      </c>
      <c r="Y1833" t="s">
        <v>18483</v>
      </c>
      <c r="Z1833" t="s">
        <v>23983</v>
      </c>
      <c r="AA1833">
        <v>0.70560148764546105</v>
      </c>
      <c r="AB1833" t="str">
        <f>HYPERLINK("Melting_Curves/meltCurve_P10809_HSPD1.pdf", "Melting_Curves/meltCurve_P10809_HSPD1.pdf")</f>
        <v>Melting_Curves/meltCurve_P10809_HSPD1.pdf</v>
      </c>
    </row>
    <row r="1834" spans="1:28" x14ac:dyDescent="0.25">
      <c r="A1834" t="s">
        <v>1838</v>
      </c>
      <c r="B1834">
        <v>0.99796759195183404</v>
      </c>
      <c r="C1834">
        <v>1.0385779134661699</v>
      </c>
      <c r="D1834">
        <v>0.98231436609803902</v>
      </c>
      <c r="E1834">
        <v>0.86339158182743803</v>
      </c>
      <c r="F1834">
        <v>0.66849878458294398</v>
      </c>
      <c r="G1834">
        <v>0.46593117513016702</v>
      </c>
      <c r="H1834">
        <v>0.352152360894118</v>
      </c>
      <c r="I1834">
        <v>0.27741312258377998</v>
      </c>
      <c r="J1834">
        <v>0.216789057549161</v>
      </c>
      <c r="K1834">
        <v>0.129468822517461</v>
      </c>
      <c r="L1834">
        <v>703.03498821944197</v>
      </c>
      <c r="M1834">
        <v>13.4423545832791</v>
      </c>
      <c r="N1834">
        <v>53.525499656127799</v>
      </c>
      <c r="O1834">
        <v>51.183228018847402</v>
      </c>
      <c r="P1834">
        <v>-5.6969864796819598E-2</v>
      </c>
      <c r="Q1834">
        <v>0.132458729845912</v>
      </c>
      <c r="R1834">
        <v>0.99288718629945905</v>
      </c>
      <c r="S1834" t="s">
        <v>7417</v>
      </c>
      <c r="T1834" t="s">
        <v>11164</v>
      </c>
      <c r="U1834" t="s">
        <v>11164</v>
      </c>
      <c r="V1834" t="s">
        <v>11164</v>
      </c>
      <c r="W1834" t="s">
        <v>12965</v>
      </c>
      <c r="X1834">
        <v>4</v>
      </c>
      <c r="Y1834" t="s">
        <v>18484</v>
      </c>
      <c r="Z1834" t="s">
        <v>23984</v>
      </c>
      <c r="AA1834">
        <v>0.59309897482617013</v>
      </c>
      <c r="AB1834" t="str">
        <f>HYPERLINK("Melting_Curves/meltCurve_P10909_4_CLU.pdf", "Melting_Curves/meltCurve_P10909_4_CLU.pdf")</f>
        <v>Melting_Curves/meltCurve_P10909_4_CLU.pdf</v>
      </c>
    </row>
    <row r="1835" spans="1:28" x14ac:dyDescent="0.25">
      <c r="A1835" t="s">
        <v>1839</v>
      </c>
      <c r="B1835">
        <v>0.99796759195183404</v>
      </c>
      <c r="C1835">
        <v>1.01613125768047</v>
      </c>
      <c r="D1835">
        <v>0.99610067145632297</v>
      </c>
      <c r="E1835">
        <v>0.92642552932887001</v>
      </c>
      <c r="F1835">
        <v>0.84565371593891203</v>
      </c>
      <c r="G1835">
        <v>0.85591775553434202</v>
      </c>
      <c r="H1835">
        <v>0.64127705371125399</v>
      </c>
      <c r="I1835">
        <v>0.44648144906478998</v>
      </c>
      <c r="J1835">
        <v>0.30028858810519299</v>
      </c>
      <c r="K1835">
        <v>0.17299422794102101</v>
      </c>
      <c r="L1835">
        <v>766.97699265458505</v>
      </c>
      <c r="M1835">
        <v>12.817594415303001</v>
      </c>
      <c r="N1835">
        <v>59.837826660436399</v>
      </c>
      <c r="O1835">
        <v>58.437460375882203</v>
      </c>
      <c r="P1835">
        <v>-5.4844923782307202E-2</v>
      </c>
      <c r="Q1835">
        <v>0</v>
      </c>
      <c r="R1835">
        <v>0.98669030191100504</v>
      </c>
      <c r="S1835" t="s">
        <v>7418</v>
      </c>
      <c r="T1835" t="s">
        <v>11164</v>
      </c>
      <c r="U1835" t="s">
        <v>11164</v>
      </c>
      <c r="V1835" t="s">
        <v>11164</v>
      </c>
      <c r="W1835" t="s">
        <v>12966</v>
      </c>
      <c r="X1835">
        <v>49</v>
      </c>
      <c r="Y1835" t="s">
        <v>18485</v>
      </c>
      <c r="Z1835" t="s">
        <v>23985</v>
      </c>
      <c r="AA1835">
        <v>0.7494609037428932</v>
      </c>
      <c r="AB1835" t="str">
        <f>HYPERLINK("Melting_Curves/meltCurve_P11021_HSPA5.pdf", "Melting_Curves/meltCurve_P11021_HSPA5.pdf")</f>
        <v>Melting_Curves/meltCurve_P11021_HSPA5.pdf</v>
      </c>
    </row>
    <row r="1836" spans="1:28" x14ac:dyDescent="0.25">
      <c r="A1836" t="s">
        <v>1840</v>
      </c>
      <c r="B1836">
        <v>0.99796759195183404</v>
      </c>
      <c r="C1836">
        <v>1.07313106355937</v>
      </c>
      <c r="D1836">
        <v>0.96120229646375299</v>
      </c>
      <c r="E1836">
        <v>0.91567429427542002</v>
      </c>
      <c r="F1836">
        <v>0.83974955382070704</v>
      </c>
      <c r="G1836">
        <v>0.57464450082986795</v>
      </c>
      <c r="H1836">
        <v>0.40961005541280199</v>
      </c>
      <c r="I1836">
        <v>0.31522836648490998</v>
      </c>
      <c r="J1836">
        <v>0.19243314176977899</v>
      </c>
      <c r="K1836">
        <v>0.108309142224129</v>
      </c>
      <c r="L1836">
        <v>704.69900744849497</v>
      </c>
      <c r="M1836">
        <v>12.6862075458523</v>
      </c>
      <c r="N1836">
        <v>55.876225336614901</v>
      </c>
      <c r="O1836">
        <v>54.222426366776901</v>
      </c>
      <c r="P1836">
        <v>-5.64049780318229E-2</v>
      </c>
      <c r="Q1836">
        <v>3.58597491355436E-2</v>
      </c>
      <c r="R1836">
        <v>0.98928113840569998</v>
      </c>
      <c r="S1836" t="s">
        <v>7419</v>
      </c>
      <c r="T1836" t="s">
        <v>11164</v>
      </c>
      <c r="U1836" t="s">
        <v>11164</v>
      </c>
      <c r="V1836" t="s">
        <v>11164</v>
      </c>
      <c r="W1836" t="s">
        <v>12967</v>
      </c>
      <c r="X1836">
        <v>39</v>
      </c>
      <c r="Y1836" t="s">
        <v>18486</v>
      </c>
      <c r="Z1836" t="s">
        <v>23986</v>
      </c>
      <c r="AA1836">
        <v>0.64386521729759794</v>
      </c>
      <c r="AB1836" t="str">
        <f>HYPERLINK("Melting_Curves/meltCurve_P11047_LAMC1.pdf", "Melting_Curves/meltCurve_P11047_LAMC1.pdf")</f>
        <v>Melting_Curves/meltCurve_P11047_LAMC1.pdf</v>
      </c>
    </row>
    <row r="1837" spans="1:28" x14ac:dyDescent="0.25">
      <c r="A1837" t="s">
        <v>1841</v>
      </c>
      <c r="B1837">
        <v>0.99796759195183404</v>
      </c>
      <c r="C1837">
        <v>0.82433161691205503</v>
      </c>
      <c r="D1837">
        <v>0.46218057895644299</v>
      </c>
      <c r="E1837">
        <v>0.50984155685258603</v>
      </c>
      <c r="F1837">
        <v>0.76358763498825799</v>
      </c>
      <c r="G1837">
        <v>0.280972110855637</v>
      </c>
      <c r="H1837">
        <v>0.29292303090697303</v>
      </c>
      <c r="I1837">
        <v>0.23061302014304499</v>
      </c>
      <c r="J1837">
        <v>0.229596664406988</v>
      </c>
      <c r="K1837">
        <v>9.1534754439286797E-2</v>
      </c>
      <c r="L1837">
        <v>290.78351799346899</v>
      </c>
      <c r="M1837">
        <v>5.93692866211068</v>
      </c>
      <c r="N1837">
        <v>48.978778323479801</v>
      </c>
      <c r="O1837">
        <v>44.285687296882102</v>
      </c>
      <c r="P1837">
        <v>-3.3627638396283702E-2</v>
      </c>
      <c r="Q1837">
        <v>0</v>
      </c>
      <c r="R1837">
        <v>0.77980025992229296</v>
      </c>
      <c r="S1837" t="s">
        <v>7420</v>
      </c>
      <c r="T1837" t="s">
        <v>11164</v>
      </c>
      <c r="U1837" t="s">
        <v>11164</v>
      </c>
      <c r="V1837" t="s">
        <v>11164</v>
      </c>
      <c r="W1837" t="s">
        <v>12968</v>
      </c>
      <c r="X1837">
        <v>1</v>
      </c>
      <c r="Y1837" t="s">
        <v>18487</v>
      </c>
      <c r="Z1837" t="s">
        <v>23987</v>
      </c>
      <c r="AA1837">
        <v>0.45753137670052502</v>
      </c>
      <c r="AB1837" t="str">
        <f>HYPERLINK("Melting_Curves/meltCurve_P11137_3_MAP2.pdf", "Melting_Curves/meltCurve_P11137_3_MAP2.pdf")</f>
        <v>Melting_Curves/meltCurve_P11137_3_MAP2.pdf</v>
      </c>
    </row>
    <row r="1838" spans="1:28" x14ac:dyDescent="0.25">
      <c r="A1838" t="s">
        <v>1842</v>
      </c>
      <c r="B1838">
        <v>0.99796759195183404</v>
      </c>
      <c r="C1838">
        <v>0.96788658786690995</v>
      </c>
      <c r="D1838">
        <v>0.97142663399742402</v>
      </c>
      <c r="E1838">
        <v>0.93179468937508003</v>
      </c>
      <c r="F1838">
        <v>0.85773456993110697</v>
      </c>
      <c r="G1838">
        <v>0.93325868414778301</v>
      </c>
      <c r="H1838">
        <v>0.48246566146867498</v>
      </c>
      <c r="I1838">
        <v>0.15397997864890201</v>
      </c>
      <c r="J1838">
        <v>7.3339478804142599E-2</v>
      </c>
      <c r="K1838">
        <v>5.6237539262685099E-2</v>
      </c>
      <c r="L1838">
        <v>1984.4550685515001</v>
      </c>
      <c r="M1838">
        <v>34.719341312012901</v>
      </c>
      <c r="N1838">
        <v>57.339999141701298</v>
      </c>
      <c r="O1838">
        <v>56.968438509918002</v>
      </c>
      <c r="P1838">
        <v>-0.144373877848506</v>
      </c>
      <c r="Q1838">
        <v>5.2433337293033601E-2</v>
      </c>
      <c r="R1838">
        <v>0.98275769560439297</v>
      </c>
      <c r="S1838" t="s">
        <v>7421</v>
      </c>
      <c r="T1838" t="s">
        <v>11164</v>
      </c>
      <c r="U1838" t="s">
        <v>11164</v>
      </c>
      <c r="V1838" t="s">
        <v>11164</v>
      </c>
      <c r="W1838" t="s">
        <v>12969</v>
      </c>
      <c r="X1838">
        <v>52</v>
      </c>
      <c r="Y1838" t="s">
        <v>18488</v>
      </c>
      <c r="Z1838" t="s">
        <v>23988</v>
      </c>
      <c r="AA1838">
        <v>0.69362321097753887</v>
      </c>
      <c r="AB1838" t="str">
        <f>HYPERLINK("Melting_Curves/meltCurve_P11142_HSPA8.pdf", "Melting_Curves/meltCurve_P11142_HSPA8.pdf")</f>
        <v>Melting_Curves/meltCurve_P11142_HSPA8.pdf</v>
      </c>
    </row>
    <row r="1839" spans="1:28" x14ac:dyDescent="0.25">
      <c r="A1839" t="s">
        <v>1843</v>
      </c>
      <c r="B1839">
        <v>0.99796759195183404</v>
      </c>
      <c r="C1839">
        <v>1.0119559941638401</v>
      </c>
      <c r="D1839">
        <v>0.93314101430163898</v>
      </c>
      <c r="E1839">
        <v>0.854113605814527</v>
      </c>
      <c r="F1839">
        <v>0.82988413032506603</v>
      </c>
      <c r="G1839">
        <v>0.75471669868569502</v>
      </c>
      <c r="H1839">
        <v>0.63423570994666301</v>
      </c>
      <c r="I1839">
        <v>0.58087574037690903</v>
      </c>
      <c r="J1839">
        <v>0.57099445776544699</v>
      </c>
      <c r="K1839">
        <v>0.62574361184259697</v>
      </c>
      <c r="L1839">
        <v>555.42335733376501</v>
      </c>
      <c r="M1839">
        <v>10.787024646029</v>
      </c>
      <c r="O1839">
        <v>49.815081568116099</v>
      </c>
      <c r="P1839">
        <v>-2.4674997321639601E-2</v>
      </c>
      <c r="Q1839">
        <v>0.54436366421823601</v>
      </c>
      <c r="R1839">
        <v>0.96626523813469301</v>
      </c>
      <c r="S1839" t="s">
        <v>7422</v>
      </c>
      <c r="T1839" t="s">
        <v>11164</v>
      </c>
      <c r="U1839" t="s">
        <v>11164</v>
      </c>
      <c r="V1839" t="s">
        <v>11164</v>
      </c>
      <c r="W1839" t="s">
        <v>12970</v>
      </c>
      <c r="X1839">
        <v>7</v>
      </c>
      <c r="Y1839" t="s">
        <v>18489</v>
      </c>
      <c r="Z1839" t="s">
        <v>23989</v>
      </c>
      <c r="AA1839">
        <v>0.77684010898976985</v>
      </c>
      <c r="AB1839" t="str">
        <f>HYPERLINK("Melting_Curves/meltCurve_P11166_SLC2A1.pdf", "Melting_Curves/meltCurve_P11166_SLC2A1.pdf")</f>
        <v>Melting_Curves/meltCurve_P11166_SLC2A1.pdf</v>
      </c>
    </row>
    <row r="1840" spans="1:28" x14ac:dyDescent="0.25">
      <c r="A1840" t="s">
        <v>1844</v>
      </c>
      <c r="B1840">
        <v>0.99796759195183404</v>
      </c>
      <c r="C1840">
        <v>1.0118731008772901</v>
      </c>
      <c r="D1840">
        <v>0.98392379687717901</v>
      </c>
      <c r="E1840">
        <v>0.89565833428826302</v>
      </c>
      <c r="F1840">
        <v>0.76560073227654302</v>
      </c>
      <c r="G1840">
        <v>0.52515368102371196</v>
      </c>
      <c r="H1840">
        <v>0.22688930262937301</v>
      </c>
      <c r="I1840">
        <v>0.18317892698701599</v>
      </c>
      <c r="J1840">
        <v>0.14834529158440099</v>
      </c>
      <c r="K1840">
        <v>0.110176561012994</v>
      </c>
      <c r="L1840">
        <v>955.73816787575697</v>
      </c>
      <c r="M1840">
        <v>18.009438729686</v>
      </c>
      <c r="N1840">
        <v>53.678148965095097</v>
      </c>
      <c r="O1840">
        <v>52.427395738770201</v>
      </c>
      <c r="P1840">
        <v>-7.7941752991092406E-2</v>
      </c>
      <c r="Q1840">
        <v>9.2457680580057197E-2</v>
      </c>
      <c r="R1840">
        <v>0.99578933281585202</v>
      </c>
      <c r="S1840" t="s">
        <v>7423</v>
      </c>
      <c r="T1840" t="s">
        <v>11164</v>
      </c>
      <c r="U1840" t="s">
        <v>11164</v>
      </c>
      <c r="V1840" t="s">
        <v>11164</v>
      </c>
      <c r="W1840" t="s">
        <v>12971</v>
      </c>
      <c r="X1840">
        <v>28</v>
      </c>
      <c r="Y1840" t="s">
        <v>18490</v>
      </c>
      <c r="Z1840" t="s">
        <v>23990</v>
      </c>
      <c r="AA1840">
        <v>0.59170374749244137</v>
      </c>
      <c r="AB1840" t="str">
        <f>HYPERLINK("Melting_Curves/meltCurve_P11171_EPB41.pdf", "Melting_Curves/meltCurve_P11171_EPB41.pdf")</f>
        <v>Melting_Curves/meltCurve_P11171_EPB41.pdf</v>
      </c>
    </row>
    <row r="1841" spans="1:28" x14ac:dyDescent="0.25">
      <c r="A1841" t="s">
        <v>1845</v>
      </c>
      <c r="B1841">
        <v>0.99796759195183404</v>
      </c>
      <c r="C1841">
        <v>1.0241306061357001</v>
      </c>
      <c r="D1841">
        <v>1.00593716371785</v>
      </c>
      <c r="E1841">
        <v>0.92875743062413096</v>
      </c>
      <c r="F1841">
        <v>0.93674235291278596</v>
      </c>
      <c r="G1841">
        <v>0.49837838013645502</v>
      </c>
      <c r="H1841">
        <v>0.41958697081159002</v>
      </c>
      <c r="I1841">
        <v>0.30191610809737301</v>
      </c>
      <c r="J1841">
        <v>0.311222923660464</v>
      </c>
      <c r="K1841">
        <v>0.193577447488435</v>
      </c>
      <c r="L1841">
        <v>1537.2269537038501</v>
      </c>
      <c r="M1841">
        <v>29.025149560617599</v>
      </c>
      <c r="N1841">
        <v>54.461461251939298</v>
      </c>
      <c r="O1841">
        <v>52.712404733865</v>
      </c>
      <c r="P1841">
        <v>-9.9781677521608297E-2</v>
      </c>
      <c r="Q1841">
        <v>0.27515369680849</v>
      </c>
      <c r="R1841">
        <v>0.97700786262683004</v>
      </c>
      <c r="S1841" t="s">
        <v>7424</v>
      </c>
      <c r="T1841" t="s">
        <v>11164</v>
      </c>
      <c r="U1841" t="s">
        <v>11164</v>
      </c>
      <c r="V1841" t="s">
        <v>11164</v>
      </c>
      <c r="W1841" t="s">
        <v>12972</v>
      </c>
      <c r="X1841">
        <v>29</v>
      </c>
      <c r="Y1841" t="s">
        <v>18490</v>
      </c>
      <c r="Z1841" t="s">
        <v>23991</v>
      </c>
      <c r="AA1841">
        <v>0.66572281558635948</v>
      </c>
      <c r="AB1841" t="str">
        <f>HYPERLINK("Melting_Curves/meltCurve_P11171_2_EPB41.pdf", "Melting_Curves/meltCurve_P11171_2_EPB41.pdf")</f>
        <v>Melting_Curves/meltCurve_P11171_2_EPB41.pdf</v>
      </c>
    </row>
    <row r="1842" spans="1:28" x14ac:dyDescent="0.25">
      <c r="A1842" t="s">
        <v>1846</v>
      </c>
      <c r="B1842">
        <v>0.99796759195183404</v>
      </c>
      <c r="C1842">
        <v>0.99298374196931705</v>
      </c>
      <c r="D1842">
        <v>0.98372365614410295</v>
      </c>
      <c r="E1842">
        <v>0.92189069686392699</v>
      </c>
      <c r="F1842">
        <v>0.78314720361051104</v>
      </c>
      <c r="G1842">
        <v>0.61635532087210898</v>
      </c>
      <c r="H1842">
        <v>0.38124716153115401</v>
      </c>
      <c r="I1842">
        <v>0.19589804512306699</v>
      </c>
      <c r="J1842">
        <v>0.11774094801089199</v>
      </c>
      <c r="K1842">
        <v>8.3274029417675505E-2</v>
      </c>
      <c r="L1842">
        <v>772.02289724247305</v>
      </c>
      <c r="M1842">
        <v>13.969018106858799</v>
      </c>
      <c r="N1842">
        <v>55.266797912409103</v>
      </c>
      <c r="O1842">
        <v>54.171138442338901</v>
      </c>
      <c r="P1842">
        <v>-6.4475674262806495E-2</v>
      </c>
      <c r="Q1842">
        <v>0</v>
      </c>
      <c r="R1842">
        <v>0.998898326300795</v>
      </c>
      <c r="S1842" t="s">
        <v>7425</v>
      </c>
      <c r="T1842" t="s">
        <v>11164</v>
      </c>
      <c r="U1842" t="s">
        <v>11164</v>
      </c>
      <c r="V1842" t="s">
        <v>11164</v>
      </c>
      <c r="W1842" t="s">
        <v>12973</v>
      </c>
      <c r="X1842">
        <v>28</v>
      </c>
      <c r="Y1842" t="s">
        <v>18491</v>
      </c>
      <c r="Z1842" t="s">
        <v>23992</v>
      </c>
      <c r="AA1842">
        <v>0.62250160127628784</v>
      </c>
      <c r="AB1842" t="str">
        <f>HYPERLINK("Melting_Curves/meltCurve_P11172_UMPS.pdf", "Melting_Curves/meltCurve_P11172_UMPS.pdf")</f>
        <v>Melting_Curves/meltCurve_P11172_UMPS.pdf</v>
      </c>
    </row>
    <row r="1843" spans="1:28" x14ac:dyDescent="0.25">
      <c r="A1843" t="s">
        <v>1847</v>
      </c>
      <c r="B1843">
        <v>0.99796759195183404</v>
      </c>
      <c r="C1843">
        <v>1.0341910012701101</v>
      </c>
      <c r="D1843">
        <v>1.0189799647194799</v>
      </c>
      <c r="E1843">
        <v>0.93944480016631104</v>
      </c>
      <c r="F1843">
        <v>0.84225843052286797</v>
      </c>
      <c r="G1843">
        <v>0.63152132198375999</v>
      </c>
      <c r="H1843">
        <v>0.301732868830835</v>
      </c>
      <c r="I1843">
        <v>0.15216198575085399</v>
      </c>
      <c r="J1843">
        <v>0.120964597549131</v>
      </c>
      <c r="K1843">
        <v>9.6201453986121094E-2</v>
      </c>
      <c r="L1843">
        <v>1094.25768003455</v>
      </c>
      <c r="M1843">
        <v>20.049771969642201</v>
      </c>
      <c r="N1843">
        <v>54.9662726458346</v>
      </c>
      <c r="O1843">
        <v>54.042846449369499</v>
      </c>
      <c r="P1843">
        <v>-8.6614380065152305E-2</v>
      </c>
      <c r="Q1843">
        <v>6.61767238238372E-2</v>
      </c>
      <c r="R1843">
        <v>0.99673897321219196</v>
      </c>
      <c r="S1843" t="s">
        <v>7426</v>
      </c>
      <c r="T1843" t="s">
        <v>11164</v>
      </c>
      <c r="U1843" t="s">
        <v>11164</v>
      </c>
      <c r="V1843" t="s">
        <v>11164</v>
      </c>
      <c r="W1843" t="s">
        <v>12974</v>
      </c>
      <c r="X1843">
        <v>9</v>
      </c>
      <c r="Y1843" t="s">
        <v>18492</v>
      </c>
      <c r="Z1843" t="s">
        <v>23993</v>
      </c>
      <c r="AA1843">
        <v>0.62419546216304267</v>
      </c>
      <c r="AB1843" t="str">
        <f>HYPERLINK("Melting_Curves/meltCurve_P11177_2_PDHB.pdf", "Melting_Curves/meltCurve_P11177_2_PDHB.pdf")</f>
        <v>Melting_Curves/meltCurve_P11177_2_PDHB.pdf</v>
      </c>
    </row>
    <row r="1844" spans="1:28" x14ac:dyDescent="0.25">
      <c r="A1844" t="s">
        <v>1848</v>
      </c>
      <c r="B1844">
        <v>0.99796759195183404</v>
      </c>
      <c r="C1844">
        <v>1.0425481671900301</v>
      </c>
      <c r="D1844">
        <v>0.95872572687357505</v>
      </c>
      <c r="E1844">
        <v>0.94105067233467499</v>
      </c>
      <c r="F1844">
        <v>0.90948458051719805</v>
      </c>
      <c r="G1844">
        <v>1.1160721604788899</v>
      </c>
      <c r="H1844">
        <v>0.71179802421971905</v>
      </c>
      <c r="I1844">
        <v>0.40898940350567398</v>
      </c>
      <c r="J1844">
        <v>0.18998080118733501</v>
      </c>
      <c r="K1844">
        <v>0.11300631604460599</v>
      </c>
      <c r="L1844">
        <v>1816.88580810792</v>
      </c>
      <c r="M1844">
        <v>30.571387282481499</v>
      </c>
      <c r="N1844">
        <v>59.861664669651802</v>
      </c>
      <c r="O1844">
        <v>59.178376930662502</v>
      </c>
      <c r="P1844">
        <v>-0.116399116798324</v>
      </c>
      <c r="Q1844">
        <v>9.8730055714036397E-2</v>
      </c>
      <c r="R1844">
        <v>0.96557212660159797</v>
      </c>
      <c r="S1844" t="s">
        <v>7427</v>
      </c>
      <c r="T1844" t="s">
        <v>11164</v>
      </c>
      <c r="U1844" t="s">
        <v>11164</v>
      </c>
      <c r="V1844" t="s">
        <v>11164</v>
      </c>
      <c r="W1844" t="s">
        <v>12975</v>
      </c>
      <c r="X1844">
        <v>17</v>
      </c>
      <c r="Y1844" t="s">
        <v>18493</v>
      </c>
      <c r="Z1844" t="s">
        <v>23994</v>
      </c>
      <c r="AA1844">
        <v>0.77648270769984529</v>
      </c>
      <c r="AB1844" t="str">
        <f>HYPERLINK("Melting_Curves/meltCurve_P11216_PYGB.pdf", "Melting_Curves/meltCurve_P11216_PYGB.pdf")</f>
        <v>Melting_Curves/meltCurve_P11216_PYGB.pdf</v>
      </c>
    </row>
    <row r="1845" spans="1:28" x14ac:dyDescent="0.25">
      <c r="A1845" t="s">
        <v>1849</v>
      </c>
      <c r="B1845">
        <v>0.99796759195183404</v>
      </c>
      <c r="C1845">
        <v>0.96003974224036204</v>
      </c>
      <c r="D1845">
        <v>0.977873410214807</v>
      </c>
      <c r="E1845">
        <v>0.87570959784528302</v>
      </c>
      <c r="F1845">
        <v>0.70212880023737001</v>
      </c>
      <c r="G1845">
        <v>0.53721590172407097</v>
      </c>
      <c r="H1845">
        <v>0.528274632302006</v>
      </c>
      <c r="I1845">
        <v>0.44351447240381803</v>
      </c>
      <c r="J1845">
        <v>0.41454978610074</v>
      </c>
      <c r="K1845">
        <v>0.24753367507409199</v>
      </c>
      <c r="L1845">
        <v>525.57077871360104</v>
      </c>
      <c r="M1845">
        <v>9.8680394377457894</v>
      </c>
      <c r="N1845">
        <v>56.966062962390197</v>
      </c>
      <c r="O1845">
        <v>51.211024442970697</v>
      </c>
      <c r="P1845">
        <v>-3.6780794467049897E-2</v>
      </c>
      <c r="Q1845">
        <v>0.236882328548184</v>
      </c>
      <c r="R1845">
        <v>0.97010027356527895</v>
      </c>
      <c r="S1845" t="s">
        <v>7428</v>
      </c>
      <c r="T1845" t="s">
        <v>11164</v>
      </c>
      <c r="U1845" t="s">
        <v>11164</v>
      </c>
      <c r="V1845" t="s">
        <v>11164</v>
      </c>
      <c r="W1845" t="s">
        <v>12976</v>
      </c>
      <c r="X1845">
        <v>10</v>
      </c>
      <c r="Y1845" t="s">
        <v>18494</v>
      </c>
      <c r="Z1845" t="s">
        <v>23995</v>
      </c>
      <c r="AA1845">
        <v>0.66666874589952885</v>
      </c>
      <c r="AB1845" t="str">
        <f>HYPERLINK("Melting_Curves/meltCurve_P11233_RALA.pdf", "Melting_Curves/meltCurve_P11233_RALA.pdf")</f>
        <v>Melting_Curves/meltCurve_P11233_RALA.pdf</v>
      </c>
    </row>
    <row r="1846" spans="1:28" x14ac:dyDescent="0.25">
      <c r="A1846" t="s">
        <v>1850</v>
      </c>
      <c r="B1846">
        <v>0.99796759195183404</v>
      </c>
      <c r="C1846">
        <v>0.92424945033224104</v>
      </c>
      <c r="D1846">
        <v>0.86597748183892997</v>
      </c>
      <c r="E1846">
        <v>0.917747335612068</v>
      </c>
      <c r="F1846">
        <v>0.76408703517224297</v>
      </c>
      <c r="G1846">
        <v>0.60554106395453899</v>
      </c>
      <c r="H1846">
        <v>0.60769528725673205</v>
      </c>
      <c r="I1846">
        <v>0.468671871988046</v>
      </c>
      <c r="J1846">
        <v>0.35007801375519498</v>
      </c>
      <c r="K1846">
        <v>0.18780119244273799</v>
      </c>
      <c r="L1846">
        <v>437.99915205110699</v>
      </c>
      <c r="M1846">
        <v>7.4922826772024402</v>
      </c>
      <c r="N1846">
        <v>58.4600402469191</v>
      </c>
      <c r="O1846">
        <v>54.7299541044897</v>
      </c>
      <c r="P1846">
        <v>-3.4273259352867499E-2</v>
      </c>
      <c r="Q1846">
        <v>0</v>
      </c>
      <c r="R1846">
        <v>0.95808069720760503</v>
      </c>
      <c r="S1846" t="s">
        <v>7429</v>
      </c>
      <c r="T1846" t="s">
        <v>11164</v>
      </c>
      <c r="U1846" t="s">
        <v>11164</v>
      </c>
      <c r="V1846" t="s">
        <v>11164</v>
      </c>
      <c r="W1846" t="s">
        <v>12977</v>
      </c>
      <c r="X1846">
        <v>11</v>
      </c>
      <c r="Y1846" t="s">
        <v>18495</v>
      </c>
      <c r="Z1846" t="s">
        <v>23996</v>
      </c>
      <c r="AA1846">
        <v>0.68495943782494462</v>
      </c>
      <c r="AB1846" t="str">
        <f>HYPERLINK("Melting_Curves/meltCurve_P11234_RALB.pdf", "Melting_Curves/meltCurve_P11234_RALB.pdf")</f>
        <v>Melting_Curves/meltCurve_P11234_RALB.pdf</v>
      </c>
    </row>
    <row r="1847" spans="1:28" x14ac:dyDescent="0.25">
      <c r="A1847" t="s">
        <v>1851</v>
      </c>
      <c r="B1847">
        <v>0.99796759195183404</v>
      </c>
      <c r="C1847">
        <v>1.1805747657022301</v>
      </c>
      <c r="D1847">
        <v>1.05214564645681</v>
      </c>
      <c r="E1847">
        <v>0.95495199158617405</v>
      </c>
      <c r="F1847">
        <v>0.61723864663886796</v>
      </c>
      <c r="G1847">
        <v>0.27946238239455301</v>
      </c>
      <c r="H1847">
        <v>0.15437434913333001</v>
      </c>
      <c r="I1847">
        <v>0.152716537136731</v>
      </c>
      <c r="J1847">
        <v>0.168244972725444</v>
      </c>
      <c r="K1847">
        <v>0.114289069497271</v>
      </c>
      <c r="L1847">
        <v>1555.3775540054501</v>
      </c>
      <c r="M1847">
        <v>30.717609727278401</v>
      </c>
      <c r="N1847">
        <v>51.195007916089999</v>
      </c>
      <c r="O1847">
        <v>50.421572068899003</v>
      </c>
      <c r="P1847">
        <v>-0.130562946219557</v>
      </c>
      <c r="Q1847">
        <v>0.14275230517593199</v>
      </c>
      <c r="R1847">
        <v>0.97823135404578299</v>
      </c>
      <c r="S1847" t="s">
        <v>7430</v>
      </c>
      <c r="T1847" t="s">
        <v>11164</v>
      </c>
      <c r="U1847" t="s">
        <v>11164</v>
      </c>
      <c r="V1847" t="s">
        <v>11164</v>
      </c>
      <c r="W1847" t="s">
        <v>12978</v>
      </c>
      <c r="X1847">
        <v>7</v>
      </c>
      <c r="Y1847" t="s">
        <v>18496</v>
      </c>
      <c r="Z1847" t="s">
        <v>23997</v>
      </c>
      <c r="AA1847">
        <v>0.53743486245689553</v>
      </c>
      <c r="AB1847" t="str">
        <f>HYPERLINK("Melting_Curves/meltCurve_P11274_2_BCR.pdf", "Melting_Curves/meltCurve_P11274_2_BCR.pdf")</f>
        <v>Melting_Curves/meltCurve_P11274_2_BCR.pdf</v>
      </c>
    </row>
    <row r="1848" spans="1:28" x14ac:dyDescent="0.25">
      <c r="A1848" t="s">
        <v>1852</v>
      </c>
      <c r="B1848">
        <v>0.99796759195183404</v>
      </c>
      <c r="C1848">
        <v>0.92698016342206402</v>
      </c>
      <c r="D1848">
        <v>1.00350794243298</v>
      </c>
      <c r="E1848">
        <v>0.91657136246869197</v>
      </c>
      <c r="F1848">
        <v>0.74185541413244804</v>
      </c>
      <c r="G1848">
        <v>0.54191905198905899</v>
      </c>
      <c r="H1848">
        <v>0.65041510919232703</v>
      </c>
      <c r="I1848">
        <v>0.55913366964184696</v>
      </c>
      <c r="J1848">
        <v>0.900326445373964</v>
      </c>
      <c r="K1848">
        <v>1.3886321515592399</v>
      </c>
      <c r="L1848">
        <v>11666.7540382932</v>
      </c>
      <c r="M1848">
        <v>250</v>
      </c>
      <c r="O1848">
        <v>46.6640270051792</v>
      </c>
      <c r="P1848">
        <v>-0.271827448985344</v>
      </c>
      <c r="Q1848">
        <v>0.79704697346258702</v>
      </c>
      <c r="R1848">
        <v>0.11363878587545399</v>
      </c>
      <c r="S1848" t="s">
        <v>7431</v>
      </c>
      <c r="T1848" t="s">
        <v>11164</v>
      </c>
      <c r="U1848" t="s">
        <v>11164</v>
      </c>
      <c r="V1848" t="s">
        <v>11164</v>
      </c>
      <c r="W1848" t="s">
        <v>12979</v>
      </c>
      <c r="X1848">
        <v>6</v>
      </c>
      <c r="Y1848" t="s">
        <v>18497</v>
      </c>
      <c r="Z1848" t="s">
        <v>23998</v>
      </c>
      <c r="AA1848">
        <v>0.86246193482162203</v>
      </c>
      <c r="AB1848" t="str">
        <f>HYPERLINK("Melting_Curves/meltCurve_P11279_LAMP1.pdf", "Melting_Curves/meltCurve_P11279_LAMP1.pdf")</f>
        <v>Melting_Curves/meltCurve_P11279_LAMP1.pdf</v>
      </c>
    </row>
    <row r="1849" spans="1:28" x14ac:dyDescent="0.25">
      <c r="A1849" t="s">
        <v>1853</v>
      </c>
      <c r="B1849">
        <v>0.99796759195183404</v>
      </c>
      <c r="C1849">
        <v>1.25520429034167</v>
      </c>
      <c r="D1849">
        <v>0.97044240935849502</v>
      </c>
      <c r="E1849">
        <v>1.0930685006068801</v>
      </c>
      <c r="F1849">
        <v>1.1968923364316699</v>
      </c>
      <c r="G1849">
        <v>1.30485154794007</v>
      </c>
      <c r="H1849">
        <v>0.91467359534754</v>
      </c>
      <c r="I1849">
        <v>3.6496767609734602</v>
      </c>
      <c r="J1849">
        <v>3.4008188432413302</v>
      </c>
      <c r="K1849">
        <v>3.1890726986232001</v>
      </c>
      <c r="L1849">
        <v>1705.2784541635001</v>
      </c>
      <c r="M1849">
        <v>32.848201933359498</v>
      </c>
      <c r="O1849">
        <v>51.722635543916098</v>
      </c>
      <c r="P1849">
        <v>7.9385821612337606E-2</v>
      </c>
      <c r="Q1849">
        <v>1.5</v>
      </c>
      <c r="R1849">
        <v>-6.6809197502357698E-3</v>
      </c>
      <c r="S1849" t="s">
        <v>7432</v>
      </c>
      <c r="T1849" t="s">
        <v>11164</v>
      </c>
      <c r="U1849" t="s">
        <v>11164</v>
      </c>
      <c r="V1849" t="s">
        <v>11164</v>
      </c>
      <c r="W1849" t="s">
        <v>12980</v>
      </c>
      <c r="X1849">
        <v>1</v>
      </c>
      <c r="Y1849" t="s">
        <v>18498</v>
      </c>
      <c r="Z1849" t="s">
        <v>23999</v>
      </c>
      <c r="AA1849">
        <v>1.2487913120526981</v>
      </c>
      <c r="AB1849" t="str">
        <f>HYPERLINK("Melting_Curves/meltCurve_P11387_TOP1.pdf", "Melting_Curves/meltCurve_P11387_TOP1.pdf")</f>
        <v>Melting_Curves/meltCurve_P11387_TOP1.pdf</v>
      </c>
    </row>
    <row r="1850" spans="1:28" x14ac:dyDescent="0.25">
      <c r="A1850" t="s">
        <v>1854</v>
      </c>
      <c r="B1850">
        <v>0.99796759195183404</v>
      </c>
      <c r="C1850">
        <v>0.97833491050092602</v>
      </c>
      <c r="D1850">
        <v>0.98937070908419</v>
      </c>
      <c r="E1850">
        <v>0.98931736763820499</v>
      </c>
      <c r="F1850">
        <v>0.76444381180069898</v>
      </c>
      <c r="G1850">
        <v>0.59915784646552295</v>
      </c>
      <c r="H1850">
        <v>0.36734984889414601</v>
      </c>
      <c r="I1850">
        <v>0.13052168040510401</v>
      </c>
      <c r="J1850">
        <v>9.4650724005546402E-2</v>
      </c>
      <c r="K1850">
        <v>7.1052342189355994E-2</v>
      </c>
      <c r="L1850">
        <v>862.63446748373406</v>
      </c>
      <c r="M1850">
        <v>15.7014170787231</v>
      </c>
      <c r="N1850">
        <v>54.939912344832102</v>
      </c>
      <c r="O1850">
        <v>54.071892468664899</v>
      </c>
      <c r="P1850">
        <v>-7.2601224990511207E-2</v>
      </c>
      <c r="Q1850">
        <v>0</v>
      </c>
      <c r="R1850">
        <v>0.99425099413497398</v>
      </c>
      <c r="S1850" t="s">
        <v>7433</v>
      </c>
      <c r="T1850" t="s">
        <v>11164</v>
      </c>
      <c r="U1850" t="s">
        <v>11164</v>
      </c>
      <c r="V1850" t="s">
        <v>11164</v>
      </c>
      <c r="W1850" t="s">
        <v>12981</v>
      </c>
      <c r="X1850">
        <v>26</v>
      </c>
      <c r="Y1850" t="s">
        <v>18499</v>
      </c>
      <c r="Z1850" t="s">
        <v>24000</v>
      </c>
      <c r="AA1850">
        <v>0.61193309515380423</v>
      </c>
      <c r="AB1850" t="str">
        <f>HYPERLINK("Melting_Curves/meltCurve_P11413_G6PD.pdf", "Melting_Curves/meltCurve_P11413_G6PD.pdf")</f>
        <v>Melting_Curves/meltCurve_P11413_G6PD.pdf</v>
      </c>
    </row>
    <row r="1851" spans="1:28" x14ac:dyDescent="0.25">
      <c r="A1851" t="s">
        <v>1855</v>
      </c>
      <c r="B1851">
        <v>0.99796759195183404</v>
      </c>
      <c r="C1851">
        <v>0.91519937418026098</v>
      </c>
      <c r="D1851">
        <v>0.87053608846392405</v>
      </c>
      <c r="E1851">
        <v>0.839742937137407</v>
      </c>
      <c r="F1851">
        <v>0.74473922976323503</v>
      </c>
      <c r="G1851">
        <v>0.68718771972035098</v>
      </c>
      <c r="H1851">
        <v>0.40186508693874301</v>
      </c>
      <c r="I1851">
        <v>0.31607550566141202</v>
      </c>
      <c r="J1851">
        <v>0.322204699743462</v>
      </c>
      <c r="K1851">
        <v>0.29969039204759701</v>
      </c>
      <c r="L1851">
        <v>450.24439588932501</v>
      </c>
      <c r="M1851">
        <v>8.1341488830111395</v>
      </c>
      <c r="N1851">
        <v>56.599636221217501</v>
      </c>
      <c r="O1851">
        <v>52.308356953876903</v>
      </c>
      <c r="P1851">
        <v>-3.5724074915567797E-2</v>
      </c>
      <c r="Q1851">
        <v>8.2050899265723107E-2</v>
      </c>
      <c r="R1851">
        <v>0.96459119586662001</v>
      </c>
      <c r="S1851" t="s">
        <v>7434</v>
      </c>
      <c r="T1851" t="s">
        <v>11164</v>
      </c>
      <c r="U1851" t="s">
        <v>11164</v>
      </c>
      <c r="V1851" t="s">
        <v>11164</v>
      </c>
      <c r="W1851" t="s">
        <v>12982</v>
      </c>
      <c r="X1851">
        <v>8</v>
      </c>
      <c r="Y1851" t="s">
        <v>18500</v>
      </c>
      <c r="Z1851" t="s">
        <v>24001</v>
      </c>
      <c r="AA1851">
        <v>0.64767566714794778</v>
      </c>
      <c r="AB1851" t="str">
        <f>HYPERLINK("Melting_Curves/meltCurve_P11441_UBL4A.pdf", "Melting_Curves/meltCurve_P11441_UBL4A.pdf")</f>
        <v>Melting_Curves/meltCurve_P11441_UBL4A.pdf</v>
      </c>
    </row>
    <row r="1852" spans="1:28" x14ac:dyDescent="0.25">
      <c r="A1852" t="s">
        <v>1856</v>
      </c>
      <c r="B1852">
        <v>0.99796759195183404</v>
      </c>
      <c r="C1852">
        <v>1.0366512326331301</v>
      </c>
      <c r="D1852">
        <v>1.0173731613129799</v>
      </c>
      <c r="E1852">
        <v>0.94128110566818801</v>
      </c>
      <c r="F1852">
        <v>0.79336569444398997</v>
      </c>
      <c r="G1852">
        <v>0.43247580849580203</v>
      </c>
      <c r="H1852">
        <v>0.18896010887766601</v>
      </c>
      <c r="I1852">
        <v>0.13281345965045499</v>
      </c>
      <c r="J1852">
        <v>0.10935794168614001</v>
      </c>
      <c r="K1852">
        <v>8.4004484477717301E-2</v>
      </c>
      <c r="L1852">
        <v>1271.1615451273301</v>
      </c>
      <c r="M1852">
        <v>24.135729533284898</v>
      </c>
      <c r="N1852">
        <v>53.101101564085099</v>
      </c>
      <c r="O1852">
        <v>52.309673132639901</v>
      </c>
      <c r="P1852">
        <v>-0.105028904112161</v>
      </c>
      <c r="Q1852">
        <v>8.9492520426800698E-2</v>
      </c>
      <c r="R1852">
        <v>0.99829884652591405</v>
      </c>
      <c r="S1852" t="s">
        <v>7435</v>
      </c>
      <c r="T1852" t="s">
        <v>11164</v>
      </c>
      <c r="U1852" t="s">
        <v>11164</v>
      </c>
      <c r="V1852" t="s">
        <v>11164</v>
      </c>
      <c r="W1852" t="s">
        <v>12983</v>
      </c>
      <c r="X1852">
        <v>18</v>
      </c>
      <c r="Y1852" t="s">
        <v>18501</v>
      </c>
      <c r="Z1852" t="s">
        <v>24002</v>
      </c>
      <c r="AA1852">
        <v>0.57356217045286484</v>
      </c>
      <c r="AB1852" t="str">
        <f>HYPERLINK("Melting_Curves/meltCurve_P11498_PC.pdf", "Melting_Curves/meltCurve_P11498_PC.pdf")</f>
        <v>Melting_Curves/meltCurve_P11498_PC.pdf</v>
      </c>
    </row>
    <row r="1853" spans="1:28" x14ac:dyDescent="0.25">
      <c r="A1853" t="s">
        <v>1857</v>
      </c>
      <c r="B1853">
        <v>0.99796759195183404</v>
      </c>
      <c r="C1853">
        <v>1.0088290643654001</v>
      </c>
      <c r="D1853">
        <v>0.99324996696050105</v>
      </c>
      <c r="E1853">
        <v>0.956406613309289</v>
      </c>
      <c r="F1853">
        <v>0.81706922222832701</v>
      </c>
      <c r="G1853">
        <v>0.50719151339657897</v>
      </c>
      <c r="H1853">
        <v>0.16410855472152699</v>
      </c>
      <c r="I1853">
        <v>0.125316809239823</v>
      </c>
      <c r="J1853">
        <v>0.11066073901784799</v>
      </c>
      <c r="K1853">
        <v>7.1937435295123003E-2</v>
      </c>
      <c r="L1853">
        <v>1321.30242430726</v>
      </c>
      <c r="M1853">
        <v>24.818950260167401</v>
      </c>
      <c r="N1853">
        <v>53.591771208619598</v>
      </c>
      <c r="O1853">
        <v>52.895621335113702</v>
      </c>
      <c r="P1853">
        <v>-0.108431596253973</v>
      </c>
      <c r="Q1853">
        <v>7.5629220650097306E-2</v>
      </c>
      <c r="R1853">
        <v>0.99750291287735804</v>
      </c>
      <c r="S1853" t="s">
        <v>7436</v>
      </c>
      <c r="T1853" t="s">
        <v>11164</v>
      </c>
      <c r="U1853" t="s">
        <v>11164</v>
      </c>
      <c r="V1853" t="s">
        <v>11164</v>
      </c>
      <c r="W1853" t="s">
        <v>12984</v>
      </c>
      <c r="X1853">
        <v>59</v>
      </c>
      <c r="Y1853" t="s">
        <v>18502</v>
      </c>
      <c r="Z1853" t="s">
        <v>24003</v>
      </c>
      <c r="AA1853">
        <v>0.58420358581968013</v>
      </c>
      <c r="AB1853" t="str">
        <f>HYPERLINK("Melting_Curves/meltCurve_P11586_MTHFD1.pdf", "Melting_Curves/meltCurve_P11586_MTHFD1.pdf")</f>
        <v>Melting_Curves/meltCurve_P11586_MTHFD1.pdf</v>
      </c>
    </row>
    <row r="1854" spans="1:28" x14ac:dyDescent="0.25">
      <c r="A1854" t="s">
        <v>1858</v>
      </c>
      <c r="B1854">
        <v>0.99796759195183404</v>
      </c>
      <c r="C1854">
        <v>0.98075522872698395</v>
      </c>
      <c r="D1854">
        <v>0.94121477177480695</v>
      </c>
      <c r="E1854">
        <v>0.93234236855060504</v>
      </c>
      <c r="F1854">
        <v>0.84083768789992497</v>
      </c>
      <c r="G1854">
        <v>1.405219413342</v>
      </c>
      <c r="H1854">
        <v>1.2021770289588301</v>
      </c>
      <c r="I1854">
        <v>1.12714583276261</v>
      </c>
      <c r="J1854">
        <v>0.56640191461490996</v>
      </c>
      <c r="K1854">
        <v>0.358346510193644</v>
      </c>
      <c r="L1854">
        <v>15000</v>
      </c>
      <c r="M1854">
        <v>234.74353790254199</v>
      </c>
      <c r="N1854">
        <v>64.2446636125282</v>
      </c>
      <c r="O1854">
        <v>63.894892369235599</v>
      </c>
      <c r="P1854">
        <v>-0.58935775483259301</v>
      </c>
      <c r="Q1854">
        <v>0.35833043875923998</v>
      </c>
      <c r="R1854">
        <v>0.68627543091892496</v>
      </c>
      <c r="S1854" t="s">
        <v>7437</v>
      </c>
      <c r="T1854" t="s">
        <v>11164</v>
      </c>
      <c r="U1854" t="s">
        <v>11164</v>
      </c>
      <c r="V1854" t="s">
        <v>11164</v>
      </c>
      <c r="W1854" t="s">
        <v>12985</v>
      </c>
      <c r="X1854">
        <v>35</v>
      </c>
      <c r="Y1854" t="s">
        <v>18503</v>
      </c>
      <c r="Z1854" t="s">
        <v>24004</v>
      </c>
      <c r="AA1854">
        <v>0.93376542839788279</v>
      </c>
      <c r="AB1854" t="str">
        <f>HYPERLINK("Melting_Curves/meltCurve_P11717_IGF2R.pdf", "Melting_Curves/meltCurve_P11717_IGF2R.pdf")</f>
        <v>Melting_Curves/meltCurve_P11717_IGF2R.pdf</v>
      </c>
    </row>
    <row r="1855" spans="1:28" x14ac:dyDescent="0.25">
      <c r="A1855" t="s">
        <v>1859</v>
      </c>
      <c r="B1855">
        <v>0.99796759195183404</v>
      </c>
      <c r="C1855">
        <v>0.99562204251237896</v>
      </c>
      <c r="D1855">
        <v>0.97814138553316199</v>
      </c>
      <c r="E1855">
        <v>0.96854217770692397</v>
      </c>
      <c r="F1855">
        <v>0.82215642835559999</v>
      </c>
      <c r="G1855">
        <v>0.66842501974638002</v>
      </c>
      <c r="H1855">
        <v>0.60714463220923698</v>
      </c>
      <c r="I1855">
        <v>0.44279996731947402</v>
      </c>
      <c r="J1855">
        <v>0.22944422212893101</v>
      </c>
      <c r="K1855">
        <v>0.12699775408428801</v>
      </c>
      <c r="L1855">
        <v>660.78976534464198</v>
      </c>
      <c r="M1855">
        <v>11.3293708768085</v>
      </c>
      <c r="N1855">
        <v>58.325371566536703</v>
      </c>
      <c r="O1855">
        <v>56.596850602617998</v>
      </c>
      <c r="P1855">
        <v>-5.0059256501960601E-2</v>
      </c>
      <c r="Q1855">
        <v>0</v>
      </c>
      <c r="R1855">
        <v>0.98145493510279702</v>
      </c>
      <c r="S1855" t="s">
        <v>7438</v>
      </c>
      <c r="T1855" t="s">
        <v>11164</v>
      </c>
      <c r="U1855" t="s">
        <v>11164</v>
      </c>
      <c r="V1855" t="s">
        <v>11164</v>
      </c>
      <c r="W1855" t="s">
        <v>12986</v>
      </c>
      <c r="X1855">
        <v>17</v>
      </c>
      <c r="Y1855" t="s">
        <v>18504</v>
      </c>
      <c r="Z1855" t="s">
        <v>24005</v>
      </c>
      <c r="AA1855">
        <v>0.70517163569179964</v>
      </c>
      <c r="AB1855" t="str">
        <f>HYPERLINK("Melting_Curves/meltCurve_P11766_ADH5.pdf", "Melting_Curves/meltCurve_P11766_ADH5.pdf")</f>
        <v>Melting_Curves/meltCurve_P11766_ADH5.pdf</v>
      </c>
    </row>
    <row r="1856" spans="1:28" x14ac:dyDescent="0.25">
      <c r="A1856" t="s">
        <v>1860</v>
      </c>
      <c r="B1856">
        <v>0.99796759195183404</v>
      </c>
      <c r="C1856">
        <v>0.96385866930219999</v>
      </c>
      <c r="D1856">
        <v>0.95964235644426499</v>
      </c>
      <c r="E1856">
        <v>0.93874247523055798</v>
      </c>
      <c r="F1856">
        <v>0.78184417994472299</v>
      </c>
      <c r="G1856">
        <v>0.56145221110489196</v>
      </c>
      <c r="H1856">
        <v>0.40631508300679597</v>
      </c>
      <c r="I1856">
        <v>0.240685502557553</v>
      </c>
      <c r="J1856">
        <v>0.15357349850253799</v>
      </c>
      <c r="K1856">
        <v>0.117031848388452</v>
      </c>
      <c r="L1856">
        <v>706.39579889596598</v>
      </c>
      <c r="M1856">
        <v>12.8346693396402</v>
      </c>
      <c r="N1856">
        <v>55.257354487345097</v>
      </c>
      <c r="O1856">
        <v>53.753329586246799</v>
      </c>
      <c r="P1856">
        <v>-5.8221333413989503E-2</v>
      </c>
      <c r="Q1856">
        <v>2.4825828464698399E-2</v>
      </c>
      <c r="R1856">
        <v>0.997728143084462</v>
      </c>
      <c r="S1856" t="s">
        <v>7439</v>
      </c>
      <c r="T1856" t="s">
        <v>11164</v>
      </c>
      <c r="U1856" t="s">
        <v>11164</v>
      </c>
      <c r="V1856" t="s">
        <v>11164</v>
      </c>
      <c r="W1856" t="s">
        <v>12987</v>
      </c>
      <c r="X1856">
        <v>18</v>
      </c>
      <c r="Y1856" t="s">
        <v>18505</v>
      </c>
      <c r="Z1856" t="s">
        <v>24006</v>
      </c>
      <c r="AA1856">
        <v>0.62510381930226067</v>
      </c>
      <c r="AB1856" t="str">
        <f>HYPERLINK("Melting_Curves/meltCurve_P11802_CDK4.pdf", "Melting_Curves/meltCurve_P11802_CDK4.pdf")</f>
        <v>Melting_Curves/meltCurve_P11802_CDK4.pdf</v>
      </c>
    </row>
    <row r="1857" spans="1:28" x14ac:dyDescent="0.25">
      <c r="A1857" t="s">
        <v>1861</v>
      </c>
      <c r="B1857">
        <v>0.99796759195183404</v>
      </c>
      <c r="C1857">
        <v>0.99164423262149204</v>
      </c>
      <c r="D1857">
        <v>0.98182754482075396</v>
      </c>
      <c r="E1857">
        <v>1.0576099959954099</v>
      </c>
      <c r="F1857">
        <v>0.94184073721179196</v>
      </c>
      <c r="G1857">
        <v>1.3504767304521099</v>
      </c>
      <c r="H1857">
        <v>1.2952244642433901</v>
      </c>
      <c r="I1857">
        <v>0.74162770989957405</v>
      </c>
      <c r="J1857">
        <v>0.172687252232431</v>
      </c>
      <c r="K1857">
        <v>0.128674865203284</v>
      </c>
      <c r="L1857">
        <v>6422.4478829960499</v>
      </c>
      <c r="M1857">
        <v>104.43735042261601</v>
      </c>
      <c r="N1857">
        <v>61.696747863304999</v>
      </c>
      <c r="O1857">
        <v>61.4731607274624</v>
      </c>
      <c r="P1857">
        <v>-0.36346869856404301</v>
      </c>
      <c r="Q1857">
        <v>0.144230735042436</v>
      </c>
      <c r="R1857">
        <v>0.85921748881035798</v>
      </c>
      <c r="S1857" t="s">
        <v>7440</v>
      </c>
      <c r="T1857" t="s">
        <v>11164</v>
      </c>
      <c r="U1857" t="s">
        <v>11164</v>
      </c>
      <c r="V1857" t="s">
        <v>11164</v>
      </c>
      <c r="W1857" t="s">
        <v>12988</v>
      </c>
      <c r="X1857">
        <v>7</v>
      </c>
      <c r="Y1857" t="s">
        <v>18506</v>
      </c>
      <c r="Z1857" t="s">
        <v>24007</v>
      </c>
      <c r="AA1857">
        <v>0.84351224188376661</v>
      </c>
      <c r="AB1857" t="str">
        <f>HYPERLINK("Melting_Curves/meltCurve_P11908_PRPS2.pdf", "Melting_Curves/meltCurve_P11908_PRPS2.pdf")</f>
        <v>Melting_Curves/meltCurve_P11908_PRPS2.pdf</v>
      </c>
    </row>
    <row r="1858" spans="1:28" x14ac:dyDescent="0.25">
      <c r="A1858" t="s">
        <v>1862</v>
      </c>
      <c r="B1858">
        <v>0.99796759195183404</v>
      </c>
      <c r="C1858">
        <v>0.959636805297719</v>
      </c>
      <c r="D1858">
        <v>0.94581098376914796</v>
      </c>
      <c r="E1858">
        <v>0.89187461399536505</v>
      </c>
      <c r="F1858">
        <v>0.781777635117759</v>
      </c>
      <c r="G1858">
        <v>0.44403640190820598</v>
      </c>
      <c r="H1858">
        <v>0.211128465622096</v>
      </c>
      <c r="I1858">
        <v>0.150330695728109</v>
      </c>
      <c r="J1858">
        <v>0.124089512556101</v>
      </c>
      <c r="K1858">
        <v>8.8134080963080799E-2</v>
      </c>
      <c r="L1858">
        <v>1029.77512972419</v>
      </c>
      <c r="M1858">
        <v>19.5458972482508</v>
      </c>
      <c r="N1858">
        <v>53.167379105640698</v>
      </c>
      <c r="O1858">
        <v>52.142796293403002</v>
      </c>
      <c r="P1858">
        <v>-8.6101973669883203E-2</v>
      </c>
      <c r="Q1858">
        <v>8.1252142555473597E-2</v>
      </c>
      <c r="R1858">
        <v>0.99472250986042299</v>
      </c>
      <c r="S1858" t="s">
        <v>7441</v>
      </c>
      <c r="T1858" t="s">
        <v>11164</v>
      </c>
      <c r="U1858" t="s">
        <v>11164</v>
      </c>
      <c r="V1858" t="s">
        <v>11164</v>
      </c>
      <c r="W1858" t="s">
        <v>12989</v>
      </c>
      <c r="X1858">
        <v>30</v>
      </c>
      <c r="Y1858" t="s">
        <v>18507</v>
      </c>
      <c r="Z1858" t="s">
        <v>24008</v>
      </c>
      <c r="AA1858">
        <v>0.5736850904657671</v>
      </c>
      <c r="AB1858" t="str">
        <f>HYPERLINK("Melting_Curves/meltCurve_P11940_PABPC1.pdf", "Melting_Curves/meltCurve_P11940_PABPC1.pdf")</f>
        <v>Melting_Curves/meltCurve_P11940_PABPC1.pdf</v>
      </c>
    </row>
    <row r="1859" spans="1:28" x14ac:dyDescent="0.25">
      <c r="A1859" t="s">
        <v>1863</v>
      </c>
      <c r="B1859">
        <v>0.99796759195183404</v>
      </c>
      <c r="C1859">
        <v>0.99843437000636404</v>
      </c>
      <c r="D1859">
        <v>0.999493622338817</v>
      </c>
      <c r="E1859">
        <v>0.98611300966553594</v>
      </c>
      <c r="F1859">
        <v>0.84226110736587201</v>
      </c>
      <c r="G1859">
        <v>0.81618646849224397</v>
      </c>
      <c r="H1859">
        <v>0.59188077054057497</v>
      </c>
      <c r="I1859">
        <v>0.34943299368071901</v>
      </c>
      <c r="J1859">
        <v>0.17996893321955701</v>
      </c>
      <c r="K1859">
        <v>9.5050908313648999E-2</v>
      </c>
      <c r="L1859">
        <v>916.48030231076598</v>
      </c>
      <c r="M1859">
        <v>15.6865939280653</v>
      </c>
      <c r="N1859">
        <v>58.424429730957002</v>
      </c>
      <c r="O1859">
        <v>57.4996520285519</v>
      </c>
      <c r="P1859">
        <v>-6.8208767558975994E-2</v>
      </c>
      <c r="Q1859">
        <v>0</v>
      </c>
      <c r="R1859">
        <v>0.99170829980146002</v>
      </c>
      <c r="S1859" t="s">
        <v>7442</v>
      </c>
      <c r="T1859" t="s">
        <v>11164</v>
      </c>
      <c r="U1859" t="s">
        <v>11164</v>
      </c>
      <c r="V1859" t="s">
        <v>11164</v>
      </c>
      <c r="W1859" t="s">
        <v>12990</v>
      </c>
      <c r="X1859">
        <v>25</v>
      </c>
      <c r="Y1859" t="s">
        <v>18508</v>
      </c>
      <c r="Z1859" t="s">
        <v>24009</v>
      </c>
      <c r="AA1859">
        <v>0.71718407867260947</v>
      </c>
      <c r="AB1859" t="str">
        <f>HYPERLINK("Melting_Curves/meltCurve_P12004_PCNA.pdf", "Melting_Curves/meltCurve_P12004_PCNA.pdf")</f>
        <v>Melting_Curves/meltCurve_P12004_PCNA.pdf</v>
      </c>
    </row>
    <row r="1860" spans="1:28" x14ac:dyDescent="0.25">
      <c r="A1860" t="s">
        <v>1864</v>
      </c>
      <c r="B1860">
        <v>0.99796759195183404</v>
      </c>
      <c r="C1860">
        <v>1.0130342228012501</v>
      </c>
      <c r="D1860">
        <v>1.00309155752159</v>
      </c>
      <c r="E1860">
        <v>0.95978067633491004</v>
      </c>
      <c r="F1860">
        <v>0.83874255406473497</v>
      </c>
      <c r="G1860">
        <v>0.67032615214460101</v>
      </c>
      <c r="H1860">
        <v>0.20305375419108901</v>
      </c>
      <c r="I1860">
        <v>0.14356158135343</v>
      </c>
      <c r="J1860">
        <v>0.102715458319059</v>
      </c>
      <c r="K1860">
        <v>7.2101233802897693E-2</v>
      </c>
      <c r="L1860">
        <v>1391.3706890439601</v>
      </c>
      <c r="M1860">
        <v>25.547904315197901</v>
      </c>
      <c r="N1860">
        <v>54.773267836097503</v>
      </c>
      <c r="O1860">
        <v>54.130852595329699</v>
      </c>
      <c r="P1860">
        <v>-0.110002015259082</v>
      </c>
      <c r="Q1860">
        <v>6.7723228257762502E-2</v>
      </c>
      <c r="R1860">
        <v>0.99114114248213503</v>
      </c>
      <c r="S1860" t="s">
        <v>7443</v>
      </c>
      <c r="T1860" t="s">
        <v>11164</v>
      </c>
      <c r="U1860" t="s">
        <v>11164</v>
      </c>
      <c r="V1860" t="s">
        <v>11164</v>
      </c>
      <c r="W1860" t="s">
        <v>12991</v>
      </c>
      <c r="X1860">
        <v>37</v>
      </c>
      <c r="Y1860" t="s">
        <v>18509</v>
      </c>
      <c r="Z1860" t="s">
        <v>24010</v>
      </c>
      <c r="AA1860">
        <v>0.61813506036262578</v>
      </c>
      <c r="AB1860" t="str">
        <f>HYPERLINK("Melting_Curves/meltCurve_P12081_HARS.pdf", "Melting_Curves/meltCurve_P12081_HARS.pdf")</f>
        <v>Melting_Curves/meltCurve_P12081_HARS.pdf</v>
      </c>
    </row>
    <row r="1861" spans="1:28" x14ac:dyDescent="0.25">
      <c r="A1861" t="s">
        <v>1865</v>
      </c>
      <c r="B1861">
        <v>0.99796759195183404</v>
      </c>
      <c r="C1861">
        <v>1.0826817265641999</v>
      </c>
      <c r="D1861">
        <v>1.2151366764749401</v>
      </c>
      <c r="E1861">
        <v>1.20230765295845</v>
      </c>
      <c r="F1861">
        <v>0.85131111715329899</v>
      </c>
      <c r="G1861">
        <v>0.59653669208597804</v>
      </c>
      <c r="H1861">
        <v>0.60125009158390796</v>
      </c>
      <c r="I1861">
        <v>0.53583298646249999</v>
      </c>
      <c r="J1861">
        <v>0.45896370398448999</v>
      </c>
      <c r="K1861">
        <v>0.35533256137002001</v>
      </c>
      <c r="L1861">
        <v>1665.49916821428</v>
      </c>
      <c r="M1861">
        <v>31.9160485120583</v>
      </c>
      <c r="N1861">
        <v>57.446276421588003</v>
      </c>
      <c r="O1861">
        <v>51.980166779475603</v>
      </c>
      <c r="P1861">
        <v>-8.0874844155600395E-2</v>
      </c>
      <c r="Q1861">
        <v>0.473134466589129</v>
      </c>
      <c r="R1861">
        <v>0.860576832485342</v>
      </c>
      <c r="S1861" t="s">
        <v>7444</v>
      </c>
      <c r="T1861" t="s">
        <v>11164</v>
      </c>
      <c r="U1861" t="s">
        <v>11164</v>
      </c>
      <c r="V1861" t="s">
        <v>11164</v>
      </c>
      <c r="W1861" t="s">
        <v>12992</v>
      </c>
      <c r="X1861">
        <v>3</v>
      </c>
      <c r="Y1861" t="s">
        <v>18510</v>
      </c>
      <c r="Z1861" t="s">
        <v>24011</v>
      </c>
      <c r="AA1861">
        <v>0.74275121465371674</v>
      </c>
      <c r="AB1861" t="str">
        <f>HYPERLINK("Melting_Curves/meltCurve_P12109_COL6A1.pdf", "Melting_Curves/meltCurve_P12109_COL6A1.pdf")</f>
        <v>Melting_Curves/meltCurve_P12109_COL6A1.pdf</v>
      </c>
    </row>
    <row r="1862" spans="1:28" x14ac:dyDescent="0.25">
      <c r="A1862" t="s">
        <v>1866</v>
      </c>
      <c r="B1862">
        <v>0.99796759195183404</v>
      </c>
      <c r="C1862">
        <v>0.95593805630265904</v>
      </c>
      <c r="D1862">
        <v>1.01257780467893</v>
      </c>
      <c r="E1862">
        <v>0.93470994232449101</v>
      </c>
      <c r="F1862">
        <v>0.71087180452897303</v>
      </c>
      <c r="G1862">
        <v>0.60710747988015801</v>
      </c>
      <c r="H1862">
        <v>0.46961216175350001</v>
      </c>
      <c r="I1862">
        <v>0.41123094439812802</v>
      </c>
      <c r="J1862">
        <v>0.42944115844407899</v>
      </c>
      <c r="K1862">
        <v>0.36180576293000899</v>
      </c>
      <c r="L1862">
        <v>863.91743391940702</v>
      </c>
      <c r="M1862">
        <v>16.788618557471398</v>
      </c>
      <c r="N1862">
        <v>56.158931073427603</v>
      </c>
      <c r="O1862">
        <v>50.745057367830299</v>
      </c>
      <c r="P1862">
        <v>-5.1504094411235102E-2</v>
      </c>
      <c r="Q1862">
        <v>0.37733803291923101</v>
      </c>
      <c r="R1862">
        <v>0.98783037517912198</v>
      </c>
      <c r="S1862" t="s">
        <v>7445</v>
      </c>
      <c r="T1862" t="s">
        <v>11164</v>
      </c>
      <c r="U1862" t="s">
        <v>11164</v>
      </c>
      <c r="V1862" t="s">
        <v>11164</v>
      </c>
      <c r="W1862" t="s">
        <v>12993</v>
      </c>
      <c r="X1862">
        <v>21</v>
      </c>
      <c r="Y1862" t="s">
        <v>18511</v>
      </c>
      <c r="Z1862" t="s">
        <v>24012</v>
      </c>
      <c r="AA1862">
        <v>0.68800371506913804</v>
      </c>
      <c r="AB1862" t="str">
        <f>HYPERLINK("Melting_Curves/meltCurve_P12235_SLC25A4.pdf", "Melting_Curves/meltCurve_P12235_SLC25A4.pdf")</f>
        <v>Melting_Curves/meltCurve_P12235_SLC25A4.pdf</v>
      </c>
    </row>
    <row r="1863" spans="1:28" x14ac:dyDescent="0.25">
      <c r="A1863" t="s">
        <v>1867</v>
      </c>
      <c r="B1863">
        <v>0.99796759195183404</v>
      </c>
      <c r="C1863">
        <v>1.06164016285395</v>
      </c>
      <c r="D1863">
        <v>1.0061550556015499</v>
      </c>
      <c r="E1863">
        <v>0.96139272888449701</v>
      </c>
      <c r="F1863">
        <v>0.88705643621680497</v>
      </c>
      <c r="G1863">
        <v>0.73024188369326104</v>
      </c>
      <c r="H1863">
        <v>0.69363091385109898</v>
      </c>
      <c r="I1863">
        <v>0.60266780526585695</v>
      </c>
      <c r="J1863">
        <v>0.84869852968487103</v>
      </c>
      <c r="K1863">
        <v>0.81376680332345097</v>
      </c>
      <c r="L1863">
        <v>3242.2383785931402</v>
      </c>
      <c r="M1863">
        <v>64.327680535666303</v>
      </c>
      <c r="O1863">
        <v>50.353287117678299</v>
      </c>
      <c r="P1863">
        <v>-8.3986299587261407E-2</v>
      </c>
      <c r="Q1863">
        <v>0.73703489171871495</v>
      </c>
      <c r="R1863">
        <v>0.78708663867721396</v>
      </c>
      <c r="S1863" t="s">
        <v>7446</v>
      </c>
      <c r="T1863" t="s">
        <v>11164</v>
      </c>
      <c r="U1863" t="s">
        <v>11164</v>
      </c>
      <c r="V1863" t="s">
        <v>11164</v>
      </c>
      <c r="W1863" t="s">
        <v>12994</v>
      </c>
      <c r="X1863">
        <v>33</v>
      </c>
      <c r="Y1863" t="s">
        <v>18512</v>
      </c>
      <c r="Z1863" t="s">
        <v>24013</v>
      </c>
      <c r="AA1863">
        <v>0.85486186101568584</v>
      </c>
      <c r="AB1863" t="str">
        <f>HYPERLINK("Melting_Curves/meltCurve_P12236_SLC25A6.pdf", "Melting_Curves/meltCurve_P12236_SLC25A6.pdf")</f>
        <v>Melting_Curves/meltCurve_P12236_SLC25A6.pdf</v>
      </c>
    </row>
    <row r="1864" spans="1:28" x14ac:dyDescent="0.25">
      <c r="A1864" t="s">
        <v>1868</v>
      </c>
      <c r="B1864">
        <v>0.99796759195183404</v>
      </c>
      <c r="C1864">
        <v>0.99653420763294798</v>
      </c>
      <c r="D1864">
        <v>0.95405101311211105</v>
      </c>
      <c r="E1864">
        <v>0.93124368659415702</v>
      </c>
      <c r="F1864">
        <v>0.81875328314988105</v>
      </c>
      <c r="G1864">
        <v>1.0527083226543801</v>
      </c>
      <c r="H1864">
        <v>0.77358774965870802</v>
      </c>
      <c r="I1864">
        <v>0.47300247019726699</v>
      </c>
      <c r="J1864">
        <v>0.25895553444146202</v>
      </c>
      <c r="K1864">
        <v>0.17322338515361099</v>
      </c>
      <c r="L1864">
        <v>1632.8180292772699</v>
      </c>
      <c r="M1864">
        <v>27.235624700205499</v>
      </c>
      <c r="N1864">
        <v>60.620375856295297</v>
      </c>
      <c r="O1864">
        <v>59.631144553760201</v>
      </c>
      <c r="P1864">
        <v>-9.9366783238610701E-2</v>
      </c>
      <c r="Q1864">
        <v>0.12977236227360101</v>
      </c>
      <c r="R1864">
        <v>0.95026876650534797</v>
      </c>
      <c r="S1864" t="s">
        <v>7447</v>
      </c>
      <c r="T1864" t="s">
        <v>11164</v>
      </c>
      <c r="U1864" t="s">
        <v>11164</v>
      </c>
      <c r="V1864" t="s">
        <v>11164</v>
      </c>
      <c r="W1864" t="s">
        <v>12995</v>
      </c>
      <c r="X1864">
        <v>86</v>
      </c>
      <c r="Y1864" t="s">
        <v>18513</v>
      </c>
      <c r="Z1864" t="s">
        <v>24014</v>
      </c>
      <c r="AA1864">
        <v>0.79856316326210786</v>
      </c>
      <c r="AB1864" t="str">
        <f>HYPERLINK("Melting_Curves/meltCurve_P12270_TPR.pdf", "Melting_Curves/meltCurve_P12270_TPR.pdf")</f>
        <v>Melting_Curves/meltCurve_P12270_TPR.pdf</v>
      </c>
    </row>
    <row r="1865" spans="1:28" x14ac:dyDescent="0.25">
      <c r="A1865" t="s">
        <v>1869</v>
      </c>
      <c r="B1865">
        <v>0.99796759195183404</v>
      </c>
      <c r="C1865">
        <v>1.04236733700437</v>
      </c>
      <c r="D1865">
        <v>1.0248334595106201</v>
      </c>
      <c r="E1865">
        <v>0.97051735712748199</v>
      </c>
      <c r="F1865">
        <v>0.86951324211321701</v>
      </c>
      <c r="G1865">
        <v>0.53148028638510603</v>
      </c>
      <c r="H1865">
        <v>0.16682352708510301</v>
      </c>
      <c r="I1865">
        <v>0.12064753942651001</v>
      </c>
      <c r="J1865">
        <v>9.3453028624204501E-2</v>
      </c>
      <c r="K1865">
        <v>6.8915302610940504E-2</v>
      </c>
      <c r="L1865">
        <v>1532.92897997623</v>
      </c>
      <c r="M1865">
        <v>28.5976623520156</v>
      </c>
      <c r="N1865">
        <v>53.909591135635502</v>
      </c>
      <c r="O1865">
        <v>53.343240050439697</v>
      </c>
      <c r="P1865">
        <v>-0.123977740414105</v>
      </c>
      <c r="Q1865">
        <v>7.4984228152922702E-2</v>
      </c>
      <c r="R1865">
        <v>0.99727657504091005</v>
      </c>
      <c r="S1865" t="s">
        <v>7448</v>
      </c>
      <c r="T1865" t="s">
        <v>11164</v>
      </c>
      <c r="U1865" t="s">
        <v>11164</v>
      </c>
      <c r="V1865" t="s">
        <v>11164</v>
      </c>
      <c r="W1865" t="s">
        <v>12996</v>
      </c>
      <c r="X1865">
        <v>29</v>
      </c>
      <c r="Y1865" t="s">
        <v>18514</v>
      </c>
      <c r="Z1865" t="s">
        <v>24015</v>
      </c>
      <c r="AA1865">
        <v>0.59336737322894961</v>
      </c>
      <c r="AB1865" t="str">
        <f>HYPERLINK("Melting_Curves/meltCurve_P12277_CKB.pdf", "Melting_Curves/meltCurve_P12277_CKB.pdf")</f>
        <v>Melting_Curves/meltCurve_P12277_CKB.pdf</v>
      </c>
    </row>
    <row r="1866" spans="1:28" x14ac:dyDescent="0.25">
      <c r="A1866" t="s">
        <v>1870</v>
      </c>
      <c r="B1866">
        <v>0.99796759195183404</v>
      </c>
      <c r="C1866">
        <v>0.94605074530030797</v>
      </c>
      <c r="D1866">
        <v>0.93983156313906702</v>
      </c>
      <c r="E1866">
        <v>0.88491160724324203</v>
      </c>
      <c r="F1866">
        <v>0.74677618739265295</v>
      </c>
      <c r="G1866">
        <v>0.56146916472965103</v>
      </c>
      <c r="H1866">
        <v>0.256197710646902</v>
      </c>
      <c r="I1866">
        <v>0.12722746017103601</v>
      </c>
      <c r="J1866">
        <v>9.1736641635628599E-2</v>
      </c>
      <c r="K1866">
        <v>6.6952046895573505E-2</v>
      </c>
      <c r="L1866">
        <v>795.17869129706196</v>
      </c>
      <c r="M1866">
        <v>14.7451159077175</v>
      </c>
      <c r="N1866">
        <v>53.9282767889136</v>
      </c>
      <c r="O1866">
        <v>52.965505258349999</v>
      </c>
      <c r="P1866">
        <v>-6.9605247937934198E-2</v>
      </c>
      <c r="Q1866">
        <v>0</v>
      </c>
      <c r="R1866">
        <v>0.99325573136307199</v>
      </c>
      <c r="S1866" t="s">
        <v>7449</v>
      </c>
      <c r="T1866" t="s">
        <v>11164</v>
      </c>
      <c r="U1866" t="s">
        <v>11164</v>
      </c>
      <c r="V1866" t="s">
        <v>11164</v>
      </c>
      <c r="W1866" t="s">
        <v>12997</v>
      </c>
      <c r="X1866">
        <v>20</v>
      </c>
      <c r="Y1866" t="s">
        <v>18515</v>
      </c>
      <c r="Z1866" t="s">
        <v>24016</v>
      </c>
      <c r="AA1866">
        <v>0.58080794705538397</v>
      </c>
      <c r="AB1866" t="str">
        <f>HYPERLINK("Melting_Curves/meltCurve_P12429_ANXA3.pdf", "Melting_Curves/meltCurve_P12429_ANXA3.pdf")</f>
        <v>Melting_Curves/meltCurve_P12429_ANXA3.pdf</v>
      </c>
    </row>
    <row r="1867" spans="1:28" x14ac:dyDescent="0.25">
      <c r="A1867" t="s">
        <v>1871</v>
      </c>
      <c r="B1867">
        <v>0.99796759195183404</v>
      </c>
      <c r="C1867">
        <v>0.84379900834774202</v>
      </c>
      <c r="D1867">
        <v>0.78798915343646603</v>
      </c>
      <c r="E1867">
        <v>0.72304453069097796</v>
      </c>
      <c r="F1867">
        <v>0.70925544940177199</v>
      </c>
      <c r="G1867">
        <v>0.92149972843993</v>
      </c>
      <c r="H1867">
        <v>0.81883111855373103</v>
      </c>
      <c r="I1867">
        <v>0.84005305585197398</v>
      </c>
      <c r="J1867">
        <v>0.97411058942761597</v>
      </c>
      <c r="K1867">
        <v>0.69260618845979005</v>
      </c>
      <c r="L1867">
        <v>9915.74330127348</v>
      </c>
      <c r="M1867">
        <v>250</v>
      </c>
      <c r="O1867">
        <v>39.660438886361703</v>
      </c>
      <c r="P1867">
        <v>-0.30190080059101998</v>
      </c>
      <c r="Q1867">
        <v>0.80842372676085394</v>
      </c>
      <c r="R1867">
        <v>0.30755383523167001</v>
      </c>
      <c r="S1867" t="s">
        <v>7450</v>
      </c>
      <c r="T1867" t="s">
        <v>11164</v>
      </c>
      <c r="U1867" t="s">
        <v>11164</v>
      </c>
      <c r="V1867" t="s">
        <v>11164</v>
      </c>
      <c r="W1867" t="s">
        <v>12998</v>
      </c>
      <c r="X1867">
        <v>13</v>
      </c>
      <c r="Y1867" t="s">
        <v>18516</v>
      </c>
      <c r="Z1867" t="s">
        <v>24017</v>
      </c>
      <c r="AA1867">
        <v>0.82544247807539584</v>
      </c>
      <c r="AB1867" t="str">
        <f>HYPERLINK("Melting_Curves/meltCurve_P12532_CKMT1A.pdf", "Melting_Curves/meltCurve_P12532_CKMT1A.pdf")</f>
        <v>Melting_Curves/meltCurve_P12532_CKMT1A.pdf</v>
      </c>
    </row>
    <row r="1868" spans="1:28" x14ac:dyDescent="0.25">
      <c r="A1868" t="s">
        <v>1872</v>
      </c>
      <c r="B1868">
        <v>0.99796759195183404</v>
      </c>
      <c r="C1868">
        <v>0.96692962728947596</v>
      </c>
      <c r="D1868">
        <v>0.99368900533260396</v>
      </c>
      <c r="E1868">
        <v>0.93599540914936197</v>
      </c>
      <c r="F1868">
        <v>0.80381935212886502</v>
      </c>
      <c r="G1868">
        <v>0.86700358196517902</v>
      </c>
      <c r="H1868">
        <v>0.87416550750648203</v>
      </c>
      <c r="I1868">
        <v>0.61255065932468</v>
      </c>
      <c r="J1868">
        <v>0.16705766750620701</v>
      </c>
      <c r="K1868">
        <v>8.9399931110701797E-2</v>
      </c>
      <c r="L1868">
        <v>1881.8259788863099</v>
      </c>
      <c r="M1868">
        <v>30.603757526036901</v>
      </c>
      <c r="N1868">
        <v>61.490010515342</v>
      </c>
      <c r="O1868">
        <v>61.229272092068101</v>
      </c>
      <c r="P1868">
        <v>-0.124956334943605</v>
      </c>
      <c r="Q1868">
        <v>0</v>
      </c>
      <c r="R1868">
        <v>0.93716287295199996</v>
      </c>
      <c r="S1868" t="s">
        <v>7451</v>
      </c>
      <c r="T1868" t="s">
        <v>11164</v>
      </c>
      <c r="U1868" t="s">
        <v>11164</v>
      </c>
      <c r="V1868" t="s">
        <v>11164</v>
      </c>
      <c r="W1868" t="s">
        <v>12999</v>
      </c>
      <c r="X1868">
        <v>21</v>
      </c>
      <c r="Y1868" t="s">
        <v>18517</v>
      </c>
      <c r="Z1868" t="s">
        <v>24018</v>
      </c>
      <c r="AA1868">
        <v>0.81696669590586191</v>
      </c>
      <c r="AB1868" t="str">
        <f>HYPERLINK("Melting_Curves/meltCurve_P12814_2_ACTN1.pdf", "Melting_Curves/meltCurve_P12814_2_ACTN1.pdf")</f>
        <v>Melting_Curves/meltCurve_P12814_2_ACTN1.pdf</v>
      </c>
    </row>
    <row r="1869" spans="1:28" x14ac:dyDescent="0.25">
      <c r="A1869" t="s">
        <v>1873</v>
      </c>
      <c r="B1869">
        <v>0.99796759195183404</v>
      </c>
      <c r="C1869">
        <v>0.99837932737967405</v>
      </c>
      <c r="D1869">
        <v>0.95415069548451104</v>
      </c>
      <c r="E1869">
        <v>0.90488861008838295</v>
      </c>
      <c r="F1869">
        <v>0.75600401369243997</v>
      </c>
      <c r="G1869">
        <v>0.71572524279388405</v>
      </c>
      <c r="H1869">
        <v>0.50655117693047402</v>
      </c>
      <c r="I1869">
        <v>0.54287760108537797</v>
      </c>
      <c r="J1869">
        <v>0.47803186182114299</v>
      </c>
      <c r="K1869">
        <v>0.185496736923012</v>
      </c>
      <c r="L1869">
        <v>444.40744838665398</v>
      </c>
      <c r="M1869">
        <v>7.4382845141121399</v>
      </c>
      <c r="N1869">
        <v>59.745958629904599</v>
      </c>
      <c r="O1869">
        <v>55.8840947458811</v>
      </c>
      <c r="P1869">
        <v>-3.3324841799896199E-2</v>
      </c>
      <c r="Q1869">
        <v>0</v>
      </c>
      <c r="R1869">
        <v>0.93899477484239502</v>
      </c>
      <c r="S1869" t="s">
        <v>7452</v>
      </c>
      <c r="T1869" t="s">
        <v>11164</v>
      </c>
      <c r="U1869" t="s">
        <v>11164</v>
      </c>
      <c r="V1869" t="s">
        <v>11164</v>
      </c>
      <c r="W1869" t="s">
        <v>13000</v>
      </c>
      <c r="X1869">
        <v>2</v>
      </c>
      <c r="Y1869" t="s">
        <v>18518</v>
      </c>
      <c r="Z1869" t="s">
        <v>24019</v>
      </c>
      <c r="AA1869">
        <v>0.71186759176200243</v>
      </c>
      <c r="AB1869" t="str">
        <f>HYPERLINK("Melting_Curves/meltCurve_P12882_MYH1.pdf", "Melting_Curves/meltCurve_P12882_MYH1.pdf")</f>
        <v>Melting_Curves/meltCurve_P12882_MYH1.pdf</v>
      </c>
    </row>
    <row r="1870" spans="1:28" x14ac:dyDescent="0.25">
      <c r="A1870" t="s">
        <v>1874</v>
      </c>
      <c r="B1870">
        <v>0.99796759195183404</v>
      </c>
      <c r="C1870">
        <v>0.95781250584730204</v>
      </c>
      <c r="D1870">
        <v>0.93449413359945099</v>
      </c>
      <c r="E1870">
        <v>0.91863966392393803</v>
      </c>
      <c r="F1870">
        <v>0.80326068259005301</v>
      </c>
      <c r="G1870">
        <v>0.64878231699664701</v>
      </c>
      <c r="H1870">
        <v>0.42098713061951598</v>
      </c>
      <c r="I1870">
        <v>0.382018086112838</v>
      </c>
      <c r="J1870">
        <v>0.229974443978326</v>
      </c>
      <c r="K1870">
        <v>0.20999400353568601</v>
      </c>
      <c r="L1870">
        <v>617.49118376915601</v>
      </c>
      <c r="M1870">
        <v>11.065259747483999</v>
      </c>
      <c r="N1870">
        <v>56.6666061006596</v>
      </c>
      <c r="O1870">
        <v>54.074846200123297</v>
      </c>
      <c r="P1870">
        <v>-4.7209576703557098E-2</v>
      </c>
      <c r="Q1870">
        <v>7.7469971998394296E-2</v>
      </c>
      <c r="R1870">
        <v>0.99143360298862804</v>
      </c>
      <c r="S1870" t="s">
        <v>7453</v>
      </c>
      <c r="T1870" t="s">
        <v>11164</v>
      </c>
      <c r="U1870" t="s">
        <v>11164</v>
      </c>
      <c r="V1870" t="s">
        <v>11164</v>
      </c>
      <c r="W1870" t="s">
        <v>13001</v>
      </c>
      <c r="X1870">
        <v>8</v>
      </c>
      <c r="Y1870" t="s">
        <v>18519</v>
      </c>
      <c r="Z1870" t="s">
        <v>24020</v>
      </c>
      <c r="AA1870">
        <v>0.66446859783650936</v>
      </c>
      <c r="AB1870" t="str">
        <f>HYPERLINK("Melting_Curves/meltCurve_P12931_SRC.pdf", "Melting_Curves/meltCurve_P12931_SRC.pdf")</f>
        <v>Melting_Curves/meltCurve_P12931_SRC.pdf</v>
      </c>
    </row>
    <row r="1871" spans="1:28" x14ac:dyDescent="0.25">
      <c r="A1871" t="s">
        <v>1875</v>
      </c>
      <c r="B1871">
        <v>0.99796759195183404</v>
      </c>
      <c r="C1871">
        <v>0.92145536761277003</v>
      </c>
      <c r="D1871">
        <v>0.90558997047759404</v>
      </c>
      <c r="E1871">
        <v>0.83782055259356103</v>
      </c>
      <c r="F1871">
        <v>0.77413652563281099</v>
      </c>
      <c r="G1871">
        <v>0.61050592244625601</v>
      </c>
      <c r="H1871">
        <v>0.53183264351871395</v>
      </c>
      <c r="I1871">
        <v>0.30168697690831198</v>
      </c>
      <c r="J1871">
        <v>0.187377459653878</v>
      </c>
      <c r="K1871">
        <v>0.10972612624205701</v>
      </c>
      <c r="L1871">
        <v>558.32328196899505</v>
      </c>
      <c r="M1871">
        <v>9.9471191271096604</v>
      </c>
      <c r="N1871">
        <v>56.129127223259999</v>
      </c>
      <c r="O1871">
        <v>54.001969301270101</v>
      </c>
      <c r="P1871">
        <v>-4.6072654497141E-2</v>
      </c>
      <c r="Q1871">
        <v>0</v>
      </c>
      <c r="R1871">
        <v>0.97814115194969298</v>
      </c>
      <c r="S1871" t="s">
        <v>7454</v>
      </c>
      <c r="T1871" t="s">
        <v>11164</v>
      </c>
      <c r="U1871" t="s">
        <v>11164</v>
      </c>
      <c r="V1871" t="s">
        <v>11164</v>
      </c>
      <c r="W1871" t="s">
        <v>13002</v>
      </c>
      <c r="X1871">
        <v>8</v>
      </c>
      <c r="Y1871" t="s">
        <v>18520</v>
      </c>
      <c r="Z1871" t="s">
        <v>24021</v>
      </c>
      <c r="AA1871">
        <v>0.64269681763237729</v>
      </c>
      <c r="AB1871" t="str">
        <f>HYPERLINK("Melting_Curves/meltCurve_P12955_3_PEPD.pdf", "Melting_Curves/meltCurve_P12955_3_PEPD.pdf")</f>
        <v>Melting_Curves/meltCurve_P12955_3_PEPD.pdf</v>
      </c>
    </row>
    <row r="1872" spans="1:28" x14ac:dyDescent="0.25">
      <c r="A1872" t="s">
        <v>1876</v>
      </c>
      <c r="B1872">
        <v>0.99796759195183404</v>
      </c>
      <c r="C1872">
        <v>1.06102638510017</v>
      </c>
      <c r="D1872">
        <v>1.0401277779620199</v>
      </c>
      <c r="E1872">
        <v>1.0175538158828801</v>
      </c>
      <c r="F1872">
        <v>1.04558123960188</v>
      </c>
      <c r="G1872">
        <v>0.41046753049852103</v>
      </c>
      <c r="H1872">
        <v>0.21059888905470101</v>
      </c>
      <c r="I1872">
        <v>0.135454871028273</v>
      </c>
      <c r="J1872">
        <v>0.101663773804004</v>
      </c>
      <c r="K1872">
        <v>7.5328899523177006E-2</v>
      </c>
      <c r="L1872">
        <v>6406.9834904212903</v>
      </c>
      <c r="M1872">
        <v>119.83320139215201</v>
      </c>
      <c r="N1872">
        <v>53.601332868093799</v>
      </c>
      <c r="O1872">
        <v>53.450959917725498</v>
      </c>
      <c r="P1872">
        <v>-0.487243516261811</v>
      </c>
      <c r="Q1872">
        <v>0.13067054284487101</v>
      </c>
      <c r="R1872">
        <v>0.99032241399624599</v>
      </c>
      <c r="S1872" t="s">
        <v>7455</v>
      </c>
      <c r="T1872" t="s">
        <v>11164</v>
      </c>
      <c r="U1872" t="s">
        <v>11164</v>
      </c>
      <c r="V1872" t="s">
        <v>11164</v>
      </c>
      <c r="W1872" t="s">
        <v>13003</v>
      </c>
      <c r="X1872">
        <v>39</v>
      </c>
      <c r="Y1872" t="s">
        <v>18521</v>
      </c>
      <c r="Z1872" t="s">
        <v>24022</v>
      </c>
      <c r="AA1872">
        <v>0.60816733093230624</v>
      </c>
      <c r="AB1872" t="str">
        <f>HYPERLINK("Melting_Curves/meltCurve_P12956_XRCC6.pdf", "Melting_Curves/meltCurve_P12956_XRCC6.pdf")</f>
        <v>Melting_Curves/meltCurve_P12956_XRCC6.pdf</v>
      </c>
    </row>
    <row r="1873" spans="1:28" x14ac:dyDescent="0.25">
      <c r="A1873" t="s">
        <v>1877</v>
      </c>
      <c r="B1873">
        <v>0.99796759195183404</v>
      </c>
      <c r="C1873">
        <v>1.0350938563634999</v>
      </c>
      <c r="D1873">
        <v>1.0172028071082899</v>
      </c>
      <c r="E1873">
        <v>0.99160057615297004</v>
      </c>
      <c r="F1873">
        <v>0.67496706601021095</v>
      </c>
      <c r="G1873">
        <v>0.25128406896255001</v>
      </c>
      <c r="H1873">
        <v>0.18735560753365599</v>
      </c>
      <c r="I1873">
        <v>0.15289405742081899</v>
      </c>
      <c r="J1873">
        <v>0.114923103436638</v>
      </c>
      <c r="K1873">
        <v>9.4760010004187503E-2</v>
      </c>
      <c r="L1873">
        <v>1748.74942336145</v>
      </c>
      <c r="M1873">
        <v>34.292222400550003</v>
      </c>
      <c r="N1873">
        <v>51.449263497471499</v>
      </c>
      <c r="O1873">
        <v>50.823031102841902</v>
      </c>
      <c r="P1873">
        <v>-0.14667285074512601</v>
      </c>
      <c r="Q1873">
        <v>0.13049322987852999</v>
      </c>
      <c r="R1873">
        <v>0.99656136292911701</v>
      </c>
      <c r="S1873" t="s">
        <v>7456</v>
      </c>
      <c r="T1873" t="s">
        <v>11164</v>
      </c>
      <c r="U1873" t="s">
        <v>11164</v>
      </c>
      <c r="V1873" t="s">
        <v>11164</v>
      </c>
      <c r="W1873" t="s">
        <v>13004</v>
      </c>
      <c r="X1873">
        <v>33</v>
      </c>
      <c r="Y1873" t="s">
        <v>18522</v>
      </c>
      <c r="Z1873" t="s">
        <v>24023</v>
      </c>
      <c r="AA1873">
        <v>0.54029551261161279</v>
      </c>
      <c r="AB1873" t="str">
        <f>HYPERLINK("Melting_Curves/meltCurve_P13010_XRCC5.pdf", "Melting_Curves/meltCurve_P13010_XRCC5.pdf")</f>
        <v>Melting_Curves/meltCurve_P13010_XRCC5.pdf</v>
      </c>
    </row>
    <row r="1874" spans="1:28" x14ac:dyDescent="0.25">
      <c r="A1874" t="s">
        <v>1878</v>
      </c>
      <c r="B1874">
        <v>0.99796759195183404</v>
      </c>
      <c r="C1874">
        <v>1.0245798386593501</v>
      </c>
      <c r="D1874">
        <v>1.0405433617233999</v>
      </c>
      <c r="E1874">
        <v>1.0386028436581201</v>
      </c>
      <c r="F1874">
        <v>0.69531968697553803</v>
      </c>
      <c r="G1874">
        <v>0.486181421456304</v>
      </c>
      <c r="H1874">
        <v>0.25512799073825598</v>
      </c>
      <c r="I1874">
        <v>0.27286976903278498</v>
      </c>
      <c r="J1874">
        <v>0.15086383150343999</v>
      </c>
      <c r="K1874">
        <v>5.8795561548617002E-2</v>
      </c>
      <c r="L1874">
        <v>1021.33004393423</v>
      </c>
      <c r="M1874">
        <v>19.371292629495901</v>
      </c>
      <c r="N1874">
        <v>53.483171251454301</v>
      </c>
      <c r="O1874">
        <v>52.171662690370098</v>
      </c>
      <c r="P1874">
        <v>-8.1668815937631895E-2</v>
      </c>
      <c r="Q1874">
        <v>0.12021551246485</v>
      </c>
      <c r="R1874">
        <v>0.977744592458338</v>
      </c>
      <c r="S1874" t="s">
        <v>7457</v>
      </c>
      <c r="T1874" t="s">
        <v>11164</v>
      </c>
      <c r="U1874" t="s">
        <v>11164</v>
      </c>
      <c r="V1874" t="s">
        <v>11164</v>
      </c>
      <c r="W1874" t="s">
        <v>13005</v>
      </c>
      <c r="X1874">
        <v>3</v>
      </c>
      <c r="Y1874" t="s">
        <v>18523</v>
      </c>
      <c r="Z1874" t="s">
        <v>24024</v>
      </c>
      <c r="AA1874">
        <v>0.59304273582830025</v>
      </c>
      <c r="AB1874" t="str">
        <f>HYPERLINK("Melting_Curves/meltCurve_P13051_UNG.pdf", "Melting_Curves/meltCurve_P13051_UNG.pdf")</f>
        <v>Melting_Curves/meltCurve_P13051_UNG.pdf</v>
      </c>
    </row>
    <row r="1875" spans="1:28" x14ac:dyDescent="0.25">
      <c r="A1875" t="s">
        <v>1879</v>
      </c>
      <c r="B1875">
        <v>0.99796759195183404</v>
      </c>
      <c r="C1875">
        <v>1.0545219698258099</v>
      </c>
      <c r="D1875">
        <v>1.09121518282726</v>
      </c>
      <c r="E1875">
        <v>1.0186699318681101</v>
      </c>
      <c r="F1875">
        <v>0.83235836864013801</v>
      </c>
      <c r="G1875">
        <v>0.287390191651336</v>
      </c>
      <c r="H1875">
        <v>0.37792002300778998</v>
      </c>
      <c r="I1875">
        <v>0.31099017096436399</v>
      </c>
      <c r="J1875">
        <v>0.40932679571186498</v>
      </c>
      <c r="K1875">
        <v>0.21131442066079201</v>
      </c>
      <c r="L1875">
        <v>12606.1431149982</v>
      </c>
      <c r="M1875">
        <v>250</v>
      </c>
      <c r="N1875">
        <v>50.630787672398903</v>
      </c>
      <c r="O1875">
        <v>50.421345924630501</v>
      </c>
      <c r="P1875">
        <v>-0.84365521537494303</v>
      </c>
      <c r="Q1875">
        <v>0.31938830159635601</v>
      </c>
      <c r="R1875">
        <v>0.97050973202067503</v>
      </c>
      <c r="S1875" t="s">
        <v>7458</v>
      </c>
      <c r="T1875" t="s">
        <v>11164</v>
      </c>
      <c r="U1875" t="s">
        <v>11164</v>
      </c>
      <c r="V1875" t="s">
        <v>11164</v>
      </c>
      <c r="W1875" t="s">
        <v>13006</v>
      </c>
      <c r="X1875">
        <v>1</v>
      </c>
      <c r="Y1875" t="s">
        <v>18524</v>
      </c>
      <c r="Z1875" t="s">
        <v>24025</v>
      </c>
      <c r="AA1875">
        <v>0.62401256729060883</v>
      </c>
      <c r="AB1875" t="str">
        <f>HYPERLINK("Melting_Curves/meltCurve_P13056_NR2C1.pdf", "Melting_Curves/meltCurve_P13056_NR2C1.pdf")</f>
        <v>Melting_Curves/meltCurve_P13056_NR2C1.pdf</v>
      </c>
    </row>
    <row r="1876" spans="1:28" x14ac:dyDescent="0.25">
      <c r="A1876" t="s">
        <v>1880</v>
      </c>
      <c r="B1876">
        <v>0.99796759195183404</v>
      </c>
      <c r="C1876">
        <v>0.97123795044873296</v>
      </c>
      <c r="D1876">
        <v>0.98055940034021905</v>
      </c>
      <c r="E1876">
        <v>0.97630444633938995</v>
      </c>
      <c r="F1876">
        <v>0.79799428389321403</v>
      </c>
      <c r="G1876">
        <v>0.61397143260331499</v>
      </c>
      <c r="H1876">
        <v>0.79506938418809003</v>
      </c>
      <c r="I1876">
        <v>0.83714743702744998</v>
      </c>
      <c r="J1876">
        <v>1.1647108318439101</v>
      </c>
      <c r="K1876">
        <v>1.3557347742160999</v>
      </c>
      <c r="L1876">
        <v>15000</v>
      </c>
      <c r="M1876">
        <v>233.86101876454401</v>
      </c>
      <c r="O1876">
        <v>64.135968142185604</v>
      </c>
      <c r="P1876">
        <v>0.32429751725693701</v>
      </c>
      <c r="Q1876">
        <v>1.3557520719168099</v>
      </c>
      <c r="R1876">
        <v>0.32934661242227298</v>
      </c>
      <c r="S1876" t="s">
        <v>7459</v>
      </c>
      <c r="T1876" t="s">
        <v>11164</v>
      </c>
      <c r="U1876" t="s">
        <v>11164</v>
      </c>
      <c r="V1876" t="s">
        <v>11164</v>
      </c>
      <c r="W1876" t="s">
        <v>13007</v>
      </c>
      <c r="X1876">
        <v>14</v>
      </c>
      <c r="Y1876" t="s">
        <v>18525</v>
      </c>
      <c r="Z1876" t="s">
        <v>24026</v>
      </c>
      <c r="AA1876">
        <v>1.0338616098869771</v>
      </c>
      <c r="AB1876" t="str">
        <f>HYPERLINK("Melting_Curves/meltCurve_P13073_COX4I1.pdf", "Melting_Curves/meltCurve_P13073_COX4I1.pdf")</f>
        <v>Melting_Curves/meltCurve_P13073_COX4I1.pdf</v>
      </c>
    </row>
    <row r="1877" spans="1:28" x14ac:dyDescent="0.25">
      <c r="A1877" t="s">
        <v>1881</v>
      </c>
      <c r="B1877">
        <v>0.99796759195183404</v>
      </c>
      <c r="C1877">
        <v>1.20863608475521</v>
      </c>
      <c r="D1877">
        <v>1.12250716733334</v>
      </c>
      <c r="E1877">
        <v>1.6518674068991299</v>
      </c>
      <c r="F1877">
        <v>0.98482326882000104</v>
      </c>
      <c r="G1877">
        <v>0.33367018038016699</v>
      </c>
      <c r="H1877">
        <v>0.51957989570598095</v>
      </c>
      <c r="I1877">
        <v>0.28981225640046399</v>
      </c>
      <c r="J1877">
        <v>0.222651842361582</v>
      </c>
      <c r="K1877">
        <v>0.18314214300575701</v>
      </c>
      <c r="L1877">
        <v>5128.6638840590704</v>
      </c>
      <c r="M1877">
        <v>98.3914643907314</v>
      </c>
      <c r="N1877">
        <v>52.624723700198999</v>
      </c>
      <c r="O1877">
        <v>52.103567375282502</v>
      </c>
      <c r="P1877">
        <v>-0.32879498462757101</v>
      </c>
      <c r="Q1877">
        <v>0.30354159776393802</v>
      </c>
      <c r="R1877">
        <v>0.76201266224499098</v>
      </c>
      <c r="S1877" t="s">
        <v>7460</v>
      </c>
      <c r="T1877" t="s">
        <v>11164</v>
      </c>
      <c r="U1877" t="s">
        <v>11164</v>
      </c>
      <c r="V1877" t="s">
        <v>11164</v>
      </c>
      <c r="W1877" t="s">
        <v>13008</v>
      </c>
      <c r="X1877">
        <v>1</v>
      </c>
      <c r="Y1877" t="s">
        <v>18526</v>
      </c>
      <c r="Z1877" t="s">
        <v>24027</v>
      </c>
      <c r="AA1877">
        <v>0.655086604326655</v>
      </c>
      <c r="AB1877" t="str">
        <f>HYPERLINK("Melting_Curves/meltCurve_P13196_ALAS1.pdf", "Melting_Curves/meltCurve_P13196_ALAS1.pdf")</f>
        <v>Melting_Curves/meltCurve_P13196_ALAS1.pdf</v>
      </c>
    </row>
    <row r="1878" spans="1:28" x14ac:dyDescent="0.25">
      <c r="A1878" t="s">
        <v>1882</v>
      </c>
      <c r="B1878">
        <v>0.99796759195183404</v>
      </c>
      <c r="C1878">
        <v>1.00154611368352</v>
      </c>
      <c r="D1878">
        <v>1.00913510800073</v>
      </c>
      <c r="E1878">
        <v>0.96359747423797903</v>
      </c>
      <c r="F1878">
        <v>0.85613264819184698</v>
      </c>
      <c r="G1878">
        <v>0.67958520292154101</v>
      </c>
      <c r="H1878">
        <v>0.44710415984726398</v>
      </c>
      <c r="I1878">
        <v>0.158766999484905</v>
      </c>
      <c r="J1878">
        <v>0.11054691192110901</v>
      </c>
      <c r="K1878">
        <v>7.8720909010591394E-2</v>
      </c>
      <c r="L1878">
        <v>945.77796444072601</v>
      </c>
      <c r="M1878">
        <v>16.842099398795099</v>
      </c>
      <c r="N1878">
        <v>56.155586862629001</v>
      </c>
      <c r="O1878">
        <v>55.381825632982697</v>
      </c>
      <c r="P1878">
        <v>-7.60320689517128E-2</v>
      </c>
      <c r="Q1878">
        <v>0</v>
      </c>
      <c r="R1878">
        <v>0.996468181778983</v>
      </c>
      <c r="S1878" t="s">
        <v>7461</v>
      </c>
      <c r="T1878" t="s">
        <v>11164</v>
      </c>
      <c r="U1878" t="s">
        <v>11164</v>
      </c>
      <c r="V1878" t="s">
        <v>11164</v>
      </c>
      <c r="W1878" t="s">
        <v>13009</v>
      </c>
      <c r="X1878">
        <v>26</v>
      </c>
      <c r="Y1878" t="s">
        <v>18527</v>
      </c>
      <c r="Z1878" t="s">
        <v>24028</v>
      </c>
      <c r="AA1878">
        <v>0.64950915602038672</v>
      </c>
      <c r="AB1878" t="str">
        <f>HYPERLINK("Melting_Curves/meltCurve_P13489_RNH1.pdf", "Melting_Curves/meltCurve_P13489_RNH1.pdf")</f>
        <v>Melting_Curves/meltCurve_P13489_RNH1.pdf</v>
      </c>
    </row>
    <row r="1879" spans="1:28" x14ac:dyDescent="0.25">
      <c r="A1879" t="s">
        <v>1883</v>
      </c>
      <c r="B1879">
        <v>0.99796759195183404</v>
      </c>
      <c r="C1879">
        <v>1.0417817602152599</v>
      </c>
      <c r="D1879">
        <v>1.0828983332667601</v>
      </c>
      <c r="E1879">
        <v>1.0886296926096799</v>
      </c>
      <c r="F1879">
        <v>0.93530121030237601</v>
      </c>
      <c r="G1879">
        <v>0.58709693098123095</v>
      </c>
      <c r="H1879">
        <v>0.54249489442505705</v>
      </c>
      <c r="I1879">
        <v>0.40693918326372303</v>
      </c>
      <c r="J1879">
        <v>0.323445572269276</v>
      </c>
      <c r="K1879">
        <v>0.16426391323225201</v>
      </c>
      <c r="L1879">
        <v>902.22577289617902</v>
      </c>
      <c r="M1879">
        <v>16.176070885520001</v>
      </c>
      <c r="N1879">
        <v>57.493139160198901</v>
      </c>
      <c r="O1879">
        <v>54.943823927157901</v>
      </c>
      <c r="P1879">
        <v>-5.9502574198590202E-2</v>
      </c>
      <c r="Q1879">
        <v>0.19163236702699701</v>
      </c>
      <c r="R1879">
        <v>0.95042644588539005</v>
      </c>
      <c r="S1879" t="s">
        <v>7462</v>
      </c>
      <c r="T1879" t="s">
        <v>11164</v>
      </c>
      <c r="U1879" t="s">
        <v>11164</v>
      </c>
      <c r="V1879" t="s">
        <v>11164</v>
      </c>
      <c r="W1879" t="s">
        <v>13010</v>
      </c>
      <c r="X1879">
        <v>2</v>
      </c>
      <c r="Y1879" t="s">
        <v>18528</v>
      </c>
      <c r="Z1879" t="s">
        <v>24029</v>
      </c>
      <c r="AA1879">
        <v>0.70722297487288566</v>
      </c>
      <c r="AB1879" t="str">
        <f>HYPERLINK("Melting_Curves/meltCurve_P13498_CYBA.pdf", "Melting_Curves/meltCurve_P13498_CYBA.pdf")</f>
        <v>Melting_Curves/meltCurve_P13498_CYBA.pdf</v>
      </c>
    </row>
    <row r="1880" spans="1:28" x14ac:dyDescent="0.25">
      <c r="A1880" t="s">
        <v>1884</v>
      </c>
      <c r="B1880">
        <v>0.99796759195183404</v>
      </c>
      <c r="C1880">
        <v>1.0418002662780199</v>
      </c>
      <c r="D1880">
        <v>1.09856140950899</v>
      </c>
      <c r="E1880">
        <v>1.08283747470751</v>
      </c>
      <c r="F1880">
        <v>0.94950246522419202</v>
      </c>
      <c r="G1880">
        <v>0.58625742475452503</v>
      </c>
      <c r="H1880">
        <v>0.68304604407937497</v>
      </c>
      <c r="I1880">
        <v>0.64421475137001005</v>
      </c>
      <c r="J1880">
        <v>0.655362921051035</v>
      </c>
      <c r="K1880">
        <v>0.46402152220722898</v>
      </c>
      <c r="L1880">
        <v>12646.1619717542</v>
      </c>
      <c r="M1880">
        <v>250</v>
      </c>
      <c r="O1880">
        <v>50.581403940812997</v>
      </c>
      <c r="P1880">
        <v>-0.48612163567133598</v>
      </c>
      <c r="Q1880">
        <v>0.60658050986558498</v>
      </c>
      <c r="R1880">
        <v>0.90305842679296799</v>
      </c>
      <c r="S1880" t="s">
        <v>7463</v>
      </c>
      <c r="T1880" t="s">
        <v>11164</v>
      </c>
      <c r="U1880" t="s">
        <v>11164</v>
      </c>
      <c r="V1880" t="s">
        <v>11164</v>
      </c>
      <c r="W1880" t="s">
        <v>13011</v>
      </c>
      <c r="X1880">
        <v>12</v>
      </c>
      <c r="Y1880" t="s">
        <v>18529</v>
      </c>
      <c r="Z1880" t="s">
        <v>24030</v>
      </c>
      <c r="AA1880">
        <v>0.78476427729914466</v>
      </c>
      <c r="AB1880" t="str">
        <f>HYPERLINK("Melting_Curves/meltCurve_P13591_1_NCAM1.pdf", "Melting_Curves/meltCurve_P13591_1_NCAM1.pdf")</f>
        <v>Melting_Curves/meltCurve_P13591_1_NCAM1.pdf</v>
      </c>
    </row>
    <row r="1881" spans="1:28" x14ac:dyDescent="0.25">
      <c r="A1881" t="s">
        <v>1885</v>
      </c>
      <c r="B1881">
        <v>0.99796759195183404</v>
      </c>
      <c r="C1881">
        <v>1.0756379177151001</v>
      </c>
      <c r="D1881">
        <v>0.86083237486026998</v>
      </c>
      <c r="E1881">
        <v>0.98840511488983895</v>
      </c>
      <c r="F1881">
        <v>0.94701466810846302</v>
      </c>
      <c r="G1881">
        <v>0.647573551873172</v>
      </c>
      <c r="H1881">
        <v>0.73148181247350397</v>
      </c>
      <c r="I1881">
        <v>0.57619783091392296</v>
      </c>
      <c r="J1881">
        <v>0.58317874777711598</v>
      </c>
      <c r="K1881">
        <v>0.38010804038572998</v>
      </c>
      <c r="L1881">
        <v>435.02463542813302</v>
      </c>
      <c r="M1881">
        <v>6.7709228732383</v>
      </c>
      <c r="N1881">
        <v>64.248942629858803</v>
      </c>
      <c r="O1881">
        <v>59.3424748764889</v>
      </c>
      <c r="P1881">
        <v>-2.8584499418088102E-2</v>
      </c>
      <c r="Q1881">
        <v>0</v>
      </c>
      <c r="R1881">
        <v>0.87417041387057803</v>
      </c>
      <c r="S1881" t="s">
        <v>7464</v>
      </c>
      <c r="T1881" t="s">
        <v>11164</v>
      </c>
      <c r="U1881" t="s">
        <v>11164</v>
      </c>
      <c r="V1881" t="s">
        <v>11164</v>
      </c>
      <c r="W1881" t="s">
        <v>13012</v>
      </c>
      <c r="X1881">
        <v>1</v>
      </c>
      <c r="Y1881" t="s">
        <v>18530</v>
      </c>
      <c r="Z1881" t="s">
        <v>24031</v>
      </c>
      <c r="AA1881">
        <v>0.78542389716283645</v>
      </c>
      <c r="AB1881" t="str">
        <f>HYPERLINK("Melting_Curves/meltCurve_P13612_ITGA4.pdf", "Melting_Curves/meltCurve_P13612_ITGA4.pdf")</f>
        <v>Melting_Curves/meltCurve_P13612_ITGA4.pdf</v>
      </c>
    </row>
    <row r="1882" spans="1:28" x14ac:dyDescent="0.25">
      <c r="A1882" t="s">
        <v>1886</v>
      </c>
      <c r="B1882">
        <v>0.99796759195183404</v>
      </c>
      <c r="C1882">
        <v>0.97561301689117497</v>
      </c>
      <c r="D1882">
        <v>0.96337940534998701</v>
      </c>
      <c r="E1882">
        <v>0.90618491779844401</v>
      </c>
      <c r="F1882">
        <v>0.81732785774939498</v>
      </c>
      <c r="G1882">
        <v>0.75365909106426798</v>
      </c>
      <c r="H1882">
        <v>0.61032845576343897</v>
      </c>
      <c r="I1882">
        <v>0.49656595584413499</v>
      </c>
      <c r="J1882">
        <v>0.20366642255716</v>
      </c>
      <c r="K1882">
        <v>7.9287432536115005E-2</v>
      </c>
      <c r="L1882">
        <v>729.62855986743398</v>
      </c>
      <c r="M1882">
        <v>12.4235176494487</v>
      </c>
      <c r="N1882">
        <v>58.729627250088598</v>
      </c>
      <c r="O1882">
        <v>57.270216404141202</v>
      </c>
      <c r="P1882">
        <v>-5.4243446255183798E-2</v>
      </c>
      <c r="Q1882">
        <v>0</v>
      </c>
      <c r="R1882">
        <v>0.96246552256564799</v>
      </c>
      <c r="S1882" t="s">
        <v>7465</v>
      </c>
      <c r="T1882" t="s">
        <v>11164</v>
      </c>
      <c r="U1882" t="s">
        <v>11164</v>
      </c>
      <c r="V1882" t="s">
        <v>11164</v>
      </c>
      <c r="W1882" t="s">
        <v>13013</v>
      </c>
      <c r="X1882">
        <v>79</v>
      </c>
      <c r="Y1882" t="s">
        <v>18531</v>
      </c>
      <c r="Z1882" t="s">
        <v>24032</v>
      </c>
      <c r="AA1882">
        <v>0.71933348559589694</v>
      </c>
      <c r="AB1882" t="str">
        <f>HYPERLINK("Melting_Curves/meltCurve_P13639_EEF2.pdf", "Melting_Curves/meltCurve_P13639_EEF2.pdf")</f>
        <v>Melting_Curves/meltCurve_P13639_EEF2.pdf</v>
      </c>
    </row>
    <row r="1883" spans="1:28" x14ac:dyDescent="0.25">
      <c r="A1883" t="s">
        <v>1887</v>
      </c>
      <c r="B1883">
        <v>0.99796759195183404</v>
      </c>
      <c r="C1883">
        <v>1.03566479118011</v>
      </c>
      <c r="D1883">
        <v>1.01181550650005</v>
      </c>
      <c r="E1883">
        <v>0.974048144019383</v>
      </c>
      <c r="F1883">
        <v>0.83030771962615402</v>
      </c>
      <c r="G1883">
        <v>0.47469877262844901</v>
      </c>
      <c r="H1883">
        <v>0.32049857198957099</v>
      </c>
      <c r="I1883">
        <v>0.27452551098796502</v>
      </c>
      <c r="J1883">
        <v>0.18104813964248201</v>
      </c>
      <c r="K1883">
        <v>0.12276803138452499</v>
      </c>
      <c r="L1883">
        <v>1150.2467815499499</v>
      </c>
      <c r="M1883">
        <v>21.707805128771898</v>
      </c>
      <c r="N1883">
        <v>54.001692332808403</v>
      </c>
      <c r="O1883">
        <v>52.544183694004602</v>
      </c>
      <c r="P1883">
        <v>-8.5997853787335599E-2</v>
      </c>
      <c r="Q1883">
        <v>0.16738138771500499</v>
      </c>
      <c r="R1883">
        <v>0.99147273409944103</v>
      </c>
      <c r="S1883" t="s">
        <v>7466</v>
      </c>
      <c r="T1883" t="s">
        <v>11164</v>
      </c>
      <c r="U1883" t="s">
        <v>11164</v>
      </c>
      <c r="V1883" t="s">
        <v>11164</v>
      </c>
      <c r="W1883" t="s">
        <v>13014</v>
      </c>
      <c r="X1883">
        <v>45</v>
      </c>
      <c r="Y1883" t="s">
        <v>18532</v>
      </c>
      <c r="Z1883" t="s">
        <v>24033</v>
      </c>
      <c r="AA1883">
        <v>0.62038122930826478</v>
      </c>
      <c r="AB1883" t="str">
        <f>HYPERLINK("Melting_Curves/meltCurve_P13667_PDIA4.pdf", "Melting_Curves/meltCurve_P13667_PDIA4.pdf")</f>
        <v>Melting_Curves/meltCurve_P13667_PDIA4.pdf</v>
      </c>
    </row>
    <row r="1884" spans="1:28" x14ac:dyDescent="0.25">
      <c r="A1884" t="s">
        <v>1888</v>
      </c>
      <c r="B1884">
        <v>0.99796759195183404</v>
      </c>
      <c r="C1884">
        <v>1.0500760927228101</v>
      </c>
      <c r="D1884">
        <v>0.96217109500506803</v>
      </c>
      <c r="E1884">
        <v>0.93541660571349095</v>
      </c>
      <c r="F1884">
        <v>0.80187486358322502</v>
      </c>
      <c r="G1884">
        <v>0.98560637088224801</v>
      </c>
      <c r="H1884">
        <v>0.87222538681999295</v>
      </c>
      <c r="I1884">
        <v>0.76789399741681796</v>
      </c>
      <c r="J1884">
        <v>0.36977631595682098</v>
      </c>
      <c r="K1884">
        <v>0.19253727724835501</v>
      </c>
      <c r="L1884">
        <v>1633.18786754847</v>
      </c>
      <c r="M1884">
        <v>25.8640405636372</v>
      </c>
      <c r="N1884">
        <v>63.1451154452024</v>
      </c>
      <c r="O1884">
        <v>62.771259328701099</v>
      </c>
      <c r="P1884">
        <v>-0.103010298391813</v>
      </c>
      <c r="Q1884">
        <v>0</v>
      </c>
      <c r="R1884">
        <v>0.92637124851484098</v>
      </c>
      <c r="S1884" t="s">
        <v>7467</v>
      </c>
      <c r="T1884" t="s">
        <v>11164</v>
      </c>
      <c r="U1884" t="s">
        <v>11164</v>
      </c>
      <c r="V1884" t="s">
        <v>11164</v>
      </c>
      <c r="W1884" t="s">
        <v>13015</v>
      </c>
      <c r="X1884">
        <v>10</v>
      </c>
      <c r="Y1884" t="s">
        <v>18533</v>
      </c>
      <c r="Z1884" t="s">
        <v>24034</v>
      </c>
      <c r="AA1884">
        <v>0.8615700176343869</v>
      </c>
      <c r="AB1884" t="str">
        <f>HYPERLINK("Melting_Curves/meltCurve_P13674_2_P4HA1.pdf", "Melting_Curves/meltCurve_P13674_2_P4HA1.pdf")</f>
        <v>Melting_Curves/meltCurve_P13674_2_P4HA1.pdf</v>
      </c>
    </row>
    <row r="1885" spans="1:28" x14ac:dyDescent="0.25">
      <c r="A1885" t="s">
        <v>1889</v>
      </c>
      <c r="B1885">
        <v>0.99796759195183404</v>
      </c>
      <c r="C1885">
        <v>1.0188584486243699</v>
      </c>
      <c r="D1885">
        <v>0.94172366178248501</v>
      </c>
      <c r="E1885">
        <v>0.80453342985006004</v>
      </c>
      <c r="F1885">
        <v>0.68359846805532598</v>
      </c>
      <c r="G1885">
        <v>0.46213144106173498</v>
      </c>
      <c r="H1885">
        <v>0.29146192509201102</v>
      </c>
      <c r="I1885">
        <v>0.15345230436183599</v>
      </c>
      <c r="J1885">
        <v>0.139884313279552</v>
      </c>
      <c r="K1885">
        <v>0.117089723246997</v>
      </c>
      <c r="L1885">
        <v>659.11801709536098</v>
      </c>
      <c r="M1885">
        <v>12.5283948535499</v>
      </c>
      <c r="N1885">
        <v>52.973097462223301</v>
      </c>
      <c r="O1885">
        <v>51.323514189554203</v>
      </c>
      <c r="P1885">
        <v>-5.8527124521049897E-2</v>
      </c>
      <c r="Q1885">
        <v>4.1152459221634297E-2</v>
      </c>
      <c r="R1885">
        <v>0.99628772801046594</v>
      </c>
      <c r="S1885" t="s">
        <v>7468</v>
      </c>
      <c r="T1885" t="s">
        <v>11164</v>
      </c>
      <c r="U1885" t="s">
        <v>11164</v>
      </c>
      <c r="V1885" t="s">
        <v>11164</v>
      </c>
      <c r="W1885" t="s">
        <v>13016</v>
      </c>
      <c r="X1885">
        <v>11</v>
      </c>
      <c r="Y1885" t="s">
        <v>18534</v>
      </c>
      <c r="Z1885" t="s">
        <v>24035</v>
      </c>
      <c r="AA1885">
        <v>0.56072568000281631</v>
      </c>
      <c r="AB1885" t="str">
        <f>HYPERLINK("Melting_Curves/meltCurve_P13693_TPT1.pdf", "Melting_Curves/meltCurve_P13693_TPT1.pdf")</f>
        <v>Melting_Curves/meltCurve_P13693_TPT1.pdf</v>
      </c>
    </row>
    <row r="1886" spans="1:28" x14ac:dyDescent="0.25">
      <c r="A1886" t="s">
        <v>1890</v>
      </c>
      <c r="B1886">
        <v>0.99796759195183404</v>
      </c>
      <c r="C1886">
        <v>0.91069208924688105</v>
      </c>
      <c r="D1886">
        <v>0.88705451512710998</v>
      </c>
      <c r="E1886">
        <v>0.83818968852254205</v>
      </c>
      <c r="F1886">
        <v>0.74030398005021003</v>
      </c>
      <c r="G1886">
        <v>0.56596049154714401</v>
      </c>
      <c r="H1886">
        <v>0.46152934851018401</v>
      </c>
      <c r="I1886">
        <v>0.23107214318119501</v>
      </c>
      <c r="J1886">
        <v>0.120618049359523</v>
      </c>
      <c r="K1886">
        <v>8.72968498978441E-2</v>
      </c>
      <c r="L1886">
        <v>583.72817123172297</v>
      </c>
      <c r="M1886">
        <v>10.6444867265787</v>
      </c>
      <c r="N1886">
        <v>54.838540004667898</v>
      </c>
      <c r="O1886">
        <v>53.009296527904901</v>
      </c>
      <c r="P1886">
        <v>-5.0220259526975598E-2</v>
      </c>
      <c r="Q1886">
        <v>0</v>
      </c>
      <c r="R1886">
        <v>0.97968659412632098</v>
      </c>
      <c r="S1886" t="s">
        <v>7469</v>
      </c>
      <c r="T1886" t="s">
        <v>11164</v>
      </c>
      <c r="U1886" t="s">
        <v>11164</v>
      </c>
      <c r="V1886" t="s">
        <v>11164</v>
      </c>
      <c r="W1886" t="s">
        <v>13017</v>
      </c>
      <c r="X1886">
        <v>31</v>
      </c>
      <c r="Y1886" t="s">
        <v>18535</v>
      </c>
      <c r="Z1886" t="s">
        <v>24036</v>
      </c>
      <c r="AA1886">
        <v>0.60853593723807897</v>
      </c>
      <c r="AB1886" t="str">
        <f>HYPERLINK("Melting_Curves/meltCurve_P13797_PLS3.pdf", "Melting_Curves/meltCurve_P13797_PLS3.pdf")</f>
        <v>Melting_Curves/meltCurve_P13797_PLS3.pdf</v>
      </c>
    </row>
    <row r="1887" spans="1:28" x14ac:dyDescent="0.25">
      <c r="A1887" t="s">
        <v>1891</v>
      </c>
      <c r="B1887">
        <v>0.99796759195183404</v>
      </c>
      <c r="C1887">
        <v>0.96536300288245103</v>
      </c>
      <c r="D1887">
        <v>0.970012761179464</v>
      </c>
      <c r="E1887">
        <v>0.91542035789389598</v>
      </c>
      <c r="F1887">
        <v>0.79707955724377599</v>
      </c>
      <c r="G1887">
        <v>0.65370293891216003</v>
      </c>
      <c r="H1887">
        <v>0.42094066115037199</v>
      </c>
      <c r="I1887">
        <v>0.24090021599908401</v>
      </c>
      <c r="J1887">
        <v>0.22885301757007101</v>
      </c>
      <c r="K1887">
        <v>9.2258353940479904E-2</v>
      </c>
      <c r="L1887">
        <v>683.32554058017195</v>
      </c>
      <c r="M1887">
        <v>12.1853865241478</v>
      </c>
      <c r="N1887">
        <v>56.0774613382792</v>
      </c>
      <c r="O1887">
        <v>54.631289578240498</v>
      </c>
      <c r="P1887">
        <v>-5.5774602678742798E-2</v>
      </c>
      <c r="Q1887">
        <v>0</v>
      </c>
      <c r="R1887">
        <v>0.99456654673337297</v>
      </c>
      <c r="S1887" t="s">
        <v>7470</v>
      </c>
      <c r="T1887" t="s">
        <v>11164</v>
      </c>
      <c r="U1887" t="s">
        <v>11164</v>
      </c>
      <c r="V1887" t="s">
        <v>11164</v>
      </c>
      <c r="W1887" t="s">
        <v>13018</v>
      </c>
      <c r="X1887">
        <v>22</v>
      </c>
      <c r="Y1887" t="s">
        <v>18536</v>
      </c>
      <c r="Z1887" t="s">
        <v>24037</v>
      </c>
      <c r="AA1887">
        <v>0.64555925013568538</v>
      </c>
      <c r="AB1887" t="str">
        <f>HYPERLINK("Melting_Curves/meltCurve_P13804_ETFA.pdf", "Melting_Curves/meltCurve_P13804_ETFA.pdf")</f>
        <v>Melting_Curves/meltCurve_P13804_ETFA.pdf</v>
      </c>
    </row>
    <row r="1888" spans="1:28" x14ac:dyDescent="0.25">
      <c r="A1888" t="s">
        <v>1892</v>
      </c>
      <c r="B1888">
        <v>0.99796759195183404</v>
      </c>
      <c r="C1888">
        <v>0.95846396342913898</v>
      </c>
      <c r="D1888">
        <v>0.99372432705249103</v>
      </c>
      <c r="E1888">
        <v>0.92805471993167699</v>
      </c>
      <c r="F1888">
        <v>0.75960031039377296</v>
      </c>
      <c r="G1888">
        <v>0.57207259994586201</v>
      </c>
      <c r="H1888">
        <v>0.30020250498788398</v>
      </c>
      <c r="I1888">
        <v>0.14853211407351899</v>
      </c>
      <c r="J1888">
        <v>0.106472246972644</v>
      </c>
      <c r="K1888">
        <v>8.5541925678733893E-2</v>
      </c>
      <c r="L1888">
        <v>849.88816504893498</v>
      </c>
      <c r="M1888">
        <v>15.6859320227091</v>
      </c>
      <c r="N1888">
        <v>54.3618808422302</v>
      </c>
      <c r="O1888">
        <v>53.323871275464299</v>
      </c>
      <c r="P1888">
        <v>-7.1682587063322797E-2</v>
      </c>
      <c r="Q1888">
        <v>2.5351124599989901E-2</v>
      </c>
      <c r="R1888">
        <v>0.99720767473025296</v>
      </c>
      <c r="S1888" t="s">
        <v>7471</v>
      </c>
      <c r="T1888" t="s">
        <v>11164</v>
      </c>
      <c r="U1888" t="s">
        <v>11164</v>
      </c>
      <c r="V1888" t="s">
        <v>11164</v>
      </c>
      <c r="W1888" t="s">
        <v>13019</v>
      </c>
      <c r="X1888">
        <v>26</v>
      </c>
      <c r="Y1888" t="s">
        <v>18537</v>
      </c>
      <c r="Z1888" t="s">
        <v>24038</v>
      </c>
      <c r="AA1888">
        <v>0.59851261894351826</v>
      </c>
      <c r="AB1888" t="str">
        <f>HYPERLINK("Melting_Curves/meltCurve_P13861_PRKAR2A.pdf", "Melting_Curves/meltCurve_P13861_PRKAR2A.pdf")</f>
        <v>Melting_Curves/meltCurve_P13861_PRKAR2A.pdf</v>
      </c>
    </row>
    <row r="1889" spans="1:28" x14ac:dyDescent="0.25">
      <c r="A1889" t="s">
        <v>1893</v>
      </c>
      <c r="B1889">
        <v>0.99796759195183404</v>
      </c>
      <c r="C1889">
        <v>0.97169909908863905</v>
      </c>
      <c r="D1889">
        <v>0.92097428891149902</v>
      </c>
      <c r="E1889">
        <v>0.85633781375960805</v>
      </c>
      <c r="F1889">
        <v>0.71917362659040296</v>
      </c>
      <c r="G1889">
        <v>0.61757518794223198</v>
      </c>
      <c r="H1889">
        <v>0.40935434930657899</v>
      </c>
      <c r="I1889">
        <v>0.217217820792764</v>
      </c>
      <c r="J1889">
        <v>0.15313946045212901</v>
      </c>
      <c r="K1889">
        <v>9.3700225819295796E-2</v>
      </c>
      <c r="L1889">
        <v>615.57500902420895</v>
      </c>
      <c r="M1889">
        <v>11.1958278417322</v>
      </c>
      <c r="N1889">
        <v>54.982514778530003</v>
      </c>
      <c r="O1889">
        <v>53.3159120482498</v>
      </c>
      <c r="P1889">
        <v>-5.25141393902974E-2</v>
      </c>
      <c r="Q1889">
        <v>0</v>
      </c>
      <c r="R1889">
        <v>0.99239419642720705</v>
      </c>
      <c r="S1889" t="s">
        <v>7472</v>
      </c>
      <c r="T1889" t="s">
        <v>11164</v>
      </c>
      <c r="U1889" t="s">
        <v>11164</v>
      </c>
      <c r="V1889" t="s">
        <v>11164</v>
      </c>
      <c r="W1889" t="s">
        <v>13020</v>
      </c>
      <c r="X1889">
        <v>5</v>
      </c>
      <c r="Y1889" t="s">
        <v>18538</v>
      </c>
      <c r="Z1889" t="s">
        <v>24039</v>
      </c>
      <c r="AA1889">
        <v>0.61316196684498903</v>
      </c>
      <c r="AB1889" t="str">
        <f>HYPERLINK("Melting_Curves/meltCurve_P13984_GTF2F2.pdf", "Melting_Curves/meltCurve_P13984_GTF2F2.pdf")</f>
        <v>Melting_Curves/meltCurve_P13984_GTF2F2.pdf</v>
      </c>
    </row>
    <row r="1890" spans="1:28" x14ac:dyDescent="0.25">
      <c r="A1890" t="s">
        <v>1894</v>
      </c>
      <c r="B1890">
        <v>0.99796759195183404</v>
      </c>
      <c r="C1890">
        <v>1.0478061605503</v>
      </c>
      <c r="D1890">
        <v>1.02735293758244</v>
      </c>
      <c r="E1890">
        <v>0.97083260962755902</v>
      </c>
      <c r="F1890">
        <v>0.86367863132299005</v>
      </c>
      <c r="G1890">
        <v>0.70687920941091997</v>
      </c>
      <c r="H1890">
        <v>0.48008429061713398</v>
      </c>
      <c r="I1890">
        <v>0.16025845537722599</v>
      </c>
      <c r="J1890">
        <v>9.5908326577067202E-2</v>
      </c>
      <c r="K1890">
        <v>7.7882221309613101E-2</v>
      </c>
      <c r="L1890">
        <v>1001.99101798632</v>
      </c>
      <c r="M1890">
        <v>17.7393419724912</v>
      </c>
      <c r="N1890">
        <v>56.484114314739998</v>
      </c>
      <c r="O1890">
        <v>55.780979883584997</v>
      </c>
      <c r="P1890">
        <v>-7.9508586743268897E-2</v>
      </c>
      <c r="Q1890">
        <v>0</v>
      </c>
      <c r="R1890">
        <v>0.99282439842057002</v>
      </c>
      <c r="S1890" t="s">
        <v>7473</v>
      </c>
      <c r="T1890" t="s">
        <v>11164</v>
      </c>
      <c r="U1890" t="s">
        <v>11164</v>
      </c>
      <c r="V1890" t="s">
        <v>11164</v>
      </c>
      <c r="W1890" t="s">
        <v>13021</v>
      </c>
      <c r="X1890">
        <v>14</v>
      </c>
      <c r="Y1890" t="s">
        <v>18539</v>
      </c>
      <c r="Z1890" t="s">
        <v>24040</v>
      </c>
      <c r="AA1890">
        <v>0.65961182823424536</v>
      </c>
      <c r="AB1890" t="str">
        <f>HYPERLINK("Melting_Curves/meltCurve_P13995_MTHFD2.pdf", "Melting_Curves/meltCurve_P13995_MTHFD2.pdf")</f>
        <v>Melting_Curves/meltCurve_P13995_MTHFD2.pdf</v>
      </c>
    </row>
    <row r="1891" spans="1:28" x14ac:dyDescent="0.25">
      <c r="A1891" t="s">
        <v>1895</v>
      </c>
      <c r="B1891">
        <v>0.99796759195183404</v>
      </c>
      <c r="C1891">
        <v>1.0355711865019099</v>
      </c>
      <c r="D1891">
        <v>1.1346087448828599</v>
      </c>
      <c r="E1891">
        <v>1.0448272012681501</v>
      </c>
      <c r="F1891">
        <v>0.89303217865638196</v>
      </c>
      <c r="G1891">
        <v>0.69773745990980895</v>
      </c>
      <c r="H1891">
        <v>0.69159670978071097</v>
      </c>
      <c r="I1891">
        <v>0.72394319461144996</v>
      </c>
      <c r="J1891">
        <v>1.0995050471947101</v>
      </c>
      <c r="K1891">
        <v>1.20884723508015</v>
      </c>
      <c r="L1891">
        <v>12424.074164543101</v>
      </c>
      <c r="M1891">
        <v>250</v>
      </c>
      <c r="O1891">
        <v>49.693116701254802</v>
      </c>
      <c r="P1891">
        <v>-0.14548553719055801</v>
      </c>
      <c r="Q1891">
        <v>0.88432592433173995</v>
      </c>
      <c r="R1891">
        <v>0.17149341469226601</v>
      </c>
      <c r="S1891" t="s">
        <v>7474</v>
      </c>
      <c r="T1891" t="s">
        <v>11164</v>
      </c>
      <c r="U1891" t="s">
        <v>11164</v>
      </c>
      <c r="V1891" t="s">
        <v>11164</v>
      </c>
      <c r="W1891" t="s">
        <v>13022</v>
      </c>
      <c r="X1891">
        <v>9</v>
      </c>
      <c r="Y1891" t="s">
        <v>18540</v>
      </c>
      <c r="Z1891" t="s">
        <v>24041</v>
      </c>
      <c r="AA1891">
        <v>0.93329042566634501</v>
      </c>
      <c r="AB1891" t="str">
        <f>HYPERLINK("Melting_Curves/meltCurve_P14174_MIF.pdf", "Melting_Curves/meltCurve_P14174_MIF.pdf")</f>
        <v>Melting_Curves/meltCurve_P14174_MIF.pdf</v>
      </c>
    </row>
    <row r="1892" spans="1:28" x14ac:dyDescent="0.25">
      <c r="A1892" t="s">
        <v>1896</v>
      </c>
      <c r="B1892">
        <v>0.99796759195183404</v>
      </c>
      <c r="C1892">
        <v>1.0236253575179901</v>
      </c>
      <c r="D1892">
        <v>1.0242710198721601</v>
      </c>
      <c r="E1892">
        <v>1.0219053365422499</v>
      </c>
      <c r="F1892">
        <v>0.97239246651824696</v>
      </c>
      <c r="G1892">
        <v>0.70746779351803402</v>
      </c>
      <c r="H1892">
        <v>0.79862350979192098</v>
      </c>
      <c r="I1892">
        <v>0.65940289759383397</v>
      </c>
      <c r="J1892">
        <v>0.53887911017323098</v>
      </c>
      <c r="K1892">
        <v>0.35112024770973899</v>
      </c>
      <c r="L1892">
        <v>599.44753561855896</v>
      </c>
      <c r="M1892">
        <v>9.3355837409401605</v>
      </c>
      <c r="N1892">
        <v>64.211038538569895</v>
      </c>
      <c r="O1892">
        <v>61.471267519936198</v>
      </c>
      <c r="P1892">
        <v>-3.7991265803238097E-2</v>
      </c>
      <c r="Q1892">
        <v>0</v>
      </c>
      <c r="R1892">
        <v>0.92858951424174796</v>
      </c>
      <c r="S1892" t="s">
        <v>7475</v>
      </c>
      <c r="T1892" t="s">
        <v>11164</v>
      </c>
      <c r="U1892" t="s">
        <v>11164</v>
      </c>
      <c r="V1892" t="s">
        <v>11164</v>
      </c>
      <c r="W1892" t="s">
        <v>13023</v>
      </c>
      <c r="X1892">
        <v>7</v>
      </c>
      <c r="Y1892" t="s">
        <v>18541</v>
      </c>
      <c r="Z1892" t="s">
        <v>24042</v>
      </c>
      <c r="AA1892">
        <v>0.82050997954253979</v>
      </c>
      <c r="AB1892" t="str">
        <f>HYPERLINK("Melting_Curves/meltCurve_P14209_3_CD99.pdf", "Melting_Curves/meltCurve_P14209_3_CD99.pdf")</f>
        <v>Melting_Curves/meltCurve_P14209_3_CD99.pdf</v>
      </c>
    </row>
    <row r="1893" spans="1:28" x14ac:dyDescent="0.25">
      <c r="A1893" t="s">
        <v>1897</v>
      </c>
      <c r="B1893">
        <v>0.99796759195183404</v>
      </c>
      <c r="C1893">
        <v>1.01399089274478</v>
      </c>
      <c r="D1893">
        <v>1.03191650799707</v>
      </c>
      <c r="E1893">
        <v>0.98788395507910098</v>
      </c>
      <c r="F1893">
        <v>0.820312907880552</v>
      </c>
      <c r="G1893">
        <v>0.40546791092472401</v>
      </c>
      <c r="H1893">
        <v>0.18805178020475599</v>
      </c>
      <c r="I1893">
        <v>0.153691040551796</v>
      </c>
      <c r="J1893">
        <v>0.13137495087540399</v>
      </c>
      <c r="K1893">
        <v>0.100132854729511</v>
      </c>
      <c r="L1893">
        <v>1563.2996758347199</v>
      </c>
      <c r="M1893">
        <v>29.783960583606799</v>
      </c>
      <c r="N1893">
        <v>52.986278048191899</v>
      </c>
      <c r="O1893">
        <v>52.253058948244501</v>
      </c>
      <c r="P1893">
        <v>-0.125094237418412</v>
      </c>
      <c r="Q1893">
        <v>0.122143252163068</v>
      </c>
      <c r="R1893">
        <v>0.99856886229026698</v>
      </c>
      <c r="S1893" t="s">
        <v>7476</v>
      </c>
      <c r="T1893" t="s">
        <v>11164</v>
      </c>
      <c r="U1893" t="s">
        <v>11164</v>
      </c>
      <c r="V1893" t="s">
        <v>11164</v>
      </c>
      <c r="W1893" t="s">
        <v>13024</v>
      </c>
      <c r="X1893">
        <v>13</v>
      </c>
      <c r="Y1893" t="s">
        <v>18542</v>
      </c>
      <c r="Z1893" t="s">
        <v>24043</v>
      </c>
      <c r="AA1893">
        <v>0.58099313489992421</v>
      </c>
      <c r="AB1893" t="str">
        <f>HYPERLINK("Melting_Curves/meltCurve_P14324_2_FDPS.pdf", "Melting_Curves/meltCurve_P14324_2_FDPS.pdf")</f>
        <v>Melting_Curves/meltCurve_P14324_2_FDPS.pdf</v>
      </c>
    </row>
    <row r="1894" spans="1:28" x14ac:dyDescent="0.25">
      <c r="A1894" t="s">
        <v>1898</v>
      </c>
      <c r="B1894">
        <v>0.99796759195183404</v>
      </c>
      <c r="C1894">
        <v>0.95951508928229701</v>
      </c>
      <c r="D1894">
        <v>0.97465907160554699</v>
      </c>
      <c r="E1894">
        <v>0.91813281606358799</v>
      </c>
      <c r="F1894">
        <v>0.70163025976778604</v>
      </c>
      <c r="G1894">
        <v>0.355553112627913</v>
      </c>
      <c r="H1894">
        <v>0.169313177700296</v>
      </c>
      <c r="I1894">
        <v>0.123396069641995</v>
      </c>
      <c r="J1894">
        <v>9.8597163459891099E-2</v>
      </c>
      <c r="K1894">
        <v>7.0724965444507903E-2</v>
      </c>
      <c r="L1894">
        <v>1124.22722445042</v>
      </c>
      <c r="M1894">
        <v>21.703355540333199</v>
      </c>
      <c r="N1894">
        <v>52.200343186846503</v>
      </c>
      <c r="O1894">
        <v>51.3659429303314</v>
      </c>
      <c r="P1894">
        <v>-9.7529267258320507E-2</v>
      </c>
      <c r="Q1894">
        <v>7.6720692239622107E-2</v>
      </c>
      <c r="R1894">
        <v>0.99843827825630205</v>
      </c>
      <c r="S1894" t="s">
        <v>7477</v>
      </c>
      <c r="T1894" t="s">
        <v>11164</v>
      </c>
      <c r="U1894" t="s">
        <v>11164</v>
      </c>
      <c r="V1894" t="s">
        <v>11164</v>
      </c>
      <c r="W1894" t="s">
        <v>13025</v>
      </c>
      <c r="X1894">
        <v>27</v>
      </c>
      <c r="Y1894" t="s">
        <v>18543</v>
      </c>
      <c r="Z1894" t="s">
        <v>24044</v>
      </c>
      <c r="AA1894">
        <v>0.54266527029982614</v>
      </c>
      <c r="AB1894" t="str">
        <f>HYPERLINK("Melting_Curves/meltCurve_P14550_AKR1A1.pdf", "Melting_Curves/meltCurve_P14550_AKR1A1.pdf")</f>
        <v>Melting_Curves/meltCurve_P14550_AKR1A1.pdf</v>
      </c>
    </row>
    <row r="1895" spans="1:28" x14ac:dyDescent="0.25">
      <c r="A1895" t="s">
        <v>1899</v>
      </c>
      <c r="B1895">
        <v>0.99796759195183404</v>
      </c>
      <c r="C1895">
        <v>1.0284644261932501</v>
      </c>
      <c r="D1895">
        <v>0.99594987903624699</v>
      </c>
      <c r="E1895">
        <v>1.00204224315422</v>
      </c>
      <c r="F1895">
        <v>0.94507186152449396</v>
      </c>
      <c r="G1895">
        <v>1.2314635277816</v>
      </c>
      <c r="H1895">
        <v>1.0036327328469301</v>
      </c>
      <c r="I1895">
        <v>0.92928907463374</v>
      </c>
      <c r="J1895">
        <v>0.26570438319748202</v>
      </c>
      <c r="K1895">
        <v>0.10829531309503</v>
      </c>
      <c r="L1895">
        <v>4993.9543757141701</v>
      </c>
      <c r="M1895">
        <v>79.406613023763001</v>
      </c>
      <c r="N1895">
        <v>63.071071032581102</v>
      </c>
      <c r="O1895">
        <v>62.851066002569802</v>
      </c>
      <c r="P1895">
        <v>-0.28380287038183299</v>
      </c>
      <c r="Q1895">
        <v>0.10146987869546301</v>
      </c>
      <c r="R1895">
        <v>0.95107450315831199</v>
      </c>
      <c r="S1895" t="s">
        <v>7478</v>
      </c>
      <c r="T1895" t="s">
        <v>11164</v>
      </c>
      <c r="U1895" t="s">
        <v>11164</v>
      </c>
      <c r="V1895" t="s">
        <v>11164</v>
      </c>
      <c r="W1895" t="s">
        <v>13026</v>
      </c>
      <c r="X1895">
        <v>45</v>
      </c>
      <c r="Y1895" t="s">
        <v>18544</v>
      </c>
      <c r="Z1895" t="s">
        <v>24045</v>
      </c>
      <c r="AA1895">
        <v>0.87770210501774104</v>
      </c>
      <c r="AB1895" t="str">
        <f>HYPERLINK("Melting_Curves/meltCurve_P14618_PKM.pdf", "Melting_Curves/meltCurve_P14618_PKM.pdf")</f>
        <v>Melting_Curves/meltCurve_P14618_PKM.pdf</v>
      </c>
    </row>
    <row r="1896" spans="1:28" x14ac:dyDescent="0.25">
      <c r="A1896" t="s">
        <v>1900</v>
      </c>
      <c r="B1896">
        <v>0.99796759195183404</v>
      </c>
      <c r="C1896">
        <v>0.97812783373230205</v>
      </c>
      <c r="D1896">
        <v>0.92376523938699096</v>
      </c>
      <c r="E1896">
        <v>0.90221948675334596</v>
      </c>
      <c r="F1896">
        <v>0.84855188038635698</v>
      </c>
      <c r="G1896">
        <v>1.4209318053234199</v>
      </c>
      <c r="H1896">
        <v>1.2144429123193301</v>
      </c>
      <c r="I1896">
        <v>1.1328184216566499</v>
      </c>
      <c r="J1896">
        <v>0.55411664817684703</v>
      </c>
      <c r="K1896">
        <v>0.114255322895842</v>
      </c>
      <c r="L1896">
        <v>15000</v>
      </c>
      <c r="M1896">
        <v>234.02286017379501</v>
      </c>
      <c r="N1896">
        <v>64.167409715745194</v>
      </c>
      <c r="O1896">
        <v>64.091610457481096</v>
      </c>
      <c r="P1896">
        <v>-0.80858027990495596</v>
      </c>
      <c r="Q1896">
        <v>0.114219505835779</v>
      </c>
      <c r="R1896">
        <v>0.76297485450494995</v>
      </c>
      <c r="S1896" t="s">
        <v>7479</v>
      </c>
      <c r="T1896" t="s">
        <v>11164</v>
      </c>
      <c r="U1896" t="s">
        <v>11164</v>
      </c>
      <c r="V1896" t="s">
        <v>11164</v>
      </c>
      <c r="W1896" t="s">
        <v>13027</v>
      </c>
      <c r="X1896">
        <v>44</v>
      </c>
      <c r="Y1896" t="s">
        <v>18544</v>
      </c>
      <c r="Z1896" t="s">
        <v>24046</v>
      </c>
      <c r="AA1896">
        <v>0.91437873673768044</v>
      </c>
      <c r="AB1896" t="str">
        <f>HYPERLINK("Melting_Curves/meltCurve_P14618_2_PKM.pdf", "Melting_Curves/meltCurve_P14618_2_PKM.pdf")</f>
        <v>Melting_Curves/meltCurve_P14618_2_PKM.pdf</v>
      </c>
    </row>
    <row r="1897" spans="1:28" x14ac:dyDescent="0.25">
      <c r="A1897" t="s">
        <v>1901</v>
      </c>
      <c r="B1897">
        <v>0.99796759195183404</v>
      </c>
      <c r="C1897">
        <v>1.00097310262601</v>
      </c>
      <c r="D1897">
        <v>0.98609834381893102</v>
      </c>
      <c r="E1897">
        <v>0.93887315464502596</v>
      </c>
      <c r="F1897">
        <v>0.77714043919462406</v>
      </c>
      <c r="G1897">
        <v>0.66430528009712397</v>
      </c>
      <c r="H1897">
        <v>0.39938053667703</v>
      </c>
      <c r="I1897">
        <v>0.33152264098696599</v>
      </c>
      <c r="J1897">
        <v>0.212639270041272</v>
      </c>
      <c r="K1897">
        <v>0.137998079638886</v>
      </c>
      <c r="L1897">
        <v>677.05279957463699</v>
      </c>
      <c r="M1897">
        <v>12.1103264018062</v>
      </c>
      <c r="N1897">
        <v>56.284176753372797</v>
      </c>
      <c r="O1897">
        <v>54.448114592388301</v>
      </c>
      <c r="P1897">
        <v>-5.3450490209979801E-2</v>
      </c>
      <c r="Q1897">
        <v>3.8968139124869197E-2</v>
      </c>
      <c r="R1897">
        <v>0.994397655023736</v>
      </c>
      <c r="S1897" t="s">
        <v>7480</v>
      </c>
      <c r="T1897" t="s">
        <v>11164</v>
      </c>
      <c r="U1897" t="s">
        <v>11164</v>
      </c>
      <c r="V1897" t="s">
        <v>11164</v>
      </c>
      <c r="W1897" t="s">
        <v>13028</v>
      </c>
      <c r="X1897">
        <v>66</v>
      </c>
      <c r="Y1897" t="s">
        <v>18545</v>
      </c>
      <c r="Z1897" t="s">
        <v>24047</v>
      </c>
      <c r="AA1897">
        <v>0.65459232134951484</v>
      </c>
      <c r="AB1897" t="str">
        <f>HYPERLINK("Melting_Curves/meltCurve_P14625_HSP90B1.pdf", "Melting_Curves/meltCurve_P14625_HSP90B1.pdf")</f>
        <v>Melting_Curves/meltCurve_P14625_HSP90B1.pdf</v>
      </c>
    </row>
    <row r="1898" spans="1:28" x14ac:dyDescent="0.25">
      <c r="A1898" t="s">
        <v>1902</v>
      </c>
      <c r="B1898">
        <v>0.99796759195183404</v>
      </c>
      <c r="C1898">
        <v>0.97924608536049695</v>
      </c>
      <c r="D1898">
        <v>0.96050611096270599</v>
      </c>
      <c r="E1898">
        <v>1.0081747757482</v>
      </c>
      <c r="F1898">
        <v>0.77132863501707505</v>
      </c>
      <c r="G1898">
        <v>0.56553231382186198</v>
      </c>
      <c r="H1898">
        <v>0.44086120502363901</v>
      </c>
      <c r="I1898">
        <v>0.278920659704114</v>
      </c>
      <c r="J1898">
        <v>0.121997437194901</v>
      </c>
      <c r="K1898">
        <v>7.6620920178216603E-2</v>
      </c>
      <c r="L1898">
        <v>724.20995977365101</v>
      </c>
      <c r="M1898">
        <v>13.0161145182607</v>
      </c>
      <c r="N1898">
        <v>55.639489089090198</v>
      </c>
      <c r="O1898">
        <v>54.375293926114999</v>
      </c>
      <c r="P1898">
        <v>-5.9854402746308898E-2</v>
      </c>
      <c r="Q1898">
        <v>0</v>
      </c>
      <c r="R1898">
        <v>0.98832317956430504</v>
      </c>
      <c r="S1898" t="s">
        <v>7481</v>
      </c>
      <c r="T1898" t="s">
        <v>11164</v>
      </c>
      <c r="U1898" t="s">
        <v>11164</v>
      </c>
      <c r="V1898" t="s">
        <v>11164</v>
      </c>
      <c r="W1898" t="s">
        <v>13029</v>
      </c>
      <c r="X1898">
        <v>5</v>
      </c>
      <c r="Y1898" t="s">
        <v>18546</v>
      </c>
      <c r="Z1898" t="s">
        <v>24048</v>
      </c>
      <c r="AA1898">
        <v>0.63346928561625127</v>
      </c>
      <c r="AB1898" t="str">
        <f>HYPERLINK("Melting_Curves/meltCurve_P14635_CCNB1.pdf", "Melting_Curves/meltCurve_P14635_CCNB1.pdf")</f>
        <v>Melting_Curves/meltCurve_P14635_CCNB1.pdf</v>
      </c>
    </row>
    <row r="1899" spans="1:28" x14ac:dyDescent="0.25">
      <c r="A1899" t="s">
        <v>1903</v>
      </c>
      <c r="B1899">
        <v>0.99796759195183404</v>
      </c>
      <c r="C1899">
        <v>0.951082086801607</v>
      </c>
      <c r="D1899">
        <v>0.83597223545931698</v>
      </c>
      <c r="E1899">
        <v>0.91973738653388903</v>
      </c>
      <c r="F1899">
        <v>0.86754220553510297</v>
      </c>
      <c r="G1899">
        <v>0.62885930989277405</v>
      </c>
      <c r="H1899">
        <v>0.82906804899856101</v>
      </c>
      <c r="I1899">
        <v>1.2391416334244501</v>
      </c>
      <c r="J1899">
        <v>1.5822379900472301</v>
      </c>
      <c r="K1899">
        <v>1.35407801691499</v>
      </c>
      <c r="L1899">
        <v>15000</v>
      </c>
      <c r="M1899">
        <v>245.94492438175101</v>
      </c>
      <c r="O1899">
        <v>60.985231716912899</v>
      </c>
      <c r="P1899">
        <v>0.47200438396971101</v>
      </c>
      <c r="Q1899">
        <v>1.4681584177728999</v>
      </c>
      <c r="R1899">
        <v>0.66609619445508494</v>
      </c>
      <c r="S1899" t="s">
        <v>7482</v>
      </c>
      <c r="T1899" t="s">
        <v>11164</v>
      </c>
      <c r="U1899" t="s">
        <v>11164</v>
      </c>
      <c r="V1899" t="s">
        <v>11164</v>
      </c>
      <c r="W1899" t="s">
        <v>13030</v>
      </c>
      <c r="X1899">
        <v>6</v>
      </c>
      <c r="Y1899" t="s">
        <v>18547</v>
      </c>
      <c r="Z1899" t="s">
        <v>24049</v>
      </c>
      <c r="AA1899">
        <v>1.0937474411160371</v>
      </c>
      <c r="AB1899" t="str">
        <f>HYPERLINK("Melting_Curves/meltCurve_P14649_MYL6B.pdf", "Melting_Curves/meltCurve_P14649_MYL6B.pdf")</f>
        <v>Melting_Curves/meltCurve_P14649_MYL6B.pdf</v>
      </c>
    </row>
    <row r="1900" spans="1:28" x14ac:dyDescent="0.25">
      <c r="A1900" t="s">
        <v>1904</v>
      </c>
      <c r="B1900">
        <v>0.99796759195183404</v>
      </c>
      <c r="C1900">
        <v>0.948328978729855</v>
      </c>
      <c r="D1900">
        <v>0.94882090320052004</v>
      </c>
      <c r="E1900">
        <v>1.0895119935670401</v>
      </c>
      <c r="F1900">
        <v>1.0815751482409</v>
      </c>
      <c r="G1900">
        <v>1.24650944995642</v>
      </c>
      <c r="H1900">
        <v>1.29587353988876</v>
      </c>
      <c r="I1900">
        <v>1.3972206314037201</v>
      </c>
      <c r="J1900">
        <v>1.4126152248816699</v>
      </c>
      <c r="K1900">
        <v>1.3775647187794799</v>
      </c>
      <c r="L1900">
        <v>920.22122585093905</v>
      </c>
      <c r="M1900">
        <v>17.303246226650199</v>
      </c>
      <c r="O1900">
        <v>52.486915914390003</v>
      </c>
      <c r="P1900">
        <v>3.4135413157529E-2</v>
      </c>
      <c r="Q1900">
        <v>1.4141556476872701</v>
      </c>
      <c r="R1900">
        <v>0.95954343719617496</v>
      </c>
      <c r="S1900" t="s">
        <v>7483</v>
      </c>
      <c r="T1900" t="s">
        <v>11164</v>
      </c>
      <c r="U1900" t="s">
        <v>11164</v>
      </c>
      <c r="V1900" t="s">
        <v>11164</v>
      </c>
      <c r="W1900" t="s">
        <v>13031</v>
      </c>
      <c r="X1900">
        <v>7</v>
      </c>
      <c r="Y1900" t="s">
        <v>18548</v>
      </c>
      <c r="Z1900" t="s">
        <v>24050</v>
      </c>
      <c r="AA1900">
        <v>1.184498220045062</v>
      </c>
      <c r="AB1900" t="str">
        <f>HYPERLINK("Melting_Curves/meltCurve_P14678_2_SNRPB.pdf", "Melting_Curves/meltCurve_P14678_2_SNRPB.pdf")</f>
        <v>Melting_Curves/meltCurve_P14678_2_SNRPB.pdf</v>
      </c>
    </row>
    <row r="1901" spans="1:28" x14ac:dyDescent="0.25">
      <c r="A1901" t="s">
        <v>1905</v>
      </c>
      <c r="B1901">
        <v>0.99796759195183404</v>
      </c>
      <c r="C1901">
        <v>0.94691686437585698</v>
      </c>
      <c r="D1901">
        <v>0.89510620488147397</v>
      </c>
      <c r="E1901">
        <v>0.88799053250372095</v>
      </c>
      <c r="F1901">
        <v>0.869414928224018</v>
      </c>
      <c r="G1901">
        <v>0.97637215206899997</v>
      </c>
      <c r="H1901">
        <v>0.28359838940120202</v>
      </c>
      <c r="I1901">
        <v>0.15491155968519399</v>
      </c>
      <c r="J1901">
        <v>6.8239741768680598E-2</v>
      </c>
      <c r="K1901">
        <v>6.6469803626052398E-2</v>
      </c>
      <c r="L1901">
        <v>3975.5562263801899</v>
      </c>
      <c r="M1901">
        <v>70.572326384986994</v>
      </c>
      <c r="N1901">
        <v>56.500504153133498</v>
      </c>
      <c r="O1901">
        <v>56.287891633451203</v>
      </c>
      <c r="P1901">
        <v>-0.28386954049688001</v>
      </c>
      <c r="Q1901">
        <v>9.4352375672065905E-2</v>
      </c>
      <c r="R1901">
        <v>0.96848226186716901</v>
      </c>
      <c r="S1901" t="s">
        <v>7484</v>
      </c>
      <c r="T1901" t="s">
        <v>11164</v>
      </c>
      <c r="U1901" t="s">
        <v>11164</v>
      </c>
      <c r="V1901" t="s">
        <v>11164</v>
      </c>
      <c r="W1901" t="s">
        <v>13032</v>
      </c>
      <c r="X1901">
        <v>11</v>
      </c>
      <c r="Y1901" t="s">
        <v>18549</v>
      </c>
      <c r="Z1901" t="s">
        <v>24051</v>
      </c>
      <c r="AA1901">
        <v>0.67911019778893145</v>
      </c>
      <c r="AB1901" t="str">
        <f>HYPERLINK("Melting_Curves/meltCurve_P14735_IDE.pdf", "Melting_Curves/meltCurve_P14735_IDE.pdf")</f>
        <v>Melting_Curves/meltCurve_P14735_IDE.pdf</v>
      </c>
    </row>
    <row r="1902" spans="1:28" x14ac:dyDescent="0.25">
      <c r="A1902" t="s">
        <v>1906</v>
      </c>
      <c r="B1902">
        <v>0.99796759195183404</v>
      </c>
      <c r="C1902">
        <v>0.997663090317641</v>
      </c>
      <c r="D1902">
        <v>0.98286051082966897</v>
      </c>
      <c r="E1902">
        <v>0.91657043137743599</v>
      </c>
      <c r="F1902">
        <v>0.820144909433009</v>
      </c>
      <c r="G1902">
        <v>0.68615054179319301</v>
      </c>
      <c r="H1902">
        <v>0.81348171116527901</v>
      </c>
      <c r="I1902">
        <v>0.56273859545128102</v>
      </c>
      <c r="J1902">
        <v>0.68738335912398496</v>
      </c>
      <c r="K1902">
        <v>0.72229401654887804</v>
      </c>
      <c r="L1902">
        <v>955.66154790269502</v>
      </c>
      <c r="M1902">
        <v>19.420171714410301</v>
      </c>
      <c r="O1902">
        <v>48.696857872837498</v>
      </c>
      <c r="P1902">
        <v>-3.1946819153977603E-2</v>
      </c>
      <c r="Q1902">
        <v>0.679580003421001</v>
      </c>
      <c r="R1902">
        <v>0.84563813129501697</v>
      </c>
      <c r="S1902" t="s">
        <v>7485</v>
      </c>
      <c r="T1902" t="s">
        <v>11164</v>
      </c>
      <c r="U1902" t="s">
        <v>11164</v>
      </c>
      <c r="V1902" t="s">
        <v>11164</v>
      </c>
      <c r="W1902" t="s">
        <v>13033</v>
      </c>
      <c r="X1902">
        <v>7</v>
      </c>
      <c r="Y1902" t="s">
        <v>18550</v>
      </c>
      <c r="Z1902" t="s">
        <v>24052</v>
      </c>
      <c r="AA1902">
        <v>0.81443994528351971</v>
      </c>
      <c r="AB1902" t="str">
        <f>HYPERLINK("Melting_Curves/meltCurve_P14854_COX6B1.pdf", "Melting_Curves/meltCurve_P14854_COX6B1.pdf")</f>
        <v>Melting_Curves/meltCurve_P14854_COX6B1.pdf</v>
      </c>
    </row>
    <row r="1903" spans="1:28" x14ac:dyDescent="0.25">
      <c r="A1903" t="s">
        <v>1907</v>
      </c>
      <c r="B1903">
        <v>0.99796759195183404</v>
      </c>
      <c r="C1903">
        <v>0.99611193879368598</v>
      </c>
      <c r="D1903">
        <v>1.0238576763114999</v>
      </c>
      <c r="E1903">
        <v>1.10515272115843</v>
      </c>
      <c r="F1903">
        <v>0.80591854842766897</v>
      </c>
      <c r="G1903">
        <v>0.41905944889616398</v>
      </c>
      <c r="H1903">
        <v>0.390692664743997</v>
      </c>
      <c r="I1903">
        <v>0.24542635174785901</v>
      </c>
      <c r="J1903">
        <v>0.24195344152833501</v>
      </c>
      <c r="K1903">
        <v>0.28799102120476699</v>
      </c>
      <c r="L1903">
        <v>1860.70335742424</v>
      </c>
      <c r="M1903">
        <v>35.958959061887398</v>
      </c>
      <c r="N1903">
        <v>52.973253010378201</v>
      </c>
      <c r="O1903">
        <v>51.585944282343803</v>
      </c>
      <c r="P1903">
        <v>-0.124991190899054</v>
      </c>
      <c r="Q1903">
        <v>0.28276365437494999</v>
      </c>
      <c r="R1903">
        <v>0.97818458059172098</v>
      </c>
      <c r="S1903" t="s">
        <v>7486</v>
      </c>
      <c r="T1903" t="s">
        <v>11164</v>
      </c>
      <c r="U1903" t="s">
        <v>11164</v>
      </c>
      <c r="V1903" t="s">
        <v>11164</v>
      </c>
      <c r="W1903" t="s">
        <v>13034</v>
      </c>
      <c r="X1903">
        <v>5</v>
      </c>
      <c r="Y1903" t="s">
        <v>18551</v>
      </c>
      <c r="Z1903" t="s">
        <v>24053</v>
      </c>
      <c r="AA1903">
        <v>0.63845470627999346</v>
      </c>
      <c r="AB1903" t="str">
        <f>HYPERLINK("Melting_Curves/meltCurve_P14866_HNRNPL.pdf", "Melting_Curves/meltCurve_P14866_HNRNPL.pdf")</f>
        <v>Melting_Curves/meltCurve_P14866_HNRNPL.pdf</v>
      </c>
    </row>
    <row r="1904" spans="1:28" x14ac:dyDescent="0.25">
      <c r="A1904" t="s">
        <v>1908</v>
      </c>
      <c r="B1904">
        <v>0.99796759195183404</v>
      </c>
      <c r="C1904">
        <v>1.00015658674324</v>
      </c>
      <c r="D1904">
        <v>1.0086958083291599</v>
      </c>
      <c r="E1904">
        <v>1.00078075708394</v>
      </c>
      <c r="F1904">
        <v>0.93312709156141305</v>
      </c>
      <c r="G1904">
        <v>0.82665420447319404</v>
      </c>
      <c r="H1904">
        <v>0.50918033136965801</v>
      </c>
      <c r="I1904">
        <v>0.26876691776425399</v>
      </c>
      <c r="J1904">
        <v>0.18142255698106799</v>
      </c>
      <c r="K1904">
        <v>0.123862734156006</v>
      </c>
      <c r="L1904">
        <v>1262.56688101695</v>
      </c>
      <c r="M1904">
        <v>22.141682058874</v>
      </c>
      <c r="N1904">
        <v>57.593684873995301</v>
      </c>
      <c r="O1904">
        <v>56.563136197518403</v>
      </c>
      <c r="P1904">
        <v>-8.8212757640027298E-2</v>
      </c>
      <c r="Q1904">
        <v>9.86260910379817E-2</v>
      </c>
      <c r="R1904">
        <v>0.99903346928228098</v>
      </c>
      <c r="S1904" t="s">
        <v>7487</v>
      </c>
      <c r="T1904" t="s">
        <v>11164</v>
      </c>
      <c r="U1904" t="s">
        <v>11164</v>
      </c>
      <c r="V1904" t="s">
        <v>11164</v>
      </c>
      <c r="W1904" t="s">
        <v>13035</v>
      </c>
      <c r="X1904">
        <v>18</v>
      </c>
      <c r="Y1904" t="s">
        <v>18552</v>
      </c>
      <c r="Z1904" t="s">
        <v>24054</v>
      </c>
      <c r="AA1904">
        <v>0.70767230635373857</v>
      </c>
      <c r="AB1904" t="str">
        <f>HYPERLINK("Melting_Curves/meltCurve_P14868_DARS.pdf", "Melting_Curves/meltCurve_P14868_DARS.pdf")</f>
        <v>Melting_Curves/meltCurve_P14868_DARS.pdf</v>
      </c>
    </row>
    <row r="1905" spans="1:28" x14ac:dyDescent="0.25">
      <c r="A1905" t="s">
        <v>1909</v>
      </c>
      <c r="B1905">
        <v>0.99796759195183404</v>
      </c>
      <c r="C1905">
        <v>0.99078896819441398</v>
      </c>
      <c r="D1905">
        <v>0.95969868015503501</v>
      </c>
      <c r="E1905">
        <v>0.90322781958958698</v>
      </c>
      <c r="F1905">
        <v>0.82392354132260703</v>
      </c>
      <c r="G1905">
        <v>0.84270590283989999</v>
      </c>
      <c r="H1905">
        <v>0.67435283686071701</v>
      </c>
      <c r="I1905">
        <v>0.35528041275607802</v>
      </c>
      <c r="J1905">
        <v>0.155015673415067</v>
      </c>
      <c r="K1905">
        <v>0.12871166009700599</v>
      </c>
      <c r="L1905">
        <v>961.59098921694999</v>
      </c>
      <c r="M1905">
        <v>16.317723467735298</v>
      </c>
      <c r="N1905">
        <v>58.929237396808702</v>
      </c>
      <c r="O1905">
        <v>58.065519546200001</v>
      </c>
      <c r="P1905">
        <v>-7.0260751547292402E-2</v>
      </c>
      <c r="Q1905">
        <v>0</v>
      </c>
      <c r="R1905">
        <v>0.97048229921593898</v>
      </c>
      <c r="S1905" t="s">
        <v>7488</v>
      </c>
      <c r="T1905" t="s">
        <v>11164</v>
      </c>
      <c r="U1905" t="s">
        <v>11164</v>
      </c>
      <c r="V1905" t="s">
        <v>11164</v>
      </c>
      <c r="W1905" t="s">
        <v>13036</v>
      </c>
      <c r="X1905">
        <v>9</v>
      </c>
      <c r="Y1905" t="s">
        <v>18553</v>
      </c>
      <c r="Z1905" t="s">
        <v>24055</v>
      </c>
      <c r="AA1905">
        <v>0.73245033725577291</v>
      </c>
      <c r="AB1905" t="str">
        <f>HYPERLINK("Melting_Curves/meltCurve_P14923_JUP.pdf", "Melting_Curves/meltCurve_P14923_JUP.pdf")</f>
        <v>Melting_Curves/meltCurve_P14923_JUP.pdf</v>
      </c>
    </row>
    <row r="1906" spans="1:28" x14ac:dyDescent="0.25">
      <c r="A1906" t="s">
        <v>1910</v>
      </c>
      <c r="B1906">
        <v>0.99796759195183404</v>
      </c>
      <c r="C1906">
        <v>0.96845267117673695</v>
      </c>
      <c r="D1906">
        <v>0.90767607952092499</v>
      </c>
      <c r="E1906">
        <v>0.96678284628925903</v>
      </c>
      <c r="F1906">
        <v>0.92708286323847999</v>
      </c>
      <c r="G1906">
        <v>0.89214066422080995</v>
      </c>
      <c r="H1906">
        <v>0.89037667238742102</v>
      </c>
      <c r="I1906">
        <v>0.93831994686325904</v>
      </c>
      <c r="J1906">
        <v>1.1948829272155099</v>
      </c>
      <c r="K1906">
        <v>1.1388172689234199</v>
      </c>
      <c r="L1906">
        <v>7253.0569573170797</v>
      </c>
      <c r="M1906">
        <v>115.677151707143</v>
      </c>
      <c r="O1906">
        <v>62.682126636819298</v>
      </c>
      <c r="P1906">
        <v>7.8693095835495205E-2</v>
      </c>
      <c r="Q1906">
        <v>1.1705661109572301</v>
      </c>
      <c r="R1906">
        <v>0.52189753477356704</v>
      </c>
      <c r="S1906" t="s">
        <v>7489</v>
      </c>
      <c r="T1906" t="s">
        <v>11164</v>
      </c>
      <c r="U1906" t="s">
        <v>11164</v>
      </c>
      <c r="V1906" t="s">
        <v>11164</v>
      </c>
      <c r="W1906" t="s">
        <v>13037</v>
      </c>
      <c r="X1906">
        <v>10</v>
      </c>
      <c r="Y1906" t="s">
        <v>18554</v>
      </c>
      <c r="Z1906" t="s">
        <v>24056</v>
      </c>
      <c r="AA1906">
        <v>1.0243573228682581</v>
      </c>
      <c r="AB1906" t="str">
        <f>HYPERLINK("Melting_Curves/meltCurve_P14927_UQCRB.pdf", "Melting_Curves/meltCurve_P14927_UQCRB.pdf")</f>
        <v>Melting_Curves/meltCurve_P14927_UQCRB.pdf</v>
      </c>
    </row>
    <row r="1907" spans="1:28" x14ac:dyDescent="0.25">
      <c r="A1907" t="s">
        <v>1911</v>
      </c>
      <c r="B1907">
        <v>0.99796759195183404</v>
      </c>
      <c r="C1907">
        <v>1.17381067831746</v>
      </c>
      <c r="D1907">
        <v>1.1838770653751001</v>
      </c>
      <c r="E1907">
        <v>1.1674078406063699</v>
      </c>
      <c r="F1907">
        <v>0.93146756753469595</v>
      </c>
      <c r="G1907">
        <v>5.5095938129581796</v>
      </c>
      <c r="H1907">
        <v>4.0794110328825601</v>
      </c>
      <c r="I1907">
        <v>3.1743087363484301</v>
      </c>
      <c r="J1907">
        <v>0.16461227485996199</v>
      </c>
      <c r="K1907">
        <v>0.16585298436788801</v>
      </c>
      <c r="L1907">
        <v>15000</v>
      </c>
      <c r="M1907">
        <v>237.42144534053401</v>
      </c>
      <c r="N1907">
        <v>63.275499189772702</v>
      </c>
      <c r="O1907">
        <v>63.174303311305898</v>
      </c>
      <c r="P1907">
        <v>-0.79658846874496703</v>
      </c>
      <c r="Q1907">
        <v>0.15215871454569599</v>
      </c>
      <c r="R1907">
        <v>-0.205877992630491</v>
      </c>
      <c r="S1907" t="s">
        <v>7490</v>
      </c>
      <c r="T1907" t="s">
        <v>11164</v>
      </c>
      <c r="U1907" t="s">
        <v>11164</v>
      </c>
      <c r="V1907" t="s">
        <v>11164</v>
      </c>
      <c r="W1907" t="s">
        <v>13038</v>
      </c>
      <c r="X1907">
        <v>5</v>
      </c>
      <c r="Y1907" t="s">
        <v>18555</v>
      </c>
      <c r="Z1907" t="s">
        <v>24057</v>
      </c>
      <c r="AA1907">
        <v>0.89211161281463114</v>
      </c>
      <c r="AB1907" t="str">
        <f>HYPERLINK("Melting_Curves/meltCurve_P15104_GLUL.pdf", "Melting_Curves/meltCurve_P15104_GLUL.pdf")</f>
        <v>Melting_Curves/meltCurve_P15104_GLUL.pdf</v>
      </c>
    </row>
    <row r="1908" spans="1:28" x14ac:dyDescent="0.25">
      <c r="A1908" t="s">
        <v>1912</v>
      </c>
      <c r="B1908">
        <v>0.99796759195183404</v>
      </c>
      <c r="C1908">
        <v>0.91806114342676903</v>
      </c>
      <c r="D1908">
        <v>0.95303197022893504</v>
      </c>
      <c r="E1908">
        <v>0.91924102671327901</v>
      </c>
      <c r="F1908">
        <v>0.776118233304667</v>
      </c>
      <c r="G1908">
        <v>0.58023674942509995</v>
      </c>
      <c r="H1908">
        <v>0.434527445217601</v>
      </c>
      <c r="I1908">
        <v>0.16407327689828899</v>
      </c>
      <c r="J1908">
        <v>0.118752119220552</v>
      </c>
      <c r="K1908">
        <v>8.6464093528265798E-2</v>
      </c>
      <c r="L1908">
        <v>735.35339202791999</v>
      </c>
      <c r="M1908">
        <v>13.3345593982786</v>
      </c>
      <c r="N1908">
        <v>55.146433542722903</v>
      </c>
      <c r="O1908">
        <v>53.950459098684298</v>
      </c>
      <c r="P1908">
        <v>-6.1800647509983701E-2</v>
      </c>
      <c r="Q1908">
        <v>0</v>
      </c>
      <c r="R1908">
        <v>0.98900967178919996</v>
      </c>
      <c r="S1908" t="s">
        <v>7491</v>
      </c>
      <c r="T1908" t="s">
        <v>11164</v>
      </c>
      <c r="U1908" t="s">
        <v>11164</v>
      </c>
      <c r="V1908" t="s">
        <v>11164</v>
      </c>
      <c r="W1908" t="s">
        <v>13039</v>
      </c>
      <c r="X1908">
        <v>20</v>
      </c>
      <c r="Y1908" t="s">
        <v>18556</v>
      </c>
      <c r="Z1908" t="s">
        <v>24058</v>
      </c>
      <c r="AA1908">
        <v>0.61885873311965589</v>
      </c>
      <c r="AB1908" t="str">
        <f>HYPERLINK("Melting_Curves/meltCurve_P15121_AKR1B1.pdf", "Melting_Curves/meltCurve_P15121_AKR1B1.pdf")</f>
        <v>Melting_Curves/meltCurve_P15121_AKR1B1.pdf</v>
      </c>
    </row>
    <row r="1909" spans="1:28" x14ac:dyDescent="0.25">
      <c r="A1909" t="s">
        <v>1913</v>
      </c>
      <c r="B1909">
        <v>0.99796759195183404</v>
      </c>
      <c r="C1909">
        <v>0.97554786604644905</v>
      </c>
      <c r="D1909">
        <v>0.98586360134234796</v>
      </c>
      <c r="E1909">
        <v>0.91856216741657903</v>
      </c>
      <c r="F1909">
        <v>0.82485607418594797</v>
      </c>
      <c r="G1909">
        <v>0.64455370982344895</v>
      </c>
      <c r="H1909">
        <v>0.61661185242263705</v>
      </c>
      <c r="I1909">
        <v>0.54877757959154805</v>
      </c>
      <c r="J1909">
        <v>0.570537913259337</v>
      </c>
      <c r="K1909">
        <v>0.46516244006122198</v>
      </c>
      <c r="L1909">
        <v>756.60183514495395</v>
      </c>
      <c r="M1909">
        <v>14.588386025656201</v>
      </c>
      <c r="O1909">
        <v>50.918003883258798</v>
      </c>
      <c r="P1909">
        <v>-3.61638350110359E-2</v>
      </c>
      <c r="Q1909">
        <v>0.495164831579256</v>
      </c>
      <c r="R1909">
        <v>0.98150525644035103</v>
      </c>
      <c r="S1909" t="s">
        <v>7492</v>
      </c>
      <c r="T1909" t="s">
        <v>11164</v>
      </c>
      <c r="U1909" t="s">
        <v>11164</v>
      </c>
      <c r="V1909" t="s">
        <v>11164</v>
      </c>
      <c r="W1909" t="s">
        <v>13040</v>
      </c>
      <c r="X1909">
        <v>5</v>
      </c>
      <c r="Y1909" t="s">
        <v>18557</v>
      </c>
      <c r="Z1909" t="s">
        <v>24059</v>
      </c>
      <c r="AA1909">
        <v>0.75533636196321796</v>
      </c>
      <c r="AB1909" t="str">
        <f>HYPERLINK("Melting_Curves/meltCurve_P15151_3_PVR.pdf", "Melting_Curves/meltCurve_P15151_3_PVR.pdf")</f>
        <v>Melting_Curves/meltCurve_P15151_3_PVR.pdf</v>
      </c>
    </row>
    <row r="1910" spans="1:28" x14ac:dyDescent="0.25">
      <c r="A1910" t="s">
        <v>1914</v>
      </c>
      <c r="B1910">
        <v>0.99796759195183404</v>
      </c>
      <c r="C1910">
        <v>1.02815135027302</v>
      </c>
      <c r="D1910">
        <v>1.02900321193814</v>
      </c>
      <c r="E1910">
        <v>1.02746355150958</v>
      </c>
      <c r="F1910">
        <v>0.873386878534403</v>
      </c>
      <c r="G1910">
        <v>0.70428082393254199</v>
      </c>
      <c r="H1910">
        <v>0.56774816857261201</v>
      </c>
      <c r="I1910">
        <v>0.18579295360923101</v>
      </c>
      <c r="J1910">
        <v>0.11022562316941099</v>
      </c>
      <c r="K1910">
        <v>8.3194970661076895E-2</v>
      </c>
      <c r="L1910">
        <v>999.46615162466605</v>
      </c>
      <c r="M1910">
        <v>17.5035415780326</v>
      </c>
      <c r="N1910">
        <v>57.100795851769398</v>
      </c>
      <c r="O1910">
        <v>56.371132537945499</v>
      </c>
      <c r="P1910">
        <v>-7.7630649829150203E-2</v>
      </c>
      <c r="Q1910">
        <v>0</v>
      </c>
      <c r="R1910">
        <v>0.98607617048832097</v>
      </c>
      <c r="S1910" t="s">
        <v>7493</v>
      </c>
      <c r="T1910" t="s">
        <v>11164</v>
      </c>
      <c r="U1910" t="s">
        <v>11164</v>
      </c>
      <c r="V1910" t="s">
        <v>11164</v>
      </c>
      <c r="W1910" t="s">
        <v>13041</v>
      </c>
      <c r="X1910">
        <v>29</v>
      </c>
      <c r="Y1910" t="s">
        <v>18558</v>
      </c>
      <c r="Z1910" t="s">
        <v>24060</v>
      </c>
      <c r="AA1910">
        <v>0.67872229165787301</v>
      </c>
      <c r="AB1910" t="str">
        <f>HYPERLINK("Melting_Curves/meltCurve_P15170_2_GSPT1.pdf", "Melting_Curves/meltCurve_P15170_2_GSPT1.pdf")</f>
        <v>Melting_Curves/meltCurve_P15170_2_GSPT1.pdf</v>
      </c>
    </row>
    <row r="1911" spans="1:28" x14ac:dyDescent="0.25">
      <c r="A1911" t="s">
        <v>1915</v>
      </c>
      <c r="B1911">
        <v>0.99796759195183404</v>
      </c>
      <c r="C1911">
        <v>0.87124341368160396</v>
      </c>
      <c r="D1911">
        <v>0.85845334093183501</v>
      </c>
      <c r="E1911">
        <v>0.811435159710722</v>
      </c>
      <c r="F1911">
        <v>0.88293893348043695</v>
      </c>
      <c r="G1911">
        <v>0.65328947290364103</v>
      </c>
      <c r="H1911">
        <v>0.51260237145104603</v>
      </c>
      <c r="I1911">
        <v>0.44404841939929701</v>
      </c>
      <c r="J1911">
        <v>0.50930474586081698</v>
      </c>
      <c r="K1911">
        <v>0.36439046862096502</v>
      </c>
      <c r="L1911">
        <v>315.64806381759001</v>
      </c>
      <c r="M1911">
        <v>5.1915260010657596</v>
      </c>
      <c r="N1911">
        <v>60.800621175169702</v>
      </c>
      <c r="O1911">
        <v>53.520435019477802</v>
      </c>
      <c r="P1911">
        <v>-2.43807764528607E-2</v>
      </c>
      <c r="Q1911">
        <v>0</v>
      </c>
      <c r="R1911">
        <v>0.91391704363239201</v>
      </c>
      <c r="S1911" t="s">
        <v>7494</v>
      </c>
      <c r="T1911" t="s">
        <v>11164</v>
      </c>
      <c r="U1911" t="s">
        <v>11164</v>
      </c>
      <c r="V1911" t="s">
        <v>11164</v>
      </c>
      <c r="W1911" t="s">
        <v>13042</v>
      </c>
      <c r="X1911">
        <v>4</v>
      </c>
      <c r="Y1911" t="s">
        <v>18559</v>
      </c>
      <c r="Z1911" t="s">
        <v>24061</v>
      </c>
      <c r="AA1911">
        <v>0.69614631462053977</v>
      </c>
      <c r="AB1911" t="str">
        <f>HYPERLINK("Melting_Curves/meltCurve_P15289_ARSA.pdf", "Melting_Curves/meltCurve_P15289_ARSA.pdf")</f>
        <v>Melting_Curves/meltCurve_P15289_ARSA.pdf</v>
      </c>
    </row>
    <row r="1912" spans="1:28" x14ac:dyDescent="0.25">
      <c r="A1912" t="s">
        <v>1916</v>
      </c>
      <c r="B1912">
        <v>0.99796759195183404</v>
      </c>
      <c r="C1912">
        <v>1.04134919869041</v>
      </c>
      <c r="D1912">
        <v>0.99338518162545597</v>
      </c>
      <c r="E1912">
        <v>0.94961668526707899</v>
      </c>
      <c r="F1912">
        <v>0.82129493510551099</v>
      </c>
      <c r="G1912">
        <v>0.67358049955487898</v>
      </c>
      <c r="H1912">
        <v>0.26189806320814502</v>
      </c>
      <c r="I1912">
        <v>0.11954958602105099</v>
      </c>
      <c r="J1912">
        <v>8.2922707000229801E-2</v>
      </c>
      <c r="K1912">
        <v>6.4849881701228698E-2</v>
      </c>
      <c r="L1912">
        <v>1146.9550591586701</v>
      </c>
      <c r="M1912">
        <v>20.922586337242599</v>
      </c>
      <c r="N1912">
        <v>54.977005633718399</v>
      </c>
      <c r="O1912">
        <v>54.325576574166</v>
      </c>
      <c r="P1912">
        <v>-9.3476421894282999E-2</v>
      </c>
      <c r="Q1912">
        <v>2.9178866534349E-2</v>
      </c>
      <c r="R1912">
        <v>0.99262422524873195</v>
      </c>
      <c r="S1912" t="s">
        <v>7495</v>
      </c>
      <c r="T1912" t="s">
        <v>11164</v>
      </c>
      <c r="U1912" t="s">
        <v>11164</v>
      </c>
      <c r="V1912" t="s">
        <v>11164</v>
      </c>
      <c r="W1912" t="s">
        <v>13043</v>
      </c>
      <c r="X1912">
        <v>69</v>
      </c>
      <c r="Y1912" t="s">
        <v>18560</v>
      </c>
      <c r="Z1912" t="s">
        <v>24062</v>
      </c>
      <c r="AA1912">
        <v>0.61640642165772341</v>
      </c>
      <c r="AB1912" t="str">
        <f>HYPERLINK("Melting_Curves/meltCurve_P15311_EZR.pdf", "Melting_Curves/meltCurve_P15311_EZR.pdf")</f>
        <v>Melting_Curves/meltCurve_P15311_EZR.pdf</v>
      </c>
    </row>
    <row r="1913" spans="1:28" x14ac:dyDescent="0.25">
      <c r="A1913" t="s">
        <v>1917</v>
      </c>
      <c r="B1913">
        <v>0.99796759195183404</v>
      </c>
      <c r="C1913">
        <v>0.88151969857792301</v>
      </c>
      <c r="D1913">
        <v>0.880184286933406</v>
      </c>
      <c r="E1913">
        <v>0.76058799295600898</v>
      </c>
      <c r="F1913">
        <v>0.75131965591869299</v>
      </c>
      <c r="G1913">
        <v>0.52137772098939605</v>
      </c>
      <c r="H1913">
        <v>0.32798506162267099</v>
      </c>
      <c r="I1913">
        <v>0.23590280686895901</v>
      </c>
      <c r="J1913">
        <v>0.20816094189378501</v>
      </c>
      <c r="K1913">
        <v>0.14178180354401199</v>
      </c>
      <c r="L1913">
        <v>480.52996957740902</v>
      </c>
      <c r="M1913">
        <v>8.9127503820791105</v>
      </c>
      <c r="N1913">
        <v>53.914900249214398</v>
      </c>
      <c r="O1913">
        <v>51.407914144447098</v>
      </c>
      <c r="P1913">
        <v>-4.3375938300917898E-2</v>
      </c>
      <c r="Q1913">
        <v>0</v>
      </c>
      <c r="R1913">
        <v>0.97884495507443203</v>
      </c>
      <c r="S1913" t="s">
        <v>7496</v>
      </c>
      <c r="T1913" t="s">
        <v>11164</v>
      </c>
      <c r="U1913" t="s">
        <v>11164</v>
      </c>
      <c r="V1913" t="s">
        <v>11164</v>
      </c>
      <c r="W1913" t="s">
        <v>13044</v>
      </c>
      <c r="X1913">
        <v>5</v>
      </c>
      <c r="Y1913" t="s">
        <v>18561</v>
      </c>
      <c r="Z1913" t="s">
        <v>24063</v>
      </c>
      <c r="AA1913">
        <v>0.58077620502962823</v>
      </c>
      <c r="AB1913" t="str">
        <f>HYPERLINK("Melting_Curves/meltCurve_P15374_UCHL3.pdf", "Melting_Curves/meltCurve_P15374_UCHL3.pdf")</f>
        <v>Melting_Curves/meltCurve_P15374_UCHL3.pdf</v>
      </c>
    </row>
    <row r="1914" spans="1:28" x14ac:dyDescent="0.25">
      <c r="A1914" t="s">
        <v>1918</v>
      </c>
      <c r="B1914">
        <v>0.99796759195183404</v>
      </c>
      <c r="C1914">
        <v>0.90005019971437905</v>
      </c>
      <c r="D1914">
        <v>0.78417870992891103</v>
      </c>
      <c r="E1914">
        <v>0.84817756274184097</v>
      </c>
      <c r="F1914">
        <v>0.69925352623218495</v>
      </c>
      <c r="G1914">
        <v>0.55704338606602499</v>
      </c>
      <c r="H1914">
        <v>0.61043971009268005</v>
      </c>
      <c r="I1914">
        <v>0.53815265859482697</v>
      </c>
      <c r="J1914">
        <v>0.51841586519013105</v>
      </c>
      <c r="K1914">
        <v>0.49674722411033501</v>
      </c>
      <c r="L1914">
        <v>373.006256122759</v>
      </c>
      <c r="M1914">
        <v>7.6235772061396698</v>
      </c>
      <c r="O1914">
        <v>45.9020643227297</v>
      </c>
      <c r="P1914">
        <v>-2.3438596168852001E-2</v>
      </c>
      <c r="Q1914">
        <v>0.43626155164776798</v>
      </c>
      <c r="R1914">
        <v>0.93454006110993204</v>
      </c>
      <c r="S1914" t="s">
        <v>7497</v>
      </c>
      <c r="T1914" t="s">
        <v>11164</v>
      </c>
      <c r="U1914" t="s">
        <v>11164</v>
      </c>
      <c r="V1914" t="s">
        <v>11164</v>
      </c>
      <c r="W1914" t="s">
        <v>13045</v>
      </c>
      <c r="X1914">
        <v>2</v>
      </c>
      <c r="Y1914" t="s">
        <v>18562</v>
      </c>
      <c r="Z1914" t="s">
        <v>24064</v>
      </c>
      <c r="AA1914">
        <v>0.68792184322593664</v>
      </c>
      <c r="AB1914" t="str">
        <f>HYPERLINK("Melting_Curves/meltCurve_P15529_16_CD46.pdf", "Melting_Curves/meltCurve_P15529_16_CD46.pdf")</f>
        <v>Melting_Curves/meltCurve_P15529_16_CD46.pdf</v>
      </c>
    </row>
    <row r="1915" spans="1:28" x14ac:dyDescent="0.25">
      <c r="A1915" t="s">
        <v>1919</v>
      </c>
      <c r="B1915">
        <v>0.99796759195183404</v>
      </c>
      <c r="C1915">
        <v>1.04311322625583</v>
      </c>
      <c r="D1915">
        <v>1.0716211154031701</v>
      </c>
      <c r="E1915">
        <v>1.0330756952386999</v>
      </c>
      <c r="F1915">
        <v>1.03955021452881</v>
      </c>
      <c r="G1915">
        <v>0.66067148921143304</v>
      </c>
      <c r="H1915">
        <v>0.56165067319182405</v>
      </c>
      <c r="I1915">
        <v>0.57482789334004902</v>
      </c>
      <c r="J1915">
        <v>0.58657701200741796</v>
      </c>
      <c r="K1915">
        <v>0.38594009761175202</v>
      </c>
      <c r="L1915">
        <v>12837.661075427301</v>
      </c>
      <c r="M1915">
        <v>239.55168347998</v>
      </c>
      <c r="O1915">
        <v>53.586625420240601</v>
      </c>
      <c r="P1915">
        <v>-0.52834229620884199</v>
      </c>
      <c r="Q1915">
        <v>0.52724889641082695</v>
      </c>
      <c r="R1915">
        <v>0.941695687514436</v>
      </c>
      <c r="S1915" t="s">
        <v>7498</v>
      </c>
      <c r="T1915" t="s">
        <v>11164</v>
      </c>
      <c r="U1915" t="s">
        <v>11164</v>
      </c>
      <c r="V1915" t="s">
        <v>11164</v>
      </c>
      <c r="W1915" t="s">
        <v>13046</v>
      </c>
      <c r="X1915">
        <v>15</v>
      </c>
      <c r="Y1915" t="s">
        <v>18563</v>
      </c>
      <c r="Z1915" t="s">
        <v>24065</v>
      </c>
      <c r="AA1915">
        <v>0.78873436399483421</v>
      </c>
      <c r="AB1915" t="str">
        <f>HYPERLINK("Melting_Curves/meltCurve_P15531_NME1.pdf", "Melting_Curves/meltCurve_P15531_NME1.pdf")</f>
        <v>Melting_Curves/meltCurve_P15531_NME1.pdf</v>
      </c>
    </row>
    <row r="1916" spans="1:28" x14ac:dyDescent="0.25">
      <c r="A1916" t="s">
        <v>1920</v>
      </c>
      <c r="B1916">
        <v>0.99796759195183404</v>
      </c>
      <c r="C1916">
        <v>0.94654978201393303</v>
      </c>
      <c r="D1916">
        <v>0.93066811461294097</v>
      </c>
      <c r="E1916">
        <v>0.78891587465088997</v>
      </c>
      <c r="F1916">
        <v>0.87364728499433997</v>
      </c>
      <c r="G1916">
        <v>0.62853230308508901</v>
      </c>
      <c r="H1916">
        <v>0.57613068359977304</v>
      </c>
      <c r="I1916">
        <v>0.44505578847602001</v>
      </c>
      <c r="J1916">
        <v>0.39076102434780802</v>
      </c>
      <c r="K1916">
        <v>0.36690420531690199</v>
      </c>
      <c r="L1916">
        <v>404.10111602599801</v>
      </c>
      <c r="M1916">
        <v>6.9602187151354196</v>
      </c>
      <c r="N1916">
        <v>59.759803654085303</v>
      </c>
      <c r="O1916">
        <v>53.835057450092897</v>
      </c>
      <c r="P1916">
        <v>-2.9472946946433601E-2</v>
      </c>
      <c r="Q1916">
        <v>8.9867824808542704E-2</v>
      </c>
      <c r="R1916">
        <v>0.96439939128389496</v>
      </c>
      <c r="S1916" t="s">
        <v>7499</v>
      </c>
      <c r="T1916" t="s">
        <v>11164</v>
      </c>
      <c r="U1916" t="s">
        <v>11164</v>
      </c>
      <c r="V1916" t="s">
        <v>11164</v>
      </c>
      <c r="W1916" t="s">
        <v>13047</v>
      </c>
      <c r="X1916">
        <v>1</v>
      </c>
      <c r="Y1916" t="s">
        <v>18564</v>
      </c>
      <c r="Z1916" t="s">
        <v>24066</v>
      </c>
      <c r="AA1916">
        <v>0.70045764513009845</v>
      </c>
      <c r="AB1916" t="str">
        <f>HYPERLINK("Melting_Curves/meltCurve_P15848_ARSB.pdf", "Melting_Curves/meltCurve_P15848_ARSB.pdf")</f>
        <v>Melting_Curves/meltCurve_P15848_ARSB.pdf</v>
      </c>
    </row>
    <row r="1917" spans="1:28" x14ac:dyDescent="0.25">
      <c r="A1917" t="s">
        <v>1921</v>
      </c>
      <c r="B1917">
        <v>0.99796759195183404</v>
      </c>
      <c r="C1917">
        <v>1.05127597724495</v>
      </c>
      <c r="D1917">
        <v>0.98160042444910001</v>
      </c>
      <c r="E1917">
        <v>0.95173934240425895</v>
      </c>
      <c r="F1917">
        <v>0.80387921041496702</v>
      </c>
      <c r="G1917">
        <v>0.46467670391279903</v>
      </c>
      <c r="H1917">
        <v>0.298867463003472</v>
      </c>
      <c r="I1917">
        <v>0.26056847614015399</v>
      </c>
      <c r="J1917">
        <v>0.21931283671372701</v>
      </c>
      <c r="K1917">
        <v>0.218666758440443</v>
      </c>
      <c r="L1917">
        <v>1313.4667346317899</v>
      </c>
      <c r="M1917">
        <v>25.1483415297565</v>
      </c>
      <c r="N1917">
        <v>53.4780634243116</v>
      </c>
      <c r="O1917">
        <v>51.9018696629633</v>
      </c>
      <c r="P1917">
        <v>-9.4226820172656697E-2</v>
      </c>
      <c r="Q1917">
        <v>0.222138143576597</v>
      </c>
      <c r="R1917">
        <v>0.99683479287101295</v>
      </c>
      <c r="S1917" t="s">
        <v>7500</v>
      </c>
      <c r="T1917" t="s">
        <v>11164</v>
      </c>
      <c r="U1917" t="s">
        <v>11164</v>
      </c>
      <c r="V1917" t="s">
        <v>11164</v>
      </c>
      <c r="W1917" t="s">
        <v>13048</v>
      </c>
      <c r="X1917">
        <v>9</v>
      </c>
      <c r="Y1917" t="s">
        <v>18565</v>
      </c>
      <c r="Z1917" t="s">
        <v>24067</v>
      </c>
      <c r="AA1917">
        <v>0.6238202039634092</v>
      </c>
      <c r="AB1917" t="str">
        <f>HYPERLINK("Melting_Curves/meltCurve_P15882_CHN1.pdf", "Melting_Curves/meltCurve_P15882_CHN1.pdf")</f>
        <v>Melting_Curves/meltCurve_P15882_CHN1.pdf</v>
      </c>
    </row>
    <row r="1918" spans="1:28" x14ac:dyDescent="0.25">
      <c r="A1918" t="s">
        <v>1922</v>
      </c>
      <c r="B1918">
        <v>0.99796759195183404</v>
      </c>
      <c r="C1918">
        <v>1.0775767718874201</v>
      </c>
      <c r="D1918">
        <v>1.0498456120047299</v>
      </c>
      <c r="E1918">
        <v>0.908035418295423</v>
      </c>
      <c r="F1918">
        <v>0.63962427238699604</v>
      </c>
      <c r="G1918">
        <v>0.328984055830079</v>
      </c>
      <c r="H1918">
        <v>0.20013233228750199</v>
      </c>
      <c r="I1918">
        <v>0.14675419191487499</v>
      </c>
      <c r="J1918">
        <v>0.14760503999725</v>
      </c>
      <c r="K1918">
        <v>8.7989275893099697E-2</v>
      </c>
      <c r="L1918">
        <v>1169.7921232126801</v>
      </c>
      <c r="M1918">
        <v>22.905344867596</v>
      </c>
      <c r="N1918">
        <v>51.690857254614798</v>
      </c>
      <c r="O1918">
        <v>50.686215702957</v>
      </c>
      <c r="P1918">
        <v>-9.9405245356034705E-2</v>
      </c>
      <c r="Q1918">
        <v>0.12013901195061701</v>
      </c>
      <c r="R1918">
        <v>0.99236035055502703</v>
      </c>
      <c r="S1918" t="s">
        <v>7501</v>
      </c>
      <c r="T1918" t="s">
        <v>11164</v>
      </c>
      <c r="U1918" t="s">
        <v>11164</v>
      </c>
      <c r="V1918" t="s">
        <v>11164</v>
      </c>
      <c r="W1918" t="s">
        <v>13049</v>
      </c>
      <c r="X1918">
        <v>7</v>
      </c>
      <c r="Y1918" t="s">
        <v>18566</v>
      </c>
      <c r="Z1918" t="s">
        <v>24068</v>
      </c>
      <c r="AA1918">
        <v>0.54192326096500354</v>
      </c>
      <c r="AB1918" t="str">
        <f>HYPERLINK("Melting_Curves/meltCurve_P15923_TCF3.pdf", "Melting_Curves/meltCurve_P15923_TCF3.pdf")</f>
        <v>Melting_Curves/meltCurve_P15923_TCF3.pdf</v>
      </c>
    </row>
    <row r="1919" spans="1:28" x14ac:dyDescent="0.25">
      <c r="A1919" t="s">
        <v>1923</v>
      </c>
      <c r="B1919">
        <v>0.99796759195183404</v>
      </c>
      <c r="C1919">
        <v>0.92003987574187696</v>
      </c>
      <c r="D1919">
        <v>0.84865021831819898</v>
      </c>
      <c r="E1919">
        <v>0.896489902511589</v>
      </c>
      <c r="F1919">
        <v>0.73186082833792898</v>
      </c>
      <c r="G1919">
        <v>0.40613292610028101</v>
      </c>
      <c r="H1919">
        <v>0.27019071782293003</v>
      </c>
      <c r="I1919">
        <v>0.22191339860060899</v>
      </c>
      <c r="J1919">
        <v>0.212645154164433</v>
      </c>
      <c r="K1919">
        <v>0.1380992632777</v>
      </c>
      <c r="L1919">
        <v>804.66594390324701</v>
      </c>
      <c r="M1919">
        <v>15.513470201351801</v>
      </c>
      <c r="N1919">
        <v>52.924786629645801</v>
      </c>
      <c r="O1919">
        <v>51.029915506913802</v>
      </c>
      <c r="P1919">
        <v>-6.5891812244141798E-2</v>
      </c>
      <c r="Q1919">
        <v>0.13310021574238901</v>
      </c>
      <c r="R1919">
        <v>0.97485114864011502</v>
      </c>
      <c r="S1919" t="s">
        <v>7502</v>
      </c>
      <c r="T1919" t="s">
        <v>11164</v>
      </c>
      <c r="U1919" t="s">
        <v>11164</v>
      </c>
      <c r="V1919" t="s">
        <v>11164</v>
      </c>
      <c r="W1919" t="s">
        <v>13050</v>
      </c>
      <c r="X1919">
        <v>7</v>
      </c>
      <c r="Y1919" t="s">
        <v>18566</v>
      </c>
      <c r="Z1919" t="s">
        <v>24069</v>
      </c>
      <c r="AA1919">
        <v>0.57881379033812352</v>
      </c>
      <c r="AB1919" t="str">
        <f>HYPERLINK("Melting_Curves/meltCurve_P15923_2_TCF3.pdf", "Melting_Curves/meltCurve_P15923_2_TCF3.pdf")</f>
        <v>Melting_Curves/meltCurve_P15923_2_TCF3.pdf</v>
      </c>
    </row>
    <row r="1920" spans="1:28" x14ac:dyDescent="0.25">
      <c r="A1920" t="s">
        <v>1924</v>
      </c>
      <c r="B1920">
        <v>0.99796759195183404</v>
      </c>
      <c r="C1920">
        <v>1.0727341663610801</v>
      </c>
      <c r="D1920">
        <v>0.96230396943726504</v>
      </c>
      <c r="E1920">
        <v>0.84227698801216899</v>
      </c>
      <c r="F1920">
        <v>0.40279970151738298</v>
      </c>
      <c r="G1920">
        <v>0.21771375119608999</v>
      </c>
      <c r="H1920">
        <v>0.16621973018362601</v>
      </c>
      <c r="I1920">
        <v>0.14054213239924301</v>
      </c>
      <c r="J1920">
        <v>0.122216107566331</v>
      </c>
      <c r="K1920">
        <v>9.3962838448689495E-2</v>
      </c>
      <c r="L1920">
        <v>1351.38444490149</v>
      </c>
      <c r="M1920">
        <v>27.601495892973901</v>
      </c>
      <c r="N1920">
        <v>49.492280955749102</v>
      </c>
      <c r="O1920">
        <v>48.705714427594799</v>
      </c>
      <c r="P1920">
        <v>-0.12349795362544901</v>
      </c>
      <c r="Q1920">
        <v>0.12830790615019999</v>
      </c>
      <c r="R1920">
        <v>0.994280899924601</v>
      </c>
      <c r="S1920" t="s">
        <v>7503</v>
      </c>
      <c r="T1920" t="s">
        <v>11164</v>
      </c>
      <c r="U1920" t="s">
        <v>11164</v>
      </c>
      <c r="V1920" t="s">
        <v>11164</v>
      </c>
      <c r="W1920" t="s">
        <v>13051</v>
      </c>
      <c r="X1920">
        <v>90</v>
      </c>
      <c r="Y1920" t="s">
        <v>18567</v>
      </c>
      <c r="Z1920" t="s">
        <v>24070</v>
      </c>
      <c r="AA1920">
        <v>0.48203800651911882</v>
      </c>
      <c r="AB1920" t="str">
        <f>HYPERLINK("Melting_Curves/meltCurve_P15924_DSP.pdf", "Melting_Curves/meltCurve_P15924_DSP.pdf")</f>
        <v>Melting_Curves/meltCurve_P15924_DSP.pdf</v>
      </c>
    </row>
    <row r="1921" spans="1:28" x14ac:dyDescent="0.25">
      <c r="A1921" t="s">
        <v>1925</v>
      </c>
      <c r="B1921">
        <v>0.99796759195183404</v>
      </c>
      <c r="C1921">
        <v>0.88799046030783602</v>
      </c>
      <c r="D1921">
        <v>0.93059765538594996</v>
      </c>
      <c r="E1921">
        <v>0.85995469550938897</v>
      </c>
      <c r="F1921">
        <v>0.69356069018836497</v>
      </c>
      <c r="G1921">
        <v>0.55397157702857402</v>
      </c>
      <c r="H1921">
        <v>0.63632366974409504</v>
      </c>
      <c r="I1921">
        <v>0.53495703805940997</v>
      </c>
      <c r="J1921">
        <v>0.21036549947185901</v>
      </c>
      <c r="K1921">
        <v>8.5487401848351199E-2</v>
      </c>
      <c r="L1921">
        <v>455.41874650383397</v>
      </c>
      <c r="M1921">
        <v>7.97128350593173</v>
      </c>
      <c r="N1921">
        <v>57.132423112038403</v>
      </c>
      <c r="O1921">
        <v>53.872808311476703</v>
      </c>
      <c r="P1921">
        <v>-3.7033621653899097E-2</v>
      </c>
      <c r="Q1921">
        <v>0</v>
      </c>
      <c r="R1921">
        <v>0.89134231478401604</v>
      </c>
      <c r="S1921" t="s">
        <v>7504</v>
      </c>
      <c r="T1921" t="s">
        <v>11164</v>
      </c>
      <c r="U1921" t="s">
        <v>11164</v>
      </c>
      <c r="V1921" t="s">
        <v>11164</v>
      </c>
      <c r="W1921" t="s">
        <v>13052</v>
      </c>
      <c r="X1921">
        <v>6</v>
      </c>
      <c r="Y1921" t="s">
        <v>18568</v>
      </c>
      <c r="Z1921" t="s">
        <v>24071</v>
      </c>
      <c r="AA1921">
        <v>0.65868377564479974</v>
      </c>
      <c r="AB1921" t="str">
        <f>HYPERLINK("Melting_Curves/meltCurve_P15927_RPA2.pdf", "Melting_Curves/meltCurve_P15927_RPA2.pdf")</f>
        <v>Melting_Curves/meltCurve_P15927_RPA2.pdf</v>
      </c>
    </row>
    <row r="1922" spans="1:28" x14ac:dyDescent="0.25">
      <c r="A1922" t="s">
        <v>1926</v>
      </c>
      <c r="B1922">
        <v>0.99796759195183404</v>
      </c>
      <c r="C1922">
        <v>1.07625164966646</v>
      </c>
      <c r="D1922">
        <v>1.0618336560963799</v>
      </c>
      <c r="E1922">
        <v>1.1423382219681799</v>
      </c>
      <c r="F1922">
        <v>0.87746945012933697</v>
      </c>
      <c r="G1922">
        <v>0.78275312106060402</v>
      </c>
      <c r="H1922">
        <v>0.60264280765029798</v>
      </c>
      <c r="I1922">
        <v>0.57623454432092203</v>
      </c>
      <c r="J1922">
        <v>0.45521772037307701</v>
      </c>
      <c r="K1922">
        <v>0.42173306378400099</v>
      </c>
      <c r="L1922">
        <v>1044.13227971629</v>
      </c>
      <c r="M1922">
        <v>18.873526133887101</v>
      </c>
      <c r="N1922">
        <v>61.679002301917102</v>
      </c>
      <c r="O1922">
        <v>54.712732408893203</v>
      </c>
      <c r="P1922">
        <v>-4.9286929127764098E-2</v>
      </c>
      <c r="Q1922">
        <v>0.42850907983471798</v>
      </c>
      <c r="R1922">
        <v>0.93475515894314998</v>
      </c>
      <c r="S1922" t="s">
        <v>7505</v>
      </c>
      <c r="T1922" t="s">
        <v>11164</v>
      </c>
      <c r="U1922" t="s">
        <v>11164</v>
      </c>
      <c r="V1922" t="s">
        <v>11164</v>
      </c>
      <c r="W1922" t="s">
        <v>13053</v>
      </c>
      <c r="X1922">
        <v>1</v>
      </c>
      <c r="Y1922" t="s">
        <v>18569</v>
      </c>
      <c r="Z1922" t="s">
        <v>24072</v>
      </c>
      <c r="AA1922">
        <v>0.78421148267000451</v>
      </c>
      <c r="AB1922" t="str">
        <f>HYPERLINK("Melting_Curves/meltCurve_P16035_TIMP2.pdf", "Melting_Curves/meltCurve_P16035_TIMP2.pdf")</f>
        <v>Melting_Curves/meltCurve_P16035_TIMP2.pdf</v>
      </c>
    </row>
    <row r="1923" spans="1:28" x14ac:dyDescent="0.25">
      <c r="A1923" t="s">
        <v>1927</v>
      </c>
      <c r="B1923">
        <v>0.99796759195183404</v>
      </c>
      <c r="C1923">
        <v>0.98216277078243097</v>
      </c>
      <c r="D1923">
        <v>0.97235153693208098</v>
      </c>
      <c r="E1923">
        <v>0.91075904592568802</v>
      </c>
      <c r="F1923">
        <v>0.79404870630616597</v>
      </c>
      <c r="G1923">
        <v>0.59378429651868903</v>
      </c>
      <c r="H1923">
        <v>0.36114581718227901</v>
      </c>
      <c r="I1923">
        <v>0.169937363986776</v>
      </c>
      <c r="J1923">
        <v>0.12792467161538401</v>
      </c>
      <c r="K1923">
        <v>9.4681991832597803E-2</v>
      </c>
      <c r="L1923">
        <v>786.68505827672004</v>
      </c>
      <c r="M1923">
        <v>14.3303198640695</v>
      </c>
      <c r="N1923">
        <v>54.985547927499702</v>
      </c>
      <c r="O1923">
        <v>53.860728269698903</v>
      </c>
      <c r="P1923">
        <v>-6.5761010858897795E-2</v>
      </c>
      <c r="Q1923">
        <v>1.14643713288282E-2</v>
      </c>
      <c r="R1923">
        <v>0.99837694230287299</v>
      </c>
      <c r="S1923" t="s">
        <v>7506</v>
      </c>
      <c r="T1923" t="s">
        <v>11164</v>
      </c>
      <c r="U1923" t="s">
        <v>11164</v>
      </c>
      <c r="V1923" t="s">
        <v>11164</v>
      </c>
      <c r="W1923" t="s">
        <v>13054</v>
      </c>
      <c r="X1923">
        <v>23</v>
      </c>
      <c r="Y1923" t="s">
        <v>18570</v>
      </c>
      <c r="Z1923" t="s">
        <v>24073</v>
      </c>
      <c r="AA1923">
        <v>0.61559056359811548</v>
      </c>
      <c r="AB1923" t="str">
        <f>HYPERLINK("Melting_Curves/meltCurve_P16152_CBR1.pdf", "Melting_Curves/meltCurve_P16152_CBR1.pdf")</f>
        <v>Melting_Curves/meltCurve_P16152_CBR1.pdf</v>
      </c>
    </row>
    <row r="1924" spans="1:28" x14ac:dyDescent="0.25">
      <c r="A1924" t="s">
        <v>1928</v>
      </c>
      <c r="B1924">
        <v>0.99796759195183404</v>
      </c>
      <c r="C1924">
        <v>0.88365156609101403</v>
      </c>
      <c r="D1924">
        <v>0.81937259875601398</v>
      </c>
      <c r="E1924">
        <v>0.79009486176514299</v>
      </c>
      <c r="F1924">
        <v>0.76630160000312897</v>
      </c>
      <c r="G1924">
        <v>0.79562580551197104</v>
      </c>
      <c r="H1924">
        <v>0.48650329588680002</v>
      </c>
      <c r="I1924">
        <v>0.21385293570186201</v>
      </c>
      <c r="J1924">
        <v>0.19164692484964699</v>
      </c>
      <c r="K1924">
        <v>0.115651893470249</v>
      </c>
      <c r="L1924">
        <v>603.98737879466398</v>
      </c>
      <c r="M1924">
        <v>10.7155505481986</v>
      </c>
      <c r="N1924">
        <v>56.365501358759403</v>
      </c>
      <c r="O1924">
        <v>54.5088305837902</v>
      </c>
      <c r="P1924">
        <v>-4.91642809077176E-2</v>
      </c>
      <c r="Q1924">
        <v>0</v>
      </c>
      <c r="R1924">
        <v>0.90879062117214804</v>
      </c>
      <c r="S1924" t="s">
        <v>7507</v>
      </c>
      <c r="T1924" t="s">
        <v>11164</v>
      </c>
      <c r="U1924" t="s">
        <v>11164</v>
      </c>
      <c r="V1924" t="s">
        <v>11164</v>
      </c>
      <c r="W1924" t="s">
        <v>13055</v>
      </c>
      <c r="X1924">
        <v>10</v>
      </c>
      <c r="Y1924" t="s">
        <v>18571</v>
      </c>
      <c r="Z1924" t="s">
        <v>24074</v>
      </c>
      <c r="AA1924">
        <v>0.65108553130653801</v>
      </c>
      <c r="AB1924" t="str">
        <f>HYPERLINK("Melting_Curves/meltCurve_P16298_PPP3CB.pdf", "Melting_Curves/meltCurve_P16298_PPP3CB.pdf")</f>
        <v>Melting_Curves/meltCurve_P16298_PPP3CB.pdf</v>
      </c>
    </row>
    <row r="1925" spans="1:28" x14ac:dyDescent="0.25">
      <c r="A1925" t="s">
        <v>1929</v>
      </c>
      <c r="B1925">
        <v>0.99796759195183404</v>
      </c>
      <c r="C1925">
        <v>1.0043090605245</v>
      </c>
      <c r="D1925">
        <v>0.94827534849519202</v>
      </c>
      <c r="E1925">
        <v>0.89132615380944002</v>
      </c>
      <c r="F1925">
        <v>0.68389513637675603</v>
      </c>
      <c r="G1925">
        <v>0.35457413915267499</v>
      </c>
      <c r="H1925">
        <v>0.30773627175456603</v>
      </c>
      <c r="I1925">
        <v>0.24465802619806301</v>
      </c>
      <c r="J1925">
        <v>0.21709187356117099</v>
      </c>
      <c r="K1925">
        <v>0.150841519639899</v>
      </c>
      <c r="L1925">
        <v>999.94714443886903</v>
      </c>
      <c r="M1925">
        <v>19.6002476957275</v>
      </c>
      <c r="N1925">
        <v>52.277494758804202</v>
      </c>
      <c r="O1925">
        <v>50.494911102539596</v>
      </c>
      <c r="P1925">
        <v>-7.8770433202108497E-2</v>
      </c>
      <c r="Q1925">
        <v>0.18830294829084401</v>
      </c>
      <c r="R1925">
        <v>0.99272294196803601</v>
      </c>
      <c r="S1925" t="s">
        <v>7508</v>
      </c>
      <c r="T1925" t="s">
        <v>11164</v>
      </c>
      <c r="U1925" t="s">
        <v>11164</v>
      </c>
      <c r="V1925" t="s">
        <v>11164</v>
      </c>
      <c r="W1925" t="s">
        <v>13056</v>
      </c>
      <c r="X1925">
        <v>6</v>
      </c>
      <c r="Y1925" t="s">
        <v>18572</v>
      </c>
      <c r="Z1925" t="s">
        <v>24075</v>
      </c>
      <c r="AA1925">
        <v>0.57854295902089292</v>
      </c>
      <c r="AB1925" t="str">
        <f>HYPERLINK("Melting_Curves/meltCurve_P16333_NCK1.pdf", "Melting_Curves/meltCurve_P16333_NCK1.pdf")</f>
        <v>Melting_Curves/meltCurve_P16333_NCK1.pdf</v>
      </c>
    </row>
    <row r="1926" spans="1:28" x14ac:dyDescent="0.25">
      <c r="A1926" t="s">
        <v>1930</v>
      </c>
      <c r="B1926">
        <v>0.99796759195183404</v>
      </c>
      <c r="C1926">
        <v>1.02407177172067</v>
      </c>
      <c r="D1926">
        <v>0.98369693180053097</v>
      </c>
      <c r="E1926">
        <v>0.93108061421749999</v>
      </c>
      <c r="F1926">
        <v>0.59926025743905997</v>
      </c>
      <c r="G1926">
        <v>0.349019353771364</v>
      </c>
      <c r="H1926">
        <v>0.28002002432522</v>
      </c>
      <c r="I1926">
        <v>0.24117747120685401</v>
      </c>
      <c r="J1926">
        <v>0.23179830109281499</v>
      </c>
      <c r="K1926">
        <v>0.20795375441194999</v>
      </c>
      <c r="L1926">
        <v>1330.1282540572699</v>
      </c>
      <c r="M1926">
        <v>26.5067305038733</v>
      </c>
      <c r="N1926">
        <v>51.383485825421197</v>
      </c>
      <c r="O1926">
        <v>49.8977896912414</v>
      </c>
      <c r="P1926">
        <v>-0.102109165305644</v>
      </c>
      <c r="Q1926">
        <v>0.23114387096873101</v>
      </c>
      <c r="R1926">
        <v>0.99793716654811804</v>
      </c>
      <c r="S1926" t="s">
        <v>7509</v>
      </c>
      <c r="T1926" t="s">
        <v>11164</v>
      </c>
      <c r="U1926" t="s">
        <v>11164</v>
      </c>
      <c r="V1926" t="s">
        <v>11164</v>
      </c>
      <c r="W1926" t="s">
        <v>13057</v>
      </c>
      <c r="X1926">
        <v>11</v>
      </c>
      <c r="Y1926" t="s">
        <v>18573</v>
      </c>
      <c r="Z1926" t="s">
        <v>24076</v>
      </c>
      <c r="AA1926">
        <v>0.57497102140174816</v>
      </c>
      <c r="AB1926" t="str">
        <f>HYPERLINK("Melting_Curves/meltCurve_P16383_GCFC2.pdf", "Melting_Curves/meltCurve_P16383_GCFC2.pdf")</f>
        <v>Melting_Curves/meltCurve_P16383_GCFC2.pdf</v>
      </c>
    </row>
    <row r="1927" spans="1:28" x14ac:dyDescent="0.25">
      <c r="A1927" t="s">
        <v>1931</v>
      </c>
      <c r="B1927">
        <v>0.99796759195183404</v>
      </c>
      <c r="C1927">
        <v>0.93230649328392001</v>
      </c>
      <c r="D1927">
        <v>1.04017921653852</v>
      </c>
      <c r="E1927">
        <v>1.10896404969861</v>
      </c>
      <c r="F1927">
        <v>0.82564687143773197</v>
      </c>
      <c r="G1927">
        <v>0.74841161640721499</v>
      </c>
      <c r="H1927">
        <v>0.65134310760750302</v>
      </c>
      <c r="I1927">
        <v>0.51365399270132195</v>
      </c>
      <c r="J1927">
        <v>0.44779311154467599</v>
      </c>
      <c r="K1927">
        <v>0.293879063602423</v>
      </c>
      <c r="L1927">
        <v>655.79762099281902</v>
      </c>
      <c r="M1927">
        <v>11.105039875879299</v>
      </c>
      <c r="N1927">
        <v>61.078837862030703</v>
      </c>
      <c r="O1927">
        <v>57.236109844874399</v>
      </c>
      <c r="P1927">
        <v>-4.10494985948575E-2</v>
      </c>
      <c r="Q1927">
        <v>0.15398784710657701</v>
      </c>
      <c r="R1927">
        <v>0.94177952130841802</v>
      </c>
      <c r="S1927" t="s">
        <v>7510</v>
      </c>
      <c r="T1927" t="s">
        <v>11164</v>
      </c>
      <c r="U1927" t="s">
        <v>11164</v>
      </c>
      <c r="V1927" t="s">
        <v>11164</v>
      </c>
      <c r="W1927" t="s">
        <v>13058</v>
      </c>
      <c r="X1927">
        <v>10</v>
      </c>
      <c r="Y1927" t="s">
        <v>18574</v>
      </c>
      <c r="Z1927" t="s">
        <v>24077</v>
      </c>
      <c r="AA1927">
        <v>0.76558548318814856</v>
      </c>
      <c r="AB1927" t="str">
        <f>HYPERLINK("Melting_Curves/meltCurve_P16403_HIST1H1C.pdf", "Melting_Curves/meltCurve_P16403_HIST1H1C.pdf")</f>
        <v>Melting_Curves/meltCurve_P16403_HIST1H1C.pdf</v>
      </c>
    </row>
    <row r="1928" spans="1:28" x14ac:dyDescent="0.25">
      <c r="A1928" t="s">
        <v>1932</v>
      </c>
      <c r="B1928">
        <v>0.99796759195183404</v>
      </c>
      <c r="C1928">
        <v>0.98225887369449505</v>
      </c>
      <c r="D1928">
        <v>1.02836049471083</v>
      </c>
      <c r="E1928">
        <v>0.99479276273465</v>
      </c>
      <c r="F1928">
        <v>0.82482968094965503</v>
      </c>
      <c r="G1928">
        <v>0.45608665683041799</v>
      </c>
      <c r="H1928">
        <v>0.21771133866904199</v>
      </c>
      <c r="I1928">
        <v>0.17788512441195201</v>
      </c>
      <c r="J1928">
        <v>0.120623471690833</v>
      </c>
      <c r="K1928">
        <v>8.7857538031971799E-2</v>
      </c>
      <c r="L1928">
        <v>1373.9345878930601</v>
      </c>
      <c r="M1928">
        <v>25.968317813665699</v>
      </c>
      <c r="N1928">
        <v>53.440875781430101</v>
      </c>
      <c r="O1928">
        <v>52.597344028657901</v>
      </c>
      <c r="P1928">
        <v>-0.10935461226345899</v>
      </c>
      <c r="Q1928">
        <v>0.114044126964782</v>
      </c>
      <c r="R1928">
        <v>0.997421582133037</v>
      </c>
      <c r="S1928" t="s">
        <v>7511</v>
      </c>
      <c r="T1928" t="s">
        <v>11164</v>
      </c>
      <c r="U1928" t="s">
        <v>11164</v>
      </c>
      <c r="V1928" t="s">
        <v>11164</v>
      </c>
      <c r="W1928" t="s">
        <v>13059</v>
      </c>
      <c r="X1928">
        <v>23</v>
      </c>
      <c r="Y1928" t="s">
        <v>18575</v>
      </c>
      <c r="Z1928" t="s">
        <v>24078</v>
      </c>
      <c r="AA1928">
        <v>0.59117124787131226</v>
      </c>
      <c r="AB1928" t="str">
        <f>HYPERLINK("Melting_Curves/meltCurve_P16435_POR.pdf", "Melting_Curves/meltCurve_P16435_POR.pdf")</f>
        <v>Melting_Curves/meltCurve_P16435_POR.pdf</v>
      </c>
    </row>
    <row r="1929" spans="1:28" x14ac:dyDescent="0.25">
      <c r="A1929" t="s">
        <v>1933</v>
      </c>
      <c r="B1929">
        <v>0.99796759195183404</v>
      </c>
      <c r="C1929">
        <v>1.03499640195721</v>
      </c>
      <c r="D1929">
        <v>1.0158144740041499</v>
      </c>
      <c r="E1929">
        <v>0.94792735854210897</v>
      </c>
      <c r="F1929">
        <v>0.49094540592220498</v>
      </c>
      <c r="G1929">
        <v>0.207312122988321</v>
      </c>
      <c r="H1929">
        <v>0.18445892885755499</v>
      </c>
      <c r="I1929">
        <v>0.13029582242837401</v>
      </c>
      <c r="J1929">
        <v>0.104267937612645</v>
      </c>
      <c r="K1929">
        <v>7.4363446132231795E-2</v>
      </c>
      <c r="L1929">
        <v>1702.71826678771</v>
      </c>
      <c r="M1929">
        <v>34.172024416645797</v>
      </c>
      <c r="N1929">
        <v>50.243179190342303</v>
      </c>
      <c r="O1929">
        <v>49.658128297855399</v>
      </c>
      <c r="P1929">
        <v>-0.15086868375395501</v>
      </c>
      <c r="Q1929">
        <v>0.123045536941461</v>
      </c>
      <c r="R1929">
        <v>0.99503029429793199</v>
      </c>
      <c r="S1929" t="s">
        <v>7512</v>
      </c>
      <c r="T1929" t="s">
        <v>11164</v>
      </c>
      <c r="U1929" t="s">
        <v>11164</v>
      </c>
      <c r="V1929" t="s">
        <v>11164</v>
      </c>
      <c r="W1929" t="s">
        <v>13060</v>
      </c>
      <c r="X1929">
        <v>9</v>
      </c>
      <c r="Y1929" t="s">
        <v>18576</v>
      </c>
      <c r="Z1929" t="s">
        <v>24079</v>
      </c>
      <c r="AA1929">
        <v>0.50216716173790532</v>
      </c>
      <c r="AB1929" t="str">
        <f>HYPERLINK("Melting_Curves/meltCurve_P16591_3_FER.pdf", "Melting_Curves/meltCurve_P16591_3_FER.pdf")</f>
        <v>Melting_Curves/meltCurve_P16591_3_FER.pdf</v>
      </c>
    </row>
    <row r="1930" spans="1:28" x14ac:dyDescent="0.25">
      <c r="A1930" t="s">
        <v>1934</v>
      </c>
      <c r="B1930">
        <v>0.99796759195183404</v>
      </c>
      <c r="C1930">
        <v>0.98987313768820195</v>
      </c>
      <c r="D1930">
        <v>1.0243871671400799</v>
      </c>
      <c r="E1930">
        <v>0.93187814757974097</v>
      </c>
      <c r="F1930">
        <v>0.83515646889122597</v>
      </c>
      <c r="G1930">
        <v>0.65559768958000597</v>
      </c>
      <c r="H1930">
        <v>0.233104142987521</v>
      </c>
      <c r="I1930">
        <v>0.178383963257783</v>
      </c>
      <c r="J1930">
        <v>0.13281840607936601</v>
      </c>
      <c r="K1930">
        <v>0.104479504571778</v>
      </c>
      <c r="L1930">
        <v>1236.5506139403899</v>
      </c>
      <c r="M1930">
        <v>22.778733209482098</v>
      </c>
      <c r="N1930">
        <v>54.779676266157402</v>
      </c>
      <c r="O1930">
        <v>53.8721213374954</v>
      </c>
      <c r="P1930">
        <v>-9.5888170734187594E-2</v>
      </c>
      <c r="Q1930">
        <v>9.2908521779573802E-2</v>
      </c>
      <c r="R1930">
        <v>0.99071572136988695</v>
      </c>
      <c r="S1930" t="s">
        <v>7513</v>
      </c>
      <c r="T1930" t="s">
        <v>11164</v>
      </c>
      <c r="U1930" t="s">
        <v>11164</v>
      </c>
      <c r="V1930" t="s">
        <v>11164</v>
      </c>
      <c r="W1930" t="s">
        <v>13061</v>
      </c>
      <c r="X1930">
        <v>36</v>
      </c>
      <c r="Y1930" t="s">
        <v>18577</v>
      </c>
      <c r="Z1930" t="s">
        <v>24080</v>
      </c>
      <c r="AA1930">
        <v>0.62462073120140471</v>
      </c>
      <c r="AB1930" t="str">
        <f>HYPERLINK("Melting_Curves/meltCurve_P16615_ATP2A2.pdf", "Melting_Curves/meltCurve_P16615_ATP2A2.pdf")</f>
        <v>Melting_Curves/meltCurve_P16615_ATP2A2.pdf</v>
      </c>
    </row>
    <row r="1931" spans="1:28" x14ac:dyDescent="0.25">
      <c r="A1931" t="s">
        <v>1935</v>
      </c>
      <c r="B1931">
        <v>0.99796759195183404</v>
      </c>
      <c r="C1931">
        <v>1.0506505213756701</v>
      </c>
      <c r="D1931">
        <v>1.0776367004701799</v>
      </c>
      <c r="E1931">
        <v>0.97236923017017896</v>
      </c>
      <c r="F1931">
        <v>0.74482179533443404</v>
      </c>
      <c r="G1931">
        <v>0.37176647595857898</v>
      </c>
      <c r="H1931">
        <v>0.21396038495249101</v>
      </c>
      <c r="I1931">
        <v>0.18193842995704099</v>
      </c>
      <c r="J1931">
        <v>0.18696676248276101</v>
      </c>
      <c r="K1931">
        <v>0.132713613379905</v>
      </c>
      <c r="L1931">
        <v>1475.99777977084</v>
      </c>
      <c r="M1931">
        <v>28.5471651926817</v>
      </c>
      <c r="N1931">
        <v>52.4303984625993</v>
      </c>
      <c r="O1931">
        <v>51.452110967046501</v>
      </c>
      <c r="P1931">
        <v>-0.116048846737262</v>
      </c>
      <c r="Q1931">
        <v>0.16336206811745799</v>
      </c>
      <c r="R1931">
        <v>0.99298420472619697</v>
      </c>
      <c r="S1931" t="s">
        <v>7514</v>
      </c>
      <c r="T1931" t="s">
        <v>11164</v>
      </c>
      <c r="U1931" t="s">
        <v>11164</v>
      </c>
      <c r="V1931" t="s">
        <v>11164</v>
      </c>
      <c r="W1931" t="s">
        <v>13062</v>
      </c>
      <c r="X1931">
        <v>4</v>
      </c>
      <c r="Y1931" t="s">
        <v>18578</v>
      </c>
      <c r="Z1931" t="s">
        <v>24081</v>
      </c>
      <c r="AA1931">
        <v>0.57920692791131323</v>
      </c>
      <c r="AB1931" t="str">
        <f>HYPERLINK("Melting_Curves/meltCurve_P16885_PLCG2.pdf", "Melting_Curves/meltCurve_P16885_PLCG2.pdf")</f>
        <v>Melting_Curves/meltCurve_P16885_PLCG2.pdf</v>
      </c>
    </row>
    <row r="1932" spans="1:28" x14ac:dyDescent="0.25">
      <c r="A1932" t="s">
        <v>1936</v>
      </c>
      <c r="B1932">
        <v>0.99796759195183404</v>
      </c>
      <c r="C1932">
        <v>0.90644210262682101</v>
      </c>
      <c r="D1932">
        <v>0.89170182364147099</v>
      </c>
      <c r="E1932">
        <v>0.90940082898583197</v>
      </c>
      <c r="F1932">
        <v>0.75409538871659898</v>
      </c>
      <c r="G1932">
        <v>0.58373868379429295</v>
      </c>
      <c r="H1932">
        <v>0.54281180645710803</v>
      </c>
      <c r="I1932">
        <v>0.48091076286802797</v>
      </c>
      <c r="J1932">
        <v>0.56200052302981296</v>
      </c>
      <c r="K1932">
        <v>0.42427955527428102</v>
      </c>
      <c r="L1932">
        <v>561.77827348880101</v>
      </c>
      <c r="M1932">
        <v>11.0444588677849</v>
      </c>
      <c r="N1932">
        <v>61.469548706670601</v>
      </c>
      <c r="O1932">
        <v>49.282969647023897</v>
      </c>
      <c r="P1932">
        <v>-3.2191143347573101E-2</v>
      </c>
      <c r="Q1932">
        <v>0.42561302967072601</v>
      </c>
      <c r="R1932">
        <v>0.94518134332176595</v>
      </c>
      <c r="S1932" t="s">
        <v>7515</v>
      </c>
      <c r="T1932" t="s">
        <v>11164</v>
      </c>
      <c r="U1932" t="s">
        <v>11164</v>
      </c>
      <c r="V1932" t="s">
        <v>11164</v>
      </c>
      <c r="W1932" t="s">
        <v>13063</v>
      </c>
      <c r="X1932">
        <v>9</v>
      </c>
      <c r="Y1932" t="s">
        <v>18579</v>
      </c>
      <c r="Z1932" t="s">
        <v>24082</v>
      </c>
      <c r="AA1932">
        <v>0.70744697284678471</v>
      </c>
      <c r="AB1932" t="str">
        <f>HYPERLINK("Melting_Curves/meltCurve_P16930_FAH.pdf", "Melting_Curves/meltCurve_P16930_FAH.pdf")</f>
        <v>Melting_Curves/meltCurve_P16930_FAH.pdf</v>
      </c>
    </row>
    <row r="1933" spans="1:28" x14ac:dyDescent="0.25">
      <c r="A1933" t="s">
        <v>1937</v>
      </c>
      <c r="B1933">
        <v>0.99796759195183404</v>
      </c>
      <c r="C1933">
        <v>1.02206132565029</v>
      </c>
      <c r="D1933">
        <v>0.98086059079115895</v>
      </c>
      <c r="E1933">
        <v>0.92451300045401297</v>
      </c>
      <c r="F1933">
        <v>0.83936517464356997</v>
      </c>
      <c r="G1933">
        <v>0.71194133267577497</v>
      </c>
      <c r="H1933">
        <v>0.69117507723736304</v>
      </c>
      <c r="I1933">
        <v>0.66419486206508904</v>
      </c>
      <c r="J1933">
        <v>0.91009278815893002</v>
      </c>
      <c r="K1933">
        <v>0.86175891693995099</v>
      </c>
      <c r="L1933">
        <v>1546.26475074936</v>
      </c>
      <c r="M1933">
        <v>32.314797235695202</v>
      </c>
      <c r="O1933">
        <v>47.667928375813901</v>
      </c>
      <c r="P1933">
        <v>-3.8860761997279801E-2</v>
      </c>
      <c r="Q1933">
        <v>0.77070530773459101</v>
      </c>
      <c r="R1933">
        <v>0.67069117803713896</v>
      </c>
      <c r="S1933" t="s">
        <v>7516</v>
      </c>
      <c r="T1933" t="s">
        <v>11164</v>
      </c>
      <c r="U1933" t="s">
        <v>11164</v>
      </c>
      <c r="V1933" t="s">
        <v>11164</v>
      </c>
      <c r="W1933" t="s">
        <v>11375</v>
      </c>
      <c r="X1933">
        <v>31</v>
      </c>
      <c r="Y1933" t="s">
        <v>18580</v>
      </c>
      <c r="Z1933" t="s">
        <v>24083</v>
      </c>
      <c r="AA1933">
        <v>0.85480001049300702</v>
      </c>
      <c r="AB1933" t="str">
        <f>HYPERLINK("Melting_Curves/meltCurve_P16949_STMN1.pdf", "Melting_Curves/meltCurve_P16949_STMN1.pdf")</f>
        <v>Melting_Curves/meltCurve_P16949_STMN1.pdf</v>
      </c>
    </row>
    <row r="1934" spans="1:28" x14ac:dyDescent="0.25">
      <c r="A1934" t="s">
        <v>1938</v>
      </c>
      <c r="B1934">
        <v>0.99796759195183404</v>
      </c>
      <c r="C1934">
        <v>1.14312066798381</v>
      </c>
      <c r="D1934">
        <v>1.1323809465816701</v>
      </c>
      <c r="E1934">
        <v>1.0691880803456599</v>
      </c>
      <c r="F1934">
        <v>1.09366436589426</v>
      </c>
      <c r="G1934">
        <v>0.69727817051772101</v>
      </c>
      <c r="H1934">
        <v>0.614895714703658</v>
      </c>
      <c r="I1934">
        <v>0.55657852551953102</v>
      </c>
      <c r="J1934">
        <v>0.52968470689800795</v>
      </c>
      <c r="K1934">
        <v>0.30941019789778201</v>
      </c>
      <c r="L1934">
        <v>1310.02822327426</v>
      </c>
      <c r="M1934">
        <v>23.746857970056599</v>
      </c>
      <c r="N1934">
        <v>60.270043034641397</v>
      </c>
      <c r="O1934">
        <v>54.779634989086198</v>
      </c>
      <c r="P1934">
        <v>-6.1442333482975897E-2</v>
      </c>
      <c r="Q1934">
        <v>0.43306469254267099</v>
      </c>
      <c r="R1934">
        <v>0.87685695598803204</v>
      </c>
      <c r="S1934" t="s">
        <v>7517</v>
      </c>
      <c r="T1934" t="s">
        <v>11164</v>
      </c>
      <c r="U1934" t="s">
        <v>11164</v>
      </c>
      <c r="V1934" t="s">
        <v>11164</v>
      </c>
      <c r="W1934" t="s">
        <v>13064</v>
      </c>
      <c r="X1934">
        <v>9</v>
      </c>
      <c r="Y1934" t="s">
        <v>18581</v>
      </c>
      <c r="Z1934" t="s">
        <v>24084</v>
      </c>
      <c r="AA1934">
        <v>0.78152207983681121</v>
      </c>
      <c r="AB1934" t="str">
        <f>HYPERLINK("Melting_Curves/meltCurve_P16989_YBX3.pdf", "Melting_Curves/meltCurve_P16989_YBX3.pdf")</f>
        <v>Melting_Curves/meltCurve_P16989_YBX3.pdf</v>
      </c>
    </row>
    <row r="1935" spans="1:28" x14ac:dyDescent="0.25">
      <c r="A1935" t="s">
        <v>1939</v>
      </c>
      <c r="B1935">
        <v>0.99796759195183404</v>
      </c>
      <c r="C1935">
        <v>0.86679168067103096</v>
      </c>
      <c r="D1935">
        <v>0.89059377958069796</v>
      </c>
      <c r="E1935">
        <v>0.83509526686679403</v>
      </c>
      <c r="F1935">
        <v>0.82188155697801402</v>
      </c>
      <c r="G1935">
        <v>0.47961908737514602</v>
      </c>
      <c r="H1935">
        <v>0.46205695536192298</v>
      </c>
      <c r="I1935">
        <v>0.44742478949092301</v>
      </c>
      <c r="J1935">
        <v>0.37194494846402498</v>
      </c>
      <c r="K1935">
        <v>0.33511438714127401</v>
      </c>
      <c r="L1935">
        <v>463.13397633462102</v>
      </c>
      <c r="M1935">
        <v>8.7622667571953201</v>
      </c>
      <c r="N1935">
        <v>56.868077761406198</v>
      </c>
      <c r="O1935">
        <v>50.319286574514699</v>
      </c>
      <c r="P1935">
        <v>-3.35232288207757E-2</v>
      </c>
      <c r="Q1935">
        <v>0.230559580795062</v>
      </c>
      <c r="R1935">
        <v>0.93633920281741401</v>
      </c>
      <c r="S1935" t="s">
        <v>7518</v>
      </c>
      <c r="T1935" t="s">
        <v>11164</v>
      </c>
      <c r="U1935" t="s">
        <v>11164</v>
      </c>
      <c r="V1935" t="s">
        <v>11164</v>
      </c>
      <c r="W1935" t="s">
        <v>13065</v>
      </c>
      <c r="X1935">
        <v>8</v>
      </c>
      <c r="Y1935" t="s">
        <v>18581</v>
      </c>
      <c r="Z1935" t="s">
        <v>24085</v>
      </c>
      <c r="AA1935">
        <v>0.65508446098972328</v>
      </c>
      <c r="AB1935" t="str">
        <f>HYPERLINK("Melting_Curves/meltCurve_P16989_2_YBX3.pdf", "Melting_Curves/meltCurve_P16989_2_YBX3.pdf")</f>
        <v>Melting_Curves/meltCurve_P16989_2_YBX3.pdf</v>
      </c>
    </row>
    <row r="1936" spans="1:28" x14ac:dyDescent="0.25">
      <c r="A1936" t="s">
        <v>1940</v>
      </c>
      <c r="B1936">
        <v>0.99796759195183404</v>
      </c>
      <c r="C1936">
        <v>1.08743094247553</v>
      </c>
      <c r="D1936">
        <v>1.2034039912066501</v>
      </c>
      <c r="E1936">
        <v>1.0928195079424201</v>
      </c>
      <c r="F1936">
        <v>0.95417398800375497</v>
      </c>
      <c r="G1936">
        <v>0.58008606631542103</v>
      </c>
      <c r="H1936">
        <v>0.54815049960171702</v>
      </c>
      <c r="I1936">
        <v>0.366127007685427</v>
      </c>
      <c r="J1936">
        <v>0.22191671291676701</v>
      </c>
      <c r="K1936">
        <v>0.10392738633601099</v>
      </c>
      <c r="L1936">
        <v>875.89706495236896</v>
      </c>
      <c r="M1936">
        <v>15.391275833754699</v>
      </c>
      <c r="N1936">
        <v>57.454745314969202</v>
      </c>
      <c r="O1936">
        <v>55.973940370138401</v>
      </c>
      <c r="P1936">
        <v>-6.4071343220105506E-2</v>
      </c>
      <c r="Q1936">
        <v>6.8043942328776905E-2</v>
      </c>
      <c r="R1936">
        <v>0.93071583117989598</v>
      </c>
      <c r="S1936" t="s">
        <v>7519</v>
      </c>
      <c r="T1936" t="s">
        <v>11164</v>
      </c>
      <c r="U1936" t="s">
        <v>11164</v>
      </c>
      <c r="V1936" t="s">
        <v>11164</v>
      </c>
      <c r="W1936" t="s">
        <v>13066</v>
      </c>
      <c r="X1936">
        <v>2</v>
      </c>
      <c r="Y1936" t="s">
        <v>18582</v>
      </c>
      <c r="Z1936" t="s">
        <v>24086</v>
      </c>
      <c r="AA1936">
        <v>0.69463155276279853</v>
      </c>
      <c r="AB1936" t="str">
        <f>HYPERLINK("Melting_Curves/meltCurve_P17028_ZNF24.pdf", "Melting_Curves/meltCurve_P17028_ZNF24.pdf")</f>
        <v>Melting_Curves/meltCurve_P17028_ZNF24.pdf</v>
      </c>
    </row>
    <row r="1937" spans="1:28" x14ac:dyDescent="0.25">
      <c r="A1937" t="s">
        <v>1941</v>
      </c>
      <c r="B1937">
        <v>0.99796759195183404</v>
      </c>
      <c r="C1937">
        <v>0.98023423750070704</v>
      </c>
      <c r="D1937">
        <v>0.89437239291250104</v>
      </c>
      <c r="E1937">
        <v>0.86588101063168799</v>
      </c>
      <c r="F1937">
        <v>0.73981722747967804</v>
      </c>
      <c r="G1937">
        <v>0.57616497766613795</v>
      </c>
      <c r="H1937">
        <v>0.575166252266756</v>
      </c>
      <c r="I1937">
        <v>0.51150286702671099</v>
      </c>
      <c r="J1937">
        <v>0.561935778328436</v>
      </c>
      <c r="K1937">
        <v>0.22572437266259099</v>
      </c>
      <c r="L1937">
        <v>342.56079059429902</v>
      </c>
      <c r="M1937">
        <v>5.7012172816500204</v>
      </c>
      <c r="N1937">
        <v>60.085560679163201</v>
      </c>
      <c r="O1937">
        <v>53.921305280794698</v>
      </c>
      <c r="P1937">
        <v>-2.6535653203430199E-2</v>
      </c>
      <c r="Q1937">
        <v>0</v>
      </c>
      <c r="R1937">
        <v>0.906372982772227</v>
      </c>
      <c r="S1937" t="s">
        <v>7520</v>
      </c>
      <c r="T1937" t="s">
        <v>11164</v>
      </c>
      <c r="U1937" t="s">
        <v>11164</v>
      </c>
      <c r="V1937" t="s">
        <v>11164</v>
      </c>
      <c r="W1937" t="s">
        <v>13067</v>
      </c>
      <c r="X1937">
        <v>6</v>
      </c>
      <c r="Y1937" t="s">
        <v>18583</v>
      </c>
      <c r="Z1937" t="s">
        <v>24087</v>
      </c>
      <c r="AA1937">
        <v>0.69352114552273203</v>
      </c>
      <c r="AB1937" t="str">
        <f>HYPERLINK("Melting_Curves/meltCurve_P17050_NAGA.pdf", "Melting_Curves/meltCurve_P17050_NAGA.pdf")</f>
        <v>Melting_Curves/meltCurve_P17050_NAGA.pdf</v>
      </c>
    </row>
    <row r="1938" spans="1:28" x14ac:dyDescent="0.25">
      <c r="A1938" t="s">
        <v>1942</v>
      </c>
      <c r="B1938">
        <v>0.99796759195183404</v>
      </c>
      <c r="C1938">
        <v>0.96286855453278797</v>
      </c>
      <c r="D1938">
        <v>0.96342129564689905</v>
      </c>
      <c r="E1938">
        <v>0.948168375032301</v>
      </c>
      <c r="F1938">
        <v>0.90533621232049799</v>
      </c>
      <c r="G1938">
        <v>0.77860298378412296</v>
      </c>
      <c r="H1938">
        <v>0.704258352945202</v>
      </c>
      <c r="I1938">
        <v>0.221617313755965</v>
      </c>
      <c r="J1938">
        <v>9.6335065790363703E-2</v>
      </c>
      <c r="K1938">
        <v>7.3906471050641298E-2</v>
      </c>
      <c r="L1938">
        <v>1260.40728185956</v>
      </c>
      <c r="M1938">
        <v>21.5882993792831</v>
      </c>
      <c r="N1938">
        <v>58.383837188398502</v>
      </c>
      <c r="O1938">
        <v>57.889776283214601</v>
      </c>
      <c r="P1938">
        <v>-9.3232431617998296E-2</v>
      </c>
      <c r="Q1938">
        <v>0</v>
      </c>
      <c r="R1938">
        <v>0.973923642701367</v>
      </c>
      <c r="S1938" t="s">
        <v>7521</v>
      </c>
      <c r="T1938" t="s">
        <v>11164</v>
      </c>
      <c r="U1938" t="s">
        <v>11164</v>
      </c>
      <c r="V1938" t="s">
        <v>11164</v>
      </c>
      <c r="W1938" t="s">
        <v>13068</v>
      </c>
      <c r="X1938">
        <v>24</v>
      </c>
      <c r="Y1938" t="s">
        <v>18584</v>
      </c>
      <c r="Z1938" t="s">
        <v>24088</v>
      </c>
      <c r="AA1938">
        <v>0.71886283489623704</v>
      </c>
      <c r="AB1938" t="str">
        <f>HYPERLINK("Melting_Curves/meltCurve_P17066_HSPA6.pdf", "Melting_Curves/meltCurve_P17066_HSPA6.pdf")</f>
        <v>Melting_Curves/meltCurve_P17066_HSPA6.pdf</v>
      </c>
    </row>
    <row r="1939" spans="1:28" x14ac:dyDescent="0.25">
      <c r="A1939" t="s">
        <v>1943</v>
      </c>
      <c r="B1939">
        <v>0.99796759195183404</v>
      </c>
      <c r="C1939">
        <v>0.87649577680272295</v>
      </c>
      <c r="D1939">
        <v>1.0517288148771899</v>
      </c>
      <c r="E1939">
        <v>1.2522874393832</v>
      </c>
      <c r="F1939">
        <v>1.3726164217364101</v>
      </c>
      <c r="G1939">
        <v>1.06777129657271</v>
      </c>
      <c r="H1939">
        <v>0.92306330330452302</v>
      </c>
      <c r="I1939">
        <v>0.57018743051032805</v>
      </c>
      <c r="J1939">
        <v>0.46559088148057898</v>
      </c>
      <c r="K1939">
        <v>0.21181148906802</v>
      </c>
      <c r="L1939">
        <v>1771.26716420761</v>
      </c>
      <c r="M1939">
        <v>28.847346467794999</v>
      </c>
      <c r="N1939">
        <v>62.452938300523499</v>
      </c>
      <c r="O1939">
        <v>61.108596740724003</v>
      </c>
      <c r="P1939">
        <v>-9.5314373736417296E-2</v>
      </c>
      <c r="Q1939">
        <v>0.192371749382413</v>
      </c>
      <c r="R1939">
        <v>0.79377418507642505</v>
      </c>
      <c r="S1939" t="s">
        <v>7522</v>
      </c>
      <c r="T1939" t="s">
        <v>11164</v>
      </c>
      <c r="U1939" t="s">
        <v>11164</v>
      </c>
      <c r="V1939" t="s">
        <v>11164</v>
      </c>
      <c r="W1939" t="s">
        <v>13069</v>
      </c>
      <c r="X1939">
        <v>1</v>
      </c>
      <c r="Y1939" t="s">
        <v>18585</v>
      </c>
      <c r="Z1939" t="s">
        <v>24089</v>
      </c>
      <c r="AA1939">
        <v>0.84954751050209498</v>
      </c>
      <c r="AB1939" t="str">
        <f>HYPERLINK("Melting_Curves/meltCurve_P17096_2_HMGA1.pdf", "Melting_Curves/meltCurve_P17096_2_HMGA1.pdf")</f>
        <v>Melting_Curves/meltCurve_P17096_2_HMGA1.pdf</v>
      </c>
    </row>
    <row r="1940" spans="1:28" x14ac:dyDescent="0.25">
      <c r="A1940" t="s">
        <v>1944</v>
      </c>
      <c r="B1940">
        <v>0.99796759195183404</v>
      </c>
      <c r="C1940">
        <v>1.0244405529899601</v>
      </c>
      <c r="D1940">
        <v>1.06513219092918</v>
      </c>
      <c r="E1940">
        <v>1.0452461980493399</v>
      </c>
      <c r="F1940">
        <v>0.94257342518309395</v>
      </c>
      <c r="G1940">
        <v>0.56893088082023802</v>
      </c>
      <c r="H1940">
        <v>0.36879312735548597</v>
      </c>
      <c r="I1940">
        <v>0.26099237427420402</v>
      </c>
      <c r="J1940">
        <v>0.196109430598016</v>
      </c>
      <c r="K1940">
        <v>0.120591544693973</v>
      </c>
      <c r="L1940">
        <v>1338.5942194243401</v>
      </c>
      <c r="M1940">
        <v>24.701036770106299</v>
      </c>
      <c r="N1940">
        <v>55.116831497123599</v>
      </c>
      <c r="O1940">
        <v>53.840383054014097</v>
      </c>
      <c r="P1940">
        <v>-9.5235314709688795E-2</v>
      </c>
      <c r="Q1940">
        <v>0.16968124940446599</v>
      </c>
      <c r="R1940">
        <v>0.98607140890905498</v>
      </c>
      <c r="S1940" t="s">
        <v>7523</v>
      </c>
      <c r="T1940" t="s">
        <v>11164</v>
      </c>
      <c r="U1940" t="s">
        <v>11164</v>
      </c>
      <c r="V1940" t="s">
        <v>11164</v>
      </c>
      <c r="W1940" t="s">
        <v>13070</v>
      </c>
      <c r="X1940">
        <v>3</v>
      </c>
      <c r="Y1940" t="s">
        <v>18586</v>
      </c>
      <c r="Z1940" t="s">
        <v>24090</v>
      </c>
      <c r="AA1940">
        <v>0.65286508400947685</v>
      </c>
      <c r="AB1940" t="str">
        <f>HYPERLINK("Melting_Curves/meltCurve_P17152_TMEM11.pdf", "Melting_Curves/meltCurve_P17152_TMEM11.pdf")</f>
        <v>Melting_Curves/meltCurve_P17152_TMEM11.pdf</v>
      </c>
    </row>
    <row r="1941" spans="1:28" x14ac:dyDescent="0.25">
      <c r="A1941" t="s">
        <v>1945</v>
      </c>
      <c r="B1941">
        <v>0.99796759195183404</v>
      </c>
      <c r="C1941">
        <v>0.80788261196401301</v>
      </c>
      <c r="D1941">
        <v>0.854466228205641</v>
      </c>
      <c r="E1941">
        <v>0.84035070378276899</v>
      </c>
      <c r="F1941">
        <v>0.72918467753122496</v>
      </c>
      <c r="G1941">
        <v>0.62077026173598004</v>
      </c>
      <c r="H1941">
        <v>0.46397253643129399</v>
      </c>
      <c r="I1941">
        <v>0.43319056743724599</v>
      </c>
      <c r="J1941">
        <v>0.60117824564677103</v>
      </c>
      <c r="K1941">
        <v>0.54642234304597503</v>
      </c>
      <c r="L1941">
        <v>402.75377771241</v>
      </c>
      <c r="M1941">
        <v>8.3166272314797993</v>
      </c>
      <c r="N1941">
        <v>66.756188989795206</v>
      </c>
      <c r="O1941">
        <v>45.870031578633302</v>
      </c>
      <c r="P1941">
        <v>-2.4998193457544601E-2</v>
      </c>
      <c r="Q1941">
        <v>0.44903262611281503</v>
      </c>
      <c r="R1941">
        <v>0.83299892487321103</v>
      </c>
      <c r="S1941" t="s">
        <v>7524</v>
      </c>
      <c r="T1941" t="s">
        <v>11164</v>
      </c>
      <c r="U1941" t="s">
        <v>11164</v>
      </c>
      <c r="V1941" t="s">
        <v>11164</v>
      </c>
      <c r="W1941" t="s">
        <v>13071</v>
      </c>
      <c r="X1941">
        <v>18</v>
      </c>
      <c r="Y1941" t="s">
        <v>18587</v>
      </c>
      <c r="Z1941" t="s">
        <v>24091</v>
      </c>
      <c r="AA1941">
        <v>0.68518163625683626</v>
      </c>
      <c r="AB1941" t="str">
        <f>HYPERLINK("Melting_Curves/meltCurve_P17174_GOT1.pdf", "Melting_Curves/meltCurve_P17174_GOT1.pdf")</f>
        <v>Melting_Curves/meltCurve_P17174_GOT1.pdf</v>
      </c>
    </row>
    <row r="1942" spans="1:28" x14ac:dyDescent="0.25">
      <c r="A1942" t="s">
        <v>1946</v>
      </c>
      <c r="B1942">
        <v>0.99796759195183404</v>
      </c>
      <c r="C1942">
        <v>0.99858514617651695</v>
      </c>
      <c r="D1942">
        <v>0.99231253240571704</v>
      </c>
      <c r="E1942">
        <v>0.92901373510407703</v>
      </c>
      <c r="F1942">
        <v>0.777850553024657</v>
      </c>
      <c r="G1942">
        <v>0.280074328787348</v>
      </c>
      <c r="H1942">
        <v>0.18062070631350099</v>
      </c>
      <c r="I1942">
        <v>0.15019986805479901</v>
      </c>
      <c r="J1942">
        <v>0.13774507181387399</v>
      </c>
      <c r="K1942">
        <v>9.7656412351840693E-2</v>
      </c>
      <c r="L1942">
        <v>1809.4613844819301</v>
      </c>
      <c r="M1942">
        <v>35.070802391489003</v>
      </c>
      <c r="N1942">
        <v>52.046193237846801</v>
      </c>
      <c r="O1942">
        <v>51.427640777966602</v>
      </c>
      <c r="P1942">
        <v>-0.148118194936739</v>
      </c>
      <c r="Q1942">
        <v>0.131204136742891</v>
      </c>
      <c r="R1942">
        <v>0.99656352297131401</v>
      </c>
      <c r="S1942" t="s">
        <v>7525</v>
      </c>
      <c r="T1942" t="s">
        <v>11164</v>
      </c>
      <c r="U1942" t="s">
        <v>11164</v>
      </c>
      <c r="V1942" t="s">
        <v>11164</v>
      </c>
      <c r="W1942" t="s">
        <v>13072</v>
      </c>
      <c r="X1942">
        <v>16</v>
      </c>
      <c r="Y1942" t="s">
        <v>18588</v>
      </c>
      <c r="Z1942" t="s">
        <v>24092</v>
      </c>
      <c r="AA1942">
        <v>0.55787774585594929</v>
      </c>
      <c r="AB1942" t="str">
        <f>HYPERLINK("Melting_Curves/meltCurve_P17252_PRKCA.pdf", "Melting_Curves/meltCurve_P17252_PRKCA.pdf")</f>
        <v>Melting_Curves/meltCurve_P17252_PRKCA.pdf</v>
      </c>
    </row>
    <row r="1943" spans="1:28" x14ac:dyDescent="0.25">
      <c r="A1943" t="s">
        <v>1947</v>
      </c>
      <c r="B1943">
        <v>0.99796759195183404</v>
      </c>
      <c r="C1943">
        <v>1.1532337688259899</v>
      </c>
      <c r="D1943">
        <v>1.0877701240320301</v>
      </c>
      <c r="E1943">
        <v>1.02842930104618</v>
      </c>
      <c r="F1943">
        <v>0.70790283001394605</v>
      </c>
      <c r="G1943">
        <v>0.43898533466930501</v>
      </c>
      <c r="H1943">
        <v>0.29888413031373301</v>
      </c>
      <c r="I1943">
        <v>0.233509556474675</v>
      </c>
      <c r="J1943">
        <v>0.27783848697177899</v>
      </c>
      <c r="K1943">
        <v>0.170555714287561</v>
      </c>
      <c r="L1943">
        <v>1373.64731228292</v>
      </c>
      <c r="M1943">
        <v>26.641158699429301</v>
      </c>
      <c r="N1943">
        <v>52.778738031429299</v>
      </c>
      <c r="O1943">
        <v>51.273208634599698</v>
      </c>
      <c r="P1943">
        <v>-0.10007714067738201</v>
      </c>
      <c r="Q1943">
        <v>0.22957968236121201</v>
      </c>
      <c r="R1943">
        <v>0.96824457543664699</v>
      </c>
      <c r="S1943" t="s">
        <v>7526</v>
      </c>
      <c r="T1943" t="s">
        <v>11164</v>
      </c>
      <c r="U1943" t="s">
        <v>11164</v>
      </c>
      <c r="V1943" t="s">
        <v>11164</v>
      </c>
      <c r="W1943" t="s">
        <v>13073</v>
      </c>
      <c r="X1943">
        <v>2</v>
      </c>
      <c r="Y1943" t="s">
        <v>18589</v>
      </c>
      <c r="Z1943" t="s">
        <v>24093</v>
      </c>
      <c r="AA1943">
        <v>0.60958024421655088</v>
      </c>
      <c r="AB1943" t="str">
        <f>HYPERLINK("Melting_Curves/meltCurve_P17482_HOXB9.pdf", "Melting_Curves/meltCurve_P17482_HOXB9.pdf")</f>
        <v>Melting_Curves/meltCurve_P17482_HOXB9.pdf</v>
      </c>
    </row>
    <row r="1944" spans="1:28" x14ac:dyDescent="0.25">
      <c r="A1944" t="s">
        <v>1948</v>
      </c>
      <c r="B1944">
        <v>0.99796759195183404</v>
      </c>
      <c r="C1944">
        <v>0.99139590867288196</v>
      </c>
      <c r="D1944">
        <v>0.99572879442739803</v>
      </c>
      <c r="E1944">
        <v>0.888611890796973</v>
      </c>
      <c r="F1944">
        <v>0.51773189450443002</v>
      </c>
      <c r="G1944">
        <v>0.248928359885419</v>
      </c>
      <c r="H1944">
        <v>0.195521610120093</v>
      </c>
      <c r="I1944">
        <v>0.16852832263533901</v>
      </c>
      <c r="J1944">
        <v>0.101529237964803</v>
      </c>
      <c r="K1944">
        <v>8.7425626887934996E-2</v>
      </c>
      <c r="L1944">
        <v>1235.6248014891</v>
      </c>
      <c r="M1944">
        <v>24.749083908008799</v>
      </c>
      <c r="N1944">
        <v>50.508301612599503</v>
      </c>
      <c r="O1944">
        <v>49.603554416968301</v>
      </c>
      <c r="P1944">
        <v>-0.10925665721135</v>
      </c>
      <c r="Q1944">
        <v>0.124098161320861</v>
      </c>
      <c r="R1944">
        <v>0.99629642848378797</v>
      </c>
      <c r="S1944" t="s">
        <v>7527</v>
      </c>
      <c r="T1944" t="s">
        <v>11164</v>
      </c>
      <c r="U1944" t="s">
        <v>11164</v>
      </c>
      <c r="V1944" t="s">
        <v>11164</v>
      </c>
      <c r="W1944" t="s">
        <v>13074</v>
      </c>
      <c r="X1944">
        <v>1</v>
      </c>
      <c r="Y1944" t="s">
        <v>18590</v>
      </c>
      <c r="Z1944" t="s">
        <v>24094</v>
      </c>
      <c r="AA1944">
        <v>0.50930004650918959</v>
      </c>
      <c r="AB1944" t="str">
        <f>HYPERLINK("Melting_Curves/meltCurve_P17509_HOXB6.pdf", "Melting_Curves/meltCurve_P17509_HOXB6.pdf")</f>
        <v>Melting_Curves/meltCurve_P17509_HOXB6.pdf</v>
      </c>
    </row>
    <row r="1945" spans="1:28" x14ac:dyDescent="0.25">
      <c r="A1945" t="s">
        <v>1949</v>
      </c>
      <c r="B1945">
        <v>0.99796759195183404</v>
      </c>
      <c r="C1945">
        <v>0.91984685602977601</v>
      </c>
      <c r="D1945">
        <v>0.88474650582141301</v>
      </c>
      <c r="E1945">
        <v>0.81778855444046294</v>
      </c>
      <c r="F1945">
        <v>0.76499037835813299</v>
      </c>
      <c r="G1945">
        <v>1.30314764259405</v>
      </c>
      <c r="H1945">
        <v>1.8213575356985101</v>
      </c>
      <c r="I1945">
        <v>1.9394696668387701</v>
      </c>
      <c r="J1945">
        <v>1.75519336871813</v>
      </c>
      <c r="K1945">
        <v>1.34631892183582</v>
      </c>
      <c r="L1945">
        <v>13426.770944816501</v>
      </c>
      <c r="M1945">
        <v>250</v>
      </c>
      <c r="O1945">
        <v>53.703646929918499</v>
      </c>
      <c r="P1945">
        <v>0.58189716808644498</v>
      </c>
      <c r="Q1945">
        <v>1.5</v>
      </c>
      <c r="R1945">
        <v>0.72547115710646404</v>
      </c>
      <c r="S1945" t="s">
        <v>7528</v>
      </c>
      <c r="T1945" t="s">
        <v>11164</v>
      </c>
      <c r="U1945" t="s">
        <v>11164</v>
      </c>
      <c r="V1945" t="s">
        <v>11164</v>
      </c>
      <c r="W1945" t="s">
        <v>13075</v>
      </c>
      <c r="X1945">
        <v>4</v>
      </c>
      <c r="Y1945" t="s">
        <v>18591</v>
      </c>
      <c r="Z1945" t="s">
        <v>24095</v>
      </c>
      <c r="AA1945">
        <v>1.2215014761308161</v>
      </c>
      <c r="AB1945" t="str">
        <f>HYPERLINK("Melting_Curves/meltCurve_P17568_NDUFB7.pdf", "Melting_Curves/meltCurve_P17568_NDUFB7.pdf")</f>
        <v>Melting_Curves/meltCurve_P17568_NDUFB7.pdf</v>
      </c>
    </row>
    <row r="1946" spans="1:28" x14ac:dyDescent="0.25">
      <c r="A1946" t="s">
        <v>1950</v>
      </c>
      <c r="B1946">
        <v>0.99796759195183404</v>
      </c>
      <c r="C1946">
        <v>1.0652566133064501</v>
      </c>
      <c r="D1946">
        <v>0.95683521669965299</v>
      </c>
      <c r="E1946">
        <v>0.87700587491981996</v>
      </c>
      <c r="F1946">
        <v>0.837952658394163</v>
      </c>
      <c r="G1946">
        <v>0.73147378047781098</v>
      </c>
      <c r="H1946">
        <v>0.38532164852524198</v>
      </c>
      <c r="I1946">
        <v>0.174850147275529</v>
      </c>
      <c r="J1946">
        <v>0.15404774985855901</v>
      </c>
      <c r="K1946">
        <v>0.115004424079917</v>
      </c>
      <c r="L1946">
        <v>918.18996381787997</v>
      </c>
      <c r="M1946">
        <v>16.469597220035901</v>
      </c>
      <c r="N1946">
        <v>56.010736174789301</v>
      </c>
      <c r="O1946">
        <v>54.948123732513601</v>
      </c>
      <c r="P1946">
        <v>-7.2178615362812795E-2</v>
      </c>
      <c r="Q1946">
        <v>3.68188498219576E-2</v>
      </c>
      <c r="R1946">
        <v>0.98235289121326497</v>
      </c>
      <c r="S1946" t="s">
        <v>7529</v>
      </c>
      <c r="T1946" t="s">
        <v>11164</v>
      </c>
      <c r="U1946" t="s">
        <v>11164</v>
      </c>
      <c r="V1946" t="s">
        <v>11164</v>
      </c>
      <c r="W1946" t="s">
        <v>13076</v>
      </c>
      <c r="X1946">
        <v>8</v>
      </c>
      <c r="Y1946" t="s">
        <v>18592</v>
      </c>
      <c r="Z1946" t="s">
        <v>24096</v>
      </c>
      <c r="AA1946">
        <v>0.65034513849420605</v>
      </c>
      <c r="AB1946" t="str">
        <f>HYPERLINK("Melting_Curves/meltCurve_P17612_PRKACA.pdf", "Melting_Curves/meltCurve_P17612_PRKACA.pdf")</f>
        <v>Melting_Curves/meltCurve_P17612_PRKACA.pdf</v>
      </c>
    </row>
    <row r="1947" spans="1:28" x14ac:dyDescent="0.25">
      <c r="A1947" t="s">
        <v>1951</v>
      </c>
      <c r="B1947">
        <v>0.99796759195183404</v>
      </c>
      <c r="C1947">
        <v>0.96995690953341895</v>
      </c>
      <c r="D1947">
        <v>0.97801175612104396</v>
      </c>
      <c r="E1947">
        <v>0.91831477472590295</v>
      </c>
      <c r="F1947">
        <v>0.84497398101112298</v>
      </c>
      <c r="G1947">
        <v>0.81608187906579499</v>
      </c>
      <c r="H1947">
        <v>0.72527762232304405</v>
      </c>
      <c r="I1947">
        <v>0.46830426040668799</v>
      </c>
      <c r="J1947">
        <v>0.162405081299419</v>
      </c>
      <c r="K1947">
        <v>0.117249610938611</v>
      </c>
      <c r="L1947">
        <v>986.81249548696906</v>
      </c>
      <c r="M1947">
        <v>16.530938222430699</v>
      </c>
      <c r="N1947">
        <v>59.694888129750503</v>
      </c>
      <c r="O1947">
        <v>58.841842245448902</v>
      </c>
      <c r="P1947">
        <v>-7.0239467635700506E-2</v>
      </c>
      <c r="Q1947">
        <v>0</v>
      </c>
      <c r="R1947">
        <v>0.96443265156692204</v>
      </c>
      <c r="S1947" t="s">
        <v>7530</v>
      </c>
      <c r="T1947" t="s">
        <v>11164</v>
      </c>
      <c r="U1947" t="s">
        <v>11164</v>
      </c>
      <c r="V1947" t="s">
        <v>11164</v>
      </c>
      <c r="W1947" t="s">
        <v>13077</v>
      </c>
      <c r="X1947">
        <v>24</v>
      </c>
      <c r="Y1947" t="s">
        <v>18593</v>
      </c>
      <c r="Z1947" t="s">
        <v>24097</v>
      </c>
      <c r="AA1947">
        <v>0.75445453966793974</v>
      </c>
      <c r="AB1947" t="str">
        <f>HYPERLINK("Melting_Curves/meltCurve_P17655_CAPN2.pdf", "Melting_Curves/meltCurve_P17655_CAPN2.pdf")</f>
        <v>Melting_Curves/meltCurve_P17655_CAPN2.pdf</v>
      </c>
    </row>
    <row r="1948" spans="1:28" x14ac:dyDescent="0.25">
      <c r="A1948" t="s">
        <v>1952</v>
      </c>
      <c r="B1948">
        <v>0.99796759195183404</v>
      </c>
      <c r="C1948">
        <v>1.07272595992397</v>
      </c>
      <c r="D1948">
        <v>1.08237331192871</v>
      </c>
      <c r="E1948">
        <v>1.23045930638412</v>
      </c>
      <c r="F1948">
        <v>1.20787667701257</v>
      </c>
      <c r="G1948">
        <v>0.65699940644971899</v>
      </c>
      <c r="H1948">
        <v>0.83708524516371496</v>
      </c>
      <c r="I1948">
        <v>0.78495191473478998</v>
      </c>
      <c r="J1948">
        <v>0.97303303234299698</v>
      </c>
      <c r="K1948">
        <v>0.64744888089061503</v>
      </c>
      <c r="L1948">
        <v>3108.5845519326499</v>
      </c>
      <c r="M1948">
        <v>59.594885417579398</v>
      </c>
      <c r="O1948">
        <v>52.103296215089998</v>
      </c>
      <c r="P1948">
        <v>-6.2342848531886499E-2</v>
      </c>
      <c r="Q1948">
        <v>0.78197682208870201</v>
      </c>
      <c r="R1948">
        <v>0.50085439435797197</v>
      </c>
      <c r="S1948" t="s">
        <v>7531</v>
      </c>
      <c r="T1948" t="s">
        <v>11164</v>
      </c>
      <c r="U1948" t="s">
        <v>11164</v>
      </c>
      <c r="V1948" t="s">
        <v>11164</v>
      </c>
      <c r="W1948" t="s">
        <v>13078</v>
      </c>
      <c r="X1948">
        <v>2</v>
      </c>
      <c r="Y1948" t="s">
        <v>18594</v>
      </c>
      <c r="Z1948" t="s">
        <v>24098</v>
      </c>
      <c r="AA1948">
        <v>0.89251777574309665</v>
      </c>
      <c r="AB1948" t="str">
        <f>HYPERLINK("Melting_Curves/meltCurve_P17677_GAP43.pdf", "Melting_Curves/meltCurve_P17677_GAP43.pdf")</f>
        <v>Melting_Curves/meltCurve_P17677_GAP43.pdf</v>
      </c>
    </row>
    <row r="1949" spans="1:28" x14ac:dyDescent="0.25">
      <c r="A1949" t="s">
        <v>1953</v>
      </c>
      <c r="B1949">
        <v>0.99796759195183404</v>
      </c>
      <c r="C1949">
        <v>0.949151549168326</v>
      </c>
      <c r="D1949">
        <v>0.961685417904388</v>
      </c>
      <c r="E1949">
        <v>0.84254066767082003</v>
      </c>
      <c r="F1949">
        <v>0.70714779156992302</v>
      </c>
      <c r="G1949">
        <v>0.19044993955966799</v>
      </c>
      <c r="H1949">
        <v>7.8026866762050201E-2</v>
      </c>
      <c r="I1949">
        <v>9.7703680050430605E-2</v>
      </c>
      <c r="J1949">
        <v>7.6816503271615405E-2</v>
      </c>
      <c r="K1949">
        <v>7.6075434608964196E-2</v>
      </c>
      <c r="L1949">
        <v>1582.9965312653601</v>
      </c>
      <c r="M1949">
        <v>30.985592730593201</v>
      </c>
      <c r="N1949">
        <v>51.329286040190297</v>
      </c>
      <c r="O1949">
        <v>50.876773178797897</v>
      </c>
      <c r="P1949">
        <v>-0.14194576681644799</v>
      </c>
      <c r="Q1949">
        <v>6.7734370610886593E-2</v>
      </c>
      <c r="R1949">
        <v>0.98673076898743195</v>
      </c>
      <c r="S1949" t="s">
        <v>7532</v>
      </c>
      <c r="T1949" t="s">
        <v>11164</v>
      </c>
      <c r="U1949" t="s">
        <v>11164</v>
      </c>
      <c r="V1949" t="s">
        <v>11164</v>
      </c>
      <c r="W1949" t="s">
        <v>13079</v>
      </c>
      <c r="X1949">
        <v>3</v>
      </c>
      <c r="Y1949" t="s">
        <v>18595</v>
      </c>
      <c r="Z1949" t="s">
        <v>24099</v>
      </c>
      <c r="AA1949">
        <v>0.51099047054806535</v>
      </c>
      <c r="AB1949" t="str">
        <f>HYPERLINK("Melting_Curves/meltCurve_P17706_2_PTPN2.pdf", "Melting_Curves/meltCurve_P17706_2_PTPN2.pdf")</f>
        <v>Melting_Curves/meltCurve_P17706_2_PTPN2.pdf</v>
      </c>
    </row>
    <row r="1950" spans="1:28" x14ac:dyDescent="0.25">
      <c r="A1950" t="s">
        <v>1954</v>
      </c>
      <c r="B1950">
        <v>0.99796759195183404</v>
      </c>
      <c r="C1950">
        <v>1.0464027771661399</v>
      </c>
      <c r="D1950">
        <v>1.0227042111237701</v>
      </c>
      <c r="E1950">
        <v>0.98605495582200398</v>
      </c>
      <c r="F1950">
        <v>0.85473365709862203</v>
      </c>
      <c r="G1950">
        <v>0.69297601495989303</v>
      </c>
      <c r="H1950">
        <v>0.37948240667827698</v>
      </c>
      <c r="I1950">
        <v>0.219163487902932</v>
      </c>
      <c r="J1950">
        <v>0.14385025952113301</v>
      </c>
      <c r="K1950">
        <v>9.8599969433140394E-2</v>
      </c>
      <c r="L1950">
        <v>1024.8940395336001</v>
      </c>
      <c r="M1950">
        <v>18.453516067565602</v>
      </c>
      <c r="N1950">
        <v>55.958055891129803</v>
      </c>
      <c r="O1950">
        <v>54.899325262858703</v>
      </c>
      <c r="P1950">
        <v>-7.86167177337216E-2</v>
      </c>
      <c r="Q1950">
        <v>6.4500738718285197E-2</v>
      </c>
      <c r="R1950">
        <v>0.99641202975050203</v>
      </c>
      <c r="S1950" t="s">
        <v>7533</v>
      </c>
      <c r="T1950" t="s">
        <v>11164</v>
      </c>
      <c r="U1950" t="s">
        <v>11164</v>
      </c>
      <c r="V1950" t="s">
        <v>11164</v>
      </c>
      <c r="W1950" t="s">
        <v>13080</v>
      </c>
      <c r="X1950">
        <v>32</v>
      </c>
      <c r="Y1950" t="s">
        <v>18596</v>
      </c>
      <c r="Z1950" t="s">
        <v>24100</v>
      </c>
      <c r="AA1950">
        <v>0.65345029857922277</v>
      </c>
      <c r="AB1950" t="str">
        <f>HYPERLINK("Melting_Curves/meltCurve_P17812_CTPS1.pdf", "Melting_Curves/meltCurve_P17812_CTPS1.pdf")</f>
        <v>Melting_Curves/meltCurve_P17812_CTPS1.pdf</v>
      </c>
    </row>
    <row r="1951" spans="1:28" x14ac:dyDescent="0.25">
      <c r="A1951" t="s">
        <v>1955</v>
      </c>
      <c r="B1951">
        <v>0.99796759195183404</v>
      </c>
      <c r="C1951">
        <v>1.0014684974114301</v>
      </c>
      <c r="D1951">
        <v>0.992956689910096</v>
      </c>
      <c r="E1951">
        <v>0.81599420148613799</v>
      </c>
      <c r="F1951">
        <v>0.73625798522326202</v>
      </c>
      <c r="G1951">
        <v>0.68902869352007401</v>
      </c>
      <c r="H1951">
        <v>0.67009454178750405</v>
      </c>
      <c r="I1951">
        <v>0.65453039401487501</v>
      </c>
      <c r="J1951">
        <v>0.62862386659535396</v>
      </c>
      <c r="K1951">
        <v>0.31350038356570797</v>
      </c>
      <c r="L1951">
        <v>320.66747785736402</v>
      </c>
      <c r="M1951">
        <v>4.9610043859450901</v>
      </c>
      <c r="N1951">
        <v>64.637626851588905</v>
      </c>
      <c r="O1951">
        <v>56.3103595847412</v>
      </c>
      <c r="P1951">
        <v>-2.2163907387945402E-2</v>
      </c>
      <c r="Q1951">
        <v>0</v>
      </c>
      <c r="R1951">
        <v>0.85832876906680899</v>
      </c>
      <c r="S1951" t="s">
        <v>7534</v>
      </c>
      <c r="T1951" t="s">
        <v>11164</v>
      </c>
      <c r="U1951" t="s">
        <v>11164</v>
      </c>
      <c r="V1951" t="s">
        <v>11164</v>
      </c>
      <c r="W1951" t="s">
        <v>13081</v>
      </c>
      <c r="X1951">
        <v>21</v>
      </c>
      <c r="Y1951" t="s">
        <v>18597</v>
      </c>
      <c r="Z1951" t="s">
        <v>24101</v>
      </c>
      <c r="AA1951">
        <v>0.75078362699217871</v>
      </c>
      <c r="AB1951" t="str">
        <f>HYPERLINK("Melting_Curves/meltCurve_P17858_PFKL.pdf", "Melting_Curves/meltCurve_P17858_PFKL.pdf")</f>
        <v>Melting_Curves/meltCurve_P17858_PFKL.pdf</v>
      </c>
    </row>
    <row r="1952" spans="1:28" x14ac:dyDescent="0.25">
      <c r="A1952" t="s">
        <v>1956</v>
      </c>
      <c r="B1952">
        <v>0.99796759195183404</v>
      </c>
      <c r="C1952">
        <v>0.98640025485262295</v>
      </c>
      <c r="D1952">
        <v>0.86746140993088605</v>
      </c>
      <c r="E1952">
        <v>0.70503230066938205</v>
      </c>
      <c r="F1952">
        <v>0.55305603794945002</v>
      </c>
      <c r="G1952">
        <v>0.63245757682946901</v>
      </c>
      <c r="H1952">
        <v>0.64644113335462206</v>
      </c>
      <c r="I1952">
        <v>0.66053219942007402</v>
      </c>
      <c r="J1952">
        <v>0.44759180458478598</v>
      </c>
      <c r="K1952">
        <v>0.15757476737075601</v>
      </c>
      <c r="L1952">
        <v>283.88767482275699</v>
      </c>
      <c r="M1952">
        <v>4.7806290569743597</v>
      </c>
      <c r="N1952">
        <v>59.382913898306001</v>
      </c>
      <c r="O1952">
        <v>51.269621212679603</v>
      </c>
      <c r="P1952">
        <v>-2.3477637855516199E-2</v>
      </c>
      <c r="Q1952">
        <v>0</v>
      </c>
      <c r="R1952">
        <v>0.771210653011287</v>
      </c>
      <c r="S1952" t="s">
        <v>7535</v>
      </c>
      <c r="T1952" t="s">
        <v>11164</v>
      </c>
      <c r="U1952" t="s">
        <v>11164</v>
      </c>
      <c r="V1952" t="s">
        <v>11164</v>
      </c>
      <c r="W1952" t="s">
        <v>13082</v>
      </c>
      <c r="X1952">
        <v>31</v>
      </c>
      <c r="Y1952" t="s">
        <v>18598</v>
      </c>
      <c r="Z1952" t="s">
        <v>24102</v>
      </c>
      <c r="AA1952">
        <v>0.66328276817880139</v>
      </c>
      <c r="AB1952" t="str">
        <f>HYPERLINK("Melting_Curves/meltCurve_P17987_TCP1.pdf", "Melting_Curves/meltCurve_P17987_TCP1.pdf")</f>
        <v>Melting_Curves/meltCurve_P17987_TCP1.pdf</v>
      </c>
    </row>
    <row r="1953" spans="1:28" x14ac:dyDescent="0.25">
      <c r="A1953" t="s">
        <v>1957</v>
      </c>
      <c r="B1953">
        <v>0.99796759195183404</v>
      </c>
      <c r="C1953">
        <v>0.960362087885687</v>
      </c>
      <c r="D1953">
        <v>0.955415520631685</v>
      </c>
      <c r="E1953">
        <v>0.79097840178533296</v>
      </c>
      <c r="F1953">
        <v>0.64613080773706899</v>
      </c>
      <c r="G1953">
        <v>0.22285838257709201</v>
      </c>
      <c r="H1953">
        <v>0.14494811503220301</v>
      </c>
      <c r="I1953">
        <v>0.14420188814583701</v>
      </c>
      <c r="J1953">
        <v>0.144829470073017</v>
      </c>
      <c r="K1953">
        <v>0.10404810594771</v>
      </c>
      <c r="L1953">
        <v>1032.2975630872099</v>
      </c>
      <c r="M1953">
        <v>20.5180597500221</v>
      </c>
      <c r="N1953">
        <v>50.880627567311898</v>
      </c>
      <c r="O1953">
        <v>49.841057713673401</v>
      </c>
      <c r="P1953">
        <v>-9.2369920939835801E-2</v>
      </c>
      <c r="Q1953">
        <v>0.10251177007425</v>
      </c>
      <c r="R1953">
        <v>0.98623144377298499</v>
      </c>
      <c r="S1953" t="s">
        <v>7536</v>
      </c>
      <c r="T1953" t="s">
        <v>11164</v>
      </c>
      <c r="U1953" t="s">
        <v>11164</v>
      </c>
      <c r="V1953" t="s">
        <v>11164</v>
      </c>
      <c r="W1953" t="s">
        <v>13083</v>
      </c>
      <c r="X1953">
        <v>8</v>
      </c>
      <c r="Y1953" t="s">
        <v>18599</v>
      </c>
      <c r="Z1953" t="s">
        <v>24103</v>
      </c>
      <c r="AA1953">
        <v>0.51203975052413864</v>
      </c>
      <c r="AB1953" t="str">
        <f>HYPERLINK("Melting_Curves/meltCurve_P18031_PTPN1.pdf", "Melting_Curves/meltCurve_P18031_PTPN1.pdf")</f>
        <v>Melting_Curves/meltCurve_P18031_PTPN1.pdf</v>
      </c>
    </row>
    <row r="1954" spans="1:28" x14ac:dyDescent="0.25">
      <c r="A1954" t="s">
        <v>1958</v>
      </c>
      <c r="B1954">
        <v>0.99796759195183404</v>
      </c>
      <c r="C1954">
        <v>0.59394904736160803</v>
      </c>
      <c r="D1954">
        <v>0.57648107689655903</v>
      </c>
      <c r="E1954">
        <v>0.49141513016595101</v>
      </c>
      <c r="F1954">
        <v>1.2946686095389199</v>
      </c>
      <c r="G1954">
        <v>0.46525061898414799</v>
      </c>
      <c r="H1954">
        <v>0.32463433635175898</v>
      </c>
      <c r="I1954">
        <v>0.216194276866012</v>
      </c>
      <c r="J1954">
        <v>0.16517443110451199</v>
      </c>
      <c r="K1954">
        <v>8.3420680870810601E-2</v>
      </c>
      <c r="L1954">
        <v>305.83656312493798</v>
      </c>
      <c r="M1954">
        <v>5.8158573098597799</v>
      </c>
      <c r="N1954">
        <v>52.5866689540442</v>
      </c>
      <c r="O1954">
        <v>47.369256554355999</v>
      </c>
      <c r="P1954">
        <v>-3.0805312163056799E-2</v>
      </c>
      <c r="Q1954">
        <v>0</v>
      </c>
      <c r="R1954">
        <v>0.43724993417075603</v>
      </c>
      <c r="S1954" t="s">
        <v>7537</v>
      </c>
      <c r="T1954" t="s">
        <v>11164</v>
      </c>
      <c r="U1954" t="s">
        <v>11164</v>
      </c>
      <c r="V1954" t="s">
        <v>11164</v>
      </c>
      <c r="W1954" t="s">
        <v>13084</v>
      </c>
      <c r="X1954">
        <v>4</v>
      </c>
      <c r="Y1954" t="s">
        <v>18600</v>
      </c>
      <c r="Z1954" t="s">
        <v>24104</v>
      </c>
      <c r="AA1954">
        <v>0.5410957599066416</v>
      </c>
      <c r="AB1954" t="str">
        <f>HYPERLINK("Melting_Curves/meltCurve_P18084_ITGB5.pdf", "Melting_Curves/meltCurve_P18084_ITGB5.pdf")</f>
        <v>Melting_Curves/meltCurve_P18084_ITGB5.pdf</v>
      </c>
    </row>
    <row r="1955" spans="1:28" x14ac:dyDescent="0.25">
      <c r="A1955" t="s">
        <v>1959</v>
      </c>
      <c r="B1955">
        <v>0.99796759195183404</v>
      </c>
      <c r="C1955">
        <v>0.86747629073953503</v>
      </c>
      <c r="D1955">
        <v>0.99123015253509394</v>
      </c>
      <c r="E1955">
        <v>0.94215619673543705</v>
      </c>
      <c r="F1955">
        <v>1.08102080464735</v>
      </c>
      <c r="G1955">
        <v>1.98464527664803</v>
      </c>
      <c r="H1955">
        <v>0.82570941753632399</v>
      </c>
      <c r="I1955">
        <v>1.0544821155711199</v>
      </c>
      <c r="J1955">
        <v>0.55676486801976</v>
      </c>
      <c r="K1955">
        <v>0.68103045710036603</v>
      </c>
      <c r="L1955">
        <v>1630.4920691453201</v>
      </c>
      <c r="M1955">
        <v>25.515169499386001</v>
      </c>
      <c r="O1955">
        <v>63.5141946922976</v>
      </c>
      <c r="P1955">
        <v>-4.82471445226553E-2</v>
      </c>
      <c r="Q1955">
        <v>0.51960491063517</v>
      </c>
      <c r="R1955">
        <v>0.17653873428258199</v>
      </c>
      <c r="S1955" t="s">
        <v>7538</v>
      </c>
      <c r="T1955" t="s">
        <v>11164</v>
      </c>
      <c r="U1955" t="s">
        <v>11164</v>
      </c>
      <c r="V1955" t="s">
        <v>11164</v>
      </c>
      <c r="W1955" t="s">
        <v>13085</v>
      </c>
      <c r="X1955">
        <v>6</v>
      </c>
      <c r="Y1955" t="s">
        <v>18601</v>
      </c>
      <c r="Z1955" t="s">
        <v>24105</v>
      </c>
      <c r="AA1955">
        <v>0.94267377185036305</v>
      </c>
      <c r="AB1955" t="str">
        <f>HYPERLINK("Melting_Curves/meltCurve_P18124_RPL7.pdf", "Melting_Curves/meltCurve_P18124_RPL7.pdf")</f>
        <v>Melting_Curves/meltCurve_P18124_RPL7.pdf</v>
      </c>
    </row>
    <row r="1956" spans="1:28" x14ac:dyDescent="0.25">
      <c r="A1956" t="s">
        <v>1960</v>
      </c>
      <c r="B1956">
        <v>0.99796759195183404</v>
      </c>
      <c r="C1956">
        <v>0.95102796933270095</v>
      </c>
      <c r="D1956">
        <v>0.93489847369304901</v>
      </c>
      <c r="E1956">
        <v>0.93757084934412604</v>
      </c>
      <c r="F1956">
        <v>0.90814723873599201</v>
      </c>
      <c r="G1956">
        <v>0.88417411678731805</v>
      </c>
      <c r="H1956">
        <v>0.81498422210449994</v>
      </c>
      <c r="I1956">
        <v>0.68580739503282495</v>
      </c>
      <c r="J1956">
        <v>0.73819886679508795</v>
      </c>
      <c r="K1956">
        <v>0.45428988030931999</v>
      </c>
      <c r="L1956">
        <v>479.20933588783299</v>
      </c>
      <c r="M1956">
        <v>6.9699085000346299</v>
      </c>
      <c r="O1956">
        <v>63.764629068901698</v>
      </c>
      <c r="P1956">
        <v>-2.7378172468565599E-2</v>
      </c>
      <c r="Q1956">
        <v>0</v>
      </c>
      <c r="R1956">
        <v>0.88678744164839396</v>
      </c>
      <c r="S1956" t="s">
        <v>7539</v>
      </c>
      <c r="T1956" t="s">
        <v>11164</v>
      </c>
      <c r="U1956" t="s">
        <v>11164</v>
      </c>
      <c r="V1956" t="s">
        <v>11164</v>
      </c>
      <c r="W1956" t="s">
        <v>13086</v>
      </c>
      <c r="X1956">
        <v>48</v>
      </c>
      <c r="Y1956" t="s">
        <v>18602</v>
      </c>
      <c r="Z1956" t="s">
        <v>24106</v>
      </c>
      <c r="AA1956">
        <v>0.85430456011429856</v>
      </c>
      <c r="AB1956" t="str">
        <f>HYPERLINK("Melting_Curves/meltCurve_P18206_2_VCL.pdf", "Melting_Curves/meltCurve_P18206_2_VCL.pdf")</f>
        <v>Melting_Curves/meltCurve_P18206_2_VCL.pdf</v>
      </c>
    </row>
    <row r="1957" spans="1:28" x14ac:dyDescent="0.25">
      <c r="A1957" t="s">
        <v>1961</v>
      </c>
      <c r="B1957">
        <v>0.99796759195183404</v>
      </c>
      <c r="C1957">
        <v>0.94149601277293704</v>
      </c>
      <c r="D1957">
        <v>0.92678537938401195</v>
      </c>
      <c r="E1957">
        <v>0.58831708456438603</v>
      </c>
      <c r="F1957">
        <v>0.54780775377678304</v>
      </c>
      <c r="G1957">
        <v>0.38570229359403202</v>
      </c>
      <c r="H1957">
        <v>0.37804646347155202</v>
      </c>
      <c r="I1957">
        <v>0.28772779045354102</v>
      </c>
      <c r="J1957">
        <v>0.25307300338298699</v>
      </c>
      <c r="K1957">
        <v>0.21270922155958899</v>
      </c>
      <c r="L1957">
        <v>580.50004291115397</v>
      </c>
      <c r="M1957">
        <v>12.0732996414089</v>
      </c>
      <c r="N1957">
        <v>50.596988958819097</v>
      </c>
      <c r="O1957">
        <v>46.819208106258102</v>
      </c>
      <c r="P1957">
        <v>-4.99308500024453E-2</v>
      </c>
      <c r="Q1957">
        <v>0.22567211777707299</v>
      </c>
      <c r="R1957">
        <v>0.973771045133213</v>
      </c>
      <c r="S1957" t="s">
        <v>7540</v>
      </c>
      <c r="T1957" t="s">
        <v>11164</v>
      </c>
      <c r="U1957" t="s">
        <v>11164</v>
      </c>
      <c r="V1957" t="s">
        <v>11164</v>
      </c>
      <c r="W1957" t="s">
        <v>13087</v>
      </c>
      <c r="X1957">
        <v>3</v>
      </c>
      <c r="Y1957" t="s">
        <v>18603</v>
      </c>
      <c r="Z1957" t="s">
        <v>24107</v>
      </c>
      <c r="AA1957">
        <v>0.5356223148230953</v>
      </c>
      <c r="AB1957" t="str">
        <f>HYPERLINK("Melting_Curves/meltCurve_P18583_6_SON.pdf", "Melting_Curves/meltCurve_P18583_6_SON.pdf")</f>
        <v>Melting_Curves/meltCurve_P18583_6_SON.pdf</v>
      </c>
    </row>
    <row r="1958" spans="1:28" x14ac:dyDescent="0.25">
      <c r="A1958" t="s">
        <v>1962</v>
      </c>
      <c r="B1958">
        <v>0.99796759195183404</v>
      </c>
      <c r="C1958">
        <v>0.98718296910340797</v>
      </c>
      <c r="D1958">
        <v>0.99089705566931696</v>
      </c>
      <c r="E1958">
        <v>0.90322460373226598</v>
      </c>
      <c r="F1958">
        <v>0.96723948850240404</v>
      </c>
      <c r="G1958">
        <v>0.45654199821351299</v>
      </c>
      <c r="H1958">
        <v>0.36639573384083701</v>
      </c>
      <c r="I1958">
        <v>0.29009351304658298</v>
      </c>
      <c r="J1958">
        <v>0.31139071491404402</v>
      </c>
      <c r="K1958">
        <v>0.23111992427238201</v>
      </c>
      <c r="L1958">
        <v>2884.41605703802</v>
      </c>
      <c r="M1958">
        <v>54.777481517610603</v>
      </c>
      <c r="N1958">
        <v>53.534951029130902</v>
      </c>
      <c r="O1958">
        <v>52.5869271604682</v>
      </c>
      <c r="P1958">
        <v>-0.183232123472965</v>
      </c>
      <c r="Q1958">
        <v>0.29638177206152</v>
      </c>
      <c r="R1958">
        <v>0.982772493455078</v>
      </c>
      <c r="S1958" t="s">
        <v>7541</v>
      </c>
      <c r="T1958" t="s">
        <v>11164</v>
      </c>
      <c r="U1958" t="s">
        <v>11164</v>
      </c>
      <c r="V1958" t="s">
        <v>11164</v>
      </c>
      <c r="W1958" t="s">
        <v>13088</v>
      </c>
      <c r="X1958">
        <v>16</v>
      </c>
      <c r="Y1958" t="s">
        <v>18604</v>
      </c>
      <c r="Z1958" t="s">
        <v>24108</v>
      </c>
      <c r="AA1958">
        <v>0.66495943738719776</v>
      </c>
      <c r="AB1958" t="str">
        <f>HYPERLINK("Melting_Curves/meltCurve_P18615_NELFE.pdf", "Melting_Curves/meltCurve_P18615_NELFE.pdf")</f>
        <v>Melting_Curves/meltCurve_P18615_NELFE.pdf</v>
      </c>
    </row>
    <row r="1959" spans="1:28" x14ac:dyDescent="0.25">
      <c r="A1959" t="s">
        <v>1963</v>
      </c>
      <c r="B1959">
        <v>0.99796759195183404</v>
      </c>
      <c r="C1959">
        <v>1.0109807450369801</v>
      </c>
      <c r="D1959">
        <v>0.98944403946134496</v>
      </c>
      <c r="E1959">
        <v>0.93472605583073898</v>
      </c>
      <c r="F1959">
        <v>0.856222293897002</v>
      </c>
      <c r="G1959">
        <v>0.68972485680825302</v>
      </c>
      <c r="H1959">
        <v>0.70851447781283505</v>
      </c>
      <c r="I1959">
        <v>0.59728009286791395</v>
      </c>
      <c r="J1959">
        <v>0.66961139319958696</v>
      </c>
      <c r="K1959">
        <v>0.30831503551862799</v>
      </c>
      <c r="L1959">
        <v>415.51254675205797</v>
      </c>
      <c r="M1959">
        <v>6.4460865883796403</v>
      </c>
      <c r="N1959">
        <v>64.459659514637593</v>
      </c>
      <c r="O1959">
        <v>59.096207722373997</v>
      </c>
      <c r="P1959">
        <v>-2.7337714232619499E-2</v>
      </c>
      <c r="Q1959">
        <v>0</v>
      </c>
      <c r="R1959">
        <v>0.88201350490323205</v>
      </c>
      <c r="S1959" t="s">
        <v>7542</v>
      </c>
      <c r="T1959" t="s">
        <v>11164</v>
      </c>
      <c r="U1959" t="s">
        <v>11164</v>
      </c>
      <c r="V1959" t="s">
        <v>11164</v>
      </c>
      <c r="W1959" t="s">
        <v>13089</v>
      </c>
      <c r="X1959">
        <v>31</v>
      </c>
      <c r="Y1959" t="s">
        <v>18605</v>
      </c>
      <c r="Z1959" t="s">
        <v>24109</v>
      </c>
      <c r="AA1959">
        <v>0.78273856508320994</v>
      </c>
      <c r="AB1959" t="str">
        <f>HYPERLINK("Melting_Curves/meltCurve_P18669_PGAM1.pdf", "Melting_Curves/meltCurve_P18669_PGAM1.pdf")</f>
        <v>Melting_Curves/meltCurve_P18669_PGAM1.pdf</v>
      </c>
    </row>
    <row r="1960" spans="1:28" x14ac:dyDescent="0.25">
      <c r="A1960" t="s">
        <v>1964</v>
      </c>
      <c r="B1960">
        <v>0.99796759195183404</v>
      </c>
      <c r="C1960">
        <v>0.98044767011395795</v>
      </c>
      <c r="D1960">
        <v>1.0165126788963399</v>
      </c>
      <c r="E1960">
        <v>0.97689585388755096</v>
      </c>
      <c r="F1960">
        <v>0.72804300723154203</v>
      </c>
      <c r="G1960">
        <v>0.22216342962661201</v>
      </c>
      <c r="H1960">
        <v>0.175375091360677</v>
      </c>
      <c r="I1960">
        <v>0.145784591891923</v>
      </c>
      <c r="J1960">
        <v>0.13820875722988701</v>
      </c>
      <c r="K1960">
        <v>9.4247972822708095E-2</v>
      </c>
      <c r="L1960">
        <v>2137.4850738464602</v>
      </c>
      <c r="M1960">
        <v>41.812806607233703</v>
      </c>
      <c r="N1960">
        <v>51.505358043556797</v>
      </c>
      <c r="O1960">
        <v>51.003829071558201</v>
      </c>
      <c r="P1960">
        <v>-0.177443100206571</v>
      </c>
      <c r="Q1960">
        <v>0.134211493959671</v>
      </c>
      <c r="R1960">
        <v>0.99776928295372902</v>
      </c>
      <c r="S1960" t="s">
        <v>7543</v>
      </c>
      <c r="T1960" t="s">
        <v>11164</v>
      </c>
      <c r="U1960" t="s">
        <v>11164</v>
      </c>
      <c r="V1960" t="s">
        <v>11164</v>
      </c>
      <c r="W1960" t="s">
        <v>13090</v>
      </c>
      <c r="X1960">
        <v>19</v>
      </c>
      <c r="Y1960" t="s">
        <v>18606</v>
      </c>
      <c r="Z1960" t="s">
        <v>24110</v>
      </c>
      <c r="AA1960">
        <v>0.54451450967390536</v>
      </c>
      <c r="AB1960" t="str">
        <f>HYPERLINK("Melting_Curves/meltCurve_P18754_RCC1.pdf", "Melting_Curves/meltCurve_P18754_RCC1.pdf")</f>
        <v>Melting_Curves/meltCurve_P18754_RCC1.pdf</v>
      </c>
    </row>
    <row r="1961" spans="1:28" x14ac:dyDescent="0.25">
      <c r="A1961" t="s">
        <v>1965</v>
      </c>
      <c r="B1961">
        <v>0.99796759195183404</v>
      </c>
      <c r="C1961">
        <v>0.98307920029955898</v>
      </c>
      <c r="D1961">
        <v>0.903443063685474</v>
      </c>
      <c r="E1961">
        <v>0.87538135783015503</v>
      </c>
      <c r="F1961">
        <v>0.78806379270696703</v>
      </c>
      <c r="G1961">
        <v>0.64373507395253304</v>
      </c>
      <c r="H1961">
        <v>0.47174174464019403</v>
      </c>
      <c r="I1961">
        <v>0.32651124161315798</v>
      </c>
      <c r="J1961">
        <v>0.32316032794925797</v>
      </c>
      <c r="K1961">
        <v>0.27257716204806198</v>
      </c>
      <c r="L1961">
        <v>558.94860575425798</v>
      </c>
      <c r="M1961">
        <v>10.149505521748299</v>
      </c>
      <c r="N1961">
        <v>56.8808101723398</v>
      </c>
      <c r="O1961">
        <v>53.0618972850041</v>
      </c>
      <c r="P1961">
        <v>-4.1241205820548098E-2</v>
      </c>
      <c r="Q1961">
        <v>0.13795532023896601</v>
      </c>
      <c r="R1961">
        <v>0.99168382402657695</v>
      </c>
      <c r="S1961" t="s">
        <v>7544</v>
      </c>
      <c r="T1961" t="s">
        <v>11164</v>
      </c>
      <c r="U1961" t="s">
        <v>11164</v>
      </c>
      <c r="V1961" t="s">
        <v>11164</v>
      </c>
      <c r="W1961" t="s">
        <v>13091</v>
      </c>
      <c r="X1961">
        <v>7</v>
      </c>
      <c r="Y1961" t="s">
        <v>18607</v>
      </c>
      <c r="Z1961" t="s">
        <v>24111</v>
      </c>
      <c r="AA1961">
        <v>0.66759060294622907</v>
      </c>
      <c r="AB1961" t="str">
        <f>HYPERLINK("Melting_Curves/meltCurve_P18846_ATF1.pdf", "Melting_Curves/meltCurve_P18846_ATF1.pdf")</f>
        <v>Melting_Curves/meltCurve_P18846_ATF1.pdf</v>
      </c>
    </row>
    <row r="1962" spans="1:28" x14ac:dyDescent="0.25">
      <c r="A1962" t="s">
        <v>1966</v>
      </c>
      <c r="B1962">
        <v>0.99796759195183404</v>
      </c>
      <c r="C1962">
        <v>1.0495104926760399</v>
      </c>
      <c r="D1962">
        <v>1.0678632168511299</v>
      </c>
      <c r="E1962">
        <v>0.99876633961918204</v>
      </c>
      <c r="F1962">
        <v>0.76224921171938698</v>
      </c>
      <c r="G1962">
        <v>0.30686014035877501</v>
      </c>
      <c r="H1962">
        <v>0.196434059299855</v>
      </c>
      <c r="I1962">
        <v>0.17998198979697999</v>
      </c>
      <c r="J1962">
        <v>0.124066956794938</v>
      </c>
      <c r="K1962">
        <v>9.4030698277877495E-2</v>
      </c>
      <c r="L1962">
        <v>1742.6896947232599</v>
      </c>
      <c r="M1962">
        <v>33.741128944437399</v>
      </c>
      <c r="N1962">
        <v>52.147776316782</v>
      </c>
      <c r="O1962">
        <v>51.468415223914903</v>
      </c>
      <c r="P1962">
        <v>-0.14128299624323501</v>
      </c>
      <c r="Q1962">
        <v>0.137956298516964</v>
      </c>
      <c r="R1962">
        <v>0.99269888304871701</v>
      </c>
      <c r="S1962" t="s">
        <v>7545</v>
      </c>
      <c r="T1962" t="s">
        <v>11164</v>
      </c>
      <c r="U1962" t="s">
        <v>11164</v>
      </c>
      <c r="V1962" t="s">
        <v>11164</v>
      </c>
      <c r="W1962" t="s">
        <v>13092</v>
      </c>
      <c r="X1962">
        <v>26</v>
      </c>
      <c r="Y1962" t="s">
        <v>18608</v>
      </c>
      <c r="Z1962" t="s">
        <v>24112</v>
      </c>
      <c r="AA1962">
        <v>0.56319421186145213</v>
      </c>
      <c r="AB1962" t="str">
        <f>HYPERLINK("Melting_Curves/meltCurve_P18858_LIG1.pdf", "Melting_Curves/meltCurve_P18858_LIG1.pdf")</f>
        <v>Melting_Curves/meltCurve_P18858_LIG1.pdf</v>
      </c>
    </row>
    <row r="1963" spans="1:28" x14ac:dyDescent="0.25">
      <c r="A1963" t="s">
        <v>1967</v>
      </c>
      <c r="B1963">
        <v>0.99796759195183404</v>
      </c>
      <c r="C1963">
        <v>0.98534025201417397</v>
      </c>
      <c r="D1963">
        <v>0.96238681641945301</v>
      </c>
      <c r="E1963">
        <v>1.01884006771166</v>
      </c>
      <c r="F1963">
        <v>1.12781789181989</v>
      </c>
      <c r="G1963">
        <v>1.33037568773966</v>
      </c>
      <c r="H1963">
        <v>1.21188046171845</v>
      </c>
      <c r="I1963">
        <v>1.8154907114591301</v>
      </c>
      <c r="J1963">
        <v>1.9368094766046799</v>
      </c>
      <c r="K1963">
        <v>3.06133942127253</v>
      </c>
      <c r="L1963">
        <v>1566.0275890216899</v>
      </c>
      <c r="M1963">
        <v>29.685366108827399</v>
      </c>
      <c r="O1963">
        <v>52.516542735550999</v>
      </c>
      <c r="P1963">
        <v>7.0657674531473702E-2</v>
      </c>
      <c r="Q1963">
        <v>1.5</v>
      </c>
      <c r="R1963">
        <v>0.29668912722829299</v>
      </c>
      <c r="S1963" t="s">
        <v>7546</v>
      </c>
      <c r="T1963" t="s">
        <v>11164</v>
      </c>
      <c r="U1963" t="s">
        <v>11164</v>
      </c>
      <c r="V1963" t="s">
        <v>11164</v>
      </c>
      <c r="W1963" t="s">
        <v>13093</v>
      </c>
      <c r="X1963">
        <v>7</v>
      </c>
      <c r="Y1963" t="s">
        <v>18609</v>
      </c>
      <c r="Z1963" t="s">
        <v>24113</v>
      </c>
      <c r="AA1963">
        <v>1.234189354479944</v>
      </c>
      <c r="AB1963" t="str">
        <f>HYPERLINK("Melting_Curves/meltCurve_P18859_ATP5J.pdf", "Melting_Curves/meltCurve_P18859_ATP5J.pdf")</f>
        <v>Melting_Curves/meltCurve_P18859_ATP5J.pdf</v>
      </c>
    </row>
    <row r="1964" spans="1:28" x14ac:dyDescent="0.25">
      <c r="A1964" t="s">
        <v>1968</v>
      </c>
      <c r="B1964">
        <v>0.99796759195183404</v>
      </c>
      <c r="C1964">
        <v>0.97522843392525405</v>
      </c>
      <c r="D1964">
        <v>0.87495384677293997</v>
      </c>
      <c r="E1964">
        <v>0.85750958226220497</v>
      </c>
      <c r="F1964">
        <v>0.86694556723701599</v>
      </c>
      <c r="G1964">
        <v>0.77245822690364996</v>
      </c>
      <c r="H1964">
        <v>0.77760078944320898</v>
      </c>
      <c r="I1964">
        <v>0.74439879966717504</v>
      </c>
      <c r="J1964">
        <v>0.75280131451699295</v>
      </c>
      <c r="K1964">
        <v>0.59155723520912895</v>
      </c>
      <c r="L1964">
        <v>215.16635313982201</v>
      </c>
      <c r="M1964">
        <v>2.5682726509091398</v>
      </c>
      <c r="O1964">
        <v>57.291753045810303</v>
      </c>
      <c r="P1964">
        <v>-1.17405916185707E-2</v>
      </c>
      <c r="Q1964">
        <v>0</v>
      </c>
      <c r="R1964">
        <v>0.87933808581626205</v>
      </c>
      <c r="S1964" t="s">
        <v>7547</v>
      </c>
      <c r="T1964" t="s">
        <v>11164</v>
      </c>
      <c r="U1964" t="s">
        <v>11164</v>
      </c>
      <c r="V1964" t="s">
        <v>11164</v>
      </c>
      <c r="W1964" t="s">
        <v>13094</v>
      </c>
      <c r="X1964">
        <v>8</v>
      </c>
      <c r="Y1964" t="s">
        <v>18610</v>
      </c>
      <c r="Z1964" t="s">
        <v>24114</v>
      </c>
      <c r="AA1964">
        <v>0.82161308673868849</v>
      </c>
      <c r="AB1964" t="str">
        <f>HYPERLINK("Melting_Curves/meltCurve_P19022_CDH2.pdf", "Melting_Curves/meltCurve_P19022_CDH2.pdf")</f>
        <v>Melting_Curves/meltCurve_P19022_CDH2.pdf</v>
      </c>
    </row>
    <row r="1965" spans="1:28" x14ac:dyDescent="0.25">
      <c r="A1965" t="s">
        <v>1969</v>
      </c>
      <c r="B1965">
        <v>0.99796759195183404</v>
      </c>
      <c r="C1965">
        <v>1.03843369097146</v>
      </c>
      <c r="D1965">
        <v>0.98832543448500898</v>
      </c>
      <c r="E1965">
        <v>0.96254909951582202</v>
      </c>
      <c r="F1965">
        <v>0.837288172505118</v>
      </c>
      <c r="G1965">
        <v>0.38163259832774898</v>
      </c>
      <c r="H1965">
        <v>0.20381351502828801</v>
      </c>
      <c r="I1965">
        <v>0.15871354797967299</v>
      </c>
      <c r="J1965">
        <v>0.116090138903265</v>
      </c>
      <c r="K1965">
        <v>8.30418878271902E-2</v>
      </c>
      <c r="L1965">
        <v>1582.95795722863</v>
      </c>
      <c r="M1965">
        <v>30.169333729010301</v>
      </c>
      <c r="N1965">
        <v>52.939224655864201</v>
      </c>
      <c r="O1965">
        <v>52.240195120480301</v>
      </c>
      <c r="P1965">
        <v>-0.12741293641153001</v>
      </c>
      <c r="Q1965">
        <v>0.11750994931615499</v>
      </c>
      <c r="R1965">
        <v>0.99663662040082701</v>
      </c>
      <c r="S1965" t="s">
        <v>7548</v>
      </c>
      <c r="T1965" t="s">
        <v>11164</v>
      </c>
      <c r="U1965" t="s">
        <v>11164</v>
      </c>
      <c r="V1965" t="s">
        <v>11164</v>
      </c>
      <c r="W1965" t="s">
        <v>13095</v>
      </c>
      <c r="X1965">
        <v>10</v>
      </c>
      <c r="Y1965" t="s">
        <v>18611</v>
      </c>
      <c r="Z1965" t="s">
        <v>24115</v>
      </c>
      <c r="AA1965">
        <v>0.57808922278123276</v>
      </c>
      <c r="AB1965" t="str">
        <f>HYPERLINK("Melting_Curves/meltCurve_P19174_2_PLCG1.pdf", "Melting_Curves/meltCurve_P19174_2_PLCG1.pdf")</f>
        <v>Melting_Curves/meltCurve_P19174_2_PLCG1.pdf</v>
      </c>
    </row>
    <row r="1966" spans="1:28" x14ac:dyDescent="0.25">
      <c r="A1966" t="s">
        <v>1970</v>
      </c>
      <c r="B1966">
        <v>0.99796759195183404</v>
      </c>
      <c r="C1966">
        <v>0.95166907041517101</v>
      </c>
      <c r="D1966">
        <v>0.97421027665701798</v>
      </c>
      <c r="E1966">
        <v>0.96164607179963701</v>
      </c>
      <c r="F1966">
        <v>0.835075477714877</v>
      </c>
      <c r="G1966">
        <v>0.50267146411392505</v>
      </c>
      <c r="H1966">
        <v>0.283990471307559</v>
      </c>
      <c r="I1966">
        <v>0.20939903956418801</v>
      </c>
      <c r="J1966">
        <v>0.172492849450157</v>
      </c>
      <c r="K1966">
        <v>0.13582850762544499</v>
      </c>
      <c r="L1966">
        <v>1204.9311536520499</v>
      </c>
      <c r="M1966">
        <v>22.676427041836199</v>
      </c>
      <c r="N1966">
        <v>53.975299357950199</v>
      </c>
      <c r="O1966">
        <v>52.7277953581604</v>
      </c>
      <c r="P1966">
        <v>-9.1541667862597001E-2</v>
      </c>
      <c r="Q1966">
        <v>0.148596953967398</v>
      </c>
      <c r="R1966">
        <v>0.99692425886109004</v>
      </c>
      <c r="S1966" t="s">
        <v>7549</v>
      </c>
      <c r="T1966" t="s">
        <v>11164</v>
      </c>
      <c r="U1966" t="s">
        <v>11164</v>
      </c>
      <c r="V1966" t="s">
        <v>11164</v>
      </c>
      <c r="W1966" t="s">
        <v>13096</v>
      </c>
      <c r="X1966">
        <v>33</v>
      </c>
      <c r="Y1966" t="s">
        <v>18612</v>
      </c>
      <c r="Z1966" t="s">
        <v>24116</v>
      </c>
      <c r="AA1966">
        <v>0.61536464020597603</v>
      </c>
      <c r="AB1966" t="str">
        <f>HYPERLINK("Melting_Curves/meltCurve_P19338_NCL.pdf", "Melting_Curves/meltCurve_P19338_NCL.pdf")</f>
        <v>Melting_Curves/meltCurve_P19338_NCL.pdf</v>
      </c>
    </row>
    <row r="1967" spans="1:28" x14ac:dyDescent="0.25">
      <c r="A1967" t="s">
        <v>1971</v>
      </c>
      <c r="B1967">
        <v>0.99796759195183404</v>
      </c>
      <c r="C1967">
        <v>1.1230033521332601</v>
      </c>
      <c r="D1967">
        <v>1.13777497662257</v>
      </c>
      <c r="E1967">
        <v>1.00665343391694</v>
      </c>
      <c r="F1967">
        <v>0.74925397560229401</v>
      </c>
      <c r="G1967">
        <v>0.56707883749277599</v>
      </c>
      <c r="H1967">
        <v>0.601678449158353</v>
      </c>
      <c r="I1967">
        <v>0.77237118619355405</v>
      </c>
      <c r="J1967">
        <v>0.61489369772077396</v>
      </c>
      <c r="K1967">
        <v>0.35691479733414</v>
      </c>
      <c r="L1967">
        <v>12529.496047237901</v>
      </c>
      <c r="M1967">
        <v>250</v>
      </c>
      <c r="O1967">
        <v>50.114777261434703</v>
      </c>
      <c r="P1967">
        <v>-0.52057077130997798</v>
      </c>
      <c r="Q1967">
        <v>0.58258739086501399</v>
      </c>
      <c r="R1967">
        <v>0.80431443207568298</v>
      </c>
      <c r="S1967" t="s">
        <v>7550</v>
      </c>
      <c r="T1967" t="s">
        <v>11164</v>
      </c>
      <c r="U1967" t="s">
        <v>11164</v>
      </c>
      <c r="V1967" t="s">
        <v>11164</v>
      </c>
      <c r="W1967" t="s">
        <v>13097</v>
      </c>
      <c r="X1967">
        <v>3</v>
      </c>
      <c r="Y1967" t="s">
        <v>18613</v>
      </c>
      <c r="Z1967" t="s">
        <v>24117</v>
      </c>
      <c r="AA1967">
        <v>0.76514450515633448</v>
      </c>
      <c r="AB1967" t="str">
        <f>HYPERLINK("Melting_Curves/meltCurve_P19387_POLR2C.pdf", "Melting_Curves/meltCurve_P19387_POLR2C.pdf")</f>
        <v>Melting_Curves/meltCurve_P19387_POLR2C.pdf</v>
      </c>
    </row>
    <row r="1968" spans="1:28" x14ac:dyDescent="0.25">
      <c r="A1968" t="s">
        <v>1972</v>
      </c>
      <c r="B1968">
        <v>0.99796759195183404</v>
      </c>
      <c r="C1968">
        <v>1.0951919390646301</v>
      </c>
      <c r="D1968">
        <v>0.92323680238289596</v>
      </c>
      <c r="E1968">
        <v>0.72140280177964899</v>
      </c>
      <c r="F1968">
        <v>0.68071428089691</v>
      </c>
      <c r="G1968">
        <v>0.60916187221710205</v>
      </c>
      <c r="H1968">
        <v>0.57069458088816805</v>
      </c>
      <c r="I1968">
        <v>0.71057085173879897</v>
      </c>
      <c r="J1968">
        <v>0.39854053325687999</v>
      </c>
      <c r="K1968">
        <v>0.21967133837952799</v>
      </c>
      <c r="L1968">
        <v>335.08543231566603</v>
      </c>
      <c r="M1968">
        <v>5.5924125259761297</v>
      </c>
      <c r="N1968">
        <v>59.917875231530303</v>
      </c>
      <c r="O1968">
        <v>53.569762982069598</v>
      </c>
      <c r="P1968">
        <v>-2.6207168753838599E-2</v>
      </c>
      <c r="Q1968">
        <v>0</v>
      </c>
      <c r="R1968">
        <v>0.81712392765589204</v>
      </c>
      <c r="S1968" t="s">
        <v>7551</v>
      </c>
      <c r="T1968" t="s">
        <v>11164</v>
      </c>
      <c r="U1968" t="s">
        <v>11164</v>
      </c>
      <c r="V1968" t="s">
        <v>11164</v>
      </c>
      <c r="W1968" t="s">
        <v>13098</v>
      </c>
      <c r="X1968">
        <v>3</v>
      </c>
      <c r="Y1968" t="s">
        <v>18614</v>
      </c>
      <c r="Z1968" t="s">
        <v>24118</v>
      </c>
      <c r="AA1968">
        <v>0.6885159131862818</v>
      </c>
      <c r="AB1968" t="str">
        <f>HYPERLINK("Melting_Curves/meltCurve_P19388_POLR2E.pdf", "Melting_Curves/meltCurve_P19388_POLR2E.pdf")</f>
        <v>Melting_Curves/meltCurve_P19388_POLR2E.pdf</v>
      </c>
    </row>
    <row r="1969" spans="1:28" x14ac:dyDescent="0.25">
      <c r="A1969" t="s">
        <v>1973</v>
      </c>
      <c r="B1969">
        <v>0.99796759195183404</v>
      </c>
      <c r="C1969">
        <v>1.0182091026883699</v>
      </c>
      <c r="D1969">
        <v>1.0258988288895801</v>
      </c>
      <c r="E1969">
        <v>0.88904052875029005</v>
      </c>
      <c r="F1969">
        <v>0.41981782733204698</v>
      </c>
      <c r="G1969">
        <v>0.23763580172066801</v>
      </c>
      <c r="H1969">
        <v>0.19509710857408899</v>
      </c>
      <c r="I1969">
        <v>0.17607888709752001</v>
      </c>
      <c r="J1969">
        <v>0.152559015481389</v>
      </c>
      <c r="K1969">
        <v>0.124440265496167</v>
      </c>
      <c r="L1969">
        <v>1657.8344833958599</v>
      </c>
      <c r="M1969">
        <v>33.777247011437801</v>
      </c>
      <c r="N1969">
        <v>49.6728826257389</v>
      </c>
      <c r="O1969">
        <v>48.910319336192799</v>
      </c>
      <c r="P1969">
        <v>-0.14406251208190399</v>
      </c>
      <c r="Q1969">
        <v>0.16557859218954499</v>
      </c>
      <c r="R1969">
        <v>0.99652064445508504</v>
      </c>
      <c r="S1969" t="s">
        <v>7552</v>
      </c>
      <c r="T1969" t="s">
        <v>11164</v>
      </c>
      <c r="U1969" t="s">
        <v>11164</v>
      </c>
      <c r="V1969" t="s">
        <v>11164</v>
      </c>
      <c r="W1969" t="s">
        <v>13099</v>
      </c>
      <c r="X1969">
        <v>3</v>
      </c>
      <c r="Y1969" t="s">
        <v>18615</v>
      </c>
      <c r="Z1969" t="s">
        <v>24119</v>
      </c>
      <c r="AA1969">
        <v>0.50558724006643507</v>
      </c>
      <c r="AB1969" t="str">
        <f>HYPERLINK("Melting_Curves/meltCurve_P19525_2_EIF2AK2.pdf", "Melting_Curves/meltCurve_P19525_2_EIF2AK2.pdf")</f>
        <v>Melting_Curves/meltCurve_P19525_2_EIF2AK2.pdf</v>
      </c>
    </row>
    <row r="1970" spans="1:28" x14ac:dyDescent="0.25">
      <c r="A1970" t="s">
        <v>1974</v>
      </c>
      <c r="B1970">
        <v>0.99796759195183404</v>
      </c>
      <c r="C1970">
        <v>1.04485191963265</v>
      </c>
      <c r="D1970">
        <v>1.00950917038759</v>
      </c>
      <c r="E1970">
        <v>0.94719211280814297</v>
      </c>
      <c r="F1970">
        <v>0.84862271969208802</v>
      </c>
      <c r="G1970">
        <v>0.47190952390628499</v>
      </c>
      <c r="H1970">
        <v>0.111931064093948</v>
      </c>
      <c r="I1970">
        <v>6.7636469400470398E-2</v>
      </c>
      <c r="J1970">
        <v>5.0500412313839498E-2</v>
      </c>
      <c r="K1970">
        <v>3.8121505653333998E-2</v>
      </c>
      <c r="L1970">
        <v>1518.18395040316</v>
      </c>
      <c r="M1970">
        <v>28.485670550795199</v>
      </c>
      <c r="N1970">
        <v>53.425081435036901</v>
      </c>
      <c r="O1970">
        <v>53.0358201954935</v>
      </c>
      <c r="P1970">
        <v>-0.129824970533926</v>
      </c>
      <c r="Q1970">
        <v>3.3153365841654202E-2</v>
      </c>
      <c r="R1970">
        <v>0.99717919920612197</v>
      </c>
      <c r="S1970" t="s">
        <v>7553</v>
      </c>
      <c r="T1970" t="s">
        <v>11164</v>
      </c>
      <c r="U1970" t="s">
        <v>11164</v>
      </c>
      <c r="V1970" t="s">
        <v>11164</v>
      </c>
      <c r="W1970" t="s">
        <v>13100</v>
      </c>
      <c r="X1970">
        <v>11</v>
      </c>
      <c r="Y1970" t="s">
        <v>18616</v>
      </c>
      <c r="Z1970" t="s">
        <v>24120</v>
      </c>
      <c r="AA1970">
        <v>0.56513581101078736</v>
      </c>
      <c r="AB1970" t="str">
        <f>HYPERLINK("Melting_Curves/meltCurve_P19623_SRM.pdf", "Melting_Curves/meltCurve_P19623_SRM.pdf")</f>
        <v>Melting_Curves/meltCurve_P19623_SRM.pdf</v>
      </c>
    </row>
    <row r="1971" spans="1:28" x14ac:dyDescent="0.25">
      <c r="A1971" t="s">
        <v>1975</v>
      </c>
      <c r="B1971">
        <v>0.99796759195183404</v>
      </c>
      <c r="C1971">
        <v>0.99432662757597401</v>
      </c>
      <c r="D1971">
        <v>1.01568808758262</v>
      </c>
      <c r="E1971">
        <v>0.95887730558296203</v>
      </c>
      <c r="F1971">
        <v>0.78316675211769204</v>
      </c>
      <c r="G1971">
        <v>0.77761395530217603</v>
      </c>
      <c r="H1971">
        <v>0.34429395236905602</v>
      </c>
      <c r="I1971">
        <v>0.19048101783282101</v>
      </c>
      <c r="J1971">
        <v>0.12018102815673599</v>
      </c>
      <c r="K1971">
        <v>0.114769614673911</v>
      </c>
      <c r="L1971">
        <v>1030.16266834717</v>
      </c>
      <c r="M1971">
        <v>18.5112950083256</v>
      </c>
      <c r="N1971">
        <v>55.963180195873598</v>
      </c>
      <c r="O1971">
        <v>55.013252685926197</v>
      </c>
      <c r="P1971">
        <v>-7.9992708264280302E-2</v>
      </c>
      <c r="Q1971">
        <v>4.9128958658487397E-2</v>
      </c>
      <c r="R1971">
        <v>0.980777815592211</v>
      </c>
      <c r="S1971" t="s">
        <v>7554</v>
      </c>
      <c r="T1971" t="s">
        <v>11164</v>
      </c>
      <c r="U1971" t="s">
        <v>11164</v>
      </c>
      <c r="V1971" t="s">
        <v>11164</v>
      </c>
      <c r="W1971" t="s">
        <v>11593</v>
      </c>
      <c r="X1971">
        <v>7</v>
      </c>
      <c r="Y1971" t="s">
        <v>18617</v>
      </c>
      <c r="Z1971" t="s">
        <v>24121</v>
      </c>
      <c r="AA1971">
        <v>0.65110358462115103</v>
      </c>
      <c r="AB1971" t="str">
        <f>HYPERLINK("Melting_Curves/meltCurve_P19784_CSNK2A2.pdf", "Melting_Curves/meltCurve_P19784_CSNK2A2.pdf")</f>
        <v>Melting_Curves/meltCurve_P19784_CSNK2A2.pdf</v>
      </c>
    </row>
    <row r="1972" spans="1:28" x14ac:dyDescent="0.25">
      <c r="A1972" t="s">
        <v>1976</v>
      </c>
      <c r="B1972">
        <v>0.99796759195183404</v>
      </c>
      <c r="C1972">
        <v>0.88516921602740395</v>
      </c>
      <c r="D1972">
        <v>0.767959718342203</v>
      </c>
      <c r="E1972">
        <v>0.82737518278821798</v>
      </c>
      <c r="F1972">
        <v>0.67732206293958497</v>
      </c>
      <c r="G1972">
        <v>0.311869669882477</v>
      </c>
      <c r="H1972">
        <v>0.22121643214631301</v>
      </c>
      <c r="I1972">
        <v>0.17058364244299301</v>
      </c>
      <c r="J1972">
        <v>0.11499339207958</v>
      </c>
      <c r="K1972">
        <v>9.26535125070828E-2</v>
      </c>
      <c r="L1972">
        <v>545.51956173137899</v>
      </c>
      <c r="M1972">
        <v>10.573285921000499</v>
      </c>
      <c r="N1972">
        <v>51.594136862820498</v>
      </c>
      <c r="O1972">
        <v>49.851136791968599</v>
      </c>
      <c r="P1972">
        <v>-5.3045124666959501E-2</v>
      </c>
      <c r="Q1972">
        <v>0</v>
      </c>
      <c r="R1972">
        <v>0.96087899802961296</v>
      </c>
      <c r="S1972" t="s">
        <v>7555</v>
      </c>
      <c r="T1972" t="s">
        <v>11164</v>
      </c>
      <c r="U1972" t="s">
        <v>11164</v>
      </c>
      <c r="V1972" t="s">
        <v>11164</v>
      </c>
      <c r="W1972" t="s">
        <v>13101</v>
      </c>
      <c r="X1972">
        <v>5</v>
      </c>
      <c r="Y1972" t="s">
        <v>18618</v>
      </c>
      <c r="Z1972" t="s">
        <v>24122</v>
      </c>
      <c r="AA1972">
        <v>0.51374590011497023</v>
      </c>
      <c r="AB1972" t="str">
        <f>HYPERLINK("Melting_Curves/meltCurve_P19838_NFKB1.pdf", "Melting_Curves/meltCurve_P19838_NFKB1.pdf")</f>
        <v>Melting_Curves/meltCurve_P19838_NFKB1.pdf</v>
      </c>
    </row>
    <row r="1973" spans="1:28" x14ac:dyDescent="0.25">
      <c r="A1973" t="s">
        <v>1977</v>
      </c>
      <c r="B1973">
        <v>0.99796759195183404</v>
      </c>
      <c r="C1973">
        <v>0.99497499500161701</v>
      </c>
      <c r="D1973">
        <v>0.98925117025062403</v>
      </c>
      <c r="E1973">
        <v>0.959908412729779</v>
      </c>
      <c r="F1973">
        <v>0.84978915384419096</v>
      </c>
      <c r="G1973">
        <v>0.80887709295899302</v>
      </c>
      <c r="H1973">
        <v>0.33515998893427801</v>
      </c>
      <c r="I1973">
        <v>0.15131762142668301</v>
      </c>
      <c r="J1973">
        <v>0.110041661052179</v>
      </c>
      <c r="K1973">
        <v>8.2728382416322202E-2</v>
      </c>
      <c r="L1973">
        <v>1541.33721249013</v>
      </c>
      <c r="M1973">
        <v>27.6355074138045</v>
      </c>
      <c r="N1973">
        <v>56.0966726137233</v>
      </c>
      <c r="O1973">
        <v>55.484206210537401</v>
      </c>
      <c r="P1973">
        <v>-0.115365091720096</v>
      </c>
      <c r="Q1973">
        <v>7.3527733469430701E-2</v>
      </c>
      <c r="R1973">
        <v>0.98818878511486996</v>
      </c>
      <c r="S1973" t="s">
        <v>7556</v>
      </c>
      <c r="T1973" t="s">
        <v>11164</v>
      </c>
      <c r="U1973" t="s">
        <v>11164</v>
      </c>
      <c r="V1973" t="s">
        <v>11164</v>
      </c>
      <c r="W1973" t="s">
        <v>13102</v>
      </c>
      <c r="X1973">
        <v>23</v>
      </c>
      <c r="Y1973" t="s">
        <v>18619</v>
      </c>
      <c r="Z1973" t="s">
        <v>24123</v>
      </c>
      <c r="AA1973">
        <v>0.65990680137909941</v>
      </c>
      <c r="AB1973" t="str">
        <f>HYPERLINK("Melting_Curves/meltCurve_P20020_6_ATP2B1.pdf", "Melting_Curves/meltCurve_P20020_6_ATP2B1.pdf")</f>
        <v>Melting_Curves/meltCurve_P20020_6_ATP2B1.pdf</v>
      </c>
    </row>
    <row r="1974" spans="1:28" x14ac:dyDescent="0.25">
      <c r="A1974" t="s">
        <v>1978</v>
      </c>
      <c r="B1974">
        <v>0.99796759195183404</v>
      </c>
      <c r="C1974">
        <v>1.0128967697780999</v>
      </c>
      <c r="D1974">
        <v>0.96172433144436298</v>
      </c>
      <c r="E1974">
        <v>0.92879350741717204</v>
      </c>
      <c r="F1974">
        <v>0.87922464622963403</v>
      </c>
      <c r="G1974">
        <v>0.78139851406532701</v>
      </c>
      <c r="H1974">
        <v>0.57606223760842501</v>
      </c>
      <c r="I1974">
        <v>0.30896595405970101</v>
      </c>
      <c r="J1974">
        <v>0.138288899650646</v>
      </c>
      <c r="K1974">
        <v>9.3120659296466401E-2</v>
      </c>
      <c r="L1974">
        <v>935.78409518671197</v>
      </c>
      <c r="M1974">
        <v>16.148458883391001</v>
      </c>
      <c r="N1974">
        <v>57.948817558307901</v>
      </c>
      <c r="O1974">
        <v>57.082005302474698</v>
      </c>
      <c r="P1974">
        <v>-7.0730161370307298E-2</v>
      </c>
      <c r="Q1974">
        <v>0</v>
      </c>
      <c r="R1974">
        <v>0.99248924504554703</v>
      </c>
      <c r="S1974" t="s">
        <v>7557</v>
      </c>
      <c r="T1974" t="s">
        <v>11164</v>
      </c>
      <c r="U1974" t="s">
        <v>11164</v>
      </c>
      <c r="V1974" t="s">
        <v>11164</v>
      </c>
      <c r="W1974" t="s">
        <v>13103</v>
      </c>
      <c r="X1974">
        <v>10</v>
      </c>
      <c r="Y1974" t="s">
        <v>18620</v>
      </c>
      <c r="Z1974" t="s">
        <v>24124</v>
      </c>
      <c r="AA1974">
        <v>0.70373495909148021</v>
      </c>
      <c r="AB1974" t="str">
        <f>HYPERLINK("Melting_Curves/meltCurve_P20042_EIF2S2.pdf", "Melting_Curves/meltCurve_P20042_EIF2S2.pdf")</f>
        <v>Melting_Curves/meltCurve_P20042_EIF2S2.pdf</v>
      </c>
    </row>
    <row r="1975" spans="1:28" x14ac:dyDescent="0.25">
      <c r="A1975" t="s">
        <v>1979</v>
      </c>
      <c r="B1975">
        <v>0.99796759195183404</v>
      </c>
      <c r="C1975">
        <v>0.61544174088622305</v>
      </c>
      <c r="D1975">
        <v>0.83531707536406197</v>
      </c>
      <c r="E1975">
        <v>0.65829826012779002</v>
      </c>
      <c r="F1975">
        <v>0.77196372496108601</v>
      </c>
      <c r="G1975">
        <v>0.56664404003332602</v>
      </c>
      <c r="H1975">
        <v>0.49176063246317497</v>
      </c>
      <c r="I1975">
        <v>0.29089262043022701</v>
      </c>
      <c r="J1975">
        <v>0.27406717847711698</v>
      </c>
      <c r="K1975">
        <v>0.14341101887772201</v>
      </c>
      <c r="L1975">
        <v>300.70326020029597</v>
      </c>
      <c r="M1975">
        <v>5.5506990544029504</v>
      </c>
      <c r="N1975">
        <v>54.173944082464097</v>
      </c>
      <c r="O1975">
        <v>48.362462656802599</v>
      </c>
      <c r="P1975">
        <v>-2.88156065236813E-2</v>
      </c>
      <c r="Q1975">
        <v>0</v>
      </c>
      <c r="R1975">
        <v>0.80294112148732899</v>
      </c>
      <c r="S1975" t="s">
        <v>7558</v>
      </c>
      <c r="T1975" t="s">
        <v>11164</v>
      </c>
      <c r="U1975" t="s">
        <v>11164</v>
      </c>
      <c r="V1975" t="s">
        <v>11164</v>
      </c>
      <c r="W1975" t="s">
        <v>13104</v>
      </c>
      <c r="X1975">
        <v>3</v>
      </c>
      <c r="Y1975" t="s">
        <v>18621</v>
      </c>
      <c r="Z1975" t="s">
        <v>24125</v>
      </c>
      <c r="AA1975">
        <v>0.57444821577337923</v>
      </c>
      <c r="AB1975" t="str">
        <f>HYPERLINK("Melting_Curves/meltCurve_P20248_CCNA2.pdf", "Melting_Curves/meltCurve_P20248_CCNA2.pdf")</f>
        <v>Melting_Curves/meltCurve_P20248_CCNA2.pdf</v>
      </c>
    </row>
    <row r="1976" spans="1:28" x14ac:dyDescent="0.25">
      <c r="A1976" t="s">
        <v>1980</v>
      </c>
      <c r="B1976">
        <v>0.99796759195183404</v>
      </c>
      <c r="C1976">
        <v>0.98994017925875799</v>
      </c>
      <c r="D1976">
        <v>0.94927851023027798</v>
      </c>
      <c r="E1976">
        <v>0.92545943496394101</v>
      </c>
      <c r="F1976">
        <v>0.75029235621127199</v>
      </c>
      <c r="G1976">
        <v>0.48011162418159598</v>
      </c>
      <c r="H1976">
        <v>0.48214067676144101</v>
      </c>
      <c r="I1976">
        <v>0.484717092192957</v>
      </c>
      <c r="J1976">
        <v>0.64417872693350497</v>
      </c>
      <c r="K1976">
        <v>0.56987925159359498</v>
      </c>
      <c r="L1976">
        <v>2276.4780916166401</v>
      </c>
      <c r="M1976">
        <v>45.636195267160097</v>
      </c>
      <c r="O1976">
        <v>49.787669143622701</v>
      </c>
      <c r="P1976">
        <v>-0.10751201290100799</v>
      </c>
      <c r="Q1976">
        <v>0.53083153040420805</v>
      </c>
      <c r="R1976">
        <v>0.93305805640869299</v>
      </c>
      <c r="S1976" t="s">
        <v>7559</v>
      </c>
      <c r="T1976" t="s">
        <v>11164</v>
      </c>
      <c r="U1976" t="s">
        <v>11164</v>
      </c>
      <c r="V1976" t="s">
        <v>11164</v>
      </c>
      <c r="W1976" t="s">
        <v>13105</v>
      </c>
      <c r="X1976">
        <v>13</v>
      </c>
      <c r="Y1976" t="s">
        <v>18622</v>
      </c>
      <c r="Z1976" t="s">
        <v>24126</v>
      </c>
      <c r="AA1976">
        <v>0.73355110333765905</v>
      </c>
      <c r="AB1976" t="str">
        <f>HYPERLINK("Melting_Curves/meltCurve_P20290_BTF3.pdf", "Melting_Curves/meltCurve_P20290_BTF3.pdf")</f>
        <v>Melting_Curves/meltCurve_P20290_BTF3.pdf</v>
      </c>
    </row>
    <row r="1977" spans="1:28" x14ac:dyDescent="0.25">
      <c r="A1977" t="s">
        <v>1981</v>
      </c>
      <c r="B1977">
        <v>0.99796759195183404</v>
      </c>
      <c r="C1977">
        <v>0.95422801446480898</v>
      </c>
      <c r="D1977">
        <v>0.92140223311148295</v>
      </c>
      <c r="E1977">
        <v>0.94699504657053901</v>
      </c>
      <c r="F1977">
        <v>0.74598446961947196</v>
      </c>
      <c r="G1977">
        <v>0.463953222763273</v>
      </c>
      <c r="H1977">
        <v>0.471600994142157</v>
      </c>
      <c r="I1977">
        <v>0.429273666920372</v>
      </c>
      <c r="J1977">
        <v>0.66362813383112496</v>
      </c>
      <c r="K1977">
        <v>0.84179786866532103</v>
      </c>
      <c r="L1977">
        <v>12530.4076083975</v>
      </c>
      <c r="M1977">
        <v>250</v>
      </c>
      <c r="O1977">
        <v>50.118424713041499</v>
      </c>
      <c r="P1977">
        <v>-0.53117845463204105</v>
      </c>
      <c r="Q1977">
        <v>0.57405077700325502</v>
      </c>
      <c r="R1977">
        <v>0.70077380217799201</v>
      </c>
      <c r="S1977" t="s">
        <v>7560</v>
      </c>
      <c r="T1977" t="s">
        <v>11164</v>
      </c>
      <c r="U1977" t="s">
        <v>11164</v>
      </c>
      <c r="V1977" t="s">
        <v>11164</v>
      </c>
      <c r="W1977" t="s">
        <v>13106</v>
      </c>
      <c r="X1977">
        <v>8</v>
      </c>
      <c r="Y1977" t="s">
        <v>18622</v>
      </c>
      <c r="Z1977" t="s">
        <v>24127</v>
      </c>
      <c r="AA1977">
        <v>0.76039318756029717</v>
      </c>
      <c r="AB1977" t="str">
        <f>HYPERLINK("Melting_Curves/meltCurve_P20290_2_BTF3.pdf", "Melting_Curves/meltCurve_P20290_2_BTF3.pdf")</f>
        <v>Melting_Curves/meltCurve_P20290_2_BTF3.pdf</v>
      </c>
    </row>
    <row r="1978" spans="1:28" x14ac:dyDescent="0.25">
      <c r="A1978" t="s">
        <v>1982</v>
      </c>
      <c r="B1978">
        <v>0.99796759195183404</v>
      </c>
      <c r="C1978">
        <v>0.85107258502879002</v>
      </c>
      <c r="D1978">
        <v>0.85495166443735404</v>
      </c>
      <c r="E1978">
        <v>0.82202153553538104</v>
      </c>
      <c r="F1978">
        <v>0.69994631501744597</v>
      </c>
      <c r="G1978">
        <v>0.67653069339011496</v>
      </c>
      <c r="H1978">
        <v>0.58704314950486802</v>
      </c>
      <c r="I1978">
        <v>0.49841960074493202</v>
      </c>
      <c r="J1978">
        <v>0.45139286878261797</v>
      </c>
      <c r="K1978">
        <v>0.147077865491682</v>
      </c>
      <c r="L1978">
        <v>344.49349642159598</v>
      </c>
      <c r="M1978">
        <v>5.8645347565466901</v>
      </c>
      <c r="N1978">
        <v>58.741828803895203</v>
      </c>
      <c r="O1978">
        <v>52.995124379485702</v>
      </c>
      <c r="P1978">
        <v>-2.77626153578555E-2</v>
      </c>
      <c r="Q1978">
        <v>0</v>
      </c>
      <c r="R1978">
        <v>0.89821841139488701</v>
      </c>
      <c r="S1978" t="s">
        <v>7561</v>
      </c>
      <c r="T1978" t="s">
        <v>11164</v>
      </c>
      <c r="U1978" t="s">
        <v>11164</v>
      </c>
      <c r="V1978" t="s">
        <v>11164</v>
      </c>
      <c r="W1978" t="s">
        <v>13107</v>
      </c>
      <c r="X1978">
        <v>1</v>
      </c>
      <c r="Y1978" t="s">
        <v>18623</v>
      </c>
      <c r="Z1978" t="s">
        <v>24128</v>
      </c>
      <c r="AA1978">
        <v>0.67096471932968171</v>
      </c>
      <c r="AB1978" t="str">
        <f>HYPERLINK("Melting_Curves/meltCurve_P20336_RAB3A.pdf", "Melting_Curves/meltCurve_P20336_RAB3A.pdf")</f>
        <v>Melting_Curves/meltCurve_P20336_RAB3A.pdf</v>
      </c>
    </row>
    <row r="1979" spans="1:28" x14ac:dyDescent="0.25">
      <c r="A1979" t="s">
        <v>1983</v>
      </c>
      <c r="B1979">
        <v>0.99796759195183404</v>
      </c>
      <c r="C1979">
        <v>1.0012992795094799</v>
      </c>
      <c r="D1979">
        <v>0.94980164809628298</v>
      </c>
      <c r="E1979">
        <v>0.91349111358349999</v>
      </c>
      <c r="F1979">
        <v>0.84675882412819203</v>
      </c>
      <c r="G1979">
        <v>0.71959315000731205</v>
      </c>
      <c r="H1979">
        <v>0.61029131378523604</v>
      </c>
      <c r="I1979">
        <v>0.52647973957491401</v>
      </c>
      <c r="J1979">
        <v>0.60929564386826396</v>
      </c>
      <c r="K1979">
        <v>0.42127350695681698</v>
      </c>
      <c r="L1979">
        <v>565.96035592752798</v>
      </c>
      <c r="M1979">
        <v>10.363760845243201</v>
      </c>
      <c r="N1979">
        <v>64.950677658158497</v>
      </c>
      <c r="O1979">
        <v>52.693668106411003</v>
      </c>
      <c r="P1979">
        <v>-2.9318581781357E-2</v>
      </c>
      <c r="Q1979">
        <v>0.403981424874782</v>
      </c>
      <c r="R1979">
        <v>0.96146159560766997</v>
      </c>
      <c r="S1979" t="s">
        <v>7562</v>
      </c>
      <c r="T1979" t="s">
        <v>11164</v>
      </c>
      <c r="U1979" t="s">
        <v>11164</v>
      </c>
      <c r="V1979" t="s">
        <v>11164</v>
      </c>
      <c r="W1979" t="s">
        <v>13108</v>
      </c>
      <c r="X1979">
        <v>9</v>
      </c>
      <c r="Y1979" t="s">
        <v>18624</v>
      </c>
      <c r="Z1979" t="s">
        <v>24129</v>
      </c>
      <c r="AA1979">
        <v>0.76264914833949926</v>
      </c>
      <c r="AB1979" t="str">
        <f>HYPERLINK("Melting_Curves/meltCurve_P20338_RAB4A.pdf", "Melting_Curves/meltCurve_P20338_RAB4A.pdf")</f>
        <v>Melting_Curves/meltCurve_P20338_RAB4A.pdf</v>
      </c>
    </row>
    <row r="1980" spans="1:28" x14ac:dyDescent="0.25">
      <c r="A1980" t="s">
        <v>1984</v>
      </c>
      <c r="B1980">
        <v>0.99796759195183404</v>
      </c>
      <c r="C1980">
        <v>0.99161978177515697</v>
      </c>
      <c r="D1980">
        <v>0.974460212585887</v>
      </c>
      <c r="E1980">
        <v>0.92443704166826202</v>
      </c>
      <c r="F1980">
        <v>0.83002065757550003</v>
      </c>
      <c r="G1980">
        <v>0.62880621633431</v>
      </c>
      <c r="H1980">
        <v>0.61481019164287798</v>
      </c>
      <c r="I1980">
        <v>0.55790178985390204</v>
      </c>
      <c r="J1980">
        <v>0.64936718385474501</v>
      </c>
      <c r="K1980">
        <v>0.51221647317831798</v>
      </c>
      <c r="L1980">
        <v>1090.60948749672</v>
      </c>
      <c r="M1980">
        <v>21.548274600985899</v>
      </c>
      <c r="O1980">
        <v>50.182534614206602</v>
      </c>
      <c r="P1980">
        <v>-4.6474644951769201E-2</v>
      </c>
      <c r="Q1980">
        <v>0.56708200920574903</v>
      </c>
      <c r="R1980">
        <v>0.96361960191892004</v>
      </c>
      <c r="S1980" t="s">
        <v>7563</v>
      </c>
      <c r="T1980" t="s">
        <v>11164</v>
      </c>
      <c r="U1980" t="s">
        <v>11164</v>
      </c>
      <c r="V1980" t="s">
        <v>11164</v>
      </c>
      <c r="W1980" t="s">
        <v>13109</v>
      </c>
      <c r="X1980">
        <v>13</v>
      </c>
      <c r="Y1980" t="s">
        <v>18625</v>
      </c>
      <c r="Z1980" t="s">
        <v>24130</v>
      </c>
      <c r="AA1980">
        <v>0.76851219675663063</v>
      </c>
      <c r="AB1980" t="str">
        <f>HYPERLINK("Melting_Curves/meltCurve_P20340_RAB6A.pdf", "Melting_Curves/meltCurve_P20340_RAB6A.pdf")</f>
        <v>Melting_Curves/meltCurve_P20340_RAB6A.pdf</v>
      </c>
    </row>
    <row r="1981" spans="1:28" x14ac:dyDescent="0.25">
      <c r="A1981" t="s">
        <v>1985</v>
      </c>
      <c r="B1981">
        <v>0.99796759195183404</v>
      </c>
      <c r="C1981">
        <v>0.99552121724454601</v>
      </c>
      <c r="D1981">
        <v>0.92139588415792995</v>
      </c>
      <c r="E1981">
        <v>0.971366253331851</v>
      </c>
      <c r="F1981">
        <v>0.785616705431045</v>
      </c>
      <c r="G1981">
        <v>0.51478684410578202</v>
      </c>
      <c r="H1981">
        <v>0.27638451759728</v>
      </c>
      <c r="I1981">
        <v>0.20642678497457601</v>
      </c>
      <c r="J1981">
        <v>0.18094094114918399</v>
      </c>
      <c r="K1981">
        <v>0.11386720285122399</v>
      </c>
      <c r="L1981">
        <v>1035.1120922140899</v>
      </c>
      <c r="M1981">
        <v>19.4782968704566</v>
      </c>
      <c r="N1981">
        <v>53.944833215176601</v>
      </c>
      <c r="O1981">
        <v>52.5912018609909</v>
      </c>
      <c r="P1981">
        <v>-8.0943044275618006E-2</v>
      </c>
      <c r="Q1981">
        <v>0.125850048928941</v>
      </c>
      <c r="R1981">
        <v>0.99419432811966701</v>
      </c>
      <c r="S1981" t="s">
        <v>7564</v>
      </c>
      <c r="T1981" t="s">
        <v>11164</v>
      </c>
      <c r="U1981" t="s">
        <v>11164</v>
      </c>
      <c r="V1981" t="s">
        <v>11164</v>
      </c>
      <c r="W1981" t="s">
        <v>13110</v>
      </c>
      <c r="X1981">
        <v>3</v>
      </c>
      <c r="Y1981" t="s">
        <v>18626</v>
      </c>
      <c r="Z1981" t="s">
        <v>24131</v>
      </c>
      <c r="AA1981">
        <v>0.60756935796499056</v>
      </c>
      <c r="AB1981" t="str">
        <f>HYPERLINK("Melting_Curves/meltCurve_P20585_MSH3.pdf", "Melting_Curves/meltCurve_P20585_MSH3.pdf")</f>
        <v>Melting_Curves/meltCurve_P20585_MSH3.pdf</v>
      </c>
    </row>
    <row r="1982" spans="1:28" x14ac:dyDescent="0.25">
      <c r="A1982" t="s">
        <v>1986</v>
      </c>
      <c r="B1982">
        <v>0.99796759195183404</v>
      </c>
      <c r="C1982">
        <v>0.83678892956029405</v>
      </c>
      <c r="D1982">
        <v>0.84976292252690999</v>
      </c>
      <c r="E1982">
        <v>0.78006920573335603</v>
      </c>
      <c r="F1982">
        <v>0.64395407998384502</v>
      </c>
      <c r="G1982">
        <v>0.42031635485685398</v>
      </c>
      <c r="H1982">
        <v>0.35723596615801001</v>
      </c>
      <c r="I1982">
        <v>0.49346446724033899</v>
      </c>
      <c r="J1982">
        <v>0.27868467393076102</v>
      </c>
      <c r="K1982">
        <v>0.228667012607535</v>
      </c>
      <c r="L1982">
        <v>382.199365807172</v>
      </c>
      <c r="M1982">
        <v>7.39214313759524</v>
      </c>
      <c r="N1982">
        <v>53.947051871047201</v>
      </c>
      <c r="O1982">
        <v>48.323984290274602</v>
      </c>
      <c r="P1982">
        <v>-3.3232193744271797E-2</v>
      </c>
      <c r="Q1982">
        <v>0.13233302026993099</v>
      </c>
      <c r="R1982">
        <v>0.93117792799775301</v>
      </c>
      <c r="S1982" t="s">
        <v>7565</v>
      </c>
      <c r="T1982" t="s">
        <v>11164</v>
      </c>
      <c r="U1982" t="s">
        <v>11164</v>
      </c>
      <c r="V1982" t="s">
        <v>11164</v>
      </c>
      <c r="W1982" t="s">
        <v>13111</v>
      </c>
      <c r="X1982">
        <v>8</v>
      </c>
      <c r="Y1982" t="s">
        <v>18627</v>
      </c>
      <c r="Z1982" t="s">
        <v>24132</v>
      </c>
      <c r="AA1982">
        <v>0.5844314592971861</v>
      </c>
      <c r="AB1982" t="str">
        <f>HYPERLINK("Melting_Curves/meltCurve_P20618_PSMB1.pdf", "Melting_Curves/meltCurve_P20618_PSMB1.pdf")</f>
        <v>Melting_Curves/meltCurve_P20618_PSMB1.pdf</v>
      </c>
    </row>
    <row r="1983" spans="1:28" x14ac:dyDescent="0.25">
      <c r="A1983" t="s">
        <v>1987</v>
      </c>
      <c r="B1983">
        <v>0.99796759195183404</v>
      </c>
      <c r="C1983">
        <v>1.0562007277496199</v>
      </c>
      <c r="D1983">
        <v>1.0430370995695</v>
      </c>
      <c r="E1983">
        <v>0.97245612262383196</v>
      </c>
      <c r="F1983">
        <v>0.80607478492523399</v>
      </c>
      <c r="G1983">
        <v>0.60636217079223698</v>
      </c>
      <c r="H1983">
        <v>0.53792393830886198</v>
      </c>
      <c r="I1983">
        <v>0.51974202261309599</v>
      </c>
      <c r="J1983">
        <v>0.54132285152188797</v>
      </c>
      <c r="K1983">
        <v>0.45265481932635598</v>
      </c>
      <c r="L1983">
        <v>1377.9323542990401</v>
      </c>
      <c r="M1983">
        <v>26.957581151862701</v>
      </c>
      <c r="O1983">
        <v>50.836043082419003</v>
      </c>
      <c r="P1983">
        <v>-6.5763123816687905E-2</v>
      </c>
      <c r="Q1983">
        <v>0.50394605974801199</v>
      </c>
      <c r="R1983">
        <v>0.982493405227153</v>
      </c>
      <c r="S1983" t="s">
        <v>7566</v>
      </c>
      <c r="T1983" t="s">
        <v>11164</v>
      </c>
      <c r="U1983" t="s">
        <v>11164</v>
      </c>
      <c r="V1983" t="s">
        <v>11164</v>
      </c>
      <c r="W1983" t="s">
        <v>13112</v>
      </c>
      <c r="X1983">
        <v>5</v>
      </c>
      <c r="Y1983" t="s">
        <v>18628</v>
      </c>
      <c r="Z1983" t="s">
        <v>24133</v>
      </c>
      <c r="AA1983">
        <v>0.74113906574878996</v>
      </c>
      <c r="AB1983" t="str">
        <f>HYPERLINK("Melting_Curves/meltCurve_P20645_M6PR.pdf", "Melting_Curves/meltCurve_P20645_M6PR.pdf")</f>
        <v>Melting_Curves/meltCurve_P20645_M6PR.pdf</v>
      </c>
    </row>
    <row r="1984" spans="1:28" x14ac:dyDescent="0.25">
      <c r="A1984" t="s">
        <v>1988</v>
      </c>
      <c r="B1984">
        <v>0.99796759195183404</v>
      </c>
      <c r="C1984">
        <v>1.03144014149458</v>
      </c>
      <c r="D1984">
        <v>0.99906197099180105</v>
      </c>
      <c r="E1984">
        <v>0.94620130124770596</v>
      </c>
      <c r="F1984">
        <v>0.87827533057729501</v>
      </c>
      <c r="G1984">
        <v>0.64370721113958596</v>
      </c>
      <c r="H1984">
        <v>0.88753096983785995</v>
      </c>
      <c r="I1984">
        <v>0.9825723358117</v>
      </c>
      <c r="J1984">
        <v>1.5797706784488099</v>
      </c>
      <c r="K1984">
        <v>2.4026684851667</v>
      </c>
      <c r="L1984">
        <v>15000</v>
      </c>
      <c r="M1984">
        <v>240.654400731176</v>
      </c>
      <c r="O1984">
        <v>62.325727069630503</v>
      </c>
      <c r="P1984">
        <v>0.48265450375469399</v>
      </c>
      <c r="Q1984">
        <v>1.5</v>
      </c>
      <c r="R1984">
        <v>0.57021936291645003</v>
      </c>
      <c r="S1984" t="s">
        <v>7567</v>
      </c>
      <c r="T1984" t="s">
        <v>11164</v>
      </c>
      <c r="U1984" t="s">
        <v>11164</v>
      </c>
      <c r="V1984" t="s">
        <v>11164</v>
      </c>
      <c r="W1984" t="s">
        <v>13113</v>
      </c>
      <c r="X1984">
        <v>8</v>
      </c>
      <c r="Y1984" t="s">
        <v>18629</v>
      </c>
      <c r="Z1984" t="s">
        <v>24134</v>
      </c>
      <c r="AA1984">
        <v>1.077773532119682</v>
      </c>
      <c r="AB1984" t="str">
        <f>HYPERLINK("Melting_Curves/meltCurve_P20674_COX5A.pdf", "Melting_Curves/meltCurve_P20674_COX5A.pdf")</f>
        <v>Melting_Curves/meltCurve_P20674_COX5A.pdf</v>
      </c>
    </row>
    <row r="1985" spans="1:28" x14ac:dyDescent="0.25">
      <c r="A1985" t="s">
        <v>1989</v>
      </c>
      <c r="B1985">
        <v>0.99796759195183404</v>
      </c>
      <c r="C1985">
        <v>0.94239615332317495</v>
      </c>
      <c r="D1985">
        <v>0.91748253001583102</v>
      </c>
      <c r="E1985">
        <v>0.87314363001807205</v>
      </c>
      <c r="F1985">
        <v>0.811655940109272</v>
      </c>
      <c r="G1985">
        <v>0.83748296533563205</v>
      </c>
      <c r="H1985">
        <v>0.448585281122026</v>
      </c>
      <c r="I1985">
        <v>0.25286954253897798</v>
      </c>
      <c r="J1985">
        <v>0.17004915087494599</v>
      </c>
      <c r="K1985">
        <v>0.13153843744952101</v>
      </c>
      <c r="L1985">
        <v>811.53805612039605</v>
      </c>
      <c r="M1985">
        <v>14.1987724593845</v>
      </c>
      <c r="N1985">
        <v>57.155508458540801</v>
      </c>
      <c r="O1985">
        <v>56.057624611336202</v>
      </c>
      <c r="P1985">
        <v>-6.3330146709608806E-2</v>
      </c>
      <c r="Q1985">
        <v>0</v>
      </c>
      <c r="R1985">
        <v>0.96266236823125095</v>
      </c>
      <c r="S1985" t="s">
        <v>7568</v>
      </c>
      <c r="T1985" t="s">
        <v>11164</v>
      </c>
      <c r="U1985" t="s">
        <v>11164</v>
      </c>
      <c r="V1985" t="s">
        <v>11164</v>
      </c>
      <c r="W1985" t="s">
        <v>13114</v>
      </c>
      <c r="X1985">
        <v>41</v>
      </c>
      <c r="Y1985" t="s">
        <v>18630</v>
      </c>
      <c r="Z1985" t="s">
        <v>24135</v>
      </c>
      <c r="AA1985">
        <v>0.67881957541495774</v>
      </c>
      <c r="AB1985" t="str">
        <f>HYPERLINK("Melting_Curves/meltCurve_P20700_LMNB1.pdf", "Melting_Curves/meltCurve_P20700_LMNB1.pdf")</f>
        <v>Melting_Curves/meltCurve_P20700_LMNB1.pdf</v>
      </c>
    </row>
    <row r="1986" spans="1:28" x14ac:dyDescent="0.25">
      <c r="A1986" t="s">
        <v>1990</v>
      </c>
      <c r="B1986">
        <v>0.99796759195183404</v>
      </c>
      <c r="C1986">
        <v>0.99406937471286505</v>
      </c>
      <c r="D1986">
        <v>1.00112311953817</v>
      </c>
      <c r="E1986">
        <v>0.97973530695910904</v>
      </c>
      <c r="F1986">
        <v>0.865326507573423</v>
      </c>
      <c r="G1986">
        <v>0.59625663018917197</v>
      </c>
      <c r="H1986">
        <v>0.66131965336571696</v>
      </c>
      <c r="I1986">
        <v>0.64423094270943304</v>
      </c>
      <c r="J1986">
        <v>0.85233550080439102</v>
      </c>
      <c r="K1986">
        <v>0.74922091464657303</v>
      </c>
      <c r="L1986">
        <v>12560.089765086699</v>
      </c>
      <c r="M1986">
        <v>250</v>
      </c>
      <c r="O1986">
        <v>50.237144025425899</v>
      </c>
      <c r="P1986">
        <v>-0.37239287550963102</v>
      </c>
      <c r="Q1986">
        <v>0.70067272810284797</v>
      </c>
      <c r="R1986">
        <v>0.82176020046515497</v>
      </c>
      <c r="S1986" t="s">
        <v>7569</v>
      </c>
      <c r="T1986" t="s">
        <v>11164</v>
      </c>
      <c r="U1986" t="s">
        <v>11164</v>
      </c>
      <c r="V1986" t="s">
        <v>11164</v>
      </c>
      <c r="W1986" t="s">
        <v>13115</v>
      </c>
      <c r="X1986">
        <v>31</v>
      </c>
      <c r="Y1986" t="s">
        <v>18631</v>
      </c>
      <c r="Z1986" t="s">
        <v>24136</v>
      </c>
      <c r="AA1986">
        <v>0.83280580531792259</v>
      </c>
      <c r="AB1986" t="str">
        <f>HYPERLINK("Melting_Curves/meltCurve_P20810_5_CAST.pdf", "Melting_Curves/meltCurve_P20810_5_CAST.pdf")</f>
        <v>Melting_Curves/meltCurve_P20810_5_CAST.pdf</v>
      </c>
    </row>
    <row r="1987" spans="1:28" x14ac:dyDescent="0.25">
      <c r="A1987" t="s">
        <v>1991</v>
      </c>
      <c r="B1987">
        <v>0.99796759195183404</v>
      </c>
      <c r="C1987">
        <v>0.87306864675267204</v>
      </c>
      <c r="D1987">
        <v>0.81092036965506897</v>
      </c>
      <c r="E1987">
        <v>0.80412658153489702</v>
      </c>
      <c r="F1987">
        <v>0.84794924117356796</v>
      </c>
      <c r="G1987">
        <v>0.65500107114949901</v>
      </c>
      <c r="H1987">
        <v>0.64942409909090604</v>
      </c>
      <c r="I1987">
        <v>0.67683440269844497</v>
      </c>
      <c r="J1987">
        <v>0.90154272936859803</v>
      </c>
      <c r="K1987">
        <v>0.76269580719713403</v>
      </c>
      <c r="L1987">
        <v>691.86956267524101</v>
      </c>
      <c r="M1987">
        <v>16.949740461998399</v>
      </c>
      <c r="O1987">
        <v>40.263410887904698</v>
      </c>
      <c r="P1987">
        <v>-2.6547611327536299E-2</v>
      </c>
      <c r="Q1987">
        <v>0.74776473916600905</v>
      </c>
      <c r="R1987">
        <v>0.495724126292025</v>
      </c>
      <c r="S1987" t="s">
        <v>7570</v>
      </c>
      <c r="T1987" t="s">
        <v>11164</v>
      </c>
      <c r="U1987" t="s">
        <v>11164</v>
      </c>
      <c r="V1987" t="s">
        <v>11164</v>
      </c>
      <c r="W1987" t="s">
        <v>13116</v>
      </c>
      <c r="X1987">
        <v>7</v>
      </c>
      <c r="Y1987" t="s">
        <v>18632</v>
      </c>
      <c r="Z1987" t="s">
        <v>24137</v>
      </c>
      <c r="AA1987">
        <v>0.78633565229389668</v>
      </c>
      <c r="AB1987" t="str">
        <f>HYPERLINK("Melting_Curves/meltCurve_P20962_PTMS.pdf", "Melting_Curves/meltCurve_P20962_PTMS.pdf")</f>
        <v>Melting_Curves/meltCurve_P20962_PTMS.pdf</v>
      </c>
    </row>
    <row r="1988" spans="1:28" x14ac:dyDescent="0.25">
      <c r="A1988" t="s">
        <v>1992</v>
      </c>
      <c r="B1988">
        <v>0.99796759195183404</v>
      </c>
      <c r="C1988">
        <v>1.12831316474414</v>
      </c>
      <c r="D1988">
        <v>1.1086781261335199</v>
      </c>
      <c r="E1988">
        <v>0.98473460271535596</v>
      </c>
      <c r="F1988">
        <v>0.72012258968127596</v>
      </c>
      <c r="G1988">
        <v>0.25418775339566302</v>
      </c>
      <c r="H1988">
        <v>0.15652291191665099</v>
      </c>
      <c r="I1988">
        <v>0.11193780774199601</v>
      </c>
      <c r="J1988">
        <v>8.1638715555055905E-2</v>
      </c>
      <c r="K1988">
        <v>5.1931419530384201E-2</v>
      </c>
      <c r="L1988">
        <v>1698.5466770254</v>
      </c>
      <c r="M1988">
        <v>33.013885247239202</v>
      </c>
      <c r="N1988">
        <v>51.758269641743098</v>
      </c>
      <c r="O1988">
        <v>51.261790101735997</v>
      </c>
      <c r="P1988">
        <v>-0.146613907585572</v>
      </c>
      <c r="Q1988">
        <v>8.9394309292080198E-2</v>
      </c>
      <c r="R1988">
        <v>0.98364478580980697</v>
      </c>
      <c r="S1988" t="s">
        <v>7571</v>
      </c>
      <c r="T1988" t="s">
        <v>11164</v>
      </c>
      <c r="U1988" t="s">
        <v>11164</v>
      </c>
      <c r="V1988" t="s">
        <v>11164</v>
      </c>
      <c r="W1988" t="s">
        <v>13117</v>
      </c>
      <c r="X1988">
        <v>12</v>
      </c>
      <c r="Y1988" t="s">
        <v>18633</v>
      </c>
      <c r="Z1988" t="s">
        <v>24138</v>
      </c>
      <c r="AA1988">
        <v>0.53272079312462706</v>
      </c>
      <c r="AB1988" t="str">
        <f>HYPERLINK("Melting_Curves/meltCurve_P21266_GSTM3.pdf", "Melting_Curves/meltCurve_P21266_GSTM3.pdf")</f>
        <v>Melting_Curves/meltCurve_P21266_GSTM3.pdf</v>
      </c>
    </row>
    <row r="1989" spans="1:28" x14ac:dyDescent="0.25">
      <c r="A1989" t="s">
        <v>1993</v>
      </c>
      <c r="B1989">
        <v>0.99796759195183404</v>
      </c>
      <c r="C1989">
        <v>0.932458674149231</v>
      </c>
      <c r="D1989">
        <v>0.84081400790857697</v>
      </c>
      <c r="E1989">
        <v>0.86407748240711202</v>
      </c>
      <c r="F1989">
        <v>0.81487153453726302</v>
      </c>
      <c r="G1989">
        <v>1.0638978442153999</v>
      </c>
      <c r="H1989">
        <v>0.75895816010985595</v>
      </c>
      <c r="I1989">
        <v>0.75983915151052095</v>
      </c>
      <c r="J1989">
        <v>0.69631715960479401</v>
      </c>
      <c r="K1989">
        <v>0.26530864239058199</v>
      </c>
      <c r="L1989">
        <v>1032.7697486212301</v>
      </c>
      <c r="M1989">
        <v>15.8921842642392</v>
      </c>
      <c r="N1989">
        <v>64.986017734729202</v>
      </c>
      <c r="O1989">
        <v>63.983169338042302</v>
      </c>
      <c r="P1989">
        <v>-6.21001912725027E-2</v>
      </c>
      <c r="Q1989">
        <v>0</v>
      </c>
      <c r="R1989">
        <v>0.67541514827429905</v>
      </c>
      <c r="S1989" t="s">
        <v>7572</v>
      </c>
      <c r="T1989" t="s">
        <v>11164</v>
      </c>
      <c r="U1989" t="s">
        <v>11164</v>
      </c>
      <c r="V1989" t="s">
        <v>11164</v>
      </c>
      <c r="W1989" t="s">
        <v>13118</v>
      </c>
      <c r="X1989">
        <v>19</v>
      </c>
      <c r="Y1989" t="s">
        <v>18634</v>
      </c>
      <c r="Z1989" t="s">
        <v>24139</v>
      </c>
      <c r="AA1989">
        <v>0.87972105118755961</v>
      </c>
      <c r="AB1989" t="str">
        <f>HYPERLINK("Melting_Curves/meltCurve_P21281_ATP6V1B2.pdf", "Melting_Curves/meltCurve_P21281_ATP6V1B2.pdf")</f>
        <v>Melting_Curves/meltCurve_P21281_ATP6V1B2.pdf</v>
      </c>
    </row>
    <row r="1990" spans="1:28" x14ac:dyDescent="0.25">
      <c r="A1990" t="s">
        <v>1994</v>
      </c>
      <c r="B1990">
        <v>0.99796759195183404</v>
      </c>
      <c r="C1990">
        <v>1.0583644714690299</v>
      </c>
      <c r="D1990">
        <v>0.97600585678649499</v>
      </c>
      <c r="E1990">
        <v>0.87502393767590703</v>
      </c>
      <c r="F1990">
        <v>0.68412793138001005</v>
      </c>
      <c r="G1990">
        <v>0.44994531991057501</v>
      </c>
      <c r="H1990">
        <v>0.25231109407257002</v>
      </c>
      <c r="I1990">
        <v>0.17498837929254701</v>
      </c>
      <c r="J1990">
        <v>0.17383997548069999</v>
      </c>
      <c r="K1990">
        <v>0.15779775953932701</v>
      </c>
      <c r="L1990">
        <v>901.02489725410601</v>
      </c>
      <c r="M1990">
        <v>17.3906334012432</v>
      </c>
      <c r="N1990">
        <v>52.749273666855601</v>
      </c>
      <c r="O1990">
        <v>51.1404118973145</v>
      </c>
      <c r="P1990">
        <v>-7.3707960799469702E-2</v>
      </c>
      <c r="Q1990">
        <v>0.13304082092248001</v>
      </c>
      <c r="R1990">
        <v>0.99588763812287995</v>
      </c>
      <c r="S1990" t="s">
        <v>7573</v>
      </c>
      <c r="T1990" t="s">
        <v>11164</v>
      </c>
      <c r="U1990" t="s">
        <v>11164</v>
      </c>
      <c r="V1990" t="s">
        <v>11164</v>
      </c>
      <c r="W1990" t="s">
        <v>13119</v>
      </c>
      <c r="X1990">
        <v>16</v>
      </c>
      <c r="Y1990" t="s">
        <v>18635</v>
      </c>
      <c r="Z1990" t="s">
        <v>24140</v>
      </c>
      <c r="AA1990">
        <v>0.57490450827861705</v>
      </c>
      <c r="AB1990" t="str">
        <f>HYPERLINK("Melting_Curves/meltCurve_P21283_ATP6V1C1.pdf", "Melting_Curves/meltCurve_P21283_ATP6V1C1.pdf")</f>
        <v>Melting_Curves/meltCurve_P21283_ATP6V1C1.pdf</v>
      </c>
    </row>
    <row r="1991" spans="1:28" x14ac:dyDescent="0.25">
      <c r="A1991" t="s">
        <v>1995</v>
      </c>
      <c r="B1991">
        <v>0.99796759195183404</v>
      </c>
      <c r="C1991">
        <v>0.99062822944511297</v>
      </c>
      <c r="D1991">
        <v>0.98972177845397102</v>
      </c>
      <c r="E1991">
        <v>0.95215842809686502</v>
      </c>
      <c r="F1991">
        <v>0.79386128118916599</v>
      </c>
      <c r="G1991">
        <v>0.65220266809167404</v>
      </c>
      <c r="H1991">
        <v>0.46519105154955998</v>
      </c>
      <c r="I1991">
        <v>0.16002483362622399</v>
      </c>
      <c r="J1991">
        <v>0.10468199361489899</v>
      </c>
      <c r="K1991">
        <v>8.3604597557713101E-2</v>
      </c>
      <c r="L1991">
        <v>840.286316148016</v>
      </c>
      <c r="M1991">
        <v>15.045283958467801</v>
      </c>
      <c r="N1991">
        <v>55.850479633962799</v>
      </c>
      <c r="O1991">
        <v>54.891664452148099</v>
      </c>
      <c r="P1991">
        <v>-6.85294674048776E-2</v>
      </c>
      <c r="Q1991">
        <v>0</v>
      </c>
      <c r="R1991">
        <v>0.99176686678035797</v>
      </c>
      <c r="S1991" t="s">
        <v>7574</v>
      </c>
      <c r="T1991" t="s">
        <v>11164</v>
      </c>
      <c r="U1991" t="s">
        <v>11164</v>
      </c>
      <c r="V1991" t="s">
        <v>11164</v>
      </c>
      <c r="W1991" t="s">
        <v>13120</v>
      </c>
      <c r="X1991">
        <v>24</v>
      </c>
      <c r="Y1991" t="s">
        <v>18636</v>
      </c>
      <c r="Z1991" t="s">
        <v>24141</v>
      </c>
      <c r="AA1991">
        <v>0.64024982299826871</v>
      </c>
      <c r="AB1991" t="str">
        <f>HYPERLINK("Melting_Curves/meltCurve_P21399_ACO1.pdf", "Melting_Curves/meltCurve_P21399_ACO1.pdf")</f>
        <v>Melting_Curves/meltCurve_P21399_ACO1.pdf</v>
      </c>
    </row>
    <row r="1992" spans="1:28" x14ac:dyDescent="0.25">
      <c r="A1992" t="s">
        <v>1996</v>
      </c>
      <c r="B1992">
        <v>0.99796759195183404</v>
      </c>
      <c r="C1992">
        <v>1.30800709897984</v>
      </c>
      <c r="D1992">
        <v>1.19254642778553</v>
      </c>
      <c r="E1992">
        <v>1.23130417322346</v>
      </c>
      <c r="F1992">
        <v>1.2465571477359401</v>
      </c>
      <c r="G1992">
        <v>1.6442117536154</v>
      </c>
      <c r="H1992">
        <v>2.2982490200047598</v>
      </c>
      <c r="I1992">
        <v>4.8621794015562596</v>
      </c>
      <c r="J1992">
        <v>0.79097969882701902</v>
      </c>
      <c r="K1992">
        <v>0.221601093447166</v>
      </c>
      <c r="L1992">
        <v>764.77018465031699</v>
      </c>
      <c r="M1992">
        <v>17.8479976107147</v>
      </c>
      <c r="O1992">
        <v>42.322021951375</v>
      </c>
      <c r="P1992">
        <v>5.2717556579399701E-2</v>
      </c>
      <c r="Q1992">
        <v>1.5</v>
      </c>
      <c r="R1992">
        <v>2.11414025002679E-2</v>
      </c>
      <c r="S1992" t="s">
        <v>7575</v>
      </c>
      <c r="T1992" t="s">
        <v>11164</v>
      </c>
      <c r="U1992" t="s">
        <v>11164</v>
      </c>
      <c r="V1992" t="s">
        <v>11164</v>
      </c>
      <c r="W1992" t="s">
        <v>13121</v>
      </c>
      <c r="X1992">
        <v>2</v>
      </c>
      <c r="Y1992" t="s">
        <v>18637</v>
      </c>
      <c r="Z1992" t="s">
        <v>24142</v>
      </c>
      <c r="AA1992">
        <v>1.3934008653143199</v>
      </c>
      <c r="AB1992" t="str">
        <f>HYPERLINK("Melting_Curves/meltCurve_P21580_TNFAIP3.pdf", "Melting_Curves/meltCurve_P21580_TNFAIP3.pdf")</f>
        <v>Melting_Curves/meltCurve_P21580_TNFAIP3.pdf</v>
      </c>
    </row>
    <row r="1993" spans="1:28" x14ac:dyDescent="0.25">
      <c r="A1993" t="s">
        <v>1997</v>
      </c>
      <c r="B1993">
        <v>0.99796759195183404</v>
      </c>
      <c r="C1993">
        <v>0.98110862131349696</v>
      </c>
      <c r="D1993">
        <v>0.91538062976436396</v>
      </c>
      <c r="E1993">
        <v>0.84885213206780297</v>
      </c>
      <c r="F1993">
        <v>0.79320245749194096</v>
      </c>
      <c r="G1993">
        <v>0.87855982485741801</v>
      </c>
      <c r="H1993">
        <v>0.72790477055081304</v>
      </c>
      <c r="I1993">
        <v>0.71582792855017396</v>
      </c>
      <c r="J1993">
        <v>0.71835012289151001</v>
      </c>
      <c r="K1993">
        <v>0.846578655172741</v>
      </c>
      <c r="L1993">
        <v>631.45828723015597</v>
      </c>
      <c r="M1993">
        <v>13.959730644954</v>
      </c>
      <c r="O1993">
        <v>44.336360817221603</v>
      </c>
      <c r="P1993">
        <v>-1.8659253302389801E-2</v>
      </c>
      <c r="Q1993">
        <v>0.76298322886639303</v>
      </c>
      <c r="R1993">
        <v>0.76135564843919601</v>
      </c>
      <c r="S1993" t="s">
        <v>7576</v>
      </c>
      <c r="T1993" t="s">
        <v>11164</v>
      </c>
      <c r="U1993" t="s">
        <v>11164</v>
      </c>
      <c r="V1993" t="s">
        <v>11164</v>
      </c>
      <c r="W1993" t="s">
        <v>13122</v>
      </c>
      <c r="X1993">
        <v>23</v>
      </c>
      <c r="Y1993" t="s">
        <v>18638</v>
      </c>
      <c r="Z1993" t="s">
        <v>24143</v>
      </c>
      <c r="AA1993">
        <v>0.83446966053105953</v>
      </c>
      <c r="AB1993" t="str">
        <f>HYPERLINK("Melting_Curves/meltCurve_P21796_VDAC1.pdf", "Melting_Curves/meltCurve_P21796_VDAC1.pdf")</f>
        <v>Melting_Curves/meltCurve_P21796_VDAC1.pdf</v>
      </c>
    </row>
    <row r="1994" spans="1:28" x14ac:dyDescent="0.25">
      <c r="A1994" t="s">
        <v>1998</v>
      </c>
      <c r="B1994">
        <v>0.99796759195183404</v>
      </c>
      <c r="C1994">
        <v>1.0063768671012701</v>
      </c>
      <c r="D1994">
        <v>0.99250679460328195</v>
      </c>
      <c r="E1994">
        <v>0.966819658445215</v>
      </c>
      <c r="F1994">
        <v>0.82901990881001297</v>
      </c>
      <c r="G1994">
        <v>0.78248579094513904</v>
      </c>
      <c r="H1994">
        <v>0.73555385967741005</v>
      </c>
      <c r="I1994">
        <v>0.64955088902409197</v>
      </c>
      <c r="J1994">
        <v>0.59147473028449105</v>
      </c>
      <c r="K1994">
        <v>0.19766515351608199</v>
      </c>
      <c r="L1994">
        <v>584.77417114617299</v>
      </c>
      <c r="M1994">
        <v>9.2676494112487902</v>
      </c>
      <c r="N1994">
        <v>63.098431064263202</v>
      </c>
      <c r="O1994">
        <v>60.369311855009798</v>
      </c>
      <c r="P1994">
        <v>-3.8403916808881298E-2</v>
      </c>
      <c r="Q1994">
        <v>0</v>
      </c>
      <c r="R1994">
        <v>0.89405589618945003</v>
      </c>
      <c r="S1994" t="s">
        <v>7577</v>
      </c>
      <c r="T1994" t="s">
        <v>11164</v>
      </c>
      <c r="U1994" t="s">
        <v>11164</v>
      </c>
      <c r="V1994" t="s">
        <v>11164</v>
      </c>
      <c r="W1994" t="s">
        <v>13123</v>
      </c>
      <c r="X1994">
        <v>23</v>
      </c>
      <c r="Y1994" t="s">
        <v>18639</v>
      </c>
      <c r="Z1994" t="s">
        <v>24144</v>
      </c>
      <c r="AA1994">
        <v>0.79917638799441904</v>
      </c>
      <c r="AB1994" t="str">
        <f>HYPERLINK("Melting_Curves/meltCurve_P21912_SDHB.pdf", "Melting_Curves/meltCurve_P21912_SDHB.pdf")</f>
        <v>Melting_Curves/meltCurve_P21912_SDHB.pdf</v>
      </c>
    </row>
    <row r="1995" spans="1:28" x14ac:dyDescent="0.25">
      <c r="A1995" t="s">
        <v>1999</v>
      </c>
      <c r="B1995">
        <v>0.99796759195183404</v>
      </c>
      <c r="C1995">
        <v>1.02465489094135</v>
      </c>
      <c r="D1995">
        <v>0.96276539412349305</v>
      </c>
      <c r="E1995">
        <v>0.92119837694111195</v>
      </c>
      <c r="F1995">
        <v>0.76288969608718704</v>
      </c>
      <c r="G1995">
        <v>0.44872073897883202</v>
      </c>
      <c r="H1995">
        <v>0.234344768243784</v>
      </c>
      <c r="I1995">
        <v>0.120016249971492</v>
      </c>
      <c r="J1995">
        <v>8.8174494072827694E-2</v>
      </c>
      <c r="K1995">
        <v>6.3302798179183301E-2</v>
      </c>
      <c r="L1995">
        <v>983.81862592044899</v>
      </c>
      <c r="M1995">
        <v>18.565281122036499</v>
      </c>
      <c r="N1995">
        <v>53.271819258790899</v>
      </c>
      <c r="O1995">
        <v>52.3890327813901</v>
      </c>
      <c r="P1995">
        <v>-8.4486930184185793E-2</v>
      </c>
      <c r="Q1995">
        <v>4.6393043881787201E-2</v>
      </c>
      <c r="R1995">
        <v>0.99887216405634105</v>
      </c>
      <c r="S1995" t="s">
        <v>7578</v>
      </c>
      <c r="T1995" t="s">
        <v>11164</v>
      </c>
      <c r="U1995" t="s">
        <v>11164</v>
      </c>
      <c r="V1995" t="s">
        <v>11164</v>
      </c>
      <c r="W1995" t="s">
        <v>13124</v>
      </c>
      <c r="X1995">
        <v>14</v>
      </c>
      <c r="Y1995" t="s">
        <v>18640</v>
      </c>
      <c r="Z1995" t="s">
        <v>24145</v>
      </c>
      <c r="AA1995">
        <v>0.56806401502924497</v>
      </c>
      <c r="AB1995" t="str">
        <f>HYPERLINK("Melting_Curves/meltCurve_P21964_2_COMT.pdf", "Melting_Curves/meltCurve_P21964_2_COMT.pdf")</f>
        <v>Melting_Curves/meltCurve_P21964_2_COMT.pdf</v>
      </c>
    </row>
    <row r="1996" spans="1:28" x14ac:dyDescent="0.25">
      <c r="A1996" t="s">
        <v>2000</v>
      </c>
      <c r="B1996">
        <v>0.99796759195183404</v>
      </c>
      <c r="C1996">
        <v>1.0080884424870999</v>
      </c>
      <c r="D1996">
        <v>0.95567015948267398</v>
      </c>
      <c r="E1996">
        <v>0.91846222199059002</v>
      </c>
      <c r="F1996">
        <v>0.821236079209408</v>
      </c>
      <c r="G1996">
        <v>0.43328033943509903</v>
      </c>
      <c r="H1996">
        <v>0.24083038591088701</v>
      </c>
      <c r="I1996">
        <v>0.21320540865617199</v>
      </c>
      <c r="J1996">
        <v>0.16390007376959601</v>
      </c>
      <c r="K1996">
        <v>0.112932850428714</v>
      </c>
      <c r="L1996">
        <v>1251.3736923464901</v>
      </c>
      <c r="M1996">
        <v>23.818065289858801</v>
      </c>
      <c r="N1996">
        <v>53.296936735037598</v>
      </c>
      <c r="O1996">
        <v>52.172694156413698</v>
      </c>
      <c r="P1996">
        <v>-9.7733632516789001E-2</v>
      </c>
      <c r="Q1996">
        <v>0.14368463349254501</v>
      </c>
      <c r="R1996">
        <v>0.99402136373384997</v>
      </c>
      <c r="S1996" t="s">
        <v>7579</v>
      </c>
      <c r="T1996" t="s">
        <v>11164</v>
      </c>
      <c r="U1996" t="s">
        <v>11164</v>
      </c>
      <c r="V1996" t="s">
        <v>11164</v>
      </c>
      <c r="W1996" t="s">
        <v>13125</v>
      </c>
      <c r="X1996">
        <v>15</v>
      </c>
      <c r="Y1996" t="s">
        <v>18641</v>
      </c>
      <c r="Z1996" t="s">
        <v>24146</v>
      </c>
      <c r="AA1996">
        <v>0.59547105896608754</v>
      </c>
      <c r="AB1996" t="str">
        <f>HYPERLINK("Melting_Curves/meltCurve_P22033_MUT.pdf", "Melting_Curves/meltCurve_P22033_MUT.pdf")</f>
        <v>Melting_Curves/meltCurve_P22033_MUT.pdf</v>
      </c>
    </row>
    <row r="1997" spans="1:28" x14ac:dyDescent="0.25">
      <c r="A1997" t="s">
        <v>2001</v>
      </c>
      <c r="B1997">
        <v>0.99796759195183404</v>
      </c>
      <c r="C1997">
        <v>1.0080241823670899</v>
      </c>
      <c r="D1997">
        <v>0.99806416415653099</v>
      </c>
      <c r="E1997">
        <v>0.95501207502242802</v>
      </c>
      <c r="F1997">
        <v>0.82766228147915999</v>
      </c>
      <c r="G1997">
        <v>0.77716650424947697</v>
      </c>
      <c r="H1997">
        <v>0.29027503894908901</v>
      </c>
      <c r="I1997">
        <v>0.200108923555605</v>
      </c>
      <c r="J1997">
        <v>0.15379575229264</v>
      </c>
      <c r="K1997">
        <v>9.8785006774879502E-2</v>
      </c>
      <c r="L1997">
        <v>1343.4296396858799</v>
      </c>
      <c r="M1997">
        <v>24.319258848651199</v>
      </c>
      <c r="N1997">
        <v>55.7503130353982</v>
      </c>
      <c r="O1997">
        <v>54.871932065020303</v>
      </c>
      <c r="P1997">
        <v>-9.9772554969787305E-2</v>
      </c>
      <c r="Q1997">
        <v>9.9539877056777096E-2</v>
      </c>
      <c r="R1997">
        <v>0.98253295954115705</v>
      </c>
      <c r="S1997" t="s">
        <v>7580</v>
      </c>
      <c r="T1997" t="s">
        <v>11164</v>
      </c>
      <c r="U1997" t="s">
        <v>11164</v>
      </c>
      <c r="V1997" t="s">
        <v>11164</v>
      </c>
      <c r="W1997" t="s">
        <v>13126</v>
      </c>
      <c r="X1997">
        <v>19</v>
      </c>
      <c r="Y1997" t="s">
        <v>18642</v>
      </c>
      <c r="Z1997" t="s">
        <v>24147</v>
      </c>
      <c r="AA1997">
        <v>0.65495138790544549</v>
      </c>
      <c r="AB1997" t="str">
        <f>HYPERLINK("Melting_Curves/meltCurve_P22059_OSBP.pdf", "Melting_Curves/meltCurve_P22059_OSBP.pdf")</f>
        <v>Melting_Curves/meltCurve_P22059_OSBP.pdf</v>
      </c>
    </row>
    <row r="1998" spans="1:28" x14ac:dyDescent="0.25">
      <c r="A1998" t="s">
        <v>2002</v>
      </c>
      <c r="B1998">
        <v>0.99796759195183404</v>
      </c>
      <c r="C1998">
        <v>0.97858255044067599</v>
      </c>
      <c r="D1998">
        <v>0.96678845021761495</v>
      </c>
      <c r="E1998">
        <v>0.94526822169038904</v>
      </c>
      <c r="F1998">
        <v>0.77269522590198303</v>
      </c>
      <c r="G1998">
        <v>0.45679075845174699</v>
      </c>
      <c r="H1998">
        <v>0.17150951844278101</v>
      </c>
      <c r="I1998">
        <v>0.117961173379672</v>
      </c>
      <c r="J1998">
        <v>0.10070791967223899</v>
      </c>
      <c r="K1998">
        <v>7.7158144390642197E-2</v>
      </c>
      <c r="L1998">
        <v>1184.07816999448</v>
      </c>
      <c r="M1998">
        <v>22.4351950822733</v>
      </c>
      <c r="N1998">
        <v>53.137260057199498</v>
      </c>
      <c r="O1998">
        <v>52.363763913890097</v>
      </c>
      <c r="P1998">
        <v>-9.9571093732624696E-2</v>
      </c>
      <c r="Q1998">
        <v>7.0423246803920106E-2</v>
      </c>
      <c r="R1998">
        <v>0.99819189806771103</v>
      </c>
      <c r="S1998" t="s">
        <v>7581</v>
      </c>
      <c r="T1998" t="s">
        <v>11164</v>
      </c>
      <c r="U1998" t="s">
        <v>11164</v>
      </c>
      <c r="V1998" t="s">
        <v>11164</v>
      </c>
      <c r="W1998" t="s">
        <v>13127</v>
      </c>
      <c r="X1998">
        <v>48</v>
      </c>
      <c r="Y1998" t="s">
        <v>18643</v>
      </c>
      <c r="Z1998" t="s">
        <v>24148</v>
      </c>
      <c r="AA1998">
        <v>0.56917653649412803</v>
      </c>
      <c r="AB1998" t="str">
        <f>HYPERLINK("Melting_Curves/meltCurve_P22102_GART.pdf", "Melting_Curves/meltCurve_P22102_GART.pdf")</f>
        <v>Melting_Curves/meltCurve_P22102_GART.pdf</v>
      </c>
    </row>
    <row r="1999" spans="1:28" x14ac:dyDescent="0.25">
      <c r="A1999" t="s">
        <v>2003</v>
      </c>
      <c r="B1999">
        <v>0.99796759195183404</v>
      </c>
      <c r="C1999">
        <v>1.0016037003234</v>
      </c>
      <c r="D1999">
        <v>0.97980683441766303</v>
      </c>
      <c r="E1999">
        <v>0.99163863033099298</v>
      </c>
      <c r="F1999">
        <v>0.89493383853889596</v>
      </c>
      <c r="G1999">
        <v>1.8572362352615399</v>
      </c>
      <c r="H1999">
        <v>1.8082537364564799</v>
      </c>
      <c r="I1999">
        <v>2.23530862498807</v>
      </c>
      <c r="J1999">
        <v>1.89989966562949</v>
      </c>
      <c r="K1999">
        <v>1.2755390018475301</v>
      </c>
      <c r="L1999">
        <v>5269.9014075600498</v>
      </c>
      <c r="M1999">
        <v>102.00331962496099</v>
      </c>
      <c r="O1999">
        <v>51.6441625057614</v>
      </c>
      <c r="P1999">
        <v>0.24688973988028501</v>
      </c>
      <c r="Q1999">
        <v>1.5</v>
      </c>
      <c r="R1999">
        <v>0.55830312300158402</v>
      </c>
      <c r="S1999" t="s">
        <v>7582</v>
      </c>
      <c r="T1999" t="s">
        <v>11164</v>
      </c>
      <c r="U1999" t="s">
        <v>11164</v>
      </c>
      <c r="V1999" t="s">
        <v>11164</v>
      </c>
      <c r="W1999" t="s">
        <v>13128</v>
      </c>
      <c r="X1999">
        <v>29</v>
      </c>
      <c r="Y1999" t="s">
        <v>18644</v>
      </c>
      <c r="Z1999" t="s">
        <v>24149</v>
      </c>
      <c r="AA1999">
        <v>1.2553270646330441</v>
      </c>
      <c r="AB1999" t="str">
        <f>HYPERLINK("Melting_Curves/meltCurve_P22234_PAICS.pdf", "Melting_Curves/meltCurve_P22234_PAICS.pdf")</f>
        <v>Melting_Curves/meltCurve_P22234_PAICS.pdf</v>
      </c>
    </row>
    <row r="2000" spans="1:28" x14ac:dyDescent="0.25">
      <c r="A2000" t="s">
        <v>2004</v>
      </c>
      <c r="B2000">
        <v>0.99796759195183404</v>
      </c>
      <c r="C2000">
        <v>0.952011162664959</v>
      </c>
      <c r="D2000">
        <v>0.97056076734083396</v>
      </c>
      <c r="E2000">
        <v>0.95807231800188397</v>
      </c>
      <c r="F2000">
        <v>0.80793812068828896</v>
      </c>
      <c r="G2000">
        <v>0.73171525059387399</v>
      </c>
      <c r="H2000">
        <v>0.58048591128569904</v>
      </c>
      <c r="I2000">
        <v>0.46465872591031199</v>
      </c>
      <c r="J2000">
        <v>0.428334991540819</v>
      </c>
      <c r="K2000">
        <v>0.39087559798839799</v>
      </c>
      <c r="L2000">
        <v>643.64057978209598</v>
      </c>
      <c r="M2000">
        <v>11.6348448843738</v>
      </c>
      <c r="N2000">
        <v>60.217562483774003</v>
      </c>
      <c r="O2000">
        <v>53.761647039202899</v>
      </c>
      <c r="P2000">
        <v>-3.7563420971024698E-2</v>
      </c>
      <c r="Q2000">
        <v>0.30590476591469801</v>
      </c>
      <c r="R2000">
        <v>0.99218108677688899</v>
      </c>
      <c r="S2000" t="s">
        <v>7583</v>
      </c>
      <c r="T2000" t="s">
        <v>11164</v>
      </c>
      <c r="U2000" t="s">
        <v>11164</v>
      </c>
      <c r="V2000" t="s">
        <v>11164</v>
      </c>
      <c r="W2000" t="s">
        <v>13129</v>
      </c>
      <c r="X2000">
        <v>13</v>
      </c>
      <c r="Y2000" t="s">
        <v>18645</v>
      </c>
      <c r="Z2000" t="s">
        <v>24150</v>
      </c>
      <c r="AA2000">
        <v>0.73849275148744231</v>
      </c>
      <c r="AB2000" t="str">
        <f>HYPERLINK("Melting_Curves/meltCurve_P22307_7_SCP2.pdf", "Melting_Curves/meltCurve_P22307_7_SCP2.pdf")</f>
        <v>Melting_Curves/meltCurve_P22307_7_SCP2.pdf</v>
      </c>
    </row>
    <row r="2001" spans="1:28" x14ac:dyDescent="0.25">
      <c r="A2001" t="s">
        <v>2005</v>
      </c>
      <c r="B2001">
        <v>0.99796759195183404</v>
      </c>
      <c r="C2001">
        <v>0.95455137619654795</v>
      </c>
      <c r="D2001">
        <v>0.95870507745537203</v>
      </c>
      <c r="E2001">
        <v>0.88971986456251095</v>
      </c>
      <c r="F2001">
        <v>0.80797808804044802</v>
      </c>
      <c r="G2001">
        <v>0.21151278492981901</v>
      </c>
      <c r="H2001">
        <v>0.13157608370271201</v>
      </c>
      <c r="I2001">
        <v>9.9125766390897097E-2</v>
      </c>
      <c r="J2001">
        <v>8.0897819686330599E-2</v>
      </c>
      <c r="K2001">
        <v>5.8556169115903903E-2</v>
      </c>
      <c r="L2001">
        <v>2199.9083243506302</v>
      </c>
      <c r="M2001">
        <v>42.592506718702701</v>
      </c>
      <c r="N2001">
        <v>51.880446978247903</v>
      </c>
      <c r="O2001">
        <v>51.536671675365902</v>
      </c>
      <c r="P2001">
        <v>-0.18881448034348</v>
      </c>
      <c r="Q2001">
        <v>8.6144270133290901E-2</v>
      </c>
      <c r="R2001">
        <v>0.99005730945924098</v>
      </c>
      <c r="S2001" t="s">
        <v>7584</v>
      </c>
      <c r="T2001" t="s">
        <v>11164</v>
      </c>
      <c r="U2001" t="s">
        <v>11164</v>
      </c>
      <c r="V2001" t="s">
        <v>11164</v>
      </c>
      <c r="W2001" t="s">
        <v>13130</v>
      </c>
      <c r="X2001">
        <v>57</v>
      </c>
      <c r="Y2001" t="s">
        <v>18646</v>
      </c>
      <c r="Z2001" t="s">
        <v>24151</v>
      </c>
      <c r="AA2001">
        <v>0.53528584609179974</v>
      </c>
      <c r="AB2001" t="str">
        <f>HYPERLINK("Melting_Curves/meltCurve_P22314_UBA1.pdf", "Melting_Curves/meltCurve_P22314_UBA1.pdf")</f>
        <v>Melting_Curves/meltCurve_P22314_UBA1.pdf</v>
      </c>
    </row>
    <row r="2002" spans="1:28" x14ac:dyDescent="0.25">
      <c r="A2002" t="s">
        <v>2006</v>
      </c>
      <c r="B2002">
        <v>0.99796759195183404</v>
      </c>
      <c r="C2002">
        <v>0.95249932928180803</v>
      </c>
      <c r="D2002">
        <v>0.92504639562540303</v>
      </c>
      <c r="E2002">
        <v>0.86989701959336896</v>
      </c>
      <c r="F2002">
        <v>0.789885002187935</v>
      </c>
      <c r="G2002">
        <v>0.66982745233455698</v>
      </c>
      <c r="H2002">
        <v>0.46698234117633403</v>
      </c>
      <c r="I2002">
        <v>0.45553510910037798</v>
      </c>
      <c r="J2002">
        <v>0.31972424082126</v>
      </c>
      <c r="K2002">
        <v>0.208893384981646</v>
      </c>
      <c r="L2002">
        <v>470.87498999805399</v>
      </c>
      <c r="M2002">
        <v>8.1342104934341108</v>
      </c>
      <c r="N2002">
        <v>57.888220330395697</v>
      </c>
      <c r="O2002">
        <v>54.7048116235866</v>
      </c>
      <c r="P2002">
        <v>-3.7212710112491297E-2</v>
      </c>
      <c r="Q2002">
        <v>0</v>
      </c>
      <c r="R2002">
        <v>0.98758057642280705</v>
      </c>
      <c r="S2002" t="s">
        <v>7585</v>
      </c>
      <c r="T2002" t="s">
        <v>11164</v>
      </c>
      <c r="U2002" t="s">
        <v>11164</v>
      </c>
      <c r="V2002" t="s">
        <v>11164</v>
      </c>
      <c r="W2002" t="s">
        <v>13131</v>
      </c>
      <c r="X2002">
        <v>3</v>
      </c>
      <c r="Y2002" t="s">
        <v>18647</v>
      </c>
      <c r="Z2002" t="s">
        <v>24152</v>
      </c>
      <c r="AA2002">
        <v>0.67755179341410721</v>
      </c>
      <c r="AB2002" t="str">
        <f>HYPERLINK("Melting_Curves/meltCurve_P22413_ENPP1.pdf", "Melting_Curves/meltCurve_P22413_ENPP1.pdf")</f>
        <v>Melting_Curves/meltCurve_P22413_ENPP1.pdf</v>
      </c>
    </row>
    <row r="2003" spans="1:28" x14ac:dyDescent="0.25">
      <c r="A2003" t="s">
        <v>2007</v>
      </c>
      <c r="B2003">
        <v>0.99796759195183404</v>
      </c>
      <c r="C2003">
        <v>1.0428384460742699</v>
      </c>
      <c r="D2003">
        <v>1.0175490847763899</v>
      </c>
      <c r="E2003">
        <v>0.84221154742029303</v>
      </c>
      <c r="F2003">
        <v>0.85960973634863502</v>
      </c>
      <c r="G2003">
        <v>0.62350442085327795</v>
      </c>
      <c r="H2003">
        <v>0.50537300988428102</v>
      </c>
      <c r="I2003">
        <v>0.43871974843338402</v>
      </c>
      <c r="J2003">
        <v>0.42523497586858799</v>
      </c>
      <c r="K2003">
        <v>0.32305383977072699</v>
      </c>
      <c r="L2003">
        <v>706.29745946495404</v>
      </c>
      <c r="M2003">
        <v>13.164943795996599</v>
      </c>
      <c r="N2003">
        <v>57.960132042497001</v>
      </c>
      <c r="O2003">
        <v>52.457278452800601</v>
      </c>
      <c r="P2003">
        <v>-4.3163089809428401E-2</v>
      </c>
      <c r="Q2003">
        <v>0.31216191533444199</v>
      </c>
      <c r="R2003">
        <v>0.97474970258986704</v>
      </c>
      <c r="S2003" t="s">
        <v>7586</v>
      </c>
      <c r="T2003" t="s">
        <v>11164</v>
      </c>
      <c r="U2003" t="s">
        <v>11164</v>
      </c>
      <c r="V2003" t="s">
        <v>11164</v>
      </c>
      <c r="W2003" t="s">
        <v>13132</v>
      </c>
      <c r="X2003">
        <v>2</v>
      </c>
      <c r="Y2003" t="s">
        <v>18648</v>
      </c>
      <c r="Z2003" t="s">
        <v>24153</v>
      </c>
      <c r="AA2003">
        <v>0.70653763829814387</v>
      </c>
      <c r="AB2003" t="str">
        <f>HYPERLINK("Melting_Curves/meltCurve_P22466_GAL.pdf", "Melting_Curves/meltCurve_P22466_GAL.pdf")</f>
        <v>Melting_Curves/meltCurve_P22466_GAL.pdf</v>
      </c>
    </row>
    <row r="2004" spans="1:28" x14ac:dyDescent="0.25">
      <c r="A2004" t="s">
        <v>2008</v>
      </c>
      <c r="B2004">
        <v>0.99796759195183404</v>
      </c>
      <c r="C2004">
        <v>1.0161221884779801</v>
      </c>
      <c r="D2004">
        <v>1.0025350321203499</v>
      </c>
      <c r="E2004">
        <v>0.93947591314850598</v>
      </c>
      <c r="F2004">
        <v>0.83157114893096395</v>
      </c>
      <c r="G2004">
        <v>0.45009619292696701</v>
      </c>
      <c r="H2004">
        <v>0.16033059284104101</v>
      </c>
      <c r="I2004">
        <v>0.12933262937645501</v>
      </c>
      <c r="J2004">
        <v>0.101361239326059</v>
      </c>
      <c r="K2004">
        <v>8.1526979161300195E-2</v>
      </c>
      <c r="L2004">
        <v>1427.8251978025801</v>
      </c>
      <c r="M2004">
        <v>26.991045200392598</v>
      </c>
      <c r="N2004">
        <v>53.274359408332302</v>
      </c>
      <c r="O2004">
        <v>52.612135542148003</v>
      </c>
      <c r="P2004">
        <v>-0.117175693964019</v>
      </c>
      <c r="Q2004">
        <v>8.6392922079818801E-2</v>
      </c>
      <c r="R2004">
        <v>0.99825215586471405</v>
      </c>
      <c r="S2004" t="s">
        <v>7587</v>
      </c>
      <c r="T2004" t="s">
        <v>11164</v>
      </c>
      <c r="U2004" t="s">
        <v>11164</v>
      </c>
      <c r="V2004" t="s">
        <v>11164</v>
      </c>
      <c r="W2004" t="s">
        <v>12213</v>
      </c>
      <c r="X2004">
        <v>25</v>
      </c>
      <c r="Y2004" t="s">
        <v>17743</v>
      </c>
      <c r="Z2004" t="s">
        <v>24154</v>
      </c>
      <c r="AA2004">
        <v>0.57766087569446489</v>
      </c>
      <c r="AB2004" t="str">
        <f>HYPERLINK("Melting_Curves/meltCurve_P22570_FDXR.pdf", "Melting_Curves/meltCurve_P22570_FDXR.pdf")</f>
        <v>Melting_Curves/meltCurve_P22570_FDXR.pdf</v>
      </c>
    </row>
    <row r="2005" spans="1:28" x14ac:dyDescent="0.25">
      <c r="A2005" t="s">
        <v>2009</v>
      </c>
      <c r="B2005">
        <v>0.99796759195183404</v>
      </c>
      <c r="C2005">
        <v>1.0088784711347001</v>
      </c>
      <c r="D2005">
        <v>1.03403498797519</v>
      </c>
      <c r="E2005">
        <v>1.0210939047908101</v>
      </c>
      <c r="F2005">
        <v>0.83919523995725898</v>
      </c>
      <c r="G2005">
        <v>0.54113903381528905</v>
      </c>
      <c r="H2005">
        <v>0.34759284122614698</v>
      </c>
      <c r="I2005">
        <v>0.30100318092155398</v>
      </c>
      <c r="J2005">
        <v>0.27017150699109099</v>
      </c>
      <c r="K2005">
        <v>0.29492201410473001</v>
      </c>
      <c r="L2005">
        <v>1475.3437857870099</v>
      </c>
      <c r="M2005">
        <v>28.0274673844769</v>
      </c>
      <c r="N2005">
        <v>54.249489820268998</v>
      </c>
      <c r="O2005">
        <v>52.373423620527603</v>
      </c>
      <c r="P2005">
        <v>-9.6006596100482705E-2</v>
      </c>
      <c r="Q2005">
        <v>0.28239664661321101</v>
      </c>
      <c r="R2005">
        <v>0.99665594463696405</v>
      </c>
      <c r="S2005" t="s">
        <v>7588</v>
      </c>
      <c r="T2005" t="s">
        <v>11164</v>
      </c>
      <c r="U2005" t="s">
        <v>11164</v>
      </c>
      <c r="V2005" t="s">
        <v>11164</v>
      </c>
      <c r="W2005" t="s">
        <v>13133</v>
      </c>
      <c r="X2005">
        <v>17</v>
      </c>
      <c r="Y2005" t="s">
        <v>18649</v>
      </c>
      <c r="Z2005" t="s">
        <v>24155</v>
      </c>
      <c r="AA2005">
        <v>0.66166068740346384</v>
      </c>
      <c r="AB2005" t="str">
        <f>HYPERLINK("Melting_Curves/meltCurve_P22626_HNRNPA2B1.pdf", "Melting_Curves/meltCurve_P22626_HNRNPA2B1.pdf")</f>
        <v>Melting_Curves/meltCurve_P22626_HNRNPA2B1.pdf</v>
      </c>
    </row>
    <row r="2006" spans="1:28" x14ac:dyDescent="0.25">
      <c r="A2006" t="s">
        <v>2010</v>
      </c>
      <c r="B2006">
        <v>0.99796759195183404</v>
      </c>
      <c r="C2006">
        <v>0.96462055974076399</v>
      </c>
      <c r="D2006">
        <v>0.91588196065545202</v>
      </c>
      <c r="E2006">
        <v>1.0491403292467101</v>
      </c>
      <c r="F2006">
        <v>0.79490851624324599</v>
      </c>
      <c r="G2006">
        <v>0.631802686391428</v>
      </c>
      <c r="H2006">
        <v>0.496759778835133</v>
      </c>
      <c r="I2006">
        <v>0.29726821733265502</v>
      </c>
      <c r="J2006">
        <v>0.237304630766978</v>
      </c>
      <c r="K2006">
        <v>0.20002275759923199</v>
      </c>
      <c r="L2006">
        <v>783.19171820437498</v>
      </c>
      <c r="M2006">
        <v>14.144512111821101</v>
      </c>
      <c r="N2006">
        <v>56.563108224827197</v>
      </c>
      <c r="O2006">
        <v>54.299199212918197</v>
      </c>
      <c r="P2006">
        <v>-5.6734885333850897E-2</v>
      </c>
      <c r="Q2006">
        <v>0.12891523172251501</v>
      </c>
      <c r="R2006">
        <v>0.97881785174129798</v>
      </c>
      <c r="S2006" t="s">
        <v>7589</v>
      </c>
      <c r="T2006" t="s">
        <v>11164</v>
      </c>
      <c r="U2006" t="s">
        <v>11164</v>
      </c>
      <c r="V2006" t="s">
        <v>11164</v>
      </c>
      <c r="W2006" t="s">
        <v>13134</v>
      </c>
      <c r="X2006">
        <v>2</v>
      </c>
      <c r="Y2006" t="s">
        <v>18650</v>
      </c>
      <c r="Z2006" t="s">
        <v>24156</v>
      </c>
      <c r="AA2006">
        <v>0.67390947071891838</v>
      </c>
      <c r="AB2006" t="str">
        <f>HYPERLINK("Melting_Curves/meltCurve_P22670_RFX1.pdf", "Melting_Curves/meltCurve_P22670_RFX1.pdf")</f>
        <v>Melting_Curves/meltCurve_P22670_RFX1.pdf</v>
      </c>
    </row>
    <row r="2007" spans="1:28" x14ac:dyDescent="0.25">
      <c r="A2007" t="s">
        <v>2011</v>
      </c>
      <c r="B2007">
        <v>0.99796759195183404</v>
      </c>
      <c r="C2007">
        <v>0.98086996959770401</v>
      </c>
      <c r="D2007">
        <v>0.99443864550410299</v>
      </c>
      <c r="E2007">
        <v>0.91699153229964903</v>
      </c>
      <c r="F2007">
        <v>0.81615280809269697</v>
      </c>
      <c r="G2007">
        <v>0.734676721444387</v>
      </c>
      <c r="H2007">
        <v>0.572686224724134</v>
      </c>
      <c r="I2007">
        <v>0.33679271746370598</v>
      </c>
      <c r="J2007">
        <v>0.16147188566356099</v>
      </c>
      <c r="K2007">
        <v>9.2492670945868299E-2</v>
      </c>
      <c r="L2007">
        <v>776.31211822408295</v>
      </c>
      <c r="M2007">
        <v>13.468279872504899</v>
      </c>
      <c r="N2007">
        <v>57.640034782060901</v>
      </c>
      <c r="O2007">
        <v>56.413813757116301</v>
      </c>
      <c r="P2007">
        <v>-5.9694390186552697E-2</v>
      </c>
      <c r="Q2007">
        <v>0</v>
      </c>
      <c r="R2007">
        <v>0.98778981403294597</v>
      </c>
      <c r="S2007" t="s">
        <v>7590</v>
      </c>
      <c r="T2007" t="s">
        <v>11164</v>
      </c>
      <c r="U2007" t="s">
        <v>11164</v>
      </c>
      <c r="V2007" t="s">
        <v>11164</v>
      </c>
      <c r="W2007" t="s">
        <v>13135</v>
      </c>
      <c r="X2007">
        <v>10</v>
      </c>
      <c r="Y2007" t="s">
        <v>18651</v>
      </c>
      <c r="Z2007" t="s">
        <v>24157</v>
      </c>
      <c r="AA2007">
        <v>0.69181841544129308</v>
      </c>
      <c r="AB2007" t="str">
        <f>HYPERLINK("Melting_Curves/meltCurve_P22681_CBL.pdf", "Melting_Curves/meltCurve_P22681_CBL.pdf")</f>
        <v>Melting_Curves/meltCurve_P22681_CBL.pdf</v>
      </c>
    </row>
    <row r="2008" spans="1:28" x14ac:dyDescent="0.25">
      <c r="A2008" t="s">
        <v>2012</v>
      </c>
      <c r="B2008">
        <v>0.99796759195183404</v>
      </c>
      <c r="C2008">
        <v>0.95874520353701198</v>
      </c>
      <c r="D2008">
        <v>0.97698963328809896</v>
      </c>
      <c r="E2008">
        <v>0.88967856370568699</v>
      </c>
      <c r="F2008">
        <v>0.75596450691112804</v>
      </c>
      <c r="G2008">
        <v>1.10031118261531</v>
      </c>
      <c r="H2008">
        <v>1.10993652410539</v>
      </c>
      <c r="I2008">
        <v>1.18242093430701</v>
      </c>
      <c r="J2008">
        <v>0.21490851891229101</v>
      </c>
      <c r="K2008">
        <v>9.5319520914305803E-2</v>
      </c>
      <c r="L2008">
        <v>15000</v>
      </c>
      <c r="M2008">
        <v>235.889918386744</v>
      </c>
      <c r="N2008">
        <v>63.646011511513201</v>
      </c>
      <c r="O2008">
        <v>63.5844123904673</v>
      </c>
      <c r="P2008">
        <v>-0.83911668762685698</v>
      </c>
      <c r="Q2008">
        <v>9.5260335439958502E-2</v>
      </c>
      <c r="R2008">
        <v>0.89804029117073303</v>
      </c>
      <c r="S2008" t="s">
        <v>7591</v>
      </c>
      <c r="T2008" t="s">
        <v>11164</v>
      </c>
      <c r="U2008" t="s">
        <v>11164</v>
      </c>
      <c r="V2008" t="s">
        <v>11164</v>
      </c>
      <c r="W2008" t="s">
        <v>13136</v>
      </c>
      <c r="X2008">
        <v>11</v>
      </c>
      <c r="Y2008" t="s">
        <v>18652</v>
      </c>
      <c r="Z2008" t="s">
        <v>24158</v>
      </c>
      <c r="AA2008">
        <v>0.89724394085511405</v>
      </c>
      <c r="AB2008" t="str">
        <f>HYPERLINK("Melting_Curves/meltCurve_P22695_UQCRC2.pdf", "Melting_Curves/meltCurve_P22695_UQCRC2.pdf")</f>
        <v>Melting_Curves/meltCurve_P22695_UQCRC2.pdf</v>
      </c>
    </row>
    <row r="2009" spans="1:28" x14ac:dyDescent="0.25">
      <c r="A2009" t="s">
        <v>2013</v>
      </c>
      <c r="B2009">
        <v>0.99796759195183404</v>
      </c>
      <c r="C2009">
        <v>1.0061474516234901</v>
      </c>
      <c r="D2009">
        <v>0.967113448607961</v>
      </c>
      <c r="E2009">
        <v>0.93214059539960903</v>
      </c>
      <c r="F2009">
        <v>0.79751176715335703</v>
      </c>
      <c r="G2009">
        <v>0.73363459189882996</v>
      </c>
      <c r="H2009">
        <v>0.44341106398457297</v>
      </c>
      <c r="I2009">
        <v>0.23170931664418801</v>
      </c>
      <c r="J2009">
        <v>0.16053349434819</v>
      </c>
      <c r="K2009">
        <v>0.116554931238064</v>
      </c>
      <c r="L2009">
        <v>780.89224457183798</v>
      </c>
      <c r="M2009">
        <v>13.816376829625399</v>
      </c>
      <c r="N2009">
        <v>56.519321861973502</v>
      </c>
      <c r="O2009">
        <v>55.374768152120602</v>
      </c>
      <c r="P2009">
        <v>-6.2385371404170199E-2</v>
      </c>
      <c r="Q2009">
        <v>0</v>
      </c>
      <c r="R2009">
        <v>0.99220868080441404</v>
      </c>
      <c r="S2009" t="s">
        <v>7592</v>
      </c>
      <c r="T2009" t="s">
        <v>11164</v>
      </c>
      <c r="U2009" t="s">
        <v>11164</v>
      </c>
      <c r="V2009" t="s">
        <v>11164</v>
      </c>
      <c r="W2009" t="s">
        <v>13137</v>
      </c>
      <c r="X2009">
        <v>16</v>
      </c>
      <c r="Y2009" t="s">
        <v>18653</v>
      </c>
      <c r="Z2009" t="s">
        <v>24159</v>
      </c>
      <c r="AA2009">
        <v>0.65988124326175013</v>
      </c>
      <c r="AB2009" t="str">
        <f>HYPERLINK("Melting_Curves/meltCurve_P22830_FECH.pdf", "Melting_Curves/meltCurve_P22830_FECH.pdf")</f>
        <v>Melting_Curves/meltCurve_P22830_FECH.pdf</v>
      </c>
    </row>
    <row r="2010" spans="1:28" x14ac:dyDescent="0.25">
      <c r="A2010" t="s">
        <v>2014</v>
      </c>
      <c r="B2010">
        <v>0.99796759195183404</v>
      </c>
      <c r="C2010">
        <v>1.04900557553845</v>
      </c>
      <c r="D2010">
        <v>1.02014365015896</v>
      </c>
      <c r="E2010">
        <v>0.89311212480277002</v>
      </c>
      <c r="F2010">
        <v>0.682968496902709</v>
      </c>
      <c r="G2010">
        <v>0.33322801913878197</v>
      </c>
      <c r="H2010">
        <v>0.277834108974853</v>
      </c>
      <c r="I2010">
        <v>0.250341632711019</v>
      </c>
      <c r="J2010">
        <v>0.19158069894740301</v>
      </c>
      <c r="K2010">
        <v>0.13139795178161601</v>
      </c>
      <c r="L2010">
        <v>1159.10657452496</v>
      </c>
      <c r="M2010">
        <v>22.745418055999998</v>
      </c>
      <c r="N2010">
        <v>52.008713096464</v>
      </c>
      <c r="O2010">
        <v>50.571020834605399</v>
      </c>
      <c r="P2010">
        <v>-9.1763193057705403E-2</v>
      </c>
      <c r="Q2010">
        <v>0.18392957110407401</v>
      </c>
      <c r="R2010">
        <v>0.99036321764277901</v>
      </c>
      <c r="S2010" t="s">
        <v>7593</v>
      </c>
      <c r="T2010" t="s">
        <v>11164</v>
      </c>
      <c r="U2010" t="s">
        <v>11164</v>
      </c>
      <c r="V2010" t="s">
        <v>11164</v>
      </c>
      <c r="W2010" t="s">
        <v>13138</v>
      </c>
      <c r="X2010">
        <v>2</v>
      </c>
      <c r="Y2010" t="s">
        <v>18654</v>
      </c>
      <c r="Z2010" t="s">
        <v>24160</v>
      </c>
      <c r="AA2010">
        <v>0.57222827441698254</v>
      </c>
      <c r="AB2010" t="str">
        <f>HYPERLINK("Melting_Curves/meltCurve_P23025_XPA.pdf", "Melting_Curves/meltCurve_P23025_XPA.pdf")</f>
        <v>Melting_Curves/meltCurve_P23025_XPA.pdf</v>
      </c>
    </row>
    <row r="2011" spans="1:28" x14ac:dyDescent="0.25">
      <c r="A2011" t="s">
        <v>2015</v>
      </c>
      <c r="B2011">
        <v>0.99796759195183404</v>
      </c>
      <c r="C2011">
        <v>1.0620626628240899</v>
      </c>
      <c r="D2011">
        <v>1.0397265200704</v>
      </c>
      <c r="E2011">
        <v>0.98909636957541702</v>
      </c>
      <c r="F2011">
        <v>0.87235539290080799</v>
      </c>
      <c r="G2011">
        <v>0.58727900013074696</v>
      </c>
      <c r="H2011">
        <v>0.41084156869141297</v>
      </c>
      <c r="I2011">
        <v>0.26927186906091399</v>
      </c>
      <c r="J2011">
        <v>0.25100437776102802</v>
      </c>
      <c r="K2011">
        <v>0.229829275383856</v>
      </c>
      <c r="L2011">
        <v>1175.0166317348301</v>
      </c>
      <c r="M2011">
        <v>21.853881266618</v>
      </c>
      <c r="N2011">
        <v>55.290265303373502</v>
      </c>
      <c r="O2011">
        <v>53.322824759486799</v>
      </c>
      <c r="P2011">
        <v>-7.9288662003391699E-2</v>
      </c>
      <c r="Q2011">
        <v>0.22616977832325399</v>
      </c>
      <c r="R2011">
        <v>0.99335106008116802</v>
      </c>
      <c r="S2011" t="s">
        <v>7594</v>
      </c>
      <c r="T2011" t="s">
        <v>11164</v>
      </c>
      <c r="U2011" t="s">
        <v>11164</v>
      </c>
      <c r="V2011" t="s">
        <v>11164</v>
      </c>
      <c r="W2011" t="s">
        <v>13139</v>
      </c>
      <c r="X2011">
        <v>28</v>
      </c>
      <c r="Y2011" t="s">
        <v>18655</v>
      </c>
      <c r="Z2011" t="s">
        <v>24161</v>
      </c>
      <c r="AA2011">
        <v>0.66702394821057309</v>
      </c>
      <c r="AB2011" t="str">
        <f>HYPERLINK("Melting_Curves/meltCurve_P23193_TCEA1.pdf", "Melting_Curves/meltCurve_P23193_TCEA1.pdf")</f>
        <v>Melting_Curves/meltCurve_P23193_TCEA1.pdf</v>
      </c>
    </row>
    <row r="2012" spans="1:28" x14ac:dyDescent="0.25">
      <c r="A2012" t="s">
        <v>2016</v>
      </c>
      <c r="B2012">
        <v>0.99796759195183404</v>
      </c>
      <c r="C2012">
        <v>0.95266132361709499</v>
      </c>
      <c r="D2012">
        <v>0.92645396545346703</v>
      </c>
      <c r="E2012">
        <v>0.87362967631920796</v>
      </c>
      <c r="F2012">
        <v>0.75172599627167003</v>
      </c>
      <c r="G2012">
        <v>0.40906863117207998</v>
      </c>
      <c r="H2012">
        <v>0.25793376414751101</v>
      </c>
      <c r="I2012">
        <v>0.216220286684285</v>
      </c>
      <c r="J2012">
        <v>0.18236096262314</v>
      </c>
      <c r="K2012">
        <v>0.14781993805593099</v>
      </c>
      <c r="L2012">
        <v>935.78614498436298</v>
      </c>
      <c r="M2012">
        <v>18.027600264068301</v>
      </c>
      <c r="N2012">
        <v>52.898985031518599</v>
      </c>
      <c r="O2012">
        <v>51.282456457334902</v>
      </c>
      <c r="P2012">
        <v>-7.5299184289038201E-2</v>
      </c>
      <c r="Q2012">
        <v>0.14323886916301301</v>
      </c>
      <c r="R2012">
        <v>0.99123057775135304</v>
      </c>
      <c r="S2012" t="s">
        <v>7595</v>
      </c>
      <c r="T2012" t="s">
        <v>11164</v>
      </c>
      <c r="U2012" t="s">
        <v>11164</v>
      </c>
      <c r="V2012" t="s">
        <v>11164</v>
      </c>
      <c r="W2012" t="s">
        <v>13140</v>
      </c>
      <c r="X2012">
        <v>25</v>
      </c>
      <c r="Y2012" t="s">
        <v>18656</v>
      </c>
      <c r="Z2012" t="s">
        <v>24162</v>
      </c>
      <c r="AA2012">
        <v>0.58196972930959912</v>
      </c>
      <c r="AB2012" t="str">
        <f>HYPERLINK("Melting_Curves/meltCurve_P23246_SFPQ.pdf", "Melting_Curves/meltCurve_P23246_SFPQ.pdf")</f>
        <v>Melting_Curves/meltCurve_P23246_SFPQ.pdf</v>
      </c>
    </row>
    <row r="2013" spans="1:28" x14ac:dyDescent="0.25">
      <c r="A2013" t="s">
        <v>2017</v>
      </c>
      <c r="B2013">
        <v>0.99796759195183404</v>
      </c>
      <c r="C2013">
        <v>0.952997864065114</v>
      </c>
      <c r="D2013">
        <v>0.855959282649289</v>
      </c>
      <c r="E2013">
        <v>0.81012974595549103</v>
      </c>
      <c r="F2013">
        <v>0.66448665758947201</v>
      </c>
      <c r="G2013">
        <v>0.53040964617122899</v>
      </c>
      <c r="H2013">
        <v>0.33189879054293098</v>
      </c>
      <c r="I2013">
        <v>0.32202039509598201</v>
      </c>
      <c r="J2013">
        <v>0.21264192718549299</v>
      </c>
      <c r="K2013">
        <v>0.16295594222613</v>
      </c>
      <c r="L2013">
        <v>448.07611493348003</v>
      </c>
      <c r="M2013">
        <v>8.2772721565780003</v>
      </c>
      <c r="N2013">
        <v>54.133322164330302</v>
      </c>
      <c r="O2013">
        <v>51.249578639140204</v>
      </c>
      <c r="P2013">
        <v>-4.0417467382920798E-2</v>
      </c>
      <c r="Q2013">
        <v>0</v>
      </c>
      <c r="R2013">
        <v>0.99217697136596805</v>
      </c>
      <c r="S2013" t="s">
        <v>7596</v>
      </c>
      <c r="T2013" t="s">
        <v>11164</v>
      </c>
      <c r="U2013" t="s">
        <v>11164</v>
      </c>
      <c r="V2013" t="s">
        <v>11164</v>
      </c>
      <c r="W2013" t="s">
        <v>13141</v>
      </c>
      <c r="X2013">
        <v>13</v>
      </c>
      <c r="Y2013" t="s">
        <v>18657</v>
      </c>
      <c r="Z2013" t="s">
        <v>24163</v>
      </c>
      <c r="AA2013">
        <v>0.58539952032621945</v>
      </c>
      <c r="AB2013" t="str">
        <f>HYPERLINK("Melting_Curves/meltCurve_P23284_PPIB.pdf", "Melting_Curves/meltCurve_P23284_PPIB.pdf")</f>
        <v>Melting_Curves/meltCurve_P23284_PPIB.pdf</v>
      </c>
    </row>
    <row r="2014" spans="1:28" x14ac:dyDescent="0.25">
      <c r="A2014" t="s">
        <v>2018</v>
      </c>
      <c r="B2014">
        <v>0.99796759195183404</v>
      </c>
      <c r="C2014">
        <v>0.94272748659969496</v>
      </c>
      <c r="D2014">
        <v>0.92777390418661698</v>
      </c>
      <c r="E2014">
        <v>0.86167312011198105</v>
      </c>
      <c r="F2014">
        <v>0.718618365013595</v>
      </c>
      <c r="G2014">
        <v>0.33719074362916102</v>
      </c>
      <c r="H2014">
        <v>0.24713989637772699</v>
      </c>
      <c r="I2014">
        <v>0.19246396075334499</v>
      </c>
      <c r="J2014">
        <v>0.172693952496353</v>
      </c>
      <c r="K2014">
        <v>0.12712031976978699</v>
      </c>
      <c r="L2014">
        <v>968.92792655307801</v>
      </c>
      <c r="M2014">
        <v>18.873742228901399</v>
      </c>
      <c r="N2014">
        <v>52.212730844154002</v>
      </c>
      <c r="O2014">
        <v>50.771444031944597</v>
      </c>
      <c r="P2014">
        <v>-8.03337093096229E-2</v>
      </c>
      <c r="Q2014">
        <v>0.135626366211725</v>
      </c>
      <c r="R2014">
        <v>0.98866643049576697</v>
      </c>
      <c r="S2014" t="s">
        <v>7597</v>
      </c>
      <c r="T2014" t="s">
        <v>11164</v>
      </c>
      <c r="U2014" t="s">
        <v>11164</v>
      </c>
      <c r="V2014" t="s">
        <v>11164</v>
      </c>
      <c r="W2014" t="s">
        <v>13142</v>
      </c>
      <c r="X2014">
        <v>10</v>
      </c>
      <c r="Y2014" t="s">
        <v>18658</v>
      </c>
      <c r="Z2014" t="s">
        <v>24164</v>
      </c>
      <c r="AA2014">
        <v>0.5610932308297456</v>
      </c>
      <c r="AB2014" t="str">
        <f>HYPERLINK("Melting_Curves/meltCurve_P23368_ME2.pdf", "Melting_Curves/meltCurve_P23368_ME2.pdf")</f>
        <v>Melting_Curves/meltCurve_P23368_ME2.pdf</v>
      </c>
    </row>
    <row r="2015" spans="1:28" x14ac:dyDescent="0.25">
      <c r="A2015" t="s">
        <v>2019</v>
      </c>
      <c r="B2015">
        <v>0.99796759195183404</v>
      </c>
      <c r="C2015">
        <v>1.05333931119091</v>
      </c>
      <c r="D2015">
        <v>0.94858968863742699</v>
      </c>
      <c r="E2015">
        <v>1.0390108601039001</v>
      </c>
      <c r="F2015">
        <v>0.93822602390377696</v>
      </c>
      <c r="G2015">
        <v>1.47339718524678</v>
      </c>
      <c r="H2015">
        <v>1.03650712905375</v>
      </c>
      <c r="I2015">
        <v>0.76581234512599405</v>
      </c>
      <c r="J2015">
        <v>0.40015818794285402</v>
      </c>
      <c r="K2015">
        <v>0.25152983555931102</v>
      </c>
      <c r="L2015">
        <v>2971.2170402995098</v>
      </c>
      <c r="M2015">
        <v>47.790289816498301</v>
      </c>
      <c r="N2015">
        <v>63.022818139940703</v>
      </c>
      <c r="O2015">
        <v>62.063414055839999</v>
      </c>
      <c r="P2015">
        <v>-0.14674381307810599</v>
      </c>
      <c r="Q2015">
        <v>0.23771858352790501</v>
      </c>
      <c r="R2015">
        <v>0.781370507608104</v>
      </c>
      <c r="S2015" t="s">
        <v>7598</v>
      </c>
      <c r="T2015" t="s">
        <v>11164</v>
      </c>
      <c r="U2015" t="s">
        <v>11164</v>
      </c>
      <c r="V2015" t="s">
        <v>11164</v>
      </c>
      <c r="W2015" t="s">
        <v>13143</v>
      </c>
      <c r="X2015">
        <v>5</v>
      </c>
      <c r="Y2015" t="s">
        <v>18659</v>
      </c>
      <c r="Z2015" t="s">
        <v>24165</v>
      </c>
      <c r="AA2015">
        <v>0.87834646380769066</v>
      </c>
      <c r="AB2015" t="str">
        <f>HYPERLINK("Melting_Curves/meltCurve_P23378_GLDC.pdf", "Melting_Curves/meltCurve_P23378_GLDC.pdf")</f>
        <v>Melting_Curves/meltCurve_P23378_GLDC.pdf</v>
      </c>
    </row>
    <row r="2016" spans="1:28" x14ac:dyDescent="0.25">
      <c r="A2016" t="s">
        <v>2020</v>
      </c>
      <c r="B2016">
        <v>0.99796759195183404</v>
      </c>
      <c r="C2016">
        <v>1.0599573562571301</v>
      </c>
      <c r="D2016">
        <v>1.03433714488538</v>
      </c>
      <c r="E2016">
        <v>0.99546890998642401</v>
      </c>
      <c r="F2016">
        <v>0.90310607188310799</v>
      </c>
      <c r="G2016">
        <v>0.82523707183872097</v>
      </c>
      <c r="H2016">
        <v>0.72688551987252203</v>
      </c>
      <c r="I2016">
        <v>0.61311352268365205</v>
      </c>
      <c r="J2016">
        <v>0.64595926090141498</v>
      </c>
      <c r="K2016">
        <v>0.53269533943608505</v>
      </c>
      <c r="L2016">
        <v>812.79668937702104</v>
      </c>
      <c r="M2016">
        <v>14.555240372406899</v>
      </c>
      <c r="O2016">
        <v>54.819875197058302</v>
      </c>
      <c r="P2016">
        <v>-3.1256098606652398E-2</v>
      </c>
      <c r="Q2016">
        <v>0.52917006729090499</v>
      </c>
      <c r="R2016">
        <v>0.96737485467985196</v>
      </c>
      <c r="S2016" t="s">
        <v>7599</v>
      </c>
      <c r="T2016" t="s">
        <v>11164</v>
      </c>
      <c r="U2016" t="s">
        <v>11164</v>
      </c>
      <c r="V2016" t="s">
        <v>11164</v>
      </c>
      <c r="W2016" t="s">
        <v>13144</v>
      </c>
      <c r="X2016">
        <v>24</v>
      </c>
      <c r="Y2016" t="s">
        <v>18660</v>
      </c>
      <c r="Z2016" t="s">
        <v>24166</v>
      </c>
      <c r="AA2016">
        <v>0.83048557310930282</v>
      </c>
      <c r="AB2016" t="str">
        <f>HYPERLINK("Melting_Curves/meltCurve_P23381_WARS.pdf", "Melting_Curves/meltCurve_P23381_WARS.pdf")</f>
        <v>Melting_Curves/meltCurve_P23381_WARS.pdf</v>
      </c>
    </row>
    <row r="2017" spans="1:28" x14ac:dyDescent="0.25">
      <c r="A2017" t="s">
        <v>2021</v>
      </c>
      <c r="B2017">
        <v>0.99796759195183404</v>
      </c>
      <c r="C2017">
        <v>0.98277481359191998</v>
      </c>
      <c r="D2017">
        <v>0.97433019744071303</v>
      </c>
      <c r="E2017">
        <v>0.76336450331382999</v>
      </c>
      <c r="F2017">
        <v>0.48925171023048297</v>
      </c>
      <c r="G2017">
        <v>0.590585747724516</v>
      </c>
      <c r="H2017">
        <v>0.38781832065627903</v>
      </c>
      <c r="I2017">
        <v>0.39042407080827402</v>
      </c>
      <c r="J2017">
        <v>0.16583618074898401</v>
      </c>
      <c r="K2017">
        <v>0.129069389082727</v>
      </c>
      <c r="L2017">
        <v>436.15843673730899</v>
      </c>
      <c r="M2017">
        <v>8.0772235196154902</v>
      </c>
      <c r="N2017">
        <v>53.998538612861999</v>
      </c>
      <c r="O2017">
        <v>50.990788617038</v>
      </c>
      <c r="P2017">
        <v>-3.96445974659249E-2</v>
      </c>
      <c r="Q2017">
        <v>0</v>
      </c>
      <c r="R2017">
        <v>0.94080599431491896</v>
      </c>
      <c r="S2017" t="s">
        <v>7600</v>
      </c>
      <c r="T2017" t="s">
        <v>11164</v>
      </c>
      <c r="U2017" t="s">
        <v>11164</v>
      </c>
      <c r="V2017" t="s">
        <v>11164</v>
      </c>
      <c r="W2017" t="s">
        <v>13145</v>
      </c>
      <c r="X2017">
        <v>9</v>
      </c>
      <c r="Y2017" t="s">
        <v>18661</v>
      </c>
      <c r="Z2017" t="s">
        <v>24167</v>
      </c>
      <c r="AA2017">
        <v>0.58141860104092158</v>
      </c>
      <c r="AB2017" t="str">
        <f>HYPERLINK("Melting_Curves/meltCurve_P23396_RPS3.pdf", "Melting_Curves/meltCurve_P23396_RPS3.pdf")</f>
        <v>Melting_Curves/meltCurve_P23396_RPS3.pdf</v>
      </c>
    </row>
    <row r="2018" spans="1:28" x14ac:dyDescent="0.25">
      <c r="A2018" t="s">
        <v>2022</v>
      </c>
      <c r="B2018">
        <v>0.99796759195183404</v>
      </c>
      <c r="C2018">
        <v>0.86214082291446303</v>
      </c>
      <c r="D2018">
        <v>0.91374223114107</v>
      </c>
      <c r="E2018">
        <v>0.74752792299445403</v>
      </c>
      <c r="F2018">
        <v>0.66479771755135997</v>
      </c>
      <c r="G2018">
        <v>0.54427060191394105</v>
      </c>
      <c r="H2018">
        <v>0.469903518974642</v>
      </c>
      <c r="I2018">
        <v>0.42010891180113202</v>
      </c>
      <c r="J2018">
        <v>0.63111111551189003</v>
      </c>
      <c r="K2018">
        <v>0.63791867814726899</v>
      </c>
      <c r="L2018">
        <v>703.59566239924902</v>
      </c>
      <c r="M2018">
        <v>15.321670107659701</v>
      </c>
      <c r="O2018">
        <v>45.160656984144097</v>
      </c>
      <c r="P2018">
        <v>-3.9756870606190702E-2</v>
      </c>
      <c r="Q2018">
        <v>0.531309708291129</v>
      </c>
      <c r="R2018">
        <v>0.83592356867517104</v>
      </c>
      <c r="S2018" t="s">
        <v>7601</v>
      </c>
      <c r="T2018" t="s">
        <v>11164</v>
      </c>
      <c r="U2018" t="s">
        <v>11164</v>
      </c>
      <c r="V2018" t="s">
        <v>11164</v>
      </c>
      <c r="W2018" t="s">
        <v>13146</v>
      </c>
      <c r="X2018">
        <v>3</v>
      </c>
      <c r="Y2018" t="s">
        <v>18662</v>
      </c>
      <c r="Z2018" t="s">
        <v>24168</v>
      </c>
      <c r="AA2018">
        <v>0.68109353270197337</v>
      </c>
      <c r="AB2018" t="str">
        <f>HYPERLINK("Melting_Curves/meltCurve_P23434_GCSH.pdf", "Melting_Curves/meltCurve_P23434_GCSH.pdf")</f>
        <v>Melting_Curves/meltCurve_P23434_GCSH.pdf</v>
      </c>
    </row>
    <row r="2019" spans="1:28" x14ac:dyDescent="0.25">
      <c r="A2019" t="s">
        <v>2023</v>
      </c>
      <c r="B2019">
        <v>0.99796759195183404</v>
      </c>
      <c r="C2019">
        <v>0.98580271827988197</v>
      </c>
      <c r="D2019">
        <v>0.92821587128646599</v>
      </c>
      <c r="E2019">
        <v>0.89268348342019999</v>
      </c>
      <c r="F2019">
        <v>0.81861710630921403</v>
      </c>
      <c r="G2019">
        <v>0.57315522310357803</v>
      </c>
      <c r="H2019">
        <v>0.38486686430914402</v>
      </c>
      <c r="I2019">
        <v>0.36072254866456099</v>
      </c>
      <c r="J2019">
        <v>0.30666996275966701</v>
      </c>
      <c r="K2019">
        <v>0.17094640896577001</v>
      </c>
      <c r="L2019">
        <v>663.48167677497997</v>
      </c>
      <c r="M2019">
        <v>12.2256793532628</v>
      </c>
      <c r="N2019">
        <v>55.810294934300003</v>
      </c>
      <c r="O2019">
        <v>52.878805694467601</v>
      </c>
      <c r="P2019">
        <v>-4.9532695978845499E-2</v>
      </c>
      <c r="Q2019">
        <v>0.14323228834662299</v>
      </c>
      <c r="R2019">
        <v>0.98515213317747297</v>
      </c>
      <c r="S2019" t="s">
        <v>7602</v>
      </c>
      <c r="T2019" t="s">
        <v>11164</v>
      </c>
      <c r="U2019" t="s">
        <v>11164</v>
      </c>
      <c r="V2019" t="s">
        <v>11164</v>
      </c>
      <c r="W2019" t="s">
        <v>13147</v>
      </c>
      <c r="X2019">
        <v>5</v>
      </c>
      <c r="Y2019" t="s">
        <v>18663</v>
      </c>
      <c r="Z2019" t="s">
        <v>24169</v>
      </c>
      <c r="AA2019">
        <v>0.6509508134120755</v>
      </c>
      <c r="AB2019" t="str">
        <f>HYPERLINK("Melting_Curves/meltCurve_P23470_2_PTPRG.pdf", "Melting_Curves/meltCurve_P23470_2_PTPRG.pdf")</f>
        <v>Melting_Curves/meltCurve_P23470_2_PTPRG.pdf</v>
      </c>
    </row>
    <row r="2020" spans="1:28" x14ac:dyDescent="0.25">
      <c r="A2020" t="s">
        <v>2024</v>
      </c>
      <c r="B2020">
        <v>0.99796759195183404</v>
      </c>
      <c r="C2020">
        <v>0.87592591316983204</v>
      </c>
      <c r="D2020">
        <v>0.86196122228961802</v>
      </c>
      <c r="E2020">
        <v>0.77917859569678405</v>
      </c>
      <c r="F2020">
        <v>0.660365865602484</v>
      </c>
      <c r="G2020">
        <v>0.43964821655268599</v>
      </c>
      <c r="H2020">
        <v>0.425602835560213</v>
      </c>
      <c r="I2020">
        <v>0.284767038591068</v>
      </c>
      <c r="J2020">
        <v>0.30105017025895298</v>
      </c>
      <c r="K2020">
        <v>0.20845483151298899</v>
      </c>
      <c r="L2020">
        <v>412.56777860054098</v>
      </c>
      <c r="M2020">
        <v>7.83796598769894</v>
      </c>
      <c r="N2020">
        <v>53.830067374890803</v>
      </c>
      <c r="O2020">
        <v>49.540713040887702</v>
      </c>
      <c r="P2020">
        <v>-3.6444122728033802E-2</v>
      </c>
      <c r="Q2020">
        <v>7.9726865910342407E-2</v>
      </c>
      <c r="R2020">
        <v>0.98235666416576195</v>
      </c>
      <c r="S2020" t="s">
        <v>7603</v>
      </c>
      <c r="T2020" t="s">
        <v>11164</v>
      </c>
      <c r="U2020" t="s">
        <v>11164</v>
      </c>
      <c r="V2020" t="s">
        <v>11164</v>
      </c>
      <c r="W2020" t="s">
        <v>13148</v>
      </c>
      <c r="X2020">
        <v>6</v>
      </c>
      <c r="Y2020" t="s">
        <v>18664</v>
      </c>
      <c r="Z2020" t="s">
        <v>24170</v>
      </c>
      <c r="AA2020">
        <v>0.58171918888316543</v>
      </c>
      <c r="AB2020" t="str">
        <f>HYPERLINK("Melting_Curves/meltCurve_P23497_SP100.pdf", "Melting_Curves/meltCurve_P23497_SP100.pdf")</f>
        <v>Melting_Curves/meltCurve_P23497_SP100.pdf</v>
      </c>
    </row>
    <row r="2021" spans="1:28" x14ac:dyDescent="0.25">
      <c r="A2021" t="s">
        <v>2025</v>
      </c>
      <c r="B2021">
        <v>0.99796759195183404</v>
      </c>
      <c r="C2021">
        <v>1.1020206529127901</v>
      </c>
      <c r="D2021">
        <v>1.0565779009246099</v>
      </c>
      <c r="E2021">
        <v>0.898061038342711</v>
      </c>
      <c r="F2021">
        <v>0.900352239548047</v>
      </c>
      <c r="G2021">
        <v>0.79698727306775896</v>
      </c>
      <c r="H2021">
        <v>0.47580692364670302</v>
      </c>
      <c r="I2021">
        <v>0.60128705725263798</v>
      </c>
      <c r="J2021">
        <v>0.427601365785237</v>
      </c>
      <c r="K2021">
        <v>0.20669765948250701</v>
      </c>
      <c r="L2021">
        <v>580.01978899834899</v>
      </c>
      <c r="M2021">
        <v>9.5842512464120997</v>
      </c>
      <c r="N2021">
        <v>60.5180304301199</v>
      </c>
      <c r="O2021">
        <v>58.059292961184902</v>
      </c>
      <c r="P2021">
        <v>-4.1292840954688603E-2</v>
      </c>
      <c r="Q2021">
        <v>0</v>
      </c>
      <c r="R2021">
        <v>0.91722647551955805</v>
      </c>
      <c r="S2021" t="s">
        <v>7604</v>
      </c>
      <c r="T2021" t="s">
        <v>11164</v>
      </c>
      <c r="U2021" t="s">
        <v>11164</v>
      </c>
      <c r="V2021" t="s">
        <v>11164</v>
      </c>
      <c r="W2021" t="s">
        <v>13149</v>
      </c>
      <c r="X2021">
        <v>2</v>
      </c>
      <c r="Y2021" t="s">
        <v>18665</v>
      </c>
      <c r="Z2021" t="s">
        <v>24171</v>
      </c>
      <c r="AA2021">
        <v>0.7485852235686582</v>
      </c>
      <c r="AB2021" t="str">
        <f>HYPERLINK("Melting_Curves/meltCurve_P23508_MCC.pdf", "Melting_Curves/meltCurve_P23508_MCC.pdf")</f>
        <v>Melting_Curves/meltCurve_P23508_MCC.pdf</v>
      </c>
    </row>
    <row r="2022" spans="1:28" x14ac:dyDescent="0.25">
      <c r="A2022" t="s">
        <v>2026</v>
      </c>
      <c r="B2022">
        <v>0.99796759195183404</v>
      </c>
      <c r="C2022">
        <v>1.1303627180063001</v>
      </c>
      <c r="D2022">
        <v>0.979661511918823</v>
      </c>
      <c r="E2022">
        <v>0.88547405834696802</v>
      </c>
      <c r="F2022">
        <v>0.99381323966088098</v>
      </c>
      <c r="G2022">
        <v>0.921022856276837</v>
      </c>
      <c r="H2022">
        <v>0.55037800943659598</v>
      </c>
      <c r="I2022">
        <v>0.52507177374241898</v>
      </c>
      <c r="J2022">
        <v>0.66309381627859798</v>
      </c>
      <c r="K2022">
        <v>0.52989761647296496</v>
      </c>
      <c r="L2022">
        <v>13530.694109420599</v>
      </c>
      <c r="M2022">
        <v>250</v>
      </c>
      <c r="O2022">
        <v>54.119312952285199</v>
      </c>
      <c r="P2022">
        <v>-0.49992522979200599</v>
      </c>
      <c r="Q2022">
        <v>0.56711024119213505</v>
      </c>
      <c r="R2022">
        <v>0.90738991326841301</v>
      </c>
      <c r="S2022" t="s">
        <v>7605</v>
      </c>
      <c r="T2022" t="s">
        <v>11164</v>
      </c>
      <c r="U2022" t="s">
        <v>11164</v>
      </c>
      <c r="V2022" t="s">
        <v>11164</v>
      </c>
      <c r="W2022" t="s">
        <v>13150</v>
      </c>
      <c r="X2022">
        <v>1</v>
      </c>
      <c r="Y2022" t="s">
        <v>18666</v>
      </c>
      <c r="Z2022" t="s">
        <v>24172</v>
      </c>
      <c r="AA2022">
        <v>0.81422717780681864</v>
      </c>
      <c r="AB2022" t="str">
        <f>HYPERLINK("Melting_Curves/meltCurve_P23511_2_NFYA.pdf", "Melting_Curves/meltCurve_P23511_2_NFYA.pdf")</f>
        <v>Melting_Curves/meltCurve_P23511_2_NFYA.pdf</v>
      </c>
    </row>
    <row r="2023" spans="1:28" x14ac:dyDescent="0.25">
      <c r="A2023" t="s">
        <v>2027</v>
      </c>
      <c r="B2023">
        <v>0.99796759195183404</v>
      </c>
      <c r="C2023">
        <v>1.0448354541260101</v>
      </c>
      <c r="D2023">
        <v>1.00691874616244</v>
      </c>
      <c r="E2023">
        <v>1.01873870979502</v>
      </c>
      <c r="F2023">
        <v>0.91784596699589904</v>
      </c>
      <c r="G2023">
        <v>1.27824461652488</v>
      </c>
      <c r="H2023">
        <v>1.14715564670766</v>
      </c>
      <c r="I2023">
        <v>1.1137217633426599</v>
      </c>
      <c r="J2023">
        <v>0.53904142813899503</v>
      </c>
      <c r="K2023">
        <v>0.154377903562022</v>
      </c>
      <c r="L2023">
        <v>15000</v>
      </c>
      <c r="M2023">
        <v>234.19020549235699</v>
      </c>
      <c r="N2023">
        <v>64.151629499874502</v>
      </c>
      <c r="O2023">
        <v>64.045830234027704</v>
      </c>
      <c r="P2023">
        <v>-0.77305294742758701</v>
      </c>
      <c r="Q2023">
        <v>0.15434861785526799</v>
      </c>
      <c r="R2023">
        <v>0.87732053468276705</v>
      </c>
      <c r="S2023" t="s">
        <v>7606</v>
      </c>
      <c r="T2023" t="s">
        <v>11164</v>
      </c>
      <c r="U2023" t="s">
        <v>11164</v>
      </c>
      <c r="V2023" t="s">
        <v>11164</v>
      </c>
      <c r="W2023" t="s">
        <v>13151</v>
      </c>
      <c r="X2023">
        <v>30</v>
      </c>
      <c r="Y2023" t="s">
        <v>18667</v>
      </c>
      <c r="Z2023" t="s">
        <v>24173</v>
      </c>
      <c r="AA2023">
        <v>0.91696644925926118</v>
      </c>
      <c r="AB2023" t="str">
        <f>HYPERLINK("Melting_Curves/meltCurve_P23526_AHCY.pdf", "Melting_Curves/meltCurve_P23526_AHCY.pdf")</f>
        <v>Melting_Curves/meltCurve_P23526_AHCY.pdf</v>
      </c>
    </row>
    <row r="2024" spans="1:28" x14ac:dyDescent="0.25">
      <c r="A2024" t="s">
        <v>2028</v>
      </c>
      <c r="B2024">
        <v>0.99796759195183404</v>
      </c>
      <c r="C2024">
        <v>1.0750215126325899</v>
      </c>
      <c r="D2024">
        <v>1.10363888122051</v>
      </c>
      <c r="E2024">
        <v>1.0095195888984001</v>
      </c>
      <c r="F2024">
        <v>0.65946502818858199</v>
      </c>
      <c r="G2024">
        <v>0.53445799598237298</v>
      </c>
      <c r="H2024">
        <v>0.33191914333130601</v>
      </c>
      <c r="I2024">
        <v>0.31331449947126899</v>
      </c>
      <c r="J2024">
        <v>0.33211177778086898</v>
      </c>
      <c r="K2024">
        <v>0.264846463231804</v>
      </c>
      <c r="L2024">
        <v>1212.6353840342399</v>
      </c>
      <c r="M2024">
        <v>23.666157590176201</v>
      </c>
      <c r="N2024">
        <v>53.289652490888301</v>
      </c>
      <c r="O2024">
        <v>50.877580507565597</v>
      </c>
      <c r="P2024">
        <v>-8.1536809036844599E-2</v>
      </c>
      <c r="Q2024">
        <v>0.29885941660608201</v>
      </c>
      <c r="R2024">
        <v>0.96850829321727605</v>
      </c>
      <c r="S2024" t="s">
        <v>7607</v>
      </c>
      <c r="T2024" t="s">
        <v>11164</v>
      </c>
      <c r="U2024" t="s">
        <v>11164</v>
      </c>
      <c r="V2024" t="s">
        <v>11164</v>
      </c>
      <c r="W2024" t="s">
        <v>13152</v>
      </c>
      <c r="X2024">
        <v>10</v>
      </c>
      <c r="Y2024" t="s">
        <v>18668</v>
      </c>
      <c r="Z2024" t="s">
        <v>24174</v>
      </c>
      <c r="AA2024">
        <v>0.63849598197696555</v>
      </c>
      <c r="AB2024" t="str">
        <f>HYPERLINK("Melting_Curves/meltCurve_P23527_HIST1H2BO.pdf", "Melting_Curves/meltCurve_P23527_HIST1H2BO.pdf")</f>
        <v>Melting_Curves/meltCurve_P23527_HIST1H2BO.pdf</v>
      </c>
    </row>
    <row r="2025" spans="1:28" x14ac:dyDescent="0.25">
      <c r="A2025" t="s">
        <v>2029</v>
      </c>
      <c r="B2025">
        <v>0.99796759195183404</v>
      </c>
      <c r="C2025">
        <v>1.0517829200540401</v>
      </c>
      <c r="D2025">
        <v>0.98420629010986005</v>
      </c>
      <c r="E2025">
        <v>0.95969951742654602</v>
      </c>
      <c r="F2025">
        <v>0.75827660662058805</v>
      </c>
      <c r="G2025">
        <v>0.62348766662341804</v>
      </c>
      <c r="H2025">
        <v>0.44061032876183298</v>
      </c>
      <c r="I2025">
        <v>0.26642121055268703</v>
      </c>
      <c r="J2025">
        <v>0.181937833516925</v>
      </c>
      <c r="K2025">
        <v>0.15886689915212299</v>
      </c>
      <c r="L2025">
        <v>725.86023356450301</v>
      </c>
      <c r="M2025">
        <v>13.1333170783381</v>
      </c>
      <c r="N2025">
        <v>55.851449140706897</v>
      </c>
      <c r="O2025">
        <v>54.034338534838</v>
      </c>
      <c r="P2025">
        <v>-5.6882247139190198E-2</v>
      </c>
      <c r="Q2025">
        <v>6.4037585346307602E-2</v>
      </c>
      <c r="R2025">
        <v>0.99353308130562101</v>
      </c>
      <c r="S2025" t="s">
        <v>7608</v>
      </c>
      <c r="T2025" t="s">
        <v>11164</v>
      </c>
      <c r="U2025" t="s">
        <v>11164</v>
      </c>
      <c r="V2025" t="s">
        <v>11164</v>
      </c>
      <c r="W2025" t="s">
        <v>13153</v>
      </c>
      <c r="X2025">
        <v>22</v>
      </c>
      <c r="Y2025" t="s">
        <v>18669</v>
      </c>
      <c r="Z2025" t="s">
        <v>24175</v>
      </c>
      <c r="AA2025">
        <v>0.64666723120090974</v>
      </c>
      <c r="AB2025" t="str">
        <f>HYPERLINK("Melting_Curves/meltCurve_P23528_CFL1.pdf", "Melting_Curves/meltCurve_P23528_CFL1.pdf")</f>
        <v>Melting_Curves/meltCurve_P23528_CFL1.pdf</v>
      </c>
    </row>
    <row r="2026" spans="1:28" x14ac:dyDescent="0.25">
      <c r="A2026" t="s">
        <v>2030</v>
      </c>
      <c r="B2026">
        <v>0.99796759195183404</v>
      </c>
      <c r="C2026">
        <v>1.0320334485609299</v>
      </c>
      <c r="D2026">
        <v>0.98616980879152805</v>
      </c>
      <c r="E2026">
        <v>1.0113745331086099</v>
      </c>
      <c r="F2026">
        <v>0.89249209842724297</v>
      </c>
      <c r="G2026">
        <v>0.84183760659945805</v>
      </c>
      <c r="H2026">
        <v>1.02336973167126</v>
      </c>
      <c r="I2026">
        <v>0.98394018351485102</v>
      </c>
      <c r="J2026">
        <v>1.28663290313316</v>
      </c>
      <c r="K2026">
        <v>1.2669337159384999</v>
      </c>
      <c r="L2026">
        <v>15000</v>
      </c>
      <c r="M2026">
        <v>239.71677558349799</v>
      </c>
      <c r="O2026">
        <v>62.569492847531897</v>
      </c>
      <c r="P2026">
        <v>0.26551009673468501</v>
      </c>
      <c r="Q2026">
        <v>1.2772076477701699</v>
      </c>
      <c r="R2026">
        <v>0.78561137242767398</v>
      </c>
      <c r="S2026" t="s">
        <v>7609</v>
      </c>
      <c r="T2026" t="s">
        <v>11164</v>
      </c>
      <c r="U2026" t="s">
        <v>11164</v>
      </c>
      <c r="V2026" t="s">
        <v>11164</v>
      </c>
      <c r="W2026" t="s">
        <v>13154</v>
      </c>
      <c r="X2026">
        <v>53</v>
      </c>
      <c r="Y2026" t="s">
        <v>18670</v>
      </c>
      <c r="Z2026" t="s">
        <v>24176</v>
      </c>
      <c r="AA2026">
        <v>1.040865704475775</v>
      </c>
      <c r="AB2026" t="str">
        <f>HYPERLINK("Melting_Curves/meltCurve_P23588_EIF4B.pdf", "Melting_Curves/meltCurve_P23588_EIF4B.pdf")</f>
        <v>Melting_Curves/meltCurve_P23588_EIF4B.pdf</v>
      </c>
    </row>
    <row r="2027" spans="1:28" x14ac:dyDescent="0.25">
      <c r="A2027" t="s">
        <v>2031</v>
      </c>
      <c r="B2027">
        <v>0.99796759195183404</v>
      </c>
      <c r="C2027">
        <v>1.0352323245792401</v>
      </c>
      <c r="D2027">
        <v>1.00049135290071</v>
      </c>
      <c r="E2027">
        <v>0.91543100469889005</v>
      </c>
      <c r="F2027">
        <v>0.895242535051609</v>
      </c>
      <c r="G2027">
        <v>0.85141870884566195</v>
      </c>
      <c r="H2027">
        <v>0.49501059909385497</v>
      </c>
      <c r="I2027">
        <v>0.27865426594602499</v>
      </c>
      <c r="J2027">
        <v>0.24907464467347601</v>
      </c>
      <c r="K2027">
        <v>0.17120663449898099</v>
      </c>
      <c r="L2027">
        <v>1294.7063543572001</v>
      </c>
      <c r="M2027">
        <v>22.884484861796601</v>
      </c>
      <c r="N2027">
        <v>57.562366190873099</v>
      </c>
      <c r="O2027">
        <v>56.149018614138498</v>
      </c>
      <c r="P2027">
        <v>-8.5363279249674906E-2</v>
      </c>
      <c r="Q2027">
        <v>0.16223181697362801</v>
      </c>
      <c r="R2027">
        <v>0.98598269897638302</v>
      </c>
      <c r="S2027" t="s">
        <v>7610</v>
      </c>
      <c r="T2027" t="s">
        <v>11164</v>
      </c>
      <c r="U2027" t="s">
        <v>11164</v>
      </c>
      <c r="V2027" t="s">
        <v>11164</v>
      </c>
      <c r="W2027" t="s">
        <v>13155</v>
      </c>
      <c r="X2027">
        <v>19</v>
      </c>
      <c r="Y2027" t="s">
        <v>18671</v>
      </c>
      <c r="Z2027" t="s">
        <v>24177</v>
      </c>
      <c r="AA2027">
        <v>0.71604713094970807</v>
      </c>
      <c r="AB2027" t="str">
        <f>HYPERLINK("Melting_Curves/meltCurve_P23634_6_ATP2B4.pdf", "Melting_Curves/meltCurve_P23634_6_ATP2B4.pdf")</f>
        <v>Melting_Curves/meltCurve_P23634_6_ATP2B4.pdf</v>
      </c>
    </row>
    <row r="2028" spans="1:28" x14ac:dyDescent="0.25">
      <c r="A2028" t="s">
        <v>2032</v>
      </c>
      <c r="B2028">
        <v>0.99796759195183404</v>
      </c>
      <c r="C2028">
        <v>1.00771700392393</v>
      </c>
      <c r="D2028">
        <v>1.00601673591708</v>
      </c>
      <c r="E2028">
        <v>0.96001684564038003</v>
      </c>
      <c r="F2028">
        <v>0.76641706517601005</v>
      </c>
      <c r="G2028">
        <v>0.25329550460014699</v>
      </c>
      <c r="H2028">
        <v>0.16761999705073399</v>
      </c>
      <c r="I2028">
        <v>0.14829200018299199</v>
      </c>
      <c r="J2028">
        <v>0.10531145315589401</v>
      </c>
      <c r="K2028">
        <v>7.95438582431722E-2</v>
      </c>
      <c r="L2028">
        <v>1924.36167777027</v>
      </c>
      <c r="M2028">
        <v>37.357870224475597</v>
      </c>
      <c r="N2028">
        <v>51.882232856833397</v>
      </c>
      <c r="O2028">
        <v>51.364618518323603</v>
      </c>
      <c r="P2028">
        <v>-0.16053083966019399</v>
      </c>
      <c r="Q2028">
        <v>0.117125103984586</v>
      </c>
      <c r="R2028">
        <v>0.99739724845900002</v>
      </c>
      <c r="S2028" t="s">
        <v>7611</v>
      </c>
      <c r="T2028" t="s">
        <v>11164</v>
      </c>
      <c r="U2028" t="s">
        <v>11164</v>
      </c>
      <c r="V2028" t="s">
        <v>11164</v>
      </c>
      <c r="W2028" t="s">
        <v>13156</v>
      </c>
      <c r="X2028">
        <v>17</v>
      </c>
      <c r="Y2028" t="s">
        <v>18672</v>
      </c>
      <c r="Z2028" t="s">
        <v>24178</v>
      </c>
      <c r="AA2028">
        <v>0.54778437751038112</v>
      </c>
      <c r="AB2028" t="str">
        <f>HYPERLINK("Melting_Curves/meltCurve_P23786_CPT2.pdf", "Melting_Curves/meltCurve_P23786_CPT2.pdf")</f>
        <v>Melting_Curves/meltCurve_P23786_CPT2.pdf</v>
      </c>
    </row>
    <row r="2029" spans="1:28" x14ac:dyDescent="0.25">
      <c r="A2029" t="s">
        <v>2033</v>
      </c>
      <c r="B2029">
        <v>0.99796759195183404</v>
      </c>
      <c r="C2029">
        <v>0.98722261724472704</v>
      </c>
      <c r="D2029">
        <v>0.94761813556536501</v>
      </c>
      <c r="E2029">
        <v>0.92234178131465805</v>
      </c>
      <c r="F2029">
        <v>0.78245789833716295</v>
      </c>
      <c r="G2029">
        <v>0.57967036598515997</v>
      </c>
      <c r="H2029">
        <v>0.28253238463595598</v>
      </c>
      <c r="I2029">
        <v>0.15562989342924399</v>
      </c>
      <c r="J2029">
        <v>0.11093173781155601</v>
      </c>
      <c r="K2029">
        <v>8.7041334906166307E-2</v>
      </c>
      <c r="L2029">
        <v>880.42652661927605</v>
      </c>
      <c r="M2029">
        <v>16.254123892160401</v>
      </c>
      <c r="N2029">
        <v>54.3996266202887</v>
      </c>
      <c r="O2029">
        <v>53.366358895841799</v>
      </c>
      <c r="P2029">
        <v>-7.3586159798966697E-2</v>
      </c>
      <c r="Q2029">
        <v>3.3663947255695499E-2</v>
      </c>
      <c r="R2029">
        <v>0.99691971974308902</v>
      </c>
      <c r="S2029" t="s">
        <v>7612</v>
      </c>
      <c r="T2029" t="s">
        <v>11164</v>
      </c>
      <c r="U2029" t="s">
        <v>11164</v>
      </c>
      <c r="V2029" t="s">
        <v>11164</v>
      </c>
      <c r="W2029" t="s">
        <v>13157</v>
      </c>
      <c r="X2029">
        <v>16</v>
      </c>
      <c r="Y2029" t="s">
        <v>18673</v>
      </c>
      <c r="Z2029" t="s">
        <v>24179</v>
      </c>
      <c r="AA2029">
        <v>0.60104841824284105</v>
      </c>
      <c r="AB2029" t="str">
        <f>HYPERLINK("Melting_Curves/meltCurve_P23919_DTYMK.pdf", "Melting_Curves/meltCurve_P23919_DTYMK.pdf")</f>
        <v>Melting_Curves/meltCurve_P23919_DTYMK.pdf</v>
      </c>
    </row>
    <row r="2030" spans="1:28" x14ac:dyDescent="0.25">
      <c r="A2030" t="s">
        <v>2034</v>
      </c>
      <c r="B2030">
        <v>0.99796759195183404</v>
      </c>
      <c r="C2030">
        <v>0.99873183057595405</v>
      </c>
      <c r="D2030">
        <v>0.98350525711448999</v>
      </c>
      <c r="E2030">
        <v>0.97200377219447898</v>
      </c>
      <c r="F2030">
        <v>0.87269708278664804</v>
      </c>
      <c r="G2030">
        <v>0.99162353902438105</v>
      </c>
      <c r="H2030">
        <v>0.597091968242494</v>
      </c>
      <c r="I2030">
        <v>0.27568413677118098</v>
      </c>
      <c r="J2030">
        <v>0.222574298045843</v>
      </c>
      <c r="K2030">
        <v>0.15114243128400001</v>
      </c>
      <c r="L2030">
        <v>2260.9268829501402</v>
      </c>
      <c r="M2030">
        <v>39.289578783599701</v>
      </c>
      <c r="N2030">
        <v>58.215283393311402</v>
      </c>
      <c r="O2030">
        <v>57.396722947891398</v>
      </c>
      <c r="P2030">
        <v>-0.14000423976939899</v>
      </c>
      <c r="Q2030">
        <v>0.18189317066149199</v>
      </c>
      <c r="R2030">
        <v>0.98237319656284305</v>
      </c>
      <c r="S2030" t="s">
        <v>7613</v>
      </c>
      <c r="T2030" t="s">
        <v>11164</v>
      </c>
      <c r="U2030" t="s">
        <v>11164</v>
      </c>
      <c r="V2030" t="s">
        <v>11164</v>
      </c>
      <c r="W2030" t="s">
        <v>13158</v>
      </c>
      <c r="X2030">
        <v>13</v>
      </c>
      <c r="Y2030" t="s">
        <v>18674</v>
      </c>
      <c r="Z2030" t="s">
        <v>24180</v>
      </c>
      <c r="AA2030">
        <v>0.74531553592569055</v>
      </c>
      <c r="AB2030" t="str">
        <f>HYPERLINK("Melting_Curves/meltCurve_P23921_RRM1.pdf", "Melting_Curves/meltCurve_P23921_RRM1.pdf")</f>
        <v>Melting_Curves/meltCurve_P23921_RRM1.pdf</v>
      </c>
    </row>
    <row r="2031" spans="1:28" x14ac:dyDescent="0.25">
      <c r="A2031" t="s">
        <v>2035</v>
      </c>
      <c r="B2031">
        <v>0.99796759195183404</v>
      </c>
      <c r="C2031">
        <v>1.0788190948847001</v>
      </c>
      <c r="D2031">
        <v>1.08351309787622</v>
      </c>
      <c r="E2031">
        <v>0.96203906206422196</v>
      </c>
      <c r="F2031">
        <v>0.94109383345068798</v>
      </c>
      <c r="G2031">
        <v>0.55821400138493704</v>
      </c>
      <c r="H2031">
        <v>0.198085108747724</v>
      </c>
      <c r="I2031">
        <v>0.169719501324294</v>
      </c>
      <c r="J2031">
        <v>0.14301165750653799</v>
      </c>
      <c r="K2031">
        <v>0.50706012936761902</v>
      </c>
      <c r="L2031">
        <v>3439.0487000087201</v>
      </c>
      <c r="M2031">
        <v>64.327740723815296</v>
      </c>
      <c r="N2031">
        <v>54.0543650511487</v>
      </c>
      <c r="O2031">
        <v>53.409768624856703</v>
      </c>
      <c r="P2031">
        <v>-0.22488917229121799</v>
      </c>
      <c r="Q2031">
        <v>0.25312005416349698</v>
      </c>
      <c r="R2031">
        <v>0.92492684502885802</v>
      </c>
      <c r="S2031" t="s">
        <v>7614</v>
      </c>
      <c r="T2031" t="s">
        <v>11164</v>
      </c>
      <c r="U2031" t="s">
        <v>11164</v>
      </c>
      <c r="V2031" t="s">
        <v>11164</v>
      </c>
      <c r="W2031" t="s">
        <v>13159</v>
      </c>
      <c r="X2031">
        <v>11</v>
      </c>
      <c r="Y2031" t="s">
        <v>18675</v>
      </c>
      <c r="Z2031" t="s">
        <v>24181</v>
      </c>
      <c r="AA2031">
        <v>0.66400376259330651</v>
      </c>
      <c r="AB2031" t="str">
        <f>HYPERLINK("Melting_Curves/meltCurve_P24534_EEF1B2.pdf", "Melting_Curves/meltCurve_P24534_EEF1B2.pdf")</f>
        <v>Melting_Curves/meltCurve_P24534_EEF1B2.pdf</v>
      </c>
    </row>
    <row r="2032" spans="1:28" x14ac:dyDescent="0.25">
      <c r="A2032" t="s">
        <v>2036</v>
      </c>
      <c r="B2032">
        <v>0.99796759195183404</v>
      </c>
      <c r="C2032">
        <v>1.0375767726114999</v>
      </c>
      <c r="D2032">
        <v>1.06154367785364</v>
      </c>
      <c r="E2032">
        <v>0.98820377103281398</v>
      </c>
      <c r="F2032">
        <v>0.85065702942937704</v>
      </c>
      <c r="G2032">
        <v>0.31214190237509698</v>
      </c>
      <c r="H2032">
        <v>0.19510075832687199</v>
      </c>
      <c r="I2032">
        <v>0.12842032382297799</v>
      </c>
      <c r="J2032">
        <v>0.10477874749841699</v>
      </c>
      <c r="K2032">
        <v>8.2397592435054998E-2</v>
      </c>
      <c r="L2032">
        <v>2014.91560391894</v>
      </c>
      <c r="M2032">
        <v>38.615958074085</v>
      </c>
      <c r="N2032">
        <v>52.542284129959299</v>
      </c>
      <c r="O2032">
        <v>52.038973356718103</v>
      </c>
      <c r="P2032">
        <v>-0.16374317606121899</v>
      </c>
      <c r="Q2032">
        <v>0.117359057417978</v>
      </c>
      <c r="R2032">
        <v>0.99443950796825598</v>
      </c>
      <c r="S2032" t="s">
        <v>7615</v>
      </c>
      <c r="T2032" t="s">
        <v>11164</v>
      </c>
      <c r="U2032" t="s">
        <v>11164</v>
      </c>
      <c r="V2032" t="s">
        <v>11164</v>
      </c>
      <c r="W2032" t="s">
        <v>13160</v>
      </c>
      <c r="X2032">
        <v>13</v>
      </c>
      <c r="Y2032" t="s">
        <v>18676</v>
      </c>
      <c r="Z2032" t="s">
        <v>24182</v>
      </c>
      <c r="AA2032">
        <v>0.56733098863312637</v>
      </c>
      <c r="AB2032" t="str">
        <f>HYPERLINK("Melting_Curves/meltCurve_P24666_ACP1.pdf", "Melting_Curves/meltCurve_P24666_ACP1.pdf")</f>
        <v>Melting_Curves/meltCurve_P24666_ACP1.pdf</v>
      </c>
    </row>
    <row r="2033" spans="1:28" x14ac:dyDescent="0.25">
      <c r="A2033" t="s">
        <v>2037</v>
      </c>
      <c r="B2033">
        <v>0.99796759195183404</v>
      </c>
      <c r="C2033">
        <v>1.0563609246829899</v>
      </c>
      <c r="D2033">
        <v>1.03507103964277</v>
      </c>
      <c r="E2033">
        <v>1.0206023149190599</v>
      </c>
      <c r="F2033">
        <v>0.91680959215397195</v>
      </c>
      <c r="G2033">
        <v>1.0369471080342501</v>
      </c>
      <c r="H2033">
        <v>0.76592854122341802</v>
      </c>
      <c r="I2033">
        <v>0.18284900981993901</v>
      </c>
      <c r="J2033">
        <v>9.5157040010522595E-2</v>
      </c>
      <c r="K2033">
        <v>7.2348320319009896E-2</v>
      </c>
      <c r="L2033">
        <v>3118.3114427148598</v>
      </c>
      <c r="M2033">
        <v>53.2270972207223</v>
      </c>
      <c r="N2033">
        <v>58.776738627011099</v>
      </c>
      <c r="O2033">
        <v>58.502516409769001</v>
      </c>
      <c r="P2033">
        <v>-0.209332011500207</v>
      </c>
      <c r="Q2033">
        <v>7.9683697826625099E-2</v>
      </c>
      <c r="R2033">
        <v>0.99142179671994202</v>
      </c>
      <c r="S2033" t="s">
        <v>7616</v>
      </c>
      <c r="T2033" t="s">
        <v>11164</v>
      </c>
      <c r="U2033" t="s">
        <v>11164</v>
      </c>
      <c r="V2033" t="s">
        <v>11164</v>
      </c>
      <c r="W2033" t="s">
        <v>13161</v>
      </c>
      <c r="X2033">
        <v>19</v>
      </c>
      <c r="Y2033" t="s">
        <v>18677</v>
      </c>
      <c r="Z2033" t="s">
        <v>24183</v>
      </c>
      <c r="AA2033">
        <v>0.74389198516095811</v>
      </c>
      <c r="AB2033" t="str">
        <f>HYPERLINK("Melting_Curves/meltCurve_P24752_ACAT1.pdf", "Melting_Curves/meltCurve_P24752_ACAT1.pdf")</f>
        <v>Melting_Curves/meltCurve_P24752_ACAT1.pdf</v>
      </c>
    </row>
    <row r="2034" spans="1:28" x14ac:dyDescent="0.25">
      <c r="A2034" t="s">
        <v>2038</v>
      </c>
      <c r="B2034">
        <v>0.99796759195183404</v>
      </c>
      <c r="C2034">
        <v>1.0939978917269999</v>
      </c>
      <c r="D2034">
        <v>1.0303187163877701</v>
      </c>
      <c r="E2034">
        <v>0.90697539063789701</v>
      </c>
      <c r="F2034">
        <v>0.779187026131413</v>
      </c>
      <c r="G2034">
        <v>1.29660847100173</v>
      </c>
      <c r="H2034">
        <v>1.34320290798291</v>
      </c>
      <c r="I2034">
        <v>2.4315945782581001</v>
      </c>
      <c r="J2034">
        <v>1.58846893889138</v>
      </c>
      <c r="K2034">
        <v>0.66474915345861496</v>
      </c>
      <c r="L2034">
        <v>7384.9541683120297</v>
      </c>
      <c r="M2034">
        <v>137.64282709745899</v>
      </c>
      <c r="O2034">
        <v>53.6417020821089</v>
      </c>
      <c r="P2034">
        <v>0.32074585600094102</v>
      </c>
      <c r="Q2034">
        <v>1.5</v>
      </c>
      <c r="R2034">
        <v>0.28416613953355602</v>
      </c>
      <c r="S2034" t="s">
        <v>7617</v>
      </c>
      <c r="T2034" t="s">
        <v>11164</v>
      </c>
      <c r="U2034" t="s">
        <v>11164</v>
      </c>
      <c r="V2034" t="s">
        <v>11164</v>
      </c>
      <c r="W2034" t="s">
        <v>13162</v>
      </c>
      <c r="X2034">
        <v>6</v>
      </c>
      <c r="Y2034" t="s">
        <v>18678</v>
      </c>
      <c r="Z2034" t="s">
        <v>24184</v>
      </c>
      <c r="AA2034">
        <v>1.2222941752033529</v>
      </c>
      <c r="AB2034" t="str">
        <f>HYPERLINK("Melting_Curves/meltCurve_P24928_POLR2A.pdf", "Melting_Curves/meltCurve_P24928_POLR2A.pdf")</f>
        <v>Melting_Curves/meltCurve_P24928_POLR2A.pdf</v>
      </c>
    </row>
    <row r="2035" spans="1:28" x14ac:dyDescent="0.25">
      <c r="A2035" t="s">
        <v>2039</v>
      </c>
      <c r="B2035">
        <v>0.99796759195183404</v>
      </c>
      <c r="C2035">
        <v>0.87315147101514001</v>
      </c>
      <c r="D2035">
        <v>0.81799568753604401</v>
      </c>
      <c r="E2035">
        <v>0.752433555735606</v>
      </c>
      <c r="F2035">
        <v>0.64619612083339195</v>
      </c>
      <c r="G2035">
        <v>0.51555638789773695</v>
      </c>
      <c r="H2035">
        <v>0.36924732918376901</v>
      </c>
      <c r="I2035">
        <v>0.32363461688186801</v>
      </c>
      <c r="J2035">
        <v>0.200926602013248</v>
      </c>
      <c r="K2035">
        <v>0.13424184302624101</v>
      </c>
      <c r="L2035">
        <v>395.76693447785902</v>
      </c>
      <c r="M2035">
        <v>7.3988490298199396</v>
      </c>
      <c r="N2035">
        <v>53.490337871529199</v>
      </c>
      <c r="O2035">
        <v>49.999753996444902</v>
      </c>
      <c r="P2035">
        <v>-3.7050370455921001E-2</v>
      </c>
      <c r="Q2035">
        <v>0</v>
      </c>
      <c r="R2035">
        <v>0.985701014079019</v>
      </c>
      <c r="S2035" t="s">
        <v>7618</v>
      </c>
      <c r="T2035" t="s">
        <v>11164</v>
      </c>
      <c r="U2035" t="s">
        <v>11164</v>
      </c>
      <c r="V2035" t="s">
        <v>11164</v>
      </c>
      <c r="W2035" t="s">
        <v>13163</v>
      </c>
      <c r="X2035">
        <v>4</v>
      </c>
      <c r="Y2035" t="s">
        <v>18679</v>
      </c>
      <c r="Z2035" t="s">
        <v>24185</v>
      </c>
      <c r="AA2035">
        <v>0.56679430896013017</v>
      </c>
      <c r="AB2035" t="str">
        <f>HYPERLINK("Melting_Curves/meltCurve_P25054_2_APC.pdf", "Melting_Curves/meltCurve_P25054_2_APC.pdf")</f>
        <v>Melting_Curves/meltCurve_P25054_2_APC.pdf</v>
      </c>
    </row>
    <row r="2036" spans="1:28" x14ac:dyDescent="0.25">
      <c r="A2036" t="s">
        <v>2040</v>
      </c>
      <c r="B2036">
        <v>0.99796759195183404</v>
      </c>
      <c r="C2036">
        <v>0.98602062841984905</v>
      </c>
      <c r="D2036">
        <v>0.845765145661036</v>
      </c>
      <c r="E2036">
        <v>0.89967601084290905</v>
      </c>
      <c r="F2036">
        <v>0.83465338260979105</v>
      </c>
      <c r="G2036">
        <v>0.60615150493975001</v>
      </c>
      <c r="H2036">
        <v>0.19662486501892701</v>
      </c>
      <c r="I2036">
        <v>9.2204721584518506E-2</v>
      </c>
      <c r="J2036">
        <v>7.5660973672934104E-2</v>
      </c>
      <c r="K2036">
        <v>3.7388656470526097E-2</v>
      </c>
      <c r="L2036">
        <v>1117.15498476124</v>
      </c>
      <c r="M2036">
        <v>20.588406610773799</v>
      </c>
      <c r="N2036">
        <v>54.319141442067398</v>
      </c>
      <c r="O2036">
        <v>53.757240553219098</v>
      </c>
      <c r="P2036">
        <v>-9.4712873763810906E-2</v>
      </c>
      <c r="Q2036">
        <v>1.0830879645799801E-2</v>
      </c>
      <c r="R2036">
        <v>0.977083796600828</v>
      </c>
      <c r="S2036" t="s">
        <v>7619</v>
      </c>
      <c r="T2036" t="s">
        <v>11164</v>
      </c>
      <c r="U2036" t="s">
        <v>11164</v>
      </c>
      <c r="V2036" t="s">
        <v>11164</v>
      </c>
      <c r="W2036" t="s">
        <v>13164</v>
      </c>
      <c r="X2036">
        <v>10</v>
      </c>
      <c r="Y2036" t="s">
        <v>18680</v>
      </c>
      <c r="Z2036" t="s">
        <v>24186</v>
      </c>
      <c r="AA2036">
        <v>0.59134772702756677</v>
      </c>
      <c r="AB2036" t="str">
        <f>HYPERLINK("Melting_Curves/meltCurve_P25098_ADRBK1.pdf", "Melting_Curves/meltCurve_P25098_ADRBK1.pdf")</f>
        <v>Melting_Curves/meltCurve_P25098_ADRBK1.pdf</v>
      </c>
    </row>
    <row r="2037" spans="1:28" x14ac:dyDescent="0.25">
      <c r="A2037" t="s">
        <v>2041</v>
      </c>
      <c r="B2037">
        <v>0.99796759195183404</v>
      </c>
      <c r="C2037">
        <v>1.0166461603022401</v>
      </c>
      <c r="D2037">
        <v>1.0361974619704699</v>
      </c>
      <c r="E2037">
        <v>0.96059798032824695</v>
      </c>
      <c r="F2037">
        <v>0.66364642287773001</v>
      </c>
      <c r="G2037">
        <v>0.94550942619935197</v>
      </c>
      <c r="H2037">
        <v>0.69890884684825405</v>
      </c>
      <c r="I2037">
        <v>0.33218667690190801</v>
      </c>
      <c r="J2037">
        <v>0.19373757352823301</v>
      </c>
      <c r="K2037">
        <v>0.12690482928678901</v>
      </c>
      <c r="L2037">
        <v>1012.45219278509</v>
      </c>
      <c r="M2037">
        <v>17.0853045432358</v>
      </c>
      <c r="N2037">
        <v>59.258657900391803</v>
      </c>
      <c r="O2037">
        <v>58.464707743882599</v>
      </c>
      <c r="P2037">
        <v>-7.3062623892430401E-2</v>
      </c>
      <c r="Q2037">
        <v>0</v>
      </c>
      <c r="R2037">
        <v>0.90944915429807105</v>
      </c>
      <c r="S2037" t="s">
        <v>7620</v>
      </c>
      <c r="T2037" t="s">
        <v>11164</v>
      </c>
      <c r="U2037" t="s">
        <v>11164</v>
      </c>
      <c r="V2037" t="s">
        <v>11164</v>
      </c>
      <c r="W2037" t="s">
        <v>13165</v>
      </c>
      <c r="X2037">
        <v>28</v>
      </c>
      <c r="Y2037" t="s">
        <v>18681</v>
      </c>
      <c r="Z2037" t="s">
        <v>24187</v>
      </c>
      <c r="AA2037">
        <v>0.74281141000230211</v>
      </c>
      <c r="AB2037" t="str">
        <f>HYPERLINK("Melting_Curves/meltCurve_P25205_MCM3.pdf", "Melting_Curves/meltCurve_P25205_MCM3.pdf")</f>
        <v>Melting_Curves/meltCurve_P25205_MCM3.pdf</v>
      </c>
    </row>
    <row r="2038" spans="1:28" x14ac:dyDescent="0.25">
      <c r="A2038" t="s">
        <v>2042</v>
      </c>
      <c r="B2038">
        <v>0.99796759195183404</v>
      </c>
      <c r="C2038">
        <v>0.99845509358879403</v>
      </c>
      <c r="D2038">
        <v>1.0387054048637301</v>
      </c>
      <c r="E2038">
        <v>1.04787565424899</v>
      </c>
      <c r="F2038">
        <v>0.99239157352644503</v>
      </c>
      <c r="G2038">
        <v>1.01421198042614</v>
      </c>
      <c r="H2038">
        <v>0.69117556490885701</v>
      </c>
      <c r="I2038">
        <v>0.74726627171924498</v>
      </c>
      <c r="J2038">
        <v>0.79473509802639497</v>
      </c>
      <c r="K2038">
        <v>0.63909699933550901</v>
      </c>
      <c r="L2038">
        <v>9662.5307428457909</v>
      </c>
      <c r="M2038">
        <v>174.239515788792</v>
      </c>
      <c r="O2038">
        <v>55.448145008370702</v>
      </c>
      <c r="P2038">
        <v>-0.22160537462308499</v>
      </c>
      <c r="Q2038">
        <v>0.71791457709217399</v>
      </c>
      <c r="R2038">
        <v>0.92178117264305404</v>
      </c>
      <c r="S2038" t="s">
        <v>7621</v>
      </c>
      <c r="T2038" t="s">
        <v>11164</v>
      </c>
      <c r="U2038" t="s">
        <v>11164</v>
      </c>
      <c r="V2038" t="s">
        <v>11164</v>
      </c>
      <c r="W2038" t="s">
        <v>13166</v>
      </c>
      <c r="X2038">
        <v>11</v>
      </c>
      <c r="Y2038" t="s">
        <v>18682</v>
      </c>
      <c r="Z2038" t="s">
        <v>24188</v>
      </c>
      <c r="AA2038">
        <v>0.89150488799104122</v>
      </c>
      <c r="AB2038" t="str">
        <f>HYPERLINK("Melting_Curves/meltCurve_P25398_RPS12.pdf", "Melting_Curves/meltCurve_P25398_RPS12.pdf")</f>
        <v>Melting_Curves/meltCurve_P25398_RPS12.pdf</v>
      </c>
    </row>
    <row r="2039" spans="1:28" x14ac:dyDescent="0.25">
      <c r="A2039" t="s">
        <v>2043</v>
      </c>
      <c r="B2039">
        <v>0.99796759195183404</v>
      </c>
      <c r="C2039">
        <v>0.93380714400212805</v>
      </c>
      <c r="D2039">
        <v>1.02598804396136</v>
      </c>
      <c r="E2039">
        <v>0.98538049731673505</v>
      </c>
      <c r="F2039">
        <v>1.08734182678934</v>
      </c>
      <c r="G2039">
        <v>0.45569481701329601</v>
      </c>
      <c r="H2039">
        <v>0.55316475137723697</v>
      </c>
      <c r="I2039">
        <v>0.41214877210661499</v>
      </c>
      <c r="J2039">
        <v>0.44900009156707099</v>
      </c>
      <c r="K2039">
        <v>0.33216639646948198</v>
      </c>
      <c r="L2039">
        <v>13269.714763059101</v>
      </c>
      <c r="M2039">
        <v>250</v>
      </c>
      <c r="N2039">
        <v>53.521039049099201</v>
      </c>
      <c r="O2039">
        <v>53.075457056140301</v>
      </c>
      <c r="P2039">
        <v>-0.66341909293564505</v>
      </c>
      <c r="Q2039">
        <v>0.43661959906444497</v>
      </c>
      <c r="R2039">
        <v>0.95448665768909102</v>
      </c>
      <c r="S2039" t="s">
        <v>7622</v>
      </c>
      <c r="T2039" t="s">
        <v>11164</v>
      </c>
      <c r="U2039" t="s">
        <v>11164</v>
      </c>
      <c r="V2039" t="s">
        <v>11164</v>
      </c>
      <c r="W2039" t="s">
        <v>13167</v>
      </c>
      <c r="X2039">
        <v>7</v>
      </c>
      <c r="Y2039" t="s">
        <v>18683</v>
      </c>
      <c r="Z2039" t="s">
        <v>24189</v>
      </c>
      <c r="AA2039">
        <v>0.73862254804539196</v>
      </c>
      <c r="AB2039" t="str">
        <f>HYPERLINK("Melting_Curves/meltCurve_P25445_6_FAS.pdf", "Melting_Curves/meltCurve_P25445_6_FAS.pdf")</f>
        <v>Melting_Curves/meltCurve_P25445_6_FAS.pdf</v>
      </c>
    </row>
    <row r="2040" spans="1:28" x14ac:dyDescent="0.25">
      <c r="A2040" t="s">
        <v>2044</v>
      </c>
      <c r="B2040">
        <v>0.99796759195183404</v>
      </c>
      <c r="C2040">
        <v>0.91950817192212297</v>
      </c>
      <c r="D2040">
        <v>0.91967935316370397</v>
      </c>
      <c r="E2040">
        <v>0.78992422595256695</v>
      </c>
      <c r="F2040">
        <v>0.50899273130600897</v>
      </c>
      <c r="G2040">
        <v>0.24579141825850401</v>
      </c>
      <c r="H2040">
        <v>0.21353298041435301</v>
      </c>
      <c r="I2040">
        <v>0.12473577904052401</v>
      </c>
      <c r="J2040">
        <v>0.105708896511316</v>
      </c>
      <c r="K2040">
        <v>9.6687754258031E-2</v>
      </c>
      <c r="L2040">
        <v>815.94644874493395</v>
      </c>
      <c r="M2040">
        <v>16.436582891046999</v>
      </c>
      <c r="N2040">
        <v>50.225725682187502</v>
      </c>
      <c r="O2040">
        <v>48.924711041671401</v>
      </c>
      <c r="P2040">
        <v>-7.6693237885562995E-2</v>
      </c>
      <c r="Q2040">
        <v>8.6931483762656206E-2</v>
      </c>
      <c r="R2040">
        <v>0.99379529587639803</v>
      </c>
      <c r="S2040" t="s">
        <v>7623</v>
      </c>
      <c r="T2040" t="s">
        <v>11164</v>
      </c>
      <c r="U2040" t="s">
        <v>11164</v>
      </c>
      <c r="V2040" t="s">
        <v>11164</v>
      </c>
      <c r="W2040" t="s">
        <v>13168</v>
      </c>
      <c r="X2040">
        <v>4</v>
      </c>
      <c r="Y2040" t="s">
        <v>18684</v>
      </c>
      <c r="Z2040" t="s">
        <v>24190</v>
      </c>
      <c r="AA2040">
        <v>0.48846126575638082</v>
      </c>
      <c r="AB2040" t="str">
        <f>HYPERLINK("Melting_Curves/meltCurve_P25490_YY1.pdf", "Melting_Curves/meltCurve_P25490_YY1.pdf")</f>
        <v>Melting_Curves/meltCurve_P25490_YY1.pdf</v>
      </c>
    </row>
    <row r="2041" spans="1:28" x14ac:dyDescent="0.25">
      <c r="A2041" t="s">
        <v>2045</v>
      </c>
      <c r="B2041">
        <v>0.99796759195183404</v>
      </c>
      <c r="C2041">
        <v>1.0147795689624901</v>
      </c>
      <c r="D2041">
        <v>0.96049618739221398</v>
      </c>
      <c r="E2041">
        <v>0.77545724663944704</v>
      </c>
      <c r="F2041">
        <v>0.52678527080706405</v>
      </c>
      <c r="G2041">
        <v>0.249105870223466</v>
      </c>
      <c r="H2041">
        <v>0.12938960864981</v>
      </c>
      <c r="I2041">
        <v>9.8400998962512101E-2</v>
      </c>
      <c r="J2041">
        <v>8.0211492076589203E-2</v>
      </c>
      <c r="K2041">
        <v>5.8810937786730903E-2</v>
      </c>
      <c r="L2041">
        <v>899.97626413538205</v>
      </c>
      <c r="M2041">
        <v>18.0166032829042</v>
      </c>
      <c r="N2041">
        <v>50.279068282640502</v>
      </c>
      <c r="O2041">
        <v>49.349406885270099</v>
      </c>
      <c r="P2041">
        <v>-8.6236801059062201E-2</v>
      </c>
      <c r="Q2041">
        <v>5.5199361387231201E-2</v>
      </c>
      <c r="R2041">
        <v>0.99874762597973699</v>
      </c>
      <c r="S2041" t="s">
        <v>7624</v>
      </c>
      <c r="T2041" t="s">
        <v>11164</v>
      </c>
      <c r="U2041" t="s">
        <v>11164</v>
      </c>
      <c r="V2041" t="s">
        <v>11164</v>
      </c>
      <c r="W2041" t="s">
        <v>13169</v>
      </c>
      <c r="X2041">
        <v>16</v>
      </c>
      <c r="Y2041" t="s">
        <v>18685</v>
      </c>
      <c r="Z2041" t="s">
        <v>24191</v>
      </c>
      <c r="AA2041">
        <v>0.47799087024853631</v>
      </c>
      <c r="AB2041" t="str">
        <f>HYPERLINK("Melting_Curves/meltCurve_P25685_DNAJB1.pdf", "Melting_Curves/meltCurve_P25685_DNAJB1.pdf")</f>
        <v>Melting_Curves/meltCurve_P25685_DNAJB1.pdf</v>
      </c>
    </row>
    <row r="2042" spans="1:28" x14ac:dyDescent="0.25">
      <c r="A2042" t="s">
        <v>2046</v>
      </c>
      <c r="B2042">
        <v>0.99796759195183404</v>
      </c>
      <c r="C2042">
        <v>0.97493130751043899</v>
      </c>
      <c r="D2042">
        <v>0.91327743768373704</v>
      </c>
      <c r="E2042">
        <v>0.91680585749102295</v>
      </c>
      <c r="F2042">
        <v>0.81295663720006395</v>
      </c>
      <c r="G2042">
        <v>1.3510246736924101</v>
      </c>
      <c r="H2042">
        <v>1.12002052982739</v>
      </c>
      <c r="I2042">
        <v>1.7487160786214599</v>
      </c>
      <c r="J2042">
        <v>1.20335477924237</v>
      </c>
      <c r="K2042">
        <v>1.0903218832577699</v>
      </c>
      <c r="L2042">
        <v>5319.9657689404103</v>
      </c>
      <c r="M2042">
        <v>101.81195159544301</v>
      </c>
      <c r="O2042">
        <v>52.232710295282899</v>
      </c>
      <c r="P2042">
        <v>0.14840861903079899</v>
      </c>
      <c r="Q2042">
        <v>1.30455300763503</v>
      </c>
      <c r="R2042">
        <v>0.48804862331740101</v>
      </c>
      <c r="S2042" t="s">
        <v>7625</v>
      </c>
      <c r="T2042" t="s">
        <v>11164</v>
      </c>
      <c r="U2042" t="s">
        <v>11164</v>
      </c>
      <c r="V2042" t="s">
        <v>11164</v>
      </c>
      <c r="W2042" t="s">
        <v>13170</v>
      </c>
      <c r="X2042">
        <v>38</v>
      </c>
      <c r="Y2042" t="s">
        <v>18686</v>
      </c>
      <c r="Z2042" t="s">
        <v>24192</v>
      </c>
      <c r="AA2042">
        <v>1.149540933796956</v>
      </c>
      <c r="AB2042" t="str">
        <f>HYPERLINK("Melting_Curves/meltCurve_P25705_ATP5A1.pdf", "Melting_Curves/meltCurve_P25705_ATP5A1.pdf")</f>
        <v>Melting_Curves/meltCurve_P25705_ATP5A1.pdf</v>
      </c>
    </row>
    <row r="2043" spans="1:28" x14ac:dyDescent="0.25">
      <c r="A2043" t="s">
        <v>2047</v>
      </c>
      <c r="B2043">
        <v>0.99796759195183404</v>
      </c>
      <c r="C2043">
        <v>0.98213216107172796</v>
      </c>
      <c r="D2043">
        <v>0.91813333138189801</v>
      </c>
      <c r="E2043">
        <v>0.95842964073305603</v>
      </c>
      <c r="F2043">
        <v>0.84175530016377698</v>
      </c>
      <c r="G2043">
        <v>0.63006687035227804</v>
      </c>
      <c r="H2043">
        <v>0.60041796727432395</v>
      </c>
      <c r="I2043">
        <v>0.97267706030452095</v>
      </c>
      <c r="J2043">
        <v>0.674797923854904</v>
      </c>
      <c r="K2043">
        <v>0.49934240223012299</v>
      </c>
      <c r="L2043">
        <v>12552.4909123164</v>
      </c>
      <c r="M2043">
        <v>250</v>
      </c>
      <c r="O2043">
        <v>50.206756832617799</v>
      </c>
      <c r="P2043">
        <v>-0.40400388662859699</v>
      </c>
      <c r="Q2043">
        <v>0.675460442620749</v>
      </c>
      <c r="R2043">
        <v>0.57185733683712603</v>
      </c>
      <c r="S2043" t="s">
        <v>7626</v>
      </c>
      <c r="T2043" t="s">
        <v>11164</v>
      </c>
      <c r="U2043" t="s">
        <v>11164</v>
      </c>
      <c r="V2043" t="s">
        <v>11164</v>
      </c>
      <c r="W2043" t="s">
        <v>13171</v>
      </c>
      <c r="X2043">
        <v>13</v>
      </c>
      <c r="Y2043" t="s">
        <v>18687</v>
      </c>
      <c r="Z2043" t="s">
        <v>24193</v>
      </c>
      <c r="AA2043">
        <v>0.81839423215927276</v>
      </c>
      <c r="AB2043" t="str">
        <f>HYPERLINK("Melting_Curves/meltCurve_P25786_PSMA1.pdf", "Melting_Curves/meltCurve_P25786_PSMA1.pdf")</f>
        <v>Melting_Curves/meltCurve_P25786_PSMA1.pdf</v>
      </c>
    </row>
    <row r="2044" spans="1:28" x14ac:dyDescent="0.25">
      <c r="A2044" t="s">
        <v>2048</v>
      </c>
      <c r="B2044">
        <v>0.99796759195183404</v>
      </c>
      <c r="C2044">
        <v>0.94197341664284095</v>
      </c>
      <c r="D2044">
        <v>1.0064793040020299</v>
      </c>
      <c r="E2044">
        <v>1.09734239511957</v>
      </c>
      <c r="F2044">
        <v>1.13004834857018</v>
      </c>
      <c r="G2044">
        <v>1.16575825277823</v>
      </c>
      <c r="H2044">
        <v>0.90136598357240205</v>
      </c>
      <c r="I2044">
        <v>0.86887778654103598</v>
      </c>
      <c r="J2044">
        <v>1.0494209736670801</v>
      </c>
      <c r="K2044">
        <v>0.68936707445277201</v>
      </c>
      <c r="L2044">
        <v>15000</v>
      </c>
      <c r="M2044">
        <v>223.08341564310101</v>
      </c>
      <c r="Q2044">
        <v>0</v>
      </c>
      <c r="R2044">
        <v>0.52089076221663</v>
      </c>
      <c r="S2044" t="s">
        <v>7627</v>
      </c>
      <c r="T2044" t="s">
        <v>11164</v>
      </c>
      <c r="U2044" t="s">
        <v>11164</v>
      </c>
      <c r="V2044" t="s">
        <v>11164</v>
      </c>
      <c r="W2044" t="s">
        <v>13172</v>
      </c>
      <c r="X2044">
        <v>5</v>
      </c>
      <c r="Y2044" t="s">
        <v>18688</v>
      </c>
      <c r="Z2044" t="s">
        <v>24194</v>
      </c>
      <c r="AA2044">
        <v>0.99632519548858522</v>
      </c>
      <c r="AB2044" t="str">
        <f>HYPERLINK("Melting_Curves/meltCurve_P25787_PSMA2.pdf", "Melting_Curves/meltCurve_P25787_PSMA2.pdf")</f>
        <v>Melting_Curves/meltCurve_P25787_PSMA2.pdf</v>
      </c>
    </row>
    <row r="2045" spans="1:28" x14ac:dyDescent="0.25">
      <c r="A2045" t="s">
        <v>2049</v>
      </c>
      <c r="B2045">
        <v>0.99796759195183404</v>
      </c>
      <c r="C2045">
        <v>0.94278801929649003</v>
      </c>
      <c r="D2045">
        <v>0.91020954349571503</v>
      </c>
      <c r="E2045">
        <v>0.94298619091647295</v>
      </c>
      <c r="F2045">
        <v>0.82803274218792</v>
      </c>
      <c r="G2045">
        <v>0.61862969496439602</v>
      </c>
      <c r="H2045">
        <v>0.536478415857913</v>
      </c>
      <c r="I2045">
        <v>0.72464322094972899</v>
      </c>
      <c r="J2045">
        <v>0.48491630485910198</v>
      </c>
      <c r="K2045">
        <v>0.38251471027184702</v>
      </c>
      <c r="L2045">
        <v>372.35800444756501</v>
      </c>
      <c r="M2045">
        <v>6.2717445802936798</v>
      </c>
      <c r="N2045">
        <v>63.389737240785301</v>
      </c>
      <c r="O2045">
        <v>54.191010917000597</v>
      </c>
      <c r="P2045">
        <v>-2.4253863467421099E-2</v>
      </c>
      <c r="Q2045">
        <v>0.164047752946062</v>
      </c>
      <c r="R2045">
        <v>0.86513086204398904</v>
      </c>
      <c r="S2045" t="s">
        <v>7628</v>
      </c>
      <c r="T2045" t="s">
        <v>11164</v>
      </c>
      <c r="U2045" t="s">
        <v>11164</v>
      </c>
      <c r="V2045" t="s">
        <v>11164</v>
      </c>
      <c r="W2045" t="s">
        <v>13173</v>
      </c>
      <c r="X2045">
        <v>8</v>
      </c>
      <c r="Y2045" t="s">
        <v>18689</v>
      </c>
      <c r="Z2045" t="s">
        <v>24195</v>
      </c>
      <c r="AA2045">
        <v>0.74021454091526295</v>
      </c>
      <c r="AB2045" t="str">
        <f>HYPERLINK("Melting_Curves/meltCurve_P25788_2_PSMA3.pdf", "Melting_Curves/meltCurve_P25788_2_PSMA3.pdf")</f>
        <v>Melting_Curves/meltCurve_P25788_2_PSMA3.pdf</v>
      </c>
    </row>
    <row r="2046" spans="1:28" x14ac:dyDescent="0.25">
      <c r="A2046" t="s">
        <v>2050</v>
      </c>
      <c r="B2046">
        <v>0.99796759195183404</v>
      </c>
      <c r="C2046">
        <v>1.0007951218447899</v>
      </c>
      <c r="D2046">
        <v>1.0325982986940401</v>
      </c>
      <c r="E2046">
        <v>0.92437312333898403</v>
      </c>
      <c r="F2046">
        <v>0.64253974377141199</v>
      </c>
      <c r="G2046">
        <v>0.463125150377102</v>
      </c>
      <c r="H2046">
        <v>0.37752217587324799</v>
      </c>
      <c r="I2046">
        <v>0.51576159025456203</v>
      </c>
      <c r="J2046">
        <v>0.37013244990695698</v>
      </c>
      <c r="K2046">
        <v>0.27979428992534</v>
      </c>
      <c r="L2046">
        <v>1385.1195509746401</v>
      </c>
      <c r="M2046">
        <v>27.839615845883898</v>
      </c>
      <c r="N2046">
        <v>52.4826386829344</v>
      </c>
      <c r="O2046">
        <v>49.498953074414601</v>
      </c>
      <c r="P2046">
        <v>-8.6834087925242803E-2</v>
      </c>
      <c r="Q2046">
        <v>0.38243993271306398</v>
      </c>
      <c r="R2046">
        <v>0.96287558986320398</v>
      </c>
      <c r="S2046" t="s">
        <v>7629</v>
      </c>
      <c r="T2046" t="s">
        <v>11164</v>
      </c>
      <c r="U2046" t="s">
        <v>11164</v>
      </c>
      <c r="V2046" t="s">
        <v>11164</v>
      </c>
      <c r="W2046" t="s">
        <v>13174</v>
      </c>
      <c r="X2046">
        <v>8</v>
      </c>
      <c r="Y2046" t="s">
        <v>18690</v>
      </c>
      <c r="Z2046" t="s">
        <v>24196</v>
      </c>
      <c r="AA2046">
        <v>0.64934816562150799</v>
      </c>
      <c r="AB2046" t="str">
        <f>HYPERLINK("Melting_Curves/meltCurve_P25789_PSMA4.pdf", "Melting_Curves/meltCurve_P25789_PSMA4.pdf")</f>
        <v>Melting_Curves/meltCurve_P25789_PSMA4.pdf</v>
      </c>
    </row>
    <row r="2047" spans="1:28" x14ac:dyDescent="0.25">
      <c r="A2047" t="s">
        <v>2051</v>
      </c>
      <c r="B2047">
        <v>0.99796759195183404</v>
      </c>
      <c r="C2047">
        <v>0.89029439935831201</v>
      </c>
      <c r="D2047">
        <v>0.92787970518549601</v>
      </c>
      <c r="E2047">
        <v>0.89450963028875397</v>
      </c>
      <c r="F2047">
        <v>0.75591981773136996</v>
      </c>
      <c r="G2047">
        <v>0.55144099350514697</v>
      </c>
      <c r="H2047">
        <v>0.44888057490561001</v>
      </c>
      <c r="I2047">
        <v>0.35377898948789199</v>
      </c>
      <c r="J2047">
        <v>0.42069295040409399</v>
      </c>
      <c r="K2047">
        <v>0.19620792050480201</v>
      </c>
      <c r="L2047">
        <v>503.20691842665002</v>
      </c>
      <c r="M2047">
        <v>9.23603203863453</v>
      </c>
      <c r="N2047">
        <v>56.412685671437899</v>
      </c>
      <c r="O2047">
        <v>52.1115154924167</v>
      </c>
      <c r="P2047">
        <v>-3.83327811968662E-2</v>
      </c>
      <c r="Q2047">
        <v>0.135444718493822</v>
      </c>
      <c r="R2047">
        <v>0.95963024772619399</v>
      </c>
      <c r="S2047" t="s">
        <v>7630</v>
      </c>
      <c r="T2047" t="s">
        <v>11164</v>
      </c>
      <c r="U2047" t="s">
        <v>11164</v>
      </c>
      <c r="V2047" t="s">
        <v>11164</v>
      </c>
      <c r="W2047" t="s">
        <v>13175</v>
      </c>
      <c r="X2047">
        <v>1</v>
      </c>
      <c r="Y2047" t="s">
        <v>18691</v>
      </c>
      <c r="Z2047" t="s">
        <v>24197</v>
      </c>
      <c r="AA2047">
        <v>0.65132103055784218</v>
      </c>
      <c r="AB2047" t="str">
        <f>HYPERLINK("Melting_Curves/meltCurve_P25815_S100P.pdf", "Melting_Curves/meltCurve_P25815_S100P.pdf")</f>
        <v>Melting_Curves/meltCurve_P25815_S100P.pdf</v>
      </c>
    </row>
    <row r="2048" spans="1:28" x14ac:dyDescent="0.25">
      <c r="A2048" t="s">
        <v>2052</v>
      </c>
      <c r="B2048">
        <v>0.99796759195183404</v>
      </c>
      <c r="C2048">
        <v>0.93987373349804304</v>
      </c>
      <c r="D2048">
        <v>0.78374218532106399</v>
      </c>
      <c r="E2048">
        <v>0.88727491033797201</v>
      </c>
      <c r="F2048">
        <v>0.87802204815940599</v>
      </c>
      <c r="G2048">
        <v>0.85940725831212705</v>
      </c>
      <c r="H2048">
        <v>0.81884984221826596</v>
      </c>
      <c r="I2048">
        <v>0.88788641632328302</v>
      </c>
      <c r="J2048">
        <v>0.64719310197812596</v>
      </c>
      <c r="K2048">
        <v>0.62712081033302403</v>
      </c>
      <c r="L2048">
        <v>197.53646892528101</v>
      </c>
      <c r="M2048">
        <v>2.1310890096760802</v>
      </c>
      <c r="O2048">
        <v>57.200328545562201</v>
      </c>
      <c r="P2048">
        <v>-1.0031154648024799E-2</v>
      </c>
      <c r="Q2048">
        <v>0</v>
      </c>
      <c r="R2048">
        <v>0.59413204253042196</v>
      </c>
      <c r="S2048" t="s">
        <v>7631</v>
      </c>
      <c r="T2048" t="s">
        <v>11164</v>
      </c>
      <c r="U2048" t="s">
        <v>11164</v>
      </c>
      <c r="V2048" t="s">
        <v>11164</v>
      </c>
      <c r="W2048" t="s">
        <v>13176</v>
      </c>
      <c r="X2048">
        <v>1</v>
      </c>
      <c r="Y2048" t="s">
        <v>18692</v>
      </c>
      <c r="Z2048" t="s">
        <v>24198</v>
      </c>
      <c r="AA2048">
        <v>0.83679873252590331</v>
      </c>
      <c r="AB2048" t="str">
        <f>HYPERLINK("Melting_Curves/meltCurve_P26006_ITGA3.pdf", "Melting_Curves/meltCurve_P26006_ITGA3.pdf")</f>
        <v>Melting_Curves/meltCurve_P26006_ITGA3.pdf</v>
      </c>
    </row>
    <row r="2049" spans="1:28" x14ac:dyDescent="0.25">
      <c r="A2049" t="s">
        <v>2053</v>
      </c>
      <c r="B2049">
        <v>0.99796759195183404</v>
      </c>
      <c r="C2049">
        <v>1.01158389167269</v>
      </c>
      <c r="D2049">
        <v>0.99967233703663205</v>
      </c>
      <c r="E2049">
        <v>0.97283557480497895</v>
      </c>
      <c r="F2049">
        <v>0.86064783420176605</v>
      </c>
      <c r="G2049">
        <v>0.64068750169705502</v>
      </c>
      <c r="H2049">
        <v>0.24125755822886999</v>
      </c>
      <c r="I2049">
        <v>0.168315192490474</v>
      </c>
      <c r="J2049">
        <v>0.119880685152428</v>
      </c>
      <c r="K2049">
        <v>9.31419956718538E-2</v>
      </c>
      <c r="L2049">
        <v>1342.6800586562099</v>
      </c>
      <c r="M2049">
        <v>24.705794026067299</v>
      </c>
      <c r="N2049">
        <v>54.791626217589702</v>
      </c>
      <c r="O2049">
        <v>53.994457206165301</v>
      </c>
      <c r="P2049">
        <v>-0.103996471420311</v>
      </c>
      <c r="Q2049">
        <v>9.0876596290816805E-2</v>
      </c>
      <c r="R2049">
        <v>0.99647979681244703</v>
      </c>
      <c r="S2049" t="s">
        <v>7632</v>
      </c>
      <c r="T2049" t="s">
        <v>11164</v>
      </c>
      <c r="U2049" t="s">
        <v>11164</v>
      </c>
      <c r="V2049" t="s">
        <v>11164</v>
      </c>
      <c r="W2049" t="s">
        <v>13177</v>
      </c>
      <c r="X2049">
        <v>60</v>
      </c>
      <c r="Y2049" t="s">
        <v>18693</v>
      </c>
      <c r="Z2049" t="s">
        <v>24199</v>
      </c>
      <c r="AA2049">
        <v>0.62458228484511458</v>
      </c>
      <c r="AB2049" t="str">
        <f>HYPERLINK("Melting_Curves/meltCurve_P26038_MSN.pdf", "Melting_Curves/meltCurve_P26038_MSN.pdf")</f>
        <v>Melting_Curves/meltCurve_P26038_MSN.pdf</v>
      </c>
    </row>
    <row r="2050" spans="1:28" x14ac:dyDescent="0.25">
      <c r="A2050" t="s">
        <v>2054</v>
      </c>
      <c r="B2050">
        <v>0.99796759195183404</v>
      </c>
      <c r="C2050">
        <v>1.00496685764019</v>
      </c>
      <c r="D2050">
        <v>1.0283886969375799</v>
      </c>
      <c r="E2050">
        <v>0.95029882042932401</v>
      </c>
      <c r="F2050">
        <v>0.80847196375791597</v>
      </c>
      <c r="G2050">
        <v>0.578478920065289</v>
      </c>
      <c r="H2050">
        <v>0.30249682285082902</v>
      </c>
      <c r="I2050">
        <v>0.192029776221532</v>
      </c>
      <c r="J2050">
        <v>0.17595680943259301</v>
      </c>
      <c r="K2050">
        <v>0.144075920732849</v>
      </c>
      <c r="L2050">
        <v>1061.3015881669101</v>
      </c>
      <c r="M2050">
        <v>19.7631235037362</v>
      </c>
      <c r="N2050">
        <v>54.512893703602401</v>
      </c>
      <c r="O2050">
        <v>53.160350830214199</v>
      </c>
      <c r="P2050">
        <v>-8.1096390362495094E-2</v>
      </c>
      <c r="Q2050">
        <v>0.12747284480752599</v>
      </c>
      <c r="R2050">
        <v>0.99797609173645696</v>
      </c>
      <c r="S2050" t="s">
        <v>7633</v>
      </c>
      <c r="T2050" t="s">
        <v>11164</v>
      </c>
      <c r="U2050" t="s">
        <v>11164</v>
      </c>
      <c r="V2050" t="s">
        <v>11164</v>
      </c>
      <c r="W2050" t="s">
        <v>13178</v>
      </c>
      <c r="X2050">
        <v>13</v>
      </c>
      <c r="Y2050" t="s">
        <v>18694</v>
      </c>
      <c r="Z2050" t="s">
        <v>24200</v>
      </c>
      <c r="AA2050">
        <v>0.62408507879302433</v>
      </c>
      <c r="AB2050" t="str">
        <f>HYPERLINK("Melting_Curves/meltCurve_P26196_DDX6.pdf", "Melting_Curves/meltCurve_P26196_DDX6.pdf")</f>
        <v>Melting_Curves/meltCurve_P26196_DDX6.pdf</v>
      </c>
    </row>
    <row r="2051" spans="1:28" x14ac:dyDescent="0.25">
      <c r="A2051" t="s">
        <v>2055</v>
      </c>
      <c r="B2051">
        <v>0.99796759195183404</v>
      </c>
      <c r="C2051">
        <v>0.97697321618309296</v>
      </c>
      <c r="D2051">
        <v>0.946833394656313</v>
      </c>
      <c r="E2051">
        <v>0.97245264228305806</v>
      </c>
      <c r="F2051">
        <v>0.86559838171061898</v>
      </c>
      <c r="G2051">
        <v>0.81004248672545798</v>
      </c>
      <c r="H2051">
        <v>0.45351201210811798</v>
      </c>
      <c r="I2051">
        <v>0.26871984680333499</v>
      </c>
      <c r="J2051">
        <v>0.197348347986119</v>
      </c>
      <c r="K2051">
        <v>0.15339792410461001</v>
      </c>
      <c r="L2051">
        <v>1113.13216317147</v>
      </c>
      <c r="M2051">
        <v>19.743402744093402</v>
      </c>
      <c r="N2051">
        <v>57.125043360027398</v>
      </c>
      <c r="O2051">
        <v>55.811100529174603</v>
      </c>
      <c r="P2051">
        <v>-7.8402007160857601E-2</v>
      </c>
      <c r="Q2051">
        <v>0.113515909332394</v>
      </c>
      <c r="R2051">
        <v>0.98983728600937004</v>
      </c>
      <c r="S2051" t="s">
        <v>7634</v>
      </c>
      <c r="T2051" t="s">
        <v>11164</v>
      </c>
      <c r="U2051" t="s">
        <v>11164</v>
      </c>
      <c r="V2051" t="s">
        <v>11164</v>
      </c>
      <c r="W2051" t="s">
        <v>13179</v>
      </c>
      <c r="X2051">
        <v>33</v>
      </c>
      <c r="Y2051" t="s">
        <v>18695</v>
      </c>
      <c r="Z2051" t="s">
        <v>24201</v>
      </c>
      <c r="AA2051">
        <v>0.69491539140596792</v>
      </c>
      <c r="AB2051" t="str">
        <f>HYPERLINK("Melting_Curves/meltCurve_P26358_DNMT1.pdf", "Melting_Curves/meltCurve_P26358_DNMT1.pdf")</f>
        <v>Melting_Curves/meltCurve_P26358_DNMT1.pdf</v>
      </c>
    </row>
    <row r="2052" spans="1:28" x14ac:dyDescent="0.25">
      <c r="A2052" t="s">
        <v>2056</v>
      </c>
      <c r="B2052">
        <v>0.99796759195183404</v>
      </c>
      <c r="C2052">
        <v>1.00558962854102</v>
      </c>
      <c r="D2052">
        <v>0.99023198174353799</v>
      </c>
      <c r="E2052">
        <v>0.89885820905656999</v>
      </c>
      <c r="F2052">
        <v>0.74613634300839604</v>
      </c>
      <c r="G2052">
        <v>0.400145778616531</v>
      </c>
      <c r="H2052">
        <v>0.217691948853971</v>
      </c>
      <c r="I2052">
        <v>0.227265367753299</v>
      </c>
      <c r="J2052">
        <v>0.16639568460257101</v>
      </c>
      <c r="K2052">
        <v>9.6585506910750907E-2</v>
      </c>
      <c r="L2052">
        <v>1089.4854854279399</v>
      </c>
      <c r="M2052">
        <v>20.973577819244198</v>
      </c>
      <c r="N2052">
        <v>52.734968204869098</v>
      </c>
      <c r="O2052">
        <v>51.480305072853298</v>
      </c>
      <c r="P2052">
        <v>-8.8133499004564103E-2</v>
      </c>
      <c r="Q2052">
        <v>0.134717580042615</v>
      </c>
      <c r="R2052">
        <v>0.99414538575045697</v>
      </c>
      <c r="S2052" t="s">
        <v>7635</v>
      </c>
      <c r="T2052" t="s">
        <v>11164</v>
      </c>
      <c r="U2052" t="s">
        <v>11164</v>
      </c>
      <c r="V2052" t="s">
        <v>11164</v>
      </c>
      <c r="W2052" t="s">
        <v>13180</v>
      </c>
      <c r="X2052">
        <v>6</v>
      </c>
      <c r="Y2052" t="s">
        <v>18696</v>
      </c>
      <c r="Z2052" t="s">
        <v>24202</v>
      </c>
      <c r="AA2052">
        <v>0.57615688975129409</v>
      </c>
      <c r="AB2052" t="str">
        <f>HYPERLINK("Melting_Curves/meltCurve_P26368_2_U2AF2.pdf", "Melting_Curves/meltCurve_P26368_2_U2AF2.pdf")</f>
        <v>Melting_Curves/meltCurve_P26368_2_U2AF2.pdf</v>
      </c>
    </row>
    <row r="2053" spans="1:28" x14ac:dyDescent="0.25">
      <c r="A2053" t="s">
        <v>2057</v>
      </c>
      <c r="B2053">
        <v>0.99796759195183404</v>
      </c>
      <c r="C2053">
        <v>1.17051036545193</v>
      </c>
      <c r="D2053">
        <v>1.15157757651591</v>
      </c>
      <c r="E2053">
        <v>1.22372120643114</v>
      </c>
      <c r="F2053">
        <v>1.1028073372816001</v>
      </c>
      <c r="G2053">
        <v>1.1853381865464401</v>
      </c>
      <c r="H2053">
        <v>1.1059747033797001</v>
      </c>
      <c r="I2053">
        <v>1.05372887959294</v>
      </c>
      <c r="J2053">
        <v>0.46774937371244302</v>
      </c>
      <c r="K2053">
        <v>0.300326060846836</v>
      </c>
      <c r="L2053">
        <v>15000</v>
      </c>
      <c r="M2053">
        <v>235.16582434785599</v>
      </c>
      <c r="N2053">
        <v>64.034716932374593</v>
      </c>
      <c r="O2053">
        <v>63.780165543519601</v>
      </c>
      <c r="P2053">
        <v>-0.64495889090216096</v>
      </c>
      <c r="Q2053">
        <v>0.300313557926425</v>
      </c>
      <c r="R2053">
        <v>0.82639174014382699</v>
      </c>
      <c r="S2053" t="s">
        <v>7636</v>
      </c>
      <c r="T2053" t="s">
        <v>11164</v>
      </c>
      <c r="U2053" t="s">
        <v>11164</v>
      </c>
      <c r="V2053" t="s">
        <v>11164</v>
      </c>
      <c r="W2053" t="s">
        <v>13181</v>
      </c>
      <c r="X2053">
        <v>5</v>
      </c>
      <c r="Y2053" t="s">
        <v>18697</v>
      </c>
      <c r="Z2053" t="s">
        <v>24203</v>
      </c>
      <c r="AA2053">
        <v>0.92510019945131561</v>
      </c>
      <c r="AB2053" t="str">
        <f>HYPERLINK("Melting_Curves/meltCurve_P26373_RPL13.pdf", "Melting_Curves/meltCurve_P26373_RPL13.pdf")</f>
        <v>Melting_Curves/meltCurve_P26373_RPL13.pdf</v>
      </c>
    </row>
    <row r="2054" spans="1:28" x14ac:dyDescent="0.25">
      <c r="A2054" t="s">
        <v>2058</v>
      </c>
      <c r="B2054">
        <v>0.99796759195183404</v>
      </c>
      <c r="C2054">
        <v>1.0217723516397399</v>
      </c>
      <c r="D2054">
        <v>0.97421854682419096</v>
      </c>
      <c r="E2054">
        <v>0.99866044347502403</v>
      </c>
      <c r="F2054">
        <v>0.86332474267563497</v>
      </c>
      <c r="G2054">
        <v>0.67378113159138697</v>
      </c>
      <c r="H2054">
        <v>0.512619404618888</v>
      </c>
      <c r="I2054">
        <v>0.27700711188473398</v>
      </c>
      <c r="J2054">
        <v>0.203613604977188</v>
      </c>
      <c r="K2054">
        <v>0.14790181763674901</v>
      </c>
      <c r="L2054">
        <v>828.25496579099001</v>
      </c>
      <c r="M2054">
        <v>14.645657744956999</v>
      </c>
      <c r="N2054">
        <v>57.034406660409203</v>
      </c>
      <c r="O2054">
        <v>55.529961748610802</v>
      </c>
      <c r="P2054">
        <v>-6.2108652268078303E-2</v>
      </c>
      <c r="Q2054">
        <v>5.8148544743104803E-2</v>
      </c>
      <c r="R2054">
        <v>0.99592820177016494</v>
      </c>
      <c r="S2054" t="s">
        <v>7637</v>
      </c>
      <c r="T2054" t="s">
        <v>11164</v>
      </c>
      <c r="U2054" t="s">
        <v>11164</v>
      </c>
      <c r="V2054" t="s">
        <v>11164</v>
      </c>
      <c r="W2054" t="s">
        <v>13182</v>
      </c>
      <c r="X2054">
        <v>9</v>
      </c>
      <c r="Y2054" t="s">
        <v>18698</v>
      </c>
      <c r="Z2054" t="s">
        <v>24204</v>
      </c>
      <c r="AA2054">
        <v>0.68105212541307814</v>
      </c>
      <c r="AB2054" t="str">
        <f>HYPERLINK("Melting_Curves/meltCurve_P26374_CHML.pdf", "Melting_Curves/meltCurve_P26374_CHML.pdf")</f>
        <v>Melting_Curves/meltCurve_P26374_CHML.pdf</v>
      </c>
    </row>
    <row r="2055" spans="1:28" x14ac:dyDescent="0.25">
      <c r="A2055" t="s">
        <v>2059</v>
      </c>
      <c r="B2055">
        <v>0.99796759195183404</v>
      </c>
      <c r="C2055">
        <v>1.0021385905993001</v>
      </c>
      <c r="D2055">
        <v>0.97581518170026105</v>
      </c>
      <c r="E2055">
        <v>0.96730810867051098</v>
      </c>
      <c r="F2055">
        <v>0.82950823411488706</v>
      </c>
      <c r="G2055">
        <v>1.13054574090299</v>
      </c>
      <c r="H2055">
        <v>0.80926442451825698</v>
      </c>
      <c r="I2055">
        <v>0.48075625592412102</v>
      </c>
      <c r="J2055">
        <v>0.382867887637313</v>
      </c>
      <c r="K2055">
        <v>0.184671276763551</v>
      </c>
      <c r="L2055">
        <v>1786.35034222282</v>
      </c>
      <c r="M2055">
        <v>29.7607165885581</v>
      </c>
      <c r="N2055">
        <v>61.082054826021199</v>
      </c>
      <c r="O2055">
        <v>59.754722747050103</v>
      </c>
      <c r="P2055">
        <v>-9.9431466978492894E-2</v>
      </c>
      <c r="Q2055">
        <v>0.201436077459721</v>
      </c>
      <c r="R2055">
        <v>0.92868117165946995</v>
      </c>
      <c r="S2055" t="s">
        <v>7638</v>
      </c>
      <c r="T2055" t="s">
        <v>11164</v>
      </c>
      <c r="U2055" t="s">
        <v>11164</v>
      </c>
      <c r="V2055" t="s">
        <v>11164</v>
      </c>
      <c r="W2055" t="s">
        <v>13183</v>
      </c>
      <c r="X2055">
        <v>12</v>
      </c>
      <c r="Y2055" t="s">
        <v>18699</v>
      </c>
      <c r="Z2055" t="s">
        <v>24205</v>
      </c>
      <c r="AA2055">
        <v>0.81712698721778831</v>
      </c>
      <c r="AB2055" t="str">
        <f>HYPERLINK("Melting_Curves/meltCurve_P26440_IVD.pdf", "Melting_Curves/meltCurve_P26440_IVD.pdf")</f>
        <v>Melting_Curves/meltCurve_P26440_IVD.pdf</v>
      </c>
    </row>
    <row r="2056" spans="1:28" x14ac:dyDescent="0.25">
      <c r="A2056" t="s">
        <v>2060</v>
      </c>
      <c r="B2056">
        <v>0.99796759195183404</v>
      </c>
      <c r="C2056">
        <v>1.1398367438002399</v>
      </c>
      <c r="D2056">
        <v>1.0657246062923</v>
      </c>
      <c r="E2056">
        <v>1.0923063829052</v>
      </c>
      <c r="F2056">
        <v>0.99530162256396304</v>
      </c>
      <c r="G2056">
        <v>0.70379580892774996</v>
      </c>
      <c r="H2056">
        <v>0.31989235789626103</v>
      </c>
      <c r="I2056">
        <v>0.21757378429287599</v>
      </c>
      <c r="J2056">
        <v>0.14814365349536401</v>
      </c>
      <c r="K2056">
        <v>0.12666038297433099</v>
      </c>
      <c r="L2056">
        <v>1790.5005351561199</v>
      </c>
      <c r="M2056">
        <v>32.581800868501901</v>
      </c>
      <c r="N2056">
        <v>55.556304790402102</v>
      </c>
      <c r="O2056">
        <v>54.748237955015902</v>
      </c>
      <c r="P2056">
        <v>-0.12664408818748399</v>
      </c>
      <c r="Q2056">
        <v>0.14878769320805399</v>
      </c>
      <c r="R2056">
        <v>0.97829311683616804</v>
      </c>
      <c r="S2056" t="s">
        <v>7639</v>
      </c>
      <c r="T2056" t="s">
        <v>11164</v>
      </c>
      <c r="U2056" t="s">
        <v>11164</v>
      </c>
      <c r="V2056" t="s">
        <v>11164</v>
      </c>
      <c r="W2056" t="s">
        <v>13184</v>
      </c>
      <c r="X2056">
        <v>5</v>
      </c>
      <c r="Y2056" t="s">
        <v>18700</v>
      </c>
      <c r="Z2056" t="s">
        <v>24206</v>
      </c>
      <c r="AA2056">
        <v>0.66288696655098167</v>
      </c>
      <c r="AB2056" t="str">
        <f>HYPERLINK("Melting_Curves/meltCurve_P26572_MGAT1.pdf", "Melting_Curves/meltCurve_P26572_MGAT1.pdf")</f>
        <v>Melting_Curves/meltCurve_P26572_MGAT1.pdf</v>
      </c>
    </row>
    <row r="2057" spans="1:28" x14ac:dyDescent="0.25">
      <c r="A2057" t="s">
        <v>2061</v>
      </c>
      <c r="B2057">
        <v>0.99796759195183404</v>
      </c>
      <c r="C2057">
        <v>0.96455548063277297</v>
      </c>
      <c r="D2057">
        <v>0.90438840421144595</v>
      </c>
      <c r="E2057">
        <v>0.84679018725594402</v>
      </c>
      <c r="F2057">
        <v>0.79472659431470805</v>
      </c>
      <c r="G2057">
        <v>0.473657196336847</v>
      </c>
      <c r="H2057">
        <v>0.43804094409949301</v>
      </c>
      <c r="I2057">
        <v>0.30629685488345798</v>
      </c>
      <c r="J2057">
        <v>0.29558506933294898</v>
      </c>
      <c r="K2057">
        <v>0.24749676583129701</v>
      </c>
      <c r="L2057">
        <v>628.75070746174902</v>
      </c>
      <c r="M2057">
        <v>11.9279061164121</v>
      </c>
      <c r="N2057">
        <v>54.925581816799799</v>
      </c>
      <c r="O2057">
        <v>51.296485505247603</v>
      </c>
      <c r="P2057">
        <v>-4.7052737200602698E-2</v>
      </c>
      <c r="Q2057">
        <v>0.19079019372810399</v>
      </c>
      <c r="R2057">
        <v>0.98065729817134895</v>
      </c>
      <c r="S2057" t="s">
        <v>7640</v>
      </c>
      <c r="T2057" t="s">
        <v>11164</v>
      </c>
      <c r="U2057" t="s">
        <v>11164</v>
      </c>
      <c r="V2057" t="s">
        <v>11164</v>
      </c>
      <c r="W2057" t="s">
        <v>13185</v>
      </c>
      <c r="X2057">
        <v>18</v>
      </c>
      <c r="Y2057" t="s">
        <v>18701</v>
      </c>
      <c r="Z2057" t="s">
        <v>24207</v>
      </c>
      <c r="AA2057">
        <v>0.63239679397434512</v>
      </c>
      <c r="AB2057" t="str">
        <f>HYPERLINK("Melting_Curves/meltCurve_P26583_HMGB2.pdf", "Melting_Curves/meltCurve_P26583_HMGB2.pdf")</f>
        <v>Melting_Curves/meltCurve_P26583_HMGB2.pdf</v>
      </c>
    </row>
    <row r="2058" spans="1:28" x14ac:dyDescent="0.25">
      <c r="A2058" t="s">
        <v>2062</v>
      </c>
      <c r="B2058">
        <v>0.99796759195183404</v>
      </c>
      <c r="C2058">
        <v>1.0119899413706801</v>
      </c>
      <c r="D2058">
        <v>0.82905794144856304</v>
      </c>
      <c r="E2058">
        <v>0.657631480633037</v>
      </c>
      <c r="F2058">
        <v>0.588168061202894</v>
      </c>
      <c r="G2058">
        <v>0.257237845874624</v>
      </c>
      <c r="H2058">
        <v>0.16934449750288599</v>
      </c>
      <c r="I2058">
        <v>0.114297025867789</v>
      </c>
      <c r="J2058">
        <v>9.6165406186732E-2</v>
      </c>
      <c r="K2058">
        <v>7.4935619338051596E-2</v>
      </c>
      <c r="L2058">
        <v>597.77544064831204</v>
      </c>
      <c r="M2058">
        <v>11.9893247128441</v>
      </c>
      <c r="N2058">
        <v>50.032569907867199</v>
      </c>
      <c r="O2058">
        <v>48.532619314345801</v>
      </c>
      <c r="P2058">
        <v>-6.0515702267390101E-2</v>
      </c>
      <c r="Q2058">
        <v>2.0369859060783101E-2</v>
      </c>
      <c r="R2058">
        <v>0.984233457091092</v>
      </c>
      <c r="S2058" t="s">
        <v>7641</v>
      </c>
      <c r="T2058" t="s">
        <v>11164</v>
      </c>
      <c r="U2058" t="s">
        <v>11164</v>
      </c>
      <c r="V2058" t="s">
        <v>11164</v>
      </c>
      <c r="W2058" t="s">
        <v>13186</v>
      </c>
      <c r="X2058">
        <v>11</v>
      </c>
      <c r="Y2058" t="s">
        <v>18702</v>
      </c>
      <c r="Z2058" t="s">
        <v>24208</v>
      </c>
      <c r="AA2058">
        <v>0.46797298038593582</v>
      </c>
      <c r="AB2058" t="str">
        <f>HYPERLINK("Melting_Curves/meltCurve_P26599_PTBP1.pdf", "Melting_Curves/meltCurve_P26599_PTBP1.pdf")</f>
        <v>Melting_Curves/meltCurve_P26599_PTBP1.pdf</v>
      </c>
    </row>
    <row r="2059" spans="1:28" x14ac:dyDescent="0.25">
      <c r="A2059" t="s">
        <v>2063</v>
      </c>
      <c r="B2059">
        <v>0.99796759195183404</v>
      </c>
      <c r="C2059">
        <v>1.0167916708111699</v>
      </c>
      <c r="D2059">
        <v>1.00545748083595</v>
      </c>
      <c r="E2059">
        <v>0.96739936719364905</v>
      </c>
      <c r="F2059">
        <v>0.75157421470572205</v>
      </c>
      <c r="G2059">
        <v>0.72799002950841896</v>
      </c>
      <c r="H2059">
        <v>0.31716356803051698</v>
      </c>
      <c r="I2059">
        <v>0.164143347224768</v>
      </c>
      <c r="J2059">
        <v>0.125614782654317</v>
      </c>
      <c r="K2059">
        <v>8.9986457945092593E-2</v>
      </c>
      <c r="L2059">
        <v>926.38656988355501</v>
      </c>
      <c r="M2059">
        <v>16.761224447150099</v>
      </c>
      <c r="N2059">
        <v>55.434617196436101</v>
      </c>
      <c r="O2059">
        <v>54.500873572771802</v>
      </c>
      <c r="P2059">
        <v>-7.5019295291181606E-2</v>
      </c>
      <c r="Q2059">
        <v>2.4331421113411598E-2</v>
      </c>
      <c r="R2059">
        <v>0.98263308491338697</v>
      </c>
      <c r="S2059" t="s">
        <v>7642</v>
      </c>
      <c r="T2059" t="s">
        <v>11164</v>
      </c>
      <c r="U2059" t="s">
        <v>11164</v>
      </c>
      <c r="V2059" t="s">
        <v>11164</v>
      </c>
      <c r="W2059" t="s">
        <v>13187</v>
      </c>
      <c r="X2059">
        <v>38</v>
      </c>
      <c r="Y2059" t="s">
        <v>18703</v>
      </c>
      <c r="Z2059" t="s">
        <v>24209</v>
      </c>
      <c r="AA2059">
        <v>0.63099901173294382</v>
      </c>
      <c r="AB2059" t="str">
        <f>HYPERLINK("Melting_Curves/meltCurve_P26639_TARS.pdf", "Melting_Curves/meltCurve_P26639_TARS.pdf")</f>
        <v>Melting_Curves/meltCurve_P26639_TARS.pdf</v>
      </c>
    </row>
    <row r="2060" spans="1:28" x14ac:dyDescent="0.25">
      <c r="A2060" t="s">
        <v>2064</v>
      </c>
      <c r="B2060">
        <v>0.99796759195183404</v>
      </c>
      <c r="C2060">
        <v>0.985183222747543</v>
      </c>
      <c r="D2060">
        <v>0.97273266641312495</v>
      </c>
      <c r="E2060">
        <v>0.91824272594754797</v>
      </c>
      <c r="F2060">
        <v>0.74546289246984698</v>
      </c>
      <c r="G2060">
        <v>0.37287120682076602</v>
      </c>
      <c r="H2060">
        <v>0.14106346458687899</v>
      </c>
      <c r="I2060">
        <v>0.112714877826566</v>
      </c>
      <c r="J2060">
        <v>8.17356688947566E-2</v>
      </c>
      <c r="K2060">
        <v>6.0770630689482803E-2</v>
      </c>
      <c r="L2060">
        <v>1213.78126554802</v>
      </c>
      <c r="M2060">
        <v>23.2693332551171</v>
      </c>
      <c r="N2060">
        <v>52.466067896623301</v>
      </c>
      <c r="O2060">
        <v>51.781605157014504</v>
      </c>
      <c r="P2060">
        <v>-0.105264784823971</v>
      </c>
      <c r="Q2060">
        <v>6.3027369836818004E-2</v>
      </c>
      <c r="R2060">
        <v>0.99842818572376402</v>
      </c>
      <c r="S2060" t="s">
        <v>7643</v>
      </c>
      <c r="T2060" t="s">
        <v>11164</v>
      </c>
      <c r="U2060" t="s">
        <v>11164</v>
      </c>
      <c r="V2060" t="s">
        <v>11164</v>
      </c>
      <c r="W2060" t="s">
        <v>13188</v>
      </c>
      <c r="X2060">
        <v>24</v>
      </c>
      <c r="Y2060" t="s">
        <v>18704</v>
      </c>
      <c r="Z2060" t="s">
        <v>24210</v>
      </c>
      <c r="AA2060">
        <v>0.5459963110604753</v>
      </c>
      <c r="AB2060" t="str">
        <f>HYPERLINK("Melting_Curves/meltCurve_P26641_EEF1G.pdf", "Melting_Curves/meltCurve_P26641_EEF1G.pdf")</f>
        <v>Melting_Curves/meltCurve_P26641_EEF1G.pdf</v>
      </c>
    </row>
    <row r="2061" spans="1:28" x14ac:dyDescent="0.25">
      <c r="A2061" t="s">
        <v>2065</v>
      </c>
      <c r="B2061">
        <v>0.99796759195183404</v>
      </c>
      <c r="C2061">
        <v>0.99967635481486505</v>
      </c>
      <c r="D2061">
        <v>1.0119626085895801</v>
      </c>
      <c r="E2061">
        <v>0.92357735193675705</v>
      </c>
      <c r="F2061">
        <v>0.77925230514768895</v>
      </c>
      <c r="G2061">
        <v>0.64106297103814103</v>
      </c>
      <c r="H2061">
        <v>0.46546833347857203</v>
      </c>
      <c r="I2061">
        <v>0.32622804062966099</v>
      </c>
      <c r="J2061">
        <v>0.26007940043143102</v>
      </c>
      <c r="K2061">
        <v>0.15671858091899299</v>
      </c>
      <c r="L2061">
        <v>633.651811743552</v>
      </c>
      <c r="M2061">
        <v>11.2750417772506</v>
      </c>
      <c r="N2061">
        <v>56.673318249946497</v>
      </c>
      <c r="O2061">
        <v>54.5186767529392</v>
      </c>
      <c r="P2061">
        <v>-4.9392296224062097E-2</v>
      </c>
      <c r="Q2061">
        <v>4.49784809784812E-2</v>
      </c>
      <c r="R2061">
        <v>0.99650402679556305</v>
      </c>
      <c r="S2061" t="s">
        <v>7644</v>
      </c>
      <c r="T2061" t="s">
        <v>11164</v>
      </c>
      <c r="U2061" t="s">
        <v>11164</v>
      </c>
      <c r="V2061" t="s">
        <v>11164</v>
      </c>
      <c r="W2061" t="s">
        <v>13189</v>
      </c>
      <c r="X2061">
        <v>4</v>
      </c>
      <c r="Y2061" t="s">
        <v>18705</v>
      </c>
      <c r="Z2061" t="s">
        <v>24211</v>
      </c>
      <c r="AA2061">
        <v>0.66352668654871272</v>
      </c>
      <c r="AB2061" t="str">
        <f>HYPERLINK("Melting_Curves/meltCurve_P26885_FKBP2.pdf", "Melting_Curves/meltCurve_P26885_FKBP2.pdf")</f>
        <v>Melting_Curves/meltCurve_P26885_FKBP2.pdf</v>
      </c>
    </row>
    <row r="2062" spans="1:28" x14ac:dyDescent="0.25">
      <c r="A2062" t="s">
        <v>2066</v>
      </c>
      <c r="B2062">
        <v>0.99796759195183404</v>
      </c>
      <c r="C2062">
        <v>1.02180825405889</v>
      </c>
      <c r="D2062">
        <v>1.0072963588800801</v>
      </c>
      <c r="E2062">
        <v>0.98752200894230002</v>
      </c>
      <c r="F2062">
        <v>0.86710035571082</v>
      </c>
      <c r="G2062">
        <v>0.53573902860656797</v>
      </c>
      <c r="H2062">
        <v>0.23771417791361599</v>
      </c>
      <c r="I2062">
        <v>0.14335513830715099</v>
      </c>
      <c r="J2062">
        <v>9.9578370083850801E-2</v>
      </c>
      <c r="K2062">
        <v>8.5914991852034994E-2</v>
      </c>
      <c r="L2062">
        <v>1346.79964022013</v>
      </c>
      <c r="M2062">
        <v>25.060784043914701</v>
      </c>
      <c r="N2062">
        <v>54.151999636636603</v>
      </c>
      <c r="O2062">
        <v>53.4026324801969</v>
      </c>
      <c r="P2062">
        <v>-0.10716809839503</v>
      </c>
      <c r="Q2062">
        <v>8.6543766855743401E-2</v>
      </c>
      <c r="R2062">
        <v>0.99946902934210802</v>
      </c>
      <c r="S2062" t="s">
        <v>7645</v>
      </c>
      <c r="T2062" t="s">
        <v>11164</v>
      </c>
      <c r="U2062" t="s">
        <v>11164</v>
      </c>
      <c r="V2062" t="s">
        <v>11164</v>
      </c>
      <c r="W2062" t="s">
        <v>13190</v>
      </c>
      <c r="X2062">
        <v>15</v>
      </c>
      <c r="Y2062" t="s">
        <v>18706</v>
      </c>
      <c r="Z2062" t="s">
        <v>24212</v>
      </c>
      <c r="AA2062">
        <v>0.60426959632371269</v>
      </c>
      <c r="AB2062" t="str">
        <f>HYPERLINK("Melting_Curves/meltCurve_P27144_AK4.pdf", "Melting_Curves/meltCurve_P27144_AK4.pdf")</f>
        <v>Melting_Curves/meltCurve_P27144_AK4.pdf</v>
      </c>
    </row>
    <row r="2063" spans="1:28" x14ac:dyDescent="0.25">
      <c r="A2063" t="s">
        <v>2067</v>
      </c>
      <c r="B2063">
        <v>0.99796759195183404</v>
      </c>
      <c r="C2063">
        <v>1.0376963136742501</v>
      </c>
      <c r="D2063">
        <v>1.0535487480716501</v>
      </c>
      <c r="E2063">
        <v>1.02861078540022</v>
      </c>
      <c r="F2063">
        <v>0.90602098420423904</v>
      </c>
      <c r="G2063">
        <v>0.65228930954574504</v>
      </c>
      <c r="H2063">
        <v>0.42324027739214498</v>
      </c>
      <c r="I2063">
        <v>0.17662100565179201</v>
      </c>
      <c r="J2063">
        <v>0.109369045572714</v>
      </c>
      <c r="K2063">
        <v>7.6629720370953502E-2</v>
      </c>
      <c r="L2063">
        <v>1086.4913006823899</v>
      </c>
      <c r="M2063">
        <v>19.478076984185101</v>
      </c>
      <c r="N2063">
        <v>56.014924490940103</v>
      </c>
      <c r="O2063">
        <v>55.202248800473598</v>
      </c>
      <c r="P2063">
        <v>-8.4758782384496203E-2</v>
      </c>
      <c r="Q2063">
        <v>3.9185192326934001E-2</v>
      </c>
      <c r="R2063">
        <v>0.99389126202462996</v>
      </c>
      <c r="S2063" t="s">
        <v>7646</v>
      </c>
      <c r="T2063" t="s">
        <v>11164</v>
      </c>
      <c r="U2063" t="s">
        <v>11164</v>
      </c>
      <c r="V2063" t="s">
        <v>11164</v>
      </c>
      <c r="W2063" t="s">
        <v>13191</v>
      </c>
      <c r="X2063">
        <v>23</v>
      </c>
      <c r="Y2063" t="s">
        <v>18707</v>
      </c>
      <c r="Z2063" t="s">
        <v>24213</v>
      </c>
      <c r="AA2063">
        <v>0.65102124141457784</v>
      </c>
      <c r="AB2063" t="str">
        <f>HYPERLINK("Melting_Curves/meltCurve_P27348_YWHAQ.pdf", "Melting_Curves/meltCurve_P27348_YWHAQ.pdf")</f>
        <v>Melting_Curves/meltCurve_P27348_YWHAQ.pdf</v>
      </c>
    </row>
    <row r="2064" spans="1:28" x14ac:dyDescent="0.25">
      <c r="A2064" t="s">
        <v>2068</v>
      </c>
      <c r="B2064">
        <v>0.99796759195183404</v>
      </c>
      <c r="C2064">
        <v>1.00561153719281</v>
      </c>
      <c r="D2064">
        <v>0.97704232574351801</v>
      </c>
      <c r="E2064">
        <v>0.90234114418741096</v>
      </c>
      <c r="F2064">
        <v>0.74416418722081801</v>
      </c>
      <c r="G2064">
        <v>0.41917156571559999</v>
      </c>
      <c r="H2064">
        <v>0.227425228581634</v>
      </c>
      <c r="I2064">
        <v>0.213446551564236</v>
      </c>
      <c r="J2064">
        <v>0.129233423339735</v>
      </c>
      <c r="K2064">
        <v>9.2790030325152303E-2</v>
      </c>
      <c r="L2064">
        <v>993.60550391501704</v>
      </c>
      <c r="M2064">
        <v>19.006250232666201</v>
      </c>
      <c r="N2064">
        <v>52.942747299495402</v>
      </c>
      <c r="O2064">
        <v>51.709415689356703</v>
      </c>
      <c r="P2064">
        <v>-8.2136568310000505E-2</v>
      </c>
      <c r="Q2064">
        <v>0.106175114628196</v>
      </c>
      <c r="R2064">
        <v>0.99634099355882999</v>
      </c>
      <c r="S2064" t="s">
        <v>7647</v>
      </c>
      <c r="T2064" t="s">
        <v>11164</v>
      </c>
      <c r="U2064" t="s">
        <v>11164</v>
      </c>
      <c r="V2064" t="s">
        <v>11164</v>
      </c>
      <c r="W2064" t="s">
        <v>13192</v>
      </c>
      <c r="X2064">
        <v>15</v>
      </c>
      <c r="Y2064" t="s">
        <v>18708</v>
      </c>
      <c r="Z2064" t="s">
        <v>24214</v>
      </c>
      <c r="AA2064">
        <v>0.57375534317298471</v>
      </c>
      <c r="AB2064" t="str">
        <f>HYPERLINK("Melting_Curves/meltCurve_P27361_MAPK3.pdf", "Melting_Curves/meltCurve_P27361_MAPK3.pdf")</f>
        <v>Melting_Curves/meltCurve_P27361_MAPK3.pdf</v>
      </c>
    </row>
    <row r="2065" spans="1:28" x14ac:dyDescent="0.25">
      <c r="A2065" t="s">
        <v>2069</v>
      </c>
      <c r="B2065">
        <v>0.99796759195183404</v>
      </c>
      <c r="C2065">
        <v>1.04571995990445</v>
      </c>
      <c r="D2065">
        <v>1.09302266608022</v>
      </c>
      <c r="E2065">
        <v>0.96426637038066498</v>
      </c>
      <c r="F2065">
        <v>0.73850455177152097</v>
      </c>
      <c r="G2065">
        <v>0.48191437943353099</v>
      </c>
      <c r="H2065">
        <v>0.27637821288092701</v>
      </c>
      <c r="I2065">
        <v>0.16252836159393899</v>
      </c>
      <c r="J2065">
        <v>0.11213159399391601</v>
      </c>
      <c r="K2065">
        <v>4.8122609945524503E-2</v>
      </c>
      <c r="L2065">
        <v>966.21980521037403</v>
      </c>
      <c r="M2065">
        <v>18.130453785571198</v>
      </c>
      <c r="N2065">
        <v>53.659789915657498</v>
      </c>
      <c r="O2065">
        <v>52.656995553644698</v>
      </c>
      <c r="P2065">
        <v>-8.1060776488195305E-2</v>
      </c>
      <c r="Q2065">
        <v>5.8333049144255203E-2</v>
      </c>
      <c r="R2065">
        <v>0.98947870120591697</v>
      </c>
      <c r="S2065" t="s">
        <v>7648</v>
      </c>
      <c r="T2065" t="s">
        <v>11164</v>
      </c>
      <c r="U2065" t="s">
        <v>11164</v>
      </c>
      <c r="V2065" t="s">
        <v>11164</v>
      </c>
      <c r="W2065" t="s">
        <v>13193</v>
      </c>
      <c r="X2065">
        <v>4</v>
      </c>
      <c r="Y2065" t="s">
        <v>18709</v>
      </c>
      <c r="Z2065" t="s">
        <v>24215</v>
      </c>
      <c r="AA2065">
        <v>0.58311284908641814</v>
      </c>
      <c r="AB2065" t="str">
        <f>HYPERLINK("Melting_Curves/meltCurve_P27540_3_ARNT.pdf", "Melting_Curves/meltCurve_P27540_3_ARNT.pdf")</f>
        <v>Melting_Curves/meltCurve_P27540_3_ARNT.pdf</v>
      </c>
    </row>
    <row r="2066" spans="1:28" x14ac:dyDescent="0.25">
      <c r="A2066" t="s">
        <v>2070</v>
      </c>
      <c r="B2066">
        <v>0.99796759195183404</v>
      </c>
      <c r="C2066">
        <v>0.96748302113901696</v>
      </c>
      <c r="D2066">
        <v>0.97250389914752799</v>
      </c>
      <c r="E2066">
        <v>0.88737274948721601</v>
      </c>
      <c r="F2066">
        <v>0.62133685432513097</v>
      </c>
      <c r="G2066">
        <v>0.36684284742512102</v>
      </c>
      <c r="H2066">
        <v>0.31485853111209999</v>
      </c>
      <c r="I2066">
        <v>0.26750147664259599</v>
      </c>
      <c r="J2066">
        <v>0.12508026770396699</v>
      </c>
      <c r="K2066">
        <v>7.72984732964941E-2</v>
      </c>
      <c r="L2066">
        <v>747.95254522553103</v>
      </c>
      <c r="M2066">
        <v>14.480759208799</v>
      </c>
      <c r="N2066">
        <v>52.4446363014913</v>
      </c>
      <c r="O2066">
        <v>50.696427246054398</v>
      </c>
      <c r="P2066">
        <v>-6.4394305611280303E-2</v>
      </c>
      <c r="Q2066">
        <v>9.8339607829549203E-2</v>
      </c>
      <c r="R2066">
        <v>0.98551237931066404</v>
      </c>
      <c r="S2066" t="s">
        <v>7649</v>
      </c>
      <c r="T2066" t="s">
        <v>11164</v>
      </c>
      <c r="U2066" t="s">
        <v>11164</v>
      </c>
      <c r="V2066" t="s">
        <v>11164</v>
      </c>
      <c r="W2066" t="s">
        <v>13194</v>
      </c>
      <c r="X2066">
        <v>14</v>
      </c>
      <c r="Y2066" t="s">
        <v>18710</v>
      </c>
      <c r="Z2066" t="s">
        <v>24216</v>
      </c>
      <c r="AA2066">
        <v>0.55703670326888644</v>
      </c>
      <c r="AB2066" t="str">
        <f>HYPERLINK("Melting_Curves/meltCurve_P27635_RPL10.pdf", "Melting_Curves/meltCurve_P27635_RPL10.pdf")</f>
        <v>Melting_Curves/meltCurve_P27635_RPL10.pdf</v>
      </c>
    </row>
    <row r="2067" spans="1:28" x14ac:dyDescent="0.25">
      <c r="A2067" t="s">
        <v>2071</v>
      </c>
      <c r="B2067">
        <v>0.99796759195183404</v>
      </c>
      <c r="C2067">
        <v>1.0569087425002099</v>
      </c>
      <c r="D2067">
        <v>1.04369676807866</v>
      </c>
      <c r="E2067">
        <v>0.96291252889355505</v>
      </c>
      <c r="F2067">
        <v>0.79278004680885095</v>
      </c>
      <c r="G2067">
        <v>0.493478981657478</v>
      </c>
      <c r="H2067">
        <v>0.31812561919121701</v>
      </c>
      <c r="I2067">
        <v>0.24531172693162401</v>
      </c>
      <c r="J2067">
        <v>0.16990671005014299</v>
      </c>
      <c r="K2067">
        <v>0.115002398578387</v>
      </c>
      <c r="L2067">
        <v>1025.3832109590401</v>
      </c>
      <c r="M2067">
        <v>19.2895428891382</v>
      </c>
      <c r="N2067">
        <v>54.060042590018298</v>
      </c>
      <c r="O2067">
        <v>52.5960461022717</v>
      </c>
      <c r="P2067">
        <v>-7.9067551990338894E-2</v>
      </c>
      <c r="Q2067">
        <v>0.13767073526686899</v>
      </c>
      <c r="R2067">
        <v>0.99233937419302598</v>
      </c>
      <c r="S2067" t="s">
        <v>7650</v>
      </c>
      <c r="T2067" t="s">
        <v>11164</v>
      </c>
      <c r="U2067" t="s">
        <v>11164</v>
      </c>
      <c r="V2067" t="s">
        <v>11164</v>
      </c>
      <c r="W2067" t="s">
        <v>13195</v>
      </c>
      <c r="X2067">
        <v>21</v>
      </c>
      <c r="Y2067" t="s">
        <v>18711</v>
      </c>
      <c r="Z2067" t="s">
        <v>24217</v>
      </c>
      <c r="AA2067">
        <v>0.61346999324200524</v>
      </c>
      <c r="AB2067" t="str">
        <f>HYPERLINK("Melting_Curves/meltCurve_P27694_RPA1.pdf", "Melting_Curves/meltCurve_P27694_RPA1.pdf")</f>
        <v>Melting_Curves/meltCurve_P27694_RPA1.pdf</v>
      </c>
    </row>
    <row r="2068" spans="1:28" x14ac:dyDescent="0.25">
      <c r="A2068" t="s">
        <v>2072</v>
      </c>
      <c r="B2068">
        <v>0.99796759195183404</v>
      </c>
      <c r="C2068">
        <v>0.97297366477066904</v>
      </c>
      <c r="D2068">
        <v>1.00903639886325</v>
      </c>
      <c r="E2068">
        <v>0.951502009971808</v>
      </c>
      <c r="F2068">
        <v>0.77308462293638802</v>
      </c>
      <c r="G2068">
        <v>0.38081951853655399</v>
      </c>
      <c r="H2068">
        <v>0.28885489803528103</v>
      </c>
      <c r="I2068">
        <v>0.25625293114030401</v>
      </c>
      <c r="J2068">
        <v>0.20268329123812701</v>
      </c>
      <c r="K2068">
        <v>0.15121825697233199</v>
      </c>
      <c r="L2068">
        <v>1400.49372661756</v>
      </c>
      <c r="M2068">
        <v>27.073534860586001</v>
      </c>
      <c r="N2068">
        <v>52.738641026277101</v>
      </c>
      <c r="O2068">
        <v>51.449497393847402</v>
      </c>
      <c r="P2068">
        <v>-0.104955620414975</v>
      </c>
      <c r="Q2068">
        <v>0.20219343918090801</v>
      </c>
      <c r="R2068">
        <v>0.993693087837202</v>
      </c>
      <c r="S2068" t="s">
        <v>7651</v>
      </c>
      <c r="T2068" t="s">
        <v>11164</v>
      </c>
      <c r="U2068" t="s">
        <v>11164</v>
      </c>
      <c r="V2068" t="s">
        <v>11164</v>
      </c>
      <c r="W2068" t="s">
        <v>13196</v>
      </c>
      <c r="X2068">
        <v>20</v>
      </c>
      <c r="Y2068" t="s">
        <v>18712</v>
      </c>
      <c r="Z2068" t="s">
        <v>24218</v>
      </c>
      <c r="AA2068">
        <v>0.59999532007744416</v>
      </c>
      <c r="AB2068" t="str">
        <f>HYPERLINK("Melting_Curves/meltCurve_P27797_CALR.pdf", "Melting_Curves/meltCurve_P27797_CALR.pdf")</f>
        <v>Melting_Curves/meltCurve_P27797_CALR.pdf</v>
      </c>
    </row>
    <row r="2069" spans="1:28" x14ac:dyDescent="0.25">
      <c r="A2069" t="s">
        <v>2073</v>
      </c>
      <c r="B2069">
        <v>0.99796759195183404</v>
      </c>
      <c r="C2069">
        <v>0.98925725151926502</v>
      </c>
      <c r="D2069">
        <v>0.86441107024333397</v>
      </c>
      <c r="E2069">
        <v>0.83340441222523298</v>
      </c>
      <c r="F2069">
        <v>0.52145033921554995</v>
      </c>
      <c r="G2069">
        <v>0.394254206734101</v>
      </c>
      <c r="H2069">
        <v>0.22745259683477301</v>
      </c>
      <c r="I2069">
        <v>0.19474863480353799</v>
      </c>
      <c r="J2069">
        <v>0.138142157850414</v>
      </c>
      <c r="K2069">
        <v>0.104510789547425</v>
      </c>
      <c r="L2069">
        <v>657.11889978963495</v>
      </c>
      <c r="M2069">
        <v>12.9783190661887</v>
      </c>
      <c r="N2069">
        <v>51.325533371883303</v>
      </c>
      <c r="O2069">
        <v>49.475172026143703</v>
      </c>
      <c r="P2069">
        <v>-6.0316679644264702E-2</v>
      </c>
      <c r="Q2069">
        <v>8.0420952948191599E-2</v>
      </c>
      <c r="R2069">
        <v>0.99166158497442003</v>
      </c>
      <c r="S2069" t="s">
        <v>7652</v>
      </c>
      <c r="T2069" t="s">
        <v>11164</v>
      </c>
      <c r="U2069" t="s">
        <v>11164</v>
      </c>
      <c r="V2069" t="s">
        <v>11164</v>
      </c>
      <c r="W2069" t="s">
        <v>13197</v>
      </c>
      <c r="X2069">
        <v>25</v>
      </c>
      <c r="Y2069" t="s">
        <v>17513</v>
      </c>
      <c r="Z2069" t="s">
        <v>24219</v>
      </c>
      <c r="AA2069">
        <v>0.52085187236617669</v>
      </c>
      <c r="AB2069" t="str">
        <f>HYPERLINK("Melting_Curves/meltCurve_P27824_CANX.pdf", "Melting_Curves/meltCurve_P27824_CANX.pdf")</f>
        <v>Melting_Curves/meltCurve_P27824_CANX.pdf</v>
      </c>
    </row>
    <row r="2070" spans="1:28" x14ac:dyDescent="0.25">
      <c r="A2070" t="s">
        <v>2074</v>
      </c>
      <c r="B2070">
        <v>0.99796759195183404</v>
      </c>
      <c r="C2070">
        <v>1.02475254534692</v>
      </c>
      <c r="D2070">
        <v>0.97023983157515403</v>
      </c>
      <c r="E2070">
        <v>0.92603985946224598</v>
      </c>
      <c r="F2070">
        <v>0.743018156887845</v>
      </c>
      <c r="G2070">
        <v>0.54392051105957895</v>
      </c>
      <c r="H2070">
        <v>0.40715402071941398</v>
      </c>
      <c r="I2070">
        <v>0.46590755251823801</v>
      </c>
      <c r="J2070">
        <v>0.34703780663216499</v>
      </c>
      <c r="K2070">
        <v>0.25166506371562902</v>
      </c>
      <c r="L2070">
        <v>811.92907077502502</v>
      </c>
      <c r="M2070">
        <v>15.60354580942</v>
      </c>
      <c r="N2070">
        <v>55.313769262646801</v>
      </c>
      <c r="O2070">
        <v>51.2027163178821</v>
      </c>
      <c r="P2070">
        <v>-5.3203002212676501E-2</v>
      </c>
      <c r="Q2070">
        <v>0.30172218766523001</v>
      </c>
      <c r="R2070">
        <v>0.97780624298116403</v>
      </c>
      <c r="S2070" t="s">
        <v>7653</v>
      </c>
      <c r="T2070" t="s">
        <v>11164</v>
      </c>
      <c r="U2070" t="s">
        <v>11164</v>
      </c>
      <c r="V2070" t="s">
        <v>11164</v>
      </c>
      <c r="W2070" t="s">
        <v>13198</v>
      </c>
      <c r="X2070">
        <v>10</v>
      </c>
      <c r="Y2070" t="s">
        <v>18713</v>
      </c>
      <c r="Z2070" t="s">
        <v>24220</v>
      </c>
      <c r="AA2070">
        <v>0.66440296982983427</v>
      </c>
      <c r="AB2070" t="str">
        <f>HYPERLINK("Melting_Curves/meltCurve_P28066_PSMA5.pdf", "Melting_Curves/meltCurve_P28066_PSMA5.pdf")</f>
        <v>Melting_Curves/meltCurve_P28066_PSMA5.pdf</v>
      </c>
    </row>
    <row r="2071" spans="1:28" x14ac:dyDescent="0.25">
      <c r="A2071" t="s">
        <v>2075</v>
      </c>
      <c r="B2071">
        <v>0.99796759195183404</v>
      </c>
      <c r="C2071">
        <v>1.0493556214549999</v>
      </c>
      <c r="D2071">
        <v>1.0135799443264399</v>
      </c>
      <c r="E2071">
        <v>0.955793829287644</v>
      </c>
      <c r="F2071">
        <v>0.84778356587652504</v>
      </c>
      <c r="G2071">
        <v>0.75777126665110095</v>
      </c>
      <c r="H2071">
        <v>1.14844466591589</v>
      </c>
      <c r="I2071">
        <v>2.1073052940762098</v>
      </c>
      <c r="J2071">
        <v>1.09003446000561</v>
      </c>
      <c r="K2071">
        <v>0.78283372179139998</v>
      </c>
      <c r="L2071">
        <v>14360.511324645</v>
      </c>
      <c r="M2071">
        <v>250</v>
      </c>
      <c r="O2071">
        <v>57.438354355035003</v>
      </c>
      <c r="P2071">
        <v>0.35551607119838202</v>
      </c>
      <c r="Q2071">
        <v>1.32672421470503</v>
      </c>
      <c r="R2071">
        <v>0.214404131895919</v>
      </c>
      <c r="S2071" t="s">
        <v>7654</v>
      </c>
      <c r="T2071" t="s">
        <v>11164</v>
      </c>
      <c r="U2071" t="s">
        <v>11164</v>
      </c>
      <c r="V2071" t="s">
        <v>11164</v>
      </c>
      <c r="W2071" t="s">
        <v>13199</v>
      </c>
      <c r="X2071">
        <v>2</v>
      </c>
      <c r="Y2071" t="s">
        <v>18714</v>
      </c>
      <c r="Z2071" t="s">
        <v>24221</v>
      </c>
      <c r="AA2071">
        <v>1.1040609044329801</v>
      </c>
      <c r="AB2071" t="str">
        <f>HYPERLINK("Melting_Curves/meltCurve_P28070_PSMB4.pdf", "Melting_Curves/meltCurve_P28070_PSMB4.pdf")</f>
        <v>Melting_Curves/meltCurve_P28070_PSMB4.pdf</v>
      </c>
    </row>
    <row r="2072" spans="1:28" x14ac:dyDescent="0.25">
      <c r="A2072" t="s">
        <v>2076</v>
      </c>
      <c r="B2072">
        <v>0.99796759195183404</v>
      </c>
      <c r="C2072">
        <v>0.87704060834144004</v>
      </c>
      <c r="D2072">
        <v>0.92073001141079902</v>
      </c>
      <c r="E2072">
        <v>0.81465926824646895</v>
      </c>
      <c r="F2072">
        <v>0.74838789508899894</v>
      </c>
      <c r="G2072">
        <v>0.68797762112865501</v>
      </c>
      <c r="H2072">
        <v>0.97665102030059303</v>
      </c>
      <c r="I2072">
        <v>2.11580850605473</v>
      </c>
      <c r="J2072">
        <v>1.3115534685146299</v>
      </c>
      <c r="K2072">
        <v>0.97759680715833297</v>
      </c>
      <c r="L2072">
        <v>777.54598846179101</v>
      </c>
      <c r="M2072">
        <v>13.1244867947568</v>
      </c>
      <c r="O2072">
        <v>57.919166021023102</v>
      </c>
      <c r="P2072">
        <v>2.4699711469018799E-2</v>
      </c>
      <c r="Q2072">
        <v>1.4359310153117599</v>
      </c>
      <c r="R2072">
        <v>0.20522989517181001</v>
      </c>
      <c r="S2072" t="s">
        <v>7655</v>
      </c>
      <c r="T2072" t="s">
        <v>11164</v>
      </c>
      <c r="U2072" t="s">
        <v>11164</v>
      </c>
      <c r="V2072" t="s">
        <v>11164</v>
      </c>
      <c r="W2072" t="s">
        <v>13200</v>
      </c>
      <c r="X2072">
        <v>5</v>
      </c>
      <c r="Y2072" t="s">
        <v>18715</v>
      </c>
      <c r="Z2072" t="s">
        <v>24222</v>
      </c>
      <c r="AA2072">
        <v>1.1155290328146941</v>
      </c>
      <c r="AB2072" t="str">
        <f>HYPERLINK("Melting_Curves/meltCurve_P28072_PSMB6.pdf", "Melting_Curves/meltCurve_P28072_PSMB6.pdf")</f>
        <v>Melting_Curves/meltCurve_P28072_PSMB6.pdf</v>
      </c>
    </row>
    <row r="2073" spans="1:28" x14ac:dyDescent="0.25">
      <c r="A2073" t="s">
        <v>2077</v>
      </c>
      <c r="B2073">
        <v>0.99796759195183404</v>
      </c>
      <c r="C2073">
        <v>0.93726227100532</v>
      </c>
      <c r="D2073">
        <v>0.90916757229606704</v>
      </c>
      <c r="E2073">
        <v>0.86555151528880703</v>
      </c>
      <c r="F2073">
        <v>0.96835817474833796</v>
      </c>
      <c r="G2073">
        <v>0.80033602330823905</v>
      </c>
      <c r="H2073">
        <v>0.63304183575488104</v>
      </c>
      <c r="I2073">
        <v>0.67172637523308198</v>
      </c>
      <c r="J2073">
        <v>0.53324683648498095</v>
      </c>
      <c r="K2073">
        <v>0.43002096409945201</v>
      </c>
      <c r="L2073">
        <v>406.04898066160803</v>
      </c>
      <c r="M2073">
        <v>6.21507259086271</v>
      </c>
      <c r="N2073">
        <v>65.332942571560096</v>
      </c>
      <c r="O2073">
        <v>59.543395691359997</v>
      </c>
      <c r="P2073">
        <v>-2.6169213308704201E-2</v>
      </c>
      <c r="Q2073">
        <v>0</v>
      </c>
      <c r="R2073">
        <v>0.91862940383390201</v>
      </c>
      <c r="S2073" t="s">
        <v>7656</v>
      </c>
      <c r="T2073" t="s">
        <v>11164</v>
      </c>
      <c r="U2073" t="s">
        <v>11164</v>
      </c>
      <c r="V2073" t="s">
        <v>11164</v>
      </c>
      <c r="W2073" t="s">
        <v>13201</v>
      </c>
      <c r="X2073">
        <v>4</v>
      </c>
      <c r="Y2073" t="s">
        <v>18716</v>
      </c>
      <c r="Z2073" t="s">
        <v>24223</v>
      </c>
      <c r="AA2073">
        <v>0.791561386615516</v>
      </c>
      <c r="AB2073" t="str">
        <f>HYPERLINK("Melting_Curves/meltCurve_P28074_PSMB5.pdf", "Melting_Curves/meltCurve_P28074_PSMB5.pdf")</f>
        <v>Melting_Curves/meltCurve_P28074_PSMB5.pdf</v>
      </c>
    </row>
    <row r="2074" spans="1:28" x14ac:dyDescent="0.25">
      <c r="A2074" t="s">
        <v>2078</v>
      </c>
      <c r="B2074">
        <v>0.99796759195183404</v>
      </c>
      <c r="C2074">
        <v>1.1581887257731101</v>
      </c>
      <c r="D2074">
        <v>1.09765030393097</v>
      </c>
      <c r="E2074">
        <v>0.92987240539768401</v>
      </c>
      <c r="F2074">
        <v>0.58448972381094799</v>
      </c>
      <c r="G2074">
        <v>0.26350895022336501</v>
      </c>
      <c r="H2074">
        <v>0.16681607758651101</v>
      </c>
      <c r="I2074">
        <v>0.169717942764815</v>
      </c>
      <c r="J2074">
        <v>8.2727950650894097E-2</v>
      </c>
      <c r="K2074">
        <v>4.1651394713088798E-2</v>
      </c>
      <c r="L2074">
        <v>1342.71620501332</v>
      </c>
      <c r="M2074">
        <v>26.515727977806598</v>
      </c>
      <c r="N2074">
        <v>51.075254011787301</v>
      </c>
      <c r="O2074">
        <v>50.353079507242903</v>
      </c>
      <c r="P2074">
        <v>-0.118295724804453</v>
      </c>
      <c r="Q2074">
        <v>0.10144018347929</v>
      </c>
      <c r="R2074">
        <v>0.97571406558671003</v>
      </c>
      <c r="S2074" t="s">
        <v>7657</v>
      </c>
      <c r="T2074" t="s">
        <v>11164</v>
      </c>
      <c r="U2074" t="s">
        <v>11164</v>
      </c>
      <c r="V2074" t="s">
        <v>11164</v>
      </c>
      <c r="W2074" t="s">
        <v>13202</v>
      </c>
      <c r="X2074">
        <v>3</v>
      </c>
      <c r="Y2074" t="s">
        <v>18717</v>
      </c>
      <c r="Z2074" t="s">
        <v>24224</v>
      </c>
      <c r="AA2074">
        <v>0.51701230585214641</v>
      </c>
      <c r="AB2074" t="str">
        <f>HYPERLINK("Melting_Curves/meltCurve_P28289_TMOD1.pdf", "Melting_Curves/meltCurve_P28289_TMOD1.pdf")</f>
        <v>Melting_Curves/meltCurve_P28289_TMOD1.pdf</v>
      </c>
    </row>
    <row r="2075" spans="1:28" x14ac:dyDescent="0.25">
      <c r="A2075" t="s">
        <v>2079</v>
      </c>
      <c r="B2075">
        <v>0.99796759195183404</v>
      </c>
      <c r="C2075">
        <v>1.06554986561965</v>
      </c>
      <c r="D2075">
        <v>0.99662103990973605</v>
      </c>
      <c r="E2075">
        <v>0.90648060271696895</v>
      </c>
      <c r="F2075">
        <v>0.74470121407597301</v>
      </c>
      <c r="G2075">
        <v>1.1521985321822701</v>
      </c>
      <c r="H2075">
        <v>0.62254943090810699</v>
      </c>
      <c r="I2075">
        <v>0.30933396299291299</v>
      </c>
      <c r="J2075">
        <v>0.22624908190944901</v>
      </c>
      <c r="K2075">
        <v>0.13108438568901101</v>
      </c>
      <c r="L2075">
        <v>4033.3168544130499</v>
      </c>
      <c r="M2075">
        <v>70.1379818610841</v>
      </c>
      <c r="N2075">
        <v>57.972086432797497</v>
      </c>
      <c r="O2075">
        <v>57.458766304613199</v>
      </c>
      <c r="P2075">
        <v>-0.239342290151147</v>
      </c>
      <c r="Q2075">
        <v>0.21569975539893901</v>
      </c>
      <c r="R2075">
        <v>0.90738624841896598</v>
      </c>
      <c r="S2075" t="s">
        <v>7658</v>
      </c>
      <c r="T2075" t="s">
        <v>11164</v>
      </c>
      <c r="U2075" t="s">
        <v>11164</v>
      </c>
      <c r="V2075" t="s">
        <v>11164</v>
      </c>
      <c r="W2075" t="s">
        <v>13203</v>
      </c>
      <c r="X2075">
        <v>10</v>
      </c>
      <c r="Y2075" t="s">
        <v>18718</v>
      </c>
      <c r="Z2075" t="s">
        <v>24225</v>
      </c>
      <c r="AA2075">
        <v>0.75278777442793676</v>
      </c>
      <c r="AB2075" t="str">
        <f>HYPERLINK("Melting_Curves/meltCurve_P28331_4_NDUFS1.pdf", "Melting_Curves/meltCurve_P28331_4_NDUFS1.pdf")</f>
        <v>Melting_Curves/meltCurve_P28331_4_NDUFS1.pdf</v>
      </c>
    </row>
    <row r="2076" spans="1:28" x14ac:dyDescent="0.25">
      <c r="A2076" t="s">
        <v>2080</v>
      </c>
      <c r="B2076">
        <v>0.99796759195183404</v>
      </c>
      <c r="C2076">
        <v>0.98900716009899203</v>
      </c>
      <c r="D2076">
        <v>0.962464966584195</v>
      </c>
      <c r="E2076">
        <v>0.92662910977152202</v>
      </c>
      <c r="F2076">
        <v>0.81180564626596896</v>
      </c>
      <c r="G2076">
        <v>0.78617474268305099</v>
      </c>
      <c r="H2076">
        <v>0.53933169844824003</v>
      </c>
      <c r="I2076">
        <v>0.339108361831783</v>
      </c>
      <c r="J2076">
        <v>0.153688160057905</v>
      </c>
      <c r="K2076">
        <v>0.12755404625765701</v>
      </c>
      <c r="L2076">
        <v>790.41635744314203</v>
      </c>
      <c r="M2076">
        <v>13.684983361733799</v>
      </c>
      <c r="N2076">
        <v>57.757933520296902</v>
      </c>
      <c r="O2076">
        <v>56.566497251037902</v>
      </c>
      <c r="P2076">
        <v>-6.0490587326106099E-2</v>
      </c>
      <c r="Q2076">
        <v>0</v>
      </c>
      <c r="R2076">
        <v>0.98707158074116697</v>
      </c>
      <c r="S2076" t="s">
        <v>7659</v>
      </c>
      <c r="T2076" t="s">
        <v>11164</v>
      </c>
      <c r="U2076" t="s">
        <v>11164</v>
      </c>
      <c r="V2076" t="s">
        <v>11164</v>
      </c>
      <c r="W2076" t="s">
        <v>13204</v>
      </c>
      <c r="X2076">
        <v>13</v>
      </c>
      <c r="Y2076" t="s">
        <v>18719</v>
      </c>
      <c r="Z2076" t="s">
        <v>24226</v>
      </c>
      <c r="AA2076">
        <v>0.69548858685588355</v>
      </c>
      <c r="AB2076" t="str">
        <f>HYPERLINK("Melting_Curves/meltCurve_P28482_MAPK1.pdf", "Melting_Curves/meltCurve_P28482_MAPK1.pdf")</f>
        <v>Melting_Curves/meltCurve_P28482_MAPK1.pdf</v>
      </c>
    </row>
    <row r="2077" spans="1:28" x14ac:dyDescent="0.25">
      <c r="A2077" t="s">
        <v>2081</v>
      </c>
      <c r="B2077">
        <v>0.99796759195183404</v>
      </c>
      <c r="C2077">
        <v>0.99493323125850897</v>
      </c>
      <c r="D2077">
        <v>0.999707406077326</v>
      </c>
      <c r="E2077">
        <v>0.94969311863751404</v>
      </c>
      <c r="F2077">
        <v>0.87687850808673695</v>
      </c>
      <c r="G2077">
        <v>0.63066409363371201</v>
      </c>
      <c r="H2077">
        <v>0.29939175427145698</v>
      </c>
      <c r="I2077">
        <v>0.18269628538361099</v>
      </c>
      <c r="J2077">
        <v>0.173100772824542</v>
      </c>
      <c r="K2077">
        <v>0.144099591882345</v>
      </c>
      <c r="L2077">
        <v>1295.58073290027</v>
      </c>
      <c r="M2077">
        <v>23.8882596166852</v>
      </c>
      <c r="N2077">
        <v>54.960090015954698</v>
      </c>
      <c r="O2077">
        <v>53.859259189235601</v>
      </c>
      <c r="P2077">
        <v>-9.5897755614236094E-2</v>
      </c>
      <c r="Q2077">
        <v>0.13515694098787101</v>
      </c>
      <c r="R2077">
        <v>0.99813135195089597</v>
      </c>
      <c r="S2077" t="s">
        <v>7660</v>
      </c>
      <c r="T2077" t="s">
        <v>11164</v>
      </c>
      <c r="U2077" t="s">
        <v>11164</v>
      </c>
      <c r="V2077" t="s">
        <v>11164</v>
      </c>
      <c r="W2077" t="s">
        <v>13205</v>
      </c>
      <c r="X2077">
        <v>7</v>
      </c>
      <c r="Y2077" t="s">
        <v>18720</v>
      </c>
      <c r="Z2077" t="s">
        <v>24227</v>
      </c>
      <c r="AA2077">
        <v>0.64007706622786531</v>
      </c>
      <c r="AB2077" t="str">
        <f>HYPERLINK("Melting_Curves/meltCurve_P28715_ERCC5.pdf", "Melting_Curves/meltCurve_P28715_ERCC5.pdf")</f>
        <v>Melting_Curves/meltCurve_P28715_ERCC5.pdf</v>
      </c>
    </row>
    <row r="2078" spans="1:28" x14ac:dyDescent="0.25">
      <c r="A2078" t="s">
        <v>2082</v>
      </c>
      <c r="B2078">
        <v>0.99796759195183404</v>
      </c>
      <c r="C2078">
        <v>0.96494704034606005</v>
      </c>
      <c r="D2078">
        <v>0.98324129546289696</v>
      </c>
      <c r="E2078">
        <v>0.88159401458617703</v>
      </c>
      <c r="F2078">
        <v>0.70196508730248197</v>
      </c>
      <c r="G2078">
        <v>0.49776804040959699</v>
      </c>
      <c r="H2078">
        <v>0.54958285638444104</v>
      </c>
      <c r="I2078">
        <v>0.49448636913695798</v>
      </c>
      <c r="J2078">
        <v>0.59779947658037802</v>
      </c>
      <c r="K2078">
        <v>0.55060527105740897</v>
      </c>
      <c r="L2078">
        <v>1393.8711585702999</v>
      </c>
      <c r="M2078">
        <v>28.658194870898502</v>
      </c>
      <c r="O2078">
        <v>48.402809804140702</v>
      </c>
      <c r="P2078">
        <v>-6.8765926493124102E-2</v>
      </c>
      <c r="Q2078">
        <v>0.53542951590918098</v>
      </c>
      <c r="R2078">
        <v>0.96882647748273898</v>
      </c>
      <c r="S2078" t="s">
        <v>7661</v>
      </c>
      <c r="T2078" t="s">
        <v>11164</v>
      </c>
      <c r="U2078" t="s">
        <v>11164</v>
      </c>
      <c r="V2078" t="s">
        <v>11164</v>
      </c>
      <c r="W2078" t="s">
        <v>13206</v>
      </c>
      <c r="X2078">
        <v>8</v>
      </c>
      <c r="Y2078" t="s">
        <v>18721</v>
      </c>
      <c r="Z2078" t="s">
        <v>24228</v>
      </c>
      <c r="AA2078">
        <v>0.71869869754737248</v>
      </c>
      <c r="AB2078" t="str">
        <f>HYPERLINK("Melting_Curves/meltCurve_P28799_GRN.pdf", "Melting_Curves/meltCurve_P28799_GRN.pdf")</f>
        <v>Melting_Curves/meltCurve_P28799_GRN.pdf</v>
      </c>
    </row>
    <row r="2079" spans="1:28" x14ac:dyDescent="0.25">
      <c r="A2079" t="s">
        <v>2083</v>
      </c>
      <c r="B2079">
        <v>0.99796759195183404</v>
      </c>
      <c r="C2079">
        <v>0.98914174218031303</v>
      </c>
      <c r="D2079">
        <v>0.98757329614435496</v>
      </c>
      <c r="E2079">
        <v>0.98400226797903401</v>
      </c>
      <c r="F2079">
        <v>0.79612027300912003</v>
      </c>
      <c r="G2079">
        <v>0.88789228437793599</v>
      </c>
      <c r="H2079">
        <v>0.48815030547876498</v>
      </c>
      <c r="I2079">
        <v>0.42260054593950203</v>
      </c>
      <c r="J2079">
        <v>0.36523175878626701</v>
      </c>
      <c r="K2079">
        <v>0.224900446890478</v>
      </c>
      <c r="L2079">
        <v>751.20456854668805</v>
      </c>
      <c r="M2079">
        <v>13.015236468524201</v>
      </c>
      <c r="N2079">
        <v>59.068827182197502</v>
      </c>
      <c r="O2079">
        <v>56.405743864742902</v>
      </c>
      <c r="P2079">
        <v>-5.0266311129806299E-2</v>
      </c>
      <c r="Q2079">
        <v>0.12877183841518899</v>
      </c>
      <c r="R2079">
        <v>0.95407875099884398</v>
      </c>
      <c r="S2079" t="s">
        <v>7662</v>
      </c>
      <c r="T2079" t="s">
        <v>11164</v>
      </c>
      <c r="U2079" t="s">
        <v>11164</v>
      </c>
      <c r="V2079" t="s">
        <v>11164</v>
      </c>
      <c r="W2079" t="s">
        <v>13207</v>
      </c>
      <c r="X2079">
        <v>28</v>
      </c>
      <c r="Y2079" t="s">
        <v>18722</v>
      </c>
      <c r="Z2079" t="s">
        <v>24229</v>
      </c>
      <c r="AA2079">
        <v>0.73272096275536058</v>
      </c>
      <c r="AB2079" t="str">
        <f>HYPERLINK("Melting_Curves/meltCurve_P28838_2_LAP3.pdf", "Melting_Curves/meltCurve_P28838_2_LAP3.pdf")</f>
        <v>Melting_Curves/meltCurve_P28838_2_LAP3.pdf</v>
      </c>
    </row>
    <row r="2080" spans="1:28" x14ac:dyDescent="0.25">
      <c r="A2080" t="s">
        <v>2084</v>
      </c>
      <c r="B2080">
        <v>0.99796759195183404</v>
      </c>
      <c r="C2080">
        <v>1.0294788386481</v>
      </c>
      <c r="D2080">
        <v>0.97395001429167405</v>
      </c>
      <c r="E2080">
        <v>0.92531583173626297</v>
      </c>
      <c r="F2080">
        <v>0.79916713564819897</v>
      </c>
      <c r="G2080">
        <v>0.34094633404046498</v>
      </c>
      <c r="H2080">
        <v>0.25626971658677999</v>
      </c>
      <c r="I2080">
        <v>0.22236164435689801</v>
      </c>
      <c r="J2080">
        <v>0.144350260069699</v>
      </c>
      <c r="K2080">
        <v>0.113533879304192</v>
      </c>
      <c r="L2080">
        <v>1491.8870396595401</v>
      </c>
      <c r="M2080">
        <v>28.763368768903099</v>
      </c>
      <c r="N2080">
        <v>52.579953925704601</v>
      </c>
      <c r="O2080">
        <v>51.618836008749398</v>
      </c>
      <c r="P2080">
        <v>-0.116828292835203</v>
      </c>
      <c r="Q2080">
        <v>0.161364705867618</v>
      </c>
      <c r="R2080">
        <v>0.99040439189752005</v>
      </c>
      <c r="S2080" t="s">
        <v>7663</v>
      </c>
      <c r="T2080" t="s">
        <v>11164</v>
      </c>
      <c r="U2080" t="s">
        <v>11164</v>
      </c>
      <c r="V2080" t="s">
        <v>11164</v>
      </c>
      <c r="W2080" t="s">
        <v>13208</v>
      </c>
      <c r="X2080">
        <v>8</v>
      </c>
      <c r="Y2080" t="s">
        <v>18723</v>
      </c>
      <c r="Z2080" t="s">
        <v>24230</v>
      </c>
      <c r="AA2080">
        <v>0.58270726792835592</v>
      </c>
      <c r="AB2080" t="str">
        <f>HYPERLINK("Melting_Curves/meltCurve_P29084_GTF2E2.pdf", "Melting_Curves/meltCurve_P29084_GTF2E2.pdf")</f>
        <v>Melting_Curves/meltCurve_P29084_GTF2E2.pdf</v>
      </c>
    </row>
    <row r="2081" spans="1:28" x14ac:dyDescent="0.25">
      <c r="A2081" t="s">
        <v>2085</v>
      </c>
      <c r="B2081">
        <v>0.99796759195183404</v>
      </c>
      <c r="C2081">
        <v>0.98542676821984798</v>
      </c>
      <c r="D2081">
        <v>0.98287605643550002</v>
      </c>
      <c r="E2081">
        <v>0.93264338820168302</v>
      </c>
      <c r="F2081">
        <v>0.86037828368837599</v>
      </c>
      <c r="G2081">
        <v>0.70542136444654602</v>
      </c>
      <c r="H2081">
        <v>0.71155605192590798</v>
      </c>
      <c r="I2081">
        <v>0.63691442185009195</v>
      </c>
      <c r="J2081">
        <v>0.83255835683769797</v>
      </c>
      <c r="K2081">
        <v>0.73105116541524096</v>
      </c>
      <c r="L2081">
        <v>1408.3548408983099</v>
      </c>
      <c r="M2081">
        <v>28.495058241179599</v>
      </c>
      <c r="O2081">
        <v>49.183051648739998</v>
      </c>
      <c r="P2081">
        <v>-4.04429440026901E-2</v>
      </c>
      <c r="Q2081">
        <v>0.72078097298312704</v>
      </c>
      <c r="R2081">
        <v>0.85590396123099299</v>
      </c>
      <c r="S2081" t="s">
        <v>7664</v>
      </c>
      <c r="T2081" t="s">
        <v>11164</v>
      </c>
      <c r="U2081" t="s">
        <v>11164</v>
      </c>
      <c r="V2081" t="s">
        <v>11164</v>
      </c>
      <c r="W2081" t="s">
        <v>13209</v>
      </c>
      <c r="X2081">
        <v>18</v>
      </c>
      <c r="Y2081" t="s">
        <v>17050</v>
      </c>
      <c r="Z2081" t="s">
        <v>24231</v>
      </c>
      <c r="AA2081">
        <v>0.83829855888127436</v>
      </c>
      <c r="AB2081" t="str">
        <f>HYPERLINK("Melting_Curves/meltCurve_P29218_IMPA1.pdf", "Melting_Curves/meltCurve_P29218_IMPA1.pdf")</f>
        <v>Melting_Curves/meltCurve_P29218_IMPA1.pdf</v>
      </c>
    </row>
    <row r="2082" spans="1:28" x14ac:dyDescent="0.25">
      <c r="A2082" t="s">
        <v>2086</v>
      </c>
      <c r="B2082">
        <v>0.99796759195183404</v>
      </c>
      <c r="C2082">
        <v>0.85185589585246402</v>
      </c>
      <c r="D2082">
        <v>0.94910337611912599</v>
      </c>
      <c r="E2082">
        <v>0.88856615544650497</v>
      </c>
      <c r="F2082">
        <v>0.947053215490545</v>
      </c>
      <c r="G2082">
        <v>0.376557992034391</v>
      </c>
      <c r="H2082">
        <v>0.30917350514451403</v>
      </c>
      <c r="I2082">
        <v>0.26954771329863197</v>
      </c>
      <c r="J2082">
        <v>0.28451054749575899</v>
      </c>
      <c r="K2082">
        <v>0.19686443545599</v>
      </c>
      <c r="L2082">
        <v>3096.7305621860501</v>
      </c>
      <c r="M2082">
        <v>59.2272413740289</v>
      </c>
      <c r="N2082">
        <v>52.954141799901002</v>
      </c>
      <c r="O2082">
        <v>52.226070350480597</v>
      </c>
      <c r="P2082">
        <v>-0.20886811413426801</v>
      </c>
      <c r="Q2082">
        <v>0.263287915995014</v>
      </c>
      <c r="R2082">
        <v>0.95862456365576398</v>
      </c>
      <c r="S2082" t="s">
        <v>7665</v>
      </c>
      <c r="T2082" t="s">
        <v>11164</v>
      </c>
      <c r="U2082" t="s">
        <v>11164</v>
      </c>
      <c r="V2082" t="s">
        <v>11164</v>
      </c>
      <c r="W2082" t="s">
        <v>13210</v>
      </c>
      <c r="X2082">
        <v>4</v>
      </c>
      <c r="Y2082" t="s">
        <v>18724</v>
      </c>
      <c r="Z2082" t="s">
        <v>24232</v>
      </c>
      <c r="AA2082">
        <v>0.63986581204271764</v>
      </c>
      <c r="AB2082" t="str">
        <f>HYPERLINK("Melting_Curves/meltCurve_P29317_EPHA2.pdf", "Melting_Curves/meltCurve_P29317_EPHA2.pdf")</f>
        <v>Melting_Curves/meltCurve_P29317_EPHA2.pdf</v>
      </c>
    </row>
    <row r="2083" spans="1:28" x14ac:dyDescent="0.25">
      <c r="A2083" t="s">
        <v>2087</v>
      </c>
      <c r="B2083">
        <v>0.99796759195183404</v>
      </c>
      <c r="C2083">
        <v>1.0373319792146301</v>
      </c>
      <c r="D2083">
        <v>0.98204607809364597</v>
      </c>
      <c r="E2083">
        <v>0.96331853891379604</v>
      </c>
      <c r="F2083">
        <v>0.79043447600127503</v>
      </c>
      <c r="G2083">
        <v>0.58225391620848899</v>
      </c>
      <c r="H2083">
        <v>0.44210602459720399</v>
      </c>
      <c r="I2083">
        <v>0.31557365402446902</v>
      </c>
      <c r="J2083">
        <v>0.16722500984479799</v>
      </c>
      <c r="K2083">
        <v>9.0816351343052798E-2</v>
      </c>
      <c r="L2083">
        <v>682.41996640667799</v>
      </c>
      <c r="M2083">
        <v>12.1822984309846</v>
      </c>
      <c r="N2083">
        <v>56.017341172720897</v>
      </c>
      <c r="O2083">
        <v>54.5720213919884</v>
      </c>
      <c r="P2083">
        <v>-5.5821042327932703E-2</v>
      </c>
      <c r="Q2083">
        <v>0</v>
      </c>
      <c r="R2083">
        <v>0.99263906399840895</v>
      </c>
      <c r="S2083" t="s">
        <v>7666</v>
      </c>
      <c r="T2083" t="s">
        <v>11164</v>
      </c>
      <c r="U2083" t="s">
        <v>11164</v>
      </c>
      <c r="V2083" t="s">
        <v>11164</v>
      </c>
      <c r="W2083" t="s">
        <v>13211</v>
      </c>
      <c r="X2083">
        <v>15</v>
      </c>
      <c r="Y2083" t="s">
        <v>18725</v>
      </c>
      <c r="Z2083" t="s">
        <v>24233</v>
      </c>
      <c r="AA2083">
        <v>0.64383143039393065</v>
      </c>
      <c r="AB2083" t="str">
        <f>HYPERLINK("Melting_Curves/meltCurve_P29353_7_SHC1.pdf", "Melting_Curves/meltCurve_P29353_7_SHC1.pdf")</f>
        <v>Melting_Curves/meltCurve_P29353_7_SHC1.pdf</v>
      </c>
    </row>
    <row r="2084" spans="1:28" x14ac:dyDescent="0.25">
      <c r="A2084" t="s">
        <v>2088</v>
      </c>
      <c r="B2084">
        <v>0.99796759195183404</v>
      </c>
      <c r="C2084">
        <v>0.93804530516298401</v>
      </c>
      <c r="D2084">
        <v>0.88096844050899104</v>
      </c>
      <c r="E2084">
        <v>0.69390045966829295</v>
      </c>
      <c r="F2084">
        <v>0.68260002342176096</v>
      </c>
      <c r="G2084">
        <v>0.48345162479496001</v>
      </c>
      <c r="H2084">
        <v>0.26397499618792702</v>
      </c>
      <c r="I2084">
        <v>0.12102396408630001</v>
      </c>
      <c r="J2084">
        <v>5.8930717755347299E-2</v>
      </c>
      <c r="K2084">
        <v>6.8100542643338605E-2</v>
      </c>
      <c r="L2084">
        <v>571.37234619538503</v>
      </c>
      <c r="M2084">
        <v>10.9492568333742</v>
      </c>
      <c r="N2084">
        <v>52.183664591108503</v>
      </c>
      <c r="O2084">
        <v>50.533574494204899</v>
      </c>
      <c r="P2084">
        <v>-5.4186834435663397E-2</v>
      </c>
      <c r="Q2084">
        <v>0</v>
      </c>
      <c r="R2084">
        <v>0.97845454163543</v>
      </c>
      <c r="S2084" t="s">
        <v>7667</v>
      </c>
      <c r="T2084" t="s">
        <v>11164</v>
      </c>
      <c r="U2084" t="s">
        <v>11164</v>
      </c>
      <c r="V2084" t="s">
        <v>11164</v>
      </c>
      <c r="W2084" t="s">
        <v>13212</v>
      </c>
      <c r="X2084">
        <v>1</v>
      </c>
      <c r="Y2084" t="s">
        <v>18726</v>
      </c>
      <c r="Z2084" t="s">
        <v>24234</v>
      </c>
      <c r="AA2084">
        <v>0.53087553254502207</v>
      </c>
      <c r="AB2084" t="str">
        <f>HYPERLINK("Melting_Curves/meltCurve_P29372_5_MPG.pdf", "Melting_Curves/meltCurve_P29372_5_MPG.pdf")</f>
        <v>Melting_Curves/meltCurve_P29372_5_MPG.pdf</v>
      </c>
    </row>
    <row r="2085" spans="1:28" x14ac:dyDescent="0.25">
      <c r="A2085" t="s">
        <v>2089</v>
      </c>
      <c r="B2085">
        <v>0.99796759195183404</v>
      </c>
      <c r="C2085">
        <v>0.98411500535751595</v>
      </c>
      <c r="D2085">
        <v>1.02372140934254</v>
      </c>
      <c r="E2085">
        <v>1.0405004649871299</v>
      </c>
      <c r="F2085">
        <v>0.95871454437494597</v>
      </c>
      <c r="G2085">
        <v>0.37225878270521201</v>
      </c>
      <c r="H2085">
        <v>0.27709273101855703</v>
      </c>
      <c r="I2085">
        <v>0.154788190506472</v>
      </c>
      <c r="J2085">
        <v>0.12749092250701499</v>
      </c>
      <c r="K2085">
        <v>0.116301228488589</v>
      </c>
      <c r="L2085">
        <v>2676.5435446656602</v>
      </c>
      <c r="M2085">
        <v>50.755752138706299</v>
      </c>
      <c r="N2085">
        <v>53.145728676788202</v>
      </c>
      <c r="O2085">
        <v>52.652128500492204</v>
      </c>
      <c r="P2085">
        <v>-0.20180450851423701</v>
      </c>
      <c r="Q2085">
        <v>0.16262272196348801</v>
      </c>
      <c r="R2085">
        <v>0.98962161795310699</v>
      </c>
      <c r="S2085" t="s">
        <v>7668</v>
      </c>
      <c r="T2085" t="s">
        <v>11164</v>
      </c>
      <c r="U2085" t="s">
        <v>11164</v>
      </c>
      <c r="V2085" t="s">
        <v>11164</v>
      </c>
      <c r="W2085" t="s">
        <v>13213</v>
      </c>
      <c r="X2085">
        <v>1</v>
      </c>
      <c r="Y2085" t="s">
        <v>18727</v>
      </c>
      <c r="Z2085" t="s">
        <v>24235</v>
      </c>
      <c r="AA2085">
        <v>0.60368247758683491</v>
      </c>
      <c r="AB2085" t="str">
        <f>HYPERLINK("Melting_Curves/meltCurve_P29373_CRABP2.pdf", "Melting_Curves/meltCurve_P29373_CRABP2.pdf")</f>
        <v>Melting_Curves/meltCurve_P29373_CRABP2.pdf</v>
      </c>
    </row>
    <row r="2086" spans="1:28" x14ac:dyDescent="0.25">
      <c r="A2086" t="s">
        <v>2090</v>
      </c>
      <c r="B2086">
        <v>0.99796759195183404</v>
      </c>
      <c r="C2086">
        <v>0.94833342403022702</v>
      </c>
      <c r="D2086">
        <v>0.89560147847240601</v>
      </c>
      <c r="E2086">
        <v>0.91052576105229899</v>
      </c>
      <c r="F2086">
        <v>0.885623941951444</v>
      </c>
      <c r="G2086">
        <v>0.89268724281893097</v>
      </c>
      <c r="H2086">
        <v>0.87358735507904095</v>
      </c>
      <c r="I2086">
        <v>0.96400481260707604</v>
      </c>
      <c r="J2086">
        <v>1.07692139937438</v>
      </c>
      <c r="K2086">
        <v>1.1941257462116199</v>
      </c>
      <c r="L2086">
        <v>15000</v>
      </c>
      <c r="M2086">
        <v>233.58810932919701</v>
      </c>
      <c r="O2086">
        <v>64.210890665286897</v>
      </c>
      <c r="P2086">
        <v>0.17655980433940499</v>
      </c>
      <c r="Q2086">
        <v>1.19413765991415</v>
      </c>
      <c r="R2086">
        <v>0.32532938418901403</v>
      </c>
      <c r="S2086" t="s">
        <v>7669</v>
      </c>
      <c r="T2086" t="s">
        <v>11164</v>
      </c>
      <c r="U2086" t="s">
        <v>11164</v>
      </c>
      <c r="V2086" t="s">
        <v>11164</v>
      </c>
      <c r="W2086" t="s">
        <v>13214</v>
      </c>
      <c r="X2086">
        <v>24</v>
      </c>
      <c r="Y2086" t="s">
        <v>18728</v>
      </c>
      <c r="Z2086" t="s">
        <v>24236</v>
      </c>
      <c r="AA2086">
        <v>1.01799363661827</v>
      </c>
      <c r="AB2086" t="str">
        <f>HYPERLINK("Melting_Curves/meltCurve_P29401_TKT.pdf", "Melting_Curves/meltCurve_P29401_TKT.pdf")</f>
        <v>Melting_Curves/meltCurve_P29401_TKT.pdf</v>
      </c>
    </row>
    <row r="2087" spans="1:28" x14ac:dyDescent="0.25">
      <c r="A2087" t="s">
        <v>2091</v>
      </c>
      <c r="B2087">
        <v>0.99796759195183404</v>
      </c>
      <c r="C2087">
        <v>1.0153995257013999</v>
      </c>
      <c r="D2087">
        <v>1.0069831404412499</v>
      </c>
      <c r="E2087">
        <v>0.92063740500524205</v>
      </c>
      <c r="F2087">
        <v>0.80247862856968399</v>
      </c>
      <c r="G2087">
        <v>0.44960644980312298</v>
      </c>
      <c r="H2087">
        <v>0.340876428678209</v>
      </c>
      <c r="I2087">
        <v>0.308095582004206</v>
      </c>
      <c r="J2087">
        <v>0.24655046609548101</v>
      </c>
      <c r="K2087">
        <v>0.22316948931140099</v>
      </c>
      <c r="L2087">
        <v>1219.2676182018099</v>
      </c>
      <c r="M2087">
        <v>23.452661129016398</v>
      </c>
      <c r="N2087">
        <v>53.549699010235898</v>
      </c>
      <c r="O2087">
        <v>51.614887701850201</v>
      </c>
      <c r="P2087">
        <v>-8.5465051693101896E-2</v>
      </c>
      <c r="Q2087">
        <v>0.247643028133884</v>
      </c>
      <c r="R2087">
        <v>0.99427396077654395</v>
      </c>
      <c r="S2087" t="s">
        <v>7670</v>
      </c>
      <c r="T2087" t="s">
        <v>11164</v>
      </c>
      <c r="U2087" t="s">
        <v>11164</v>
      </c>
      <c r="V2087" t="s">
        <v>11164</v>
      </c>
      <c r="W2087" t="s">
        <v>13215</v>
      </c>
      <c r="X2087">
        <v>11</v>
      </c>
      <c r="Y2087" t="s">
        <v>18729</v>
      </c>
      <c r="Z2087" t="s">
        <v>24237</v>
      </c>
      <c r="AA2087">
        <v>0.63099533357753634</v>
      </c>
      <c r="AB2087" t="str">
        <f>HYPERLINK("Melting_Curves/meltCurve_P29590_PML.pdf", "Melting_Curves/meltCurve_P29590_PML.pdf")</f>
        <v>Melting_Curves/meltCurve_P29590_PML.pdf</v>
      </c>
    </row>
    <row r="2088" spans="1:28" x14ac:dyDescent="0.25">
      <c r="A2088" t="s">
        <v>2092</v>
      </c>
      <c r="B2088">
        <v>0.99796759195183404</v>
      </c>
      <c r="C2088">
        <v>1.0811113022235299</v>
      </c>
      <c r="D2088">
        <v>1.0748790757366899</v>
      </c>
      <c r="E2088">
        <v>1.1234482991277399</v>
      </c>
      <c r="F2088">
        <v>1.06267825578014</v>
      </c>
      <c r="G2088">
        <v>0.56097578458431097</v>
      </c>
      <c r="H2088">
        <v>0.68936569153233596</v>
      </c>
      <c r="I2088">
        <v>0.79848698866469503</v>
      </c>
      <c r="J2088">
        <v>0.95679711945568102</v>
      </c>
      <c r="K2088">
        <v>1.0453262583907399</v>
      </c>
      <c r="L2088">
        <v>4679.7191181250901</v>
      </c>
      <c r="M2088">
        <v>90.748206960121706</v>
      </c>
      <c r="O2088">
        <v>51.543144441839303</v>
      </c>
      <c r="P2088">
        <v>-8.28812272669395E-2</v>
      </c>
      <c r="Q2088">
        <v>0.811700578044109</v>
      </c>
      <c r="R2088">
        <v>0.423209620792875</v>
      </c>
      <c r="S2088" t="s">
        <v>7671</v>
      </c>
      <c r="T2088" t="s">
        <v>11164</v>
      </c>
      <c r="U2088" t="s">
        <v>11164</v>
      </c>
      <c r="V2088" t="s">
        <v>11164</v>
      </c>
      <c r="W2088" t="s">
        <v>13216</v>
      </c>
      <c r="X2088">
        <v>13</v>
      </c>
      <c r="Y2088" t="s">
        <v>18730</v>
      </c>
      <c r="Z2088" t="s">
        <v>24238</v>
      </c>
      <c r="AA2088">
        <v>0.90326937679842001</v>
      </c>
      <c r="AB2088" t="str">
        <f>HYPERLINK("Melting_Curves/meltCurve_P29966_MARCKS.pdf", "Melting_Curves/meltCurve_P29966_MARCKS.pdf")</f>
        <v>Melting_Curves/meltCurve_P29966_MARCKS.pdf</v>
      </c>
    </row>
    <row r="2089" spans="1:28" x14ac:dyDescent="0.25">
      <c r="A2089" t="s">
        <v>2093</v>
      </c>
      <c r="B2089">
        <v>0.99796759195183404</v>
      </c>
      <c r="C2089">
        <v>0.97161276037035904</v>
      </c>
      <c r="D2089">
        <v>0.90418221880223704</v>
      </c>
      <c r="E2089">
        <v>0.952062503237882</v>
      </c>
      <c r="F2089">
        <v>0.82870161296318301</v>
      </c>
      <c r="G2089">
        <v>0.55505053246801095</v>
      </c>
      <c r="H2089">
        <v>0.22548980745289199</v>
      </c>
      <c r="I2089">
        <v>0.17861217303575699</v>
      </c>
      <c r="J2089">
        <v>0.122198485342793</v>
      </c>
      <c r="K2089">
        <v>9.5660046340083404E-2</v>
      </c>
      <c r="L2089">
        <v>1157.9083384885901</v>
      </c>
      <c r="M2089">
        <v>21.589432303902299</v>
      </c>
      <c r="N2089">
        <v>54.133627537600198</v>
      </c>
      <c r="O2089">
        <v>53.179315710542298</v>
      </c>
      <c r="P2089">
        <v>-9.2312898346111394E-2</v>
      </c>
      <c r="Q2089">
        <v>9.0477477919390897E-2</v>
      </c>
      <c r="R2089">
        <v>0.99082257756955505</v>
      </c>
      <c r="S2089" t="s">
        <v>7672</v>
      </c>
      <c r="T2089" t="s">
        <v>11164</v>
      </c>
      <c r="U2089" t="s">
        <v>11164</v>
      </c>
      <c r="V2089" t="s">
        <v>11164</v>
      </c>
      <c r="W2089" t="s">
        <v>13217</v>
      </c>
      <c r="X2089">
        <v>5</v>
      </c>
      <c r="Y2089" t="s">
        <v>18731</v>
      </c>
      <c r="Z2089" t="s">
        <v>24239</v>
      </c>
      <c r="AA2089">
        <v>0.60479781765055274</v>
      </c>
      <c r="AB2089" t="str">
        <f>HYPERLINK("Melting_Curves/meltCurve_P29992_GNA11.pdf", "Melting_Curves/meltCurve_P29992_GNA11.pdf")</f>
        <v>Melting_Curves/meltCurve_P29992_GNA11.pdf</v>
      </c>
    </row>
    <row r="2090" spans="1:28" x14ac:dyDescent="0.25">
      <c r="A2090" t="s">
        <v>2094</v>
      </c>
      <c r="B2090">
        <v>0.99796759195183404</v>
      </c>
      <c r="C2090">
        <v>0.96232568798561402</v>
      </c>
      <c r="D2090">
        <v>0.97485581368440499</v>
      </c>
      <c r="E2090">
        <v>0.90004897805658801</v>
      </c>
      <c r="F2090">
        <v>0.79187448460594401</v>
      </c>
      <c r="G2090">
        <v>0.49732017643482102</v>
      </c>
      <c r="H2090">
        <v>0.229000306965638</v>
      </c>
      <c r="I2090">
        <v>0.16693187297123499</v>
      </c>
      <c r="J2090">
        <v>0.14354046895839101</v>
      </c>
      <c r="K2090">
        <v>0.108995386517779</v>
      </c>
      <c r="L2090">
        <v>1036.1901754686701</v>
      </c>
      <c r="M2090">
        <v>19.550425697407999</v>
      </c>
      <c r="N2090">
        <v>53.594515216157397</v>
      </c>
      <c r="O2090">
        <v>52.455720374079398</v>
      </c>
      <c r="P2090">
        <v>-8.4108011706060304E-2</v>
      </c>
      <c r="Q2090">
        <v>9.7351786770426801E-2</v>
      </c>
      <c r="R2090">
        <v>0.99602652601164099</v>
      </c>
      <c r="S2090" t="s">
        <v>7673</v>
      </c>
      <c r="T2090" t="s">
        <v>11164</v>
      </c>
      <c r="U2090" t="s">
        <v>11164</v>
      </c>
      <c r="V2090" t="s">
        <v>11164</v>
      </c>
      <c r="W2090" t="s">
        <v>13218</v>
      </c>
      <c r="X2090">
        <v>11</v>
      </c>
      <c r="Y2090" t="s">
        <v>18732</v>
      </c>
      <c r="Z2090" t="s">
        <v>24240</v>
      </c>
      <c r="AA2090">
        <v>0.59053565290871246</v>
      </c>
      <c r="AB2090" t="str">
        <f>HYPERLINK("Melting_Curves/meltCurve_P30038_ALDH4A1.pdf", "Melting_Curves/meltCurve_P30038_ALDH4A1.pdf")</f>
        <v>Melting_Curves/meltCurve_P30038_ALDH4A1.pdf</v>
      </c>
    </row>
    <row r="2091" spans="1:28" x14ac:dyDescent="0.25">
      <c r="A2091" t="s">
        <v>2095</v>
      </c>
      <c r="B2091">
        <v>0.99796759195183404</v>
      </c>
      <c r="C2091">
        <v>0.97332130550051299</v>
      </c>
      <c r="D2091">
        <v>0.962853418756353</v>
      </c>
      <c r="E2091">
        <v>0.88630387043068204</v>
      </c>
      <c r="F2091">
        <v>0.77303868520118701</v>
      </c>
      <c r="G2091">
        <v>0.618002332726172</v>
      </c>
      <c r="H2091">
        <v>0.408042285536931</v>
      </c>
      <c r="I2091">
        <v>0.29966778164186503</v>
      </c>
      <c r="J2091">
        <v>0.26817527276018199</v>
      </c>
      <c r="K2091">
        <v>0.23344592937889999</v>
      </c>
      <c r="L2091">
        <v>689.98166178211102</v>
      </c>
      <c r="M2091">
        <v>12.774211358398199</v>
      </c>
      <c r="N2091">
        <v>55.689277770682402</v>
      </c>
      <c r="O2091">
        <v>52.741268791938303</v>
      </c>
      <c r="P2091">
        <v>-5.0899460192504901E-2</v>
      </c>
      <c r="Q2091">
        <v>0.15955816492137001</v>
      </c>
      <c r="R2091">
        <v>0.99743541004700398</v>
      </c>
      <c r="S2091" t="s">
        <v>7674</v>
      </c>
      <c r="T2091" t="s">
        <v>11164</v>
      </c>
      <c r="U2091" t="s">
        <v>11164</v>
      </c>
      <c r="V2091" t="s">
        <v>11164</v>
      </c>
      <c r="W2091" t="s">
        <v>13219</v>
      </c>
      <c r="X2091">
        <v>15</v>
      </c>
      <c r="Y2091" t="s">
        <v>18733</v>
      </c>
      <c r="Z2091" t="s">
        <v>24241</v>
      </c>
      <c r="AA2091">
        <v>0.65098022445036308</v>
      </c>
      <c r="AB2091" t="str">
        <f>HYPERLINK("Melting_Curves/meltCurve_P30040_ERP29.pdf", "Melting_Curves/meltCurve_P30040_ERP29.pdf")</f>
        <v>Melting_Curves/meltCurve_P30040_ERP29.pdf</v>
      </c>
    </row>
    <row r="2092" spans="1:28" x14ac:dyDescent="0.25">
      <c r="A2092" t="s">
        <v>2096</v>
      </c>
      <c r="B2092">
        <v>0.99796759195183404</v>
      </c>
      <c r="C2092">
        <v>1.04589500706105</v>
      </c>
      <c r="D2092">
        <v>1.0127355796401101</v>
      </c>
      <c r="E2092">
        <v>0.97320269989340202</v>
      </c>
      <c r="F2092">
        <v>0.86760999819525197</v>
      </c>
      <c r="G2092">
        <v>0.61383337854541398</v>
      </c>
      <c r="H2092">
        <v>0.53111790579777196</v>
      </c>
      <c r="I2092">
        <v>0.25985946892136602</v>
      </c>
      <c r="J2092">
        <v>0.102427975805223</v>
      </c>
      <c r="K2092">
        <v>7.3520585498205795E-2</v>
      </c>
      <c r="L2092">
        <v>838.290862975506</v>
      </c>
      <c r="M2092">
        <v>14.8151070877039</v>
      </c>
      <c r="N2092">
        <v>56.583517346614499</v>
      </c>
      <c r="O2092">
        <v>55.582587290029402</v>
      </c>
      <c r="P2092">
        <v>-6.6642625513641002E-2</v>
      </c>
      <c r="Q2092">
        <v>0</v>
      </c>
      <c r="R2092">
        <v>0.98731971377755001</v>
      </c>
      <c r="S2092" t="s">
        <v>7675</v>
      </c>
      <c r="T2092" t="s">
        <v>11164</v>
      </c>
      <c r="U2092" t="s">
        <v>11164</v>
      </c>
      <c r="V2092" t="s">
        <v>11164</v>
      </c>
      <c r="W2092" t="s">
        <v>13220</v>
      </c>
      <c r="X2092">
        <v>26</v>
      </c>
      <c r="Y2092" t="s">
        <v>18734</v>
      </c>
      <c r="Z2092" t="s">
        <v>24242</v>
      </c>
      <c r="AA2092">
        <v>0.66235004580875534</v>
      </c>
      <c r="AB2092" t="str">
        <f>HYPERLINK("Melting_Curves/meltCurve_P30041_PRDX6.pdf", "Melting_Curves/meltCurve_P30041_PRDX6.pdf")</f>
        <v>Melting_Curves/meltCurve_P30041_PRDX6.pdf</v>
      </c>
    </row>
    <row r="2093" spans="1:28" x14ac:dyDescent="0.25">
      <c r="A2093" t="s">
        <v>2097</v>
      </c>
      <c r="B2093">
        <v>0.99796759195183404</v>
      </c>
      <c r="C2093">
        <v>1.00552965903611</v>
      </c>
      <c r="D2093">
        <v>1.01872135681913</v>
      </c>
      <c r="E2093">
        <v>1.0590849592692499</v>
      </c>
      <c r="F2093">
        <v>0.89982400671899998</v>
      </c>
      <c r="G2093">
        <v>0.65612498159674504</v>
      </c>
      <c r="H2093">
        <v>0.738325561938457</v>
      </c>
      <c r="I2093">
        <v>0.68928212035455705</v>
      </c>
      <c r="J2093">
        <v>0.909646829634839</v>
      </c>
      <c r="K2093">
        <v>0.80092851856163605</v>
      </c>
      <c r="L2093">
        <v>12567.1465204505</v>
      </c>
      <c r="M2093">
        <v>250</v>
      </c>
      <c r="O2093">
        <v>50.265369233216397</v>
      </c>
      <c r="P2093">
        <v>-0.29983167484012202</v>
      </c>
      <c r="Q2093">
        <v>0.758861602820186</v>
      </c>
      <c r="R2093">
        <v>0.77335475996508696</v>
      </c>
      <c r="S2093" t="s">
        <v>7676</v>
      </c>
      <c r="T2093" t="s">
        <v>11164</v>
      </c>
      <c r="U2093" t="s">
        <v>11164</v>
      </c>
      <c r="V2093" t="s">
        <v>11164</v>
      </c>
      <c r="W2093" t="s">
        <v>13221</v>
      </c>
      <c r="X2093">
        <v>18</v>
      </c>
      <c r="Y2093" t="s">
        <v>18735</v>
      </c>
      <c r="Z2093" t="s">
        <v>24243</v>
      </c>
      <c r="AA2093">
        <v>0.86553506221121668</v>
      </c>
      <c r="AB2093" t="str">
        <f>HYPERLINK("Melting_Curves/meltCurve_P30042_C21orf33.pdf", "Melting_Curves/meltCurve_P30042_C21orf33.pdf")</f>
        <v>Melting_Curves/meltCurve_P30042_C21orf33.pdf</v>
      </c>
    </row>
    <row r="2094" spans="1:28" x14ac:dyDescent="0.25">
      <c r="A2094" t="s">
        <v>2098</v>
      </c>
      <c r="B2094">
        <v>0.99796759195183404</v>
      </c>
      <c r="C2094">
        <v>0.96850028908799302</v>
      </c>
      <c r="D2094">
        <v>0.922600900252734</v>
      </c>
      <c r="E2094">
        <v>0.81573624042544601</v>
      </c>
      <c r="F2094">
        <v>0.73926406048717996</v>
      </c>
      <c r="G2094">
        <v>0.34327884847545898</v>
      </c>
      <c r="H2094">
        <v>0.22201047521659401</v>
      </c>
      <c r="I2094">
        <v>0.22986950182295099</v>
      </c>
      <c r="J2094">
        <v>0.18124126248244701</v>
      </c>
      <c r="K2094">
        <v>0.162916446198141</v>
      </c>
      <c r="L2094">
        <v>920.90895569264205</v>
      </c>
      <c r="M2094">
        <v>18.004193723298101</v>
      </c>
      <c r="N2094">
        <v>52.192696845733103</v>
      </c>
      <c r="O2094">
        <v>50.531189392564997</v>
      </c>
      <c r="P2094">
        <v>-7.5620193406494507E-2</v>
      </c>
      <c r="Q2094">
        <v>0.15108890497181399</v>
      </c>
      <c r="R2094">
        <v>0.98210267919209704</v>
      </c>
      <c r="S2094" t="s">
        <v>7677</v>
      </c>
      <c r="T2094" t="s">
        <v>11164</v>
      </c>
      <c r="U2094" t="s">
        <v>11164</v>
      </c>
      <c r="V2094" t="s">
        <v>11164</v>
      </c>
      <c r="W2094" t="s">
        <v>13222</v>
      </c>
      <c r="X2094">
        <v>5</v>
      </c>
      <c r="Y2094" t="s">
        <v>18736</v>
      </c>
      <c r="Z2094" t="s">
        <v>24244</v>
      </c>
      <c r="AA2094">
        <v>0.56460372292579453</v>
      </c>
      <c r="AB2094" t="str">
        <f>HYPERLINK("Melting_Curves/meltCurve_P30043_BLVRB.pdf", "Melting_Curves/meltCurve_P30043_BLVRB.pdf")</f>
        <v>Melting_Curves/meltCurve_P30043_BLVRB.pdf</v>
      </c>
    </row>
    <row r="2095" spans="1:28" x14ac:dyDescent="0.25">
      <c r="A2095" t="s">
        <v>2099</v>
      </c>
      <c r="B2095">
        <v>0.99796759195183404</v>
      </c>
      <c r="C2095">
        <v>1.01732830191632</v>
      </c>
      <c r="D2095">
        <v>1.00506077834892</v>
      </c>
      <c r="E2095">
        <v>0.91644949446213997</v>
      </c>
      <c r="F2095">
        <v>0.80071384678272395</v>
      </c>
      <c r="G2095">
        <v>0.65363526303623498</v>
      </c>
      <c r="H2095">
        <v>0.50319003506607896</v>
      </c>
      <c r="I2095">
        <v>0.39232862620332098</v>
      </c>
      <c r="J2095">
        <v>0.34656065357597099</v>
      </c>
      <c r="K2095">
        <v>0.17610969531573001</v>
      </c>
      <c r="L2095">
        <v>566.45340961820796</v>
      </c>
      <c r="M2095">
        <v>9.8748912066491705</v>
      </c>
      <c r="N2095">
        <v>57.805601166479399</v>
      </c>
      <c r="O2095">
        <v>55.159173323709297</v>
      </c>
      <c r="P2095">
        <v>-4.3148839527834999E-2</v>
      </c>
      <c r="Q2095">
        <v>3.6408854587793103E-2</v>
      </c>
      <c r="R2095">
        <v>0.98982916790574105</v>
      </c>
      <c r="S2095" t="s">
        <v>7678</v>
      </c>
      <c r="T2095" t="s">
        <v>11164</v>
      </c>
      <c r="U2095" t="s">
        <v>11164</v>
      </c>
      <c r="V2095" t="s">
        <v>11164</v>
      </c>
      <c r="W2095" t="s">
        <v>13223</v>
      </c>
      <c r="X2095">
        <v>8</v>
      </c>
      <c r="Y2095" t="s">
        <v>18737</v>
      </c>
      <c r="Z2095" t="s">
        <v>24245</v>
      </c>
      <c r="AA2095">
        <v>0.68655040915526899</v>
      </c>
      <c r="AB2095" t="str">
        <f>HYPERLINK("Melting_Curves/meltCurve_P30044_2_PRDX5.pdf", "Melting_Curves/meltCurve_P30044_2_PRDX5.pdf")</f>
        <v>Melting_Curves/meltCurve_P30044_2_PRDX5.pdf</v>
      </c>
    </row>
    <row r="2096" spans="1:28" x14ac:dyDescent="0.25">
      <c r="A2096" t="s">
        <v>2100</v>
      </c>
      <c r="B2096">
        <v>0.99796759195183404</v>
      </c>
      <c r="C2096">
        <v>0.88890432239953998</v>
      </c>
      <c r="D2096">
        <v>0.96846865425689899</v>
      </c>
      <c r="E2096">
        <v>0.94785801895498001</v>
      </c>
      <c r="F2096">
        <v>0.77125519265402598</v>
      </c>
      <c r="G2096">
        <v>0.60978271771123105</v>
      </c>
      <c r="H2096">
        <v>0.63123766587236396</v>
      </c>
      <c r="I2096">
        <v>0.73913234476103595</v>
      </c>
      <c r="J2096">
        <v>0.88363289400865497</v>
      </c>
      <c r="K2096">
        <v>1.0705048374739701</v>
      </c>
      <c r="L2096">
        <v>11703.285070972701</v>
      </c>
      <c r="M2096">
        <v>250</v>
      </c>
      <c r="O2096">
        <v>46.810144477916502</v>
      </c>
      <c r="P2096">
        <v>-0.28805507203036401</v>
      </c>
      <c r="Q2096">
        <v>0.78425760727548699</v>
      </c>
      <c r="R2096">
        <v>0.26991883269227701</v>
      </c>
      <c r="S2096" t="s">
        <v>7679</v>
      </c>
      <c r="T2096" t="s">
        <v>11164</v>
      </c>
      <c r="U2096" t="s">
        <v>11164</v>
      </c>
      <c r="V2096" t="s">
        <v>11164</v>
      </c>
      <c r="W2096" t="s">
        <v>13224</v>
      </c>
      <c r="X2096">
        <v>7</v>
      </c>
      <c r="Y2096" t="s">
        <v>18738</v>
      </c>
      <c r="Z2096" t="s">
        <v>24246</v>
      </c>
      <c r="AA2096">
        <v>0.85484567737882988</v>
      </c>
      <c r="AB2096" t="str">
        <f>HYPERLINK("Melting_Curves/meltCurve_P30046_DDT.pdf", "Melting_Curves/meltCurve_P30046_DDT.pdf")</f>
        <v>Melting_Curves/meltCurve_P30046_DDT.pdf</v>
      </c>
    </row>
    <row r="2097" spans="1:28" x14ac:dyDescent="0.25">
      <c r="A2097" t="s">
        <v>2101</v>
      </c>
      <c r="B2097">
        <v>0.99796759195183404</v>
      </c>
      <c r="C2097">
        <v>0.93451846499911695</v>
      </c>
      <c r="D2097">
        <v>0.89269049190560801</v>
      </c>
      <c r="E2097">
        <v>0.88726419177291105</v>
      </c>
      <c r="F2097">
        <v>0.701676862891907</v>
      </c>
      <c r="G2097">
        <v>0.79837639022108997</v>
      </c>
      <c r="H2097">
        <v>0.78898376994959396</v>
      </c>
      <c r="I2097">
        <v>1.3115631975578399</v>
      </c>
      <c r="J2097">
        <v>1.1372139357579201</v>
      </c>
      <c r="K2097">
        <v>2.0984390561150899</v>
      </c>
      <c r="L2097">
        <v>2861.6948042960298</v>
      </c>
      <c r="M2097">
        <v>46.416653764557303</v>
      </c>
      <c r="O2097">
        <v>61.538225240483897</v>
      </c>
      <c r="P2097">
        <v>9.4284306345146798E-2</v>
      </c>
      <c r="Q2097">
        <v>1.5</v>
      </c>
      <c r="R2097">
        <v>0.54412886522509896</v>
      </c>
      <c r="S2097" t="s">
        <v>7680</v>
      </c>
      <c r="T2097" t="s">
        <v>11164</v>
      </c>
      <c r="U2097" t="s">
        <v>11164</v>
      </c>
      <c r="V2097" t="s">
        <v>11164</v>
      </c>
      <c r="W2097" t="s">
        <v>13225</v>
      </c>
      <c r="X2097">
        <v>6</v>
      </c>
      <c r="Y2097" t="s">
        <v>18739</v>
      </c>
      <c r="Z2097" t="s">
        <v>24247</v>
      </c>
      <c r="AA2097">
        <v>1.08821639049862</v>
      </c>
      <c r="AB2097" t="str">
        <f>HYPERLINK("Melting_Curves/meltCurve_P30049_ATP5D.pdf", "Melting_Curves/meltCurve_P30049_ATP5D.pdf")</f>
        <v>Melting_Curves/meltCurve_P30049_ATP5D.pdf</v>
      </c>
    </row>
    <row r="2098" spans="1:28" x14ac:dyDescent="0.25">
      <c r="A2098" t="s">
        <v>2102</v>
      </c>
      <c r="B2098">
        <v>0.99796759195183404</v>
      </c>
      <c r="C2098">
        <v>1.0280851921893599</v>
      </c>
      <c r="D2098">
        <v>1.0622554847654899</v>
      </c>
      <c r="E2098">
        <v>1.08511401569768</v>
      </c>
      <c r="F2098">
        <v>0.72140732734005297</v>
      </c>
      <c r="G2098">
        <v>0.51626027793724305</v>
      </c>
      <c r="H2098">
        <v>0.66789319102057698</v>
      </c>
      <c r="I2098">
        <v>0.74822768878545598</v>
      </c>
      <c r="J2098">
        <v>0.56324091572578805</v>
      </c>
      <c r="K2098">
        <v>0.31726822547059302</v>
      </c>
      <c r="L2098">
        <v>12521.791568680799</v>
      </c>
      <c r="M2098">
        <v>250</v>
      </c>
      <c r="O2098">
        <v>50.083973202717502</v>
      </c>
      <c r="P2098">
        <v>-0.54586080699840001</v>
      </c>
      <c r="Q2098">
        <v>0.56257805795608795</v>
      </c>
      <c r="R2098">
        <v>0.80944182631006301</v>
      </c>
      <c r="S2098" t="s">
        <v>7681</v>
      </c>
      <c r="T2098" t="s">
        <v>11164</v>
      </c>
      <c r="U2098" t="s">
        <v>11164</v>
      </c>
      <c r="V2098" t="s">
        <v>11164</v>
      </c>
      <c r="W2098" t="s">
        <v>13226</v>
      </c>
      <c r="X2098">
        <v>6</v>
      </c>
      <c r="Y2098" t="s">
        <v>18740</v>
      </c>
      <c r="Z2098" t="s">
        <v>24248</v>
      </c>
      <c r="AA2098">
        <v>0.75343696456396714</v>
      </c>
      <c r="AB2098" t="str">
        <f>HYPERLINK("Melting_Curves/meltCurve_P30050_RPL12.pdf", "Melting_Curves/meltCurve_P30050_RPL12.pdf")</f>
        <v>Melting_Curves/meltCurve_P30050_RPL12.pdf</v>
      </c>
    </row>
    <row r="2099" spans="1:28" x14ac:dyDescent="0.25">
      <c r="A2099" t="s">
        <v>2103</v>
      </c>
      <c r="B2099">
        <v>0.99796759195183404</v>
      </c>
      <c r="C2099">
        <v>1.03902267544511</v>
      </c>
      <c r="D2099">
        <v>0.99472733520404</v>
      </c>
      <c r="E2099">
        <v>0.93459896011439803</v>
      </c>
      <c r="F2099">
        <v>0.87782073869816601</v>
      </c>
      <c r="G2099">
        <v>1.3323415925226501</v>
      </c>
      <c r="H2099">
        <v>0.60593692940263399</v>
      </c>
      <c r="I2099">
        <v>0.119947876114974</v>
      </c>
      <c r="J2099">
        <v>8.1373618242705004E-2</v>
      </c>
      <c r="K2099">
        <v>6.4291066770771704E-2</v>
      </c>
      <c r="L2099">
        <v>14076.849880206601</v>
      </c>
      <c r="M2099">
        <v>244.96898202550199</v>
      </c>
      <c r="N2099">
        <v>57.509571581006298</v>
      </c>
      <c r="O2099">
        <v>57.459975120343699</v>
      </c>
      <c r="P2099">
        <v>-0.97145922240933802</v>
      </c>
      <c r="Q2099">
        <v>8.85372918967752E-2</v>
      </c>
      <c r="R2099">
        <v>0.93041565690764805</v>
      </c>
      <c r="S2099" t="s">
        <v>7682</v>
      </c>
      <c r="T2099" t="s">
        <v>11164</v>
      </c>
      <c r="U2099" t="s">
        <v>11164</v>
      </c>
      <c r="V2099" t="s">
        <v>11164</v>
      </c>
      <c r="W2099" t="s">
        <v>13227</v>
      </c>
      <c r="X2099">
        <v>11</v>
      </c>
      <c r="Y2099" t="s">
        <v>18741</v>
      </c>
      <c r="Z2099" t="s">
        <v>24249</v>
      </c>
      <c r="AA2099">
        <v>0.71036620534398542</v>
      </c>
      <c r="AB2099" t="str">
        <f>HYPERLINK("Melting_Curves/meltCurve_P30084_ECHS1.pdf", "Melting_Curves/meltCurve_P30084_ECHS1.pdf")</f>
        <v>Melting_Curves/meltCurve_P30084_ECHS1.pdf</v>
      </c>
    </row>
    <row r="2100" spans="1:28" x14ac:dyDescent="0.25">
      <c r="A2100" t="s">
        <v>2104</v>
      </c>
      <c r="B2100">
        <v>0.99796759195183404</v>
      </c>
      <c r="C2100">
        <v>1.0249427846652299</v>
      </c>
      <c r="D2100">
        <v>1.00962701650261</v>
      </c>
      <c r="E2100">
        <v>0.898792377634415</v>
      </c>
      <c r="F2100">
        <v>0.81796123109526198</v>
      </c>
      <c r="G2100">
        <v>0.47519274764247499</v>
      </c>
      <c r="H2100">
        <v>0.18839096641627101</v>
      </c>
      <c r="I2100">
        <v>0.13220732516575501</v>
      </c>
      <c r="J2100">
        <v>0.11919354549727</v>
      </c>
      <c r="K2100">
        <v>9.3751730930430904E-2</v>
      </c>
      <c r="L2100">
        <v>1230.9194073869301</v>
      </c>
      <c r="M2100">
        <v>23.237666679337099</v>
      </c>
      <c r="N2100">
        <v>53.415176536640601</v>
      </c>
      <c r="O2100">
        <v>52.583255394486798</v>
      </c>
      <c r="P2100">
        <v>-0.10077322995984</v>
      </c>
      <c r="Q2100">
        <v>8.7879188152937798E-2</v>
      </c>
      <c r="R2100">
        <v>0.99571356259930199</v>
      </c>
      <c r="S2100" t="s">
        <v>7683</v>
      </c>
      <c r="T2100" t="s">
        <v>11164</v>
      </c>
      <c r="U2100" t="s">
        <v>11164</v>
      </c>
      <c r="V2100" t="s">
        <v>11164</v>
      </c>
      <c r="W2100" t="s">
        <v>13228</v>
      </c>
      <c r="X2100">
        <v>19</v>
      </c>
      <c r="Y2100" t="s">
        <v>18742</v>
      </c>
      <c r="Z2100" t="s">
        <v>24250</v>
      </c>
      <c r="AA2100">
        <v>0.58257499129567547</v>
      </c>
      <c r="AB2100" t="str">
        <f>HYPERLINK("Melting_Curves/meltCurve_P30085_CMPK1.pdf", "Melting_Curves/meltCurve_P30085_CMPK1.pdf")</f>
        <v>Melting_Curves/meltCurve_P30085_CMPK1.pdf</v>
      </c>
    </row>
    <row r="2101" spans="1:28" x14ac:dyDescent="0.25">
      <c r="A2101" t="s">
        <v>2105</v>
      </c>
      <c r="B2101">
        <v>0.99796759195183404</v>
      </c>
      <c r="C2101">
        <v>0.89207994922492595</v>
      </c>
      <c r="D2101">
        <v>0.90673911428314802</v>
      </c>
      <c r="E2101">
        <v>0.87375124679282501</v>
      </c>
      <c r="F2101">
        <v>0.74683029324529604</v>
      </c>
      <c r="G2101">
        <v>0.46673589098864499</v>
      </c>
      <c r="H2101">
        <v>0.47933407498635</v>
      </c>
      <c r="I2101">
        <v>0.43616622856939802</v>
      </c>
      <c r="J2101">
        <v>0.47982559689266502</v>
      </c>
      <c r="K2101">
        <v>0.331055563029578</v>
      </c>
      <c r="L2101">
        <v>662.32270940756598</v>
      </c>
      <c r="M2101">
        <v>13.143791512622901</v>
      </c>
      <c r="N2101">
        <v>56.007000655601999</v>
      </c>
      <c r="O2101">
        <v>49.266927948239498</v>
      </c>
      <c r="P2101">
        <v>-4.22812453550808E-2</v>
      </c>
      <c r="Q2101">
        <v>0.36617543775293498</v>
      </c>
      <c r="R2101">
        <v>0.94220658418985404</v>
      </c>
      <c r="S2101" t="s">
        <v>7684</v>
      </c>
      <c r="T2101" t="s">
        <v>11164</v>
      </c>
      <c r="U2101" t="s">
        <v>11164</v>
      </c>
      <c r="V2101" t="s">
        <v>11164</v>
      </c>
      <c r="W2101" t="s">
        <v>13229</v>
      </c>
      <c r="X2101">
        <v>13</v>
      </c>
      <c r="Y2101" t="s">
        <v>18743</v>
      </c>
      <c r="Z2101" t="s">
        <v>24251</v>
      </c>
      <c r="AA2101">
        <v>0.66462516288325924</v>
      </c>
      <c r="AB2101" t="str">
        <f>HYPERLINK("Melting_Curves/meltCurve_P30086_PEBP1.pdf", "Melting_Curves/meltCurve_P30086_PEBP1.pdf")</f>
        <v>Melting_Curves/meltCurve_P30086_PEBP1.pdf</v>
      </c>
    </row>
    <row r="2102" spans="1:28" x14ac:dyDescent="0.25">
      <c r="A2102" t="s">
        <v>2106</v>
      </c>
      <c r="B2102">
        <v>0.99796759195183404</v>
      </c>
      <c r="C2102">
        <v>1.0746046940241101</v>
      </c>
      <c r="D2102">
        <v>1.00693534174772</v>
      </c>
      <c r="E2102">
        <v>1.02078234853428</v>
      </c>
      <c r="F2102">
        <v>0.93929542875063998</v>
      </c>
      <c r="G2102">
        <v>1.110922245532</v>
      </c>
      <c r="H2102">
        <v>0.65568153721896805</v>
      </c>
      <c r="I2102">
        <v>0.188964585054644</v>
      </c>
      <c r="J2102">
        <v>0.113874190480861</v>
      </c>
      <c r="K2102">
        <v>8.7639961404048297E-2</v>
      </c>
      <c r="L2102">
        <v>3419.9263484551502</v>
      </c>
      <c r="M2102">
        <v>59.069614305948001</v>
      </c>
      <c r="N2102">
        <v>58.150204664801102</v>
      </c>
      <c r="O2102">
        <v>57.830295727245201</v>
      </c>
      <c r="P2102">
        <v>-0.226355075839269</v>
      </c>
      <c r="Q2102">
        <v>0.113576386524747</v>
      </c>
      <c r="R2102">
        <v>0.98389679888922799</v>
      </c>
      <c r="S2102" t="s">
        <v>7685</v>
      </c>
      <c r="T2102" t="s">
        <v>11164</v>
      </c>
      <c r="U2102" t="s">
        <v>11164</v>
      </c>
      <c r="V2102" t="s">
        <v>11164</v>
      </c>
      <c r="W2102" t="s">
        <v>13230</v>
      </c>
      <c r="X2102">
        <v>34</v>
      </c>
      <c r="Y2102" t="s">
        <v>18744</v>
      </c>
      <c r="Z2102" t="s">
        <v>24252</v>
      </c>
      <c r="AA2102">
        <v>0.73262216597254404</v>
      </c>
      <c r="AB2102" t="str">
        <f>HYPERLINK("Melting_Curves/meltCurve_P30153_PPP2R1A.pdf", "Melting_Curves/meltCurve_P30153_PPP2R1A.pdf")</f>
        <v>Melting_Curves/meltCurve_P30153_PPP2R1A.pdf</v>
      </c>
    </row>
    <row r="2103" spans="1:28" x14ac:dyDescent="0.25">
      <c r="A2103" t="s">
        <v>2107</v>
      </c>
      <c r="B2103">
        <v>0.99796759195183404</v>
      </c>
      <c r="C2103">
        <v>1.0825277560717199</v>
      </c>
      <c r="D2103">
        <v>0.97180551376834601</v>
      </c>
      <c r="E2103">
        <v>0.862190064618648</v>
      </c>
      <c r="F2103">
        <v>0.65054109340479904</v>
      </c>
      <c r="G2103">
        <v>0.32452052899408601</v>
      </c>
      <c r="H2103">
        <v>0.22374251785354701</v>
      </c>
      <c r="I2103">
        <v>0.18267787838956401</v>
      </c>
      <c r="J2103">
        <v>0.17618511310537299</v>
      </c>
      <c r="K2103">
        <v>0.12819264623023199</v>
      </c>
      <c r="L2103">
        <v>1057.47205129134</v>
      </c>
      <c r="M2103">
        <v>20.821524252392599</v>
      </c>
      <c r="N2103">
        <v>51.6475323969972</v>
      </c>
      <c r="O2103">
        <v>50.325940369779303</v>
      </c>
      <c r="P2103">
        <v>-8.8282264067889707E-2</v>
      </c>
      <c r="Q2103">
        <v>0.146505426815389</v>
      </c>
      <c r="R2103">
        <v>0.99253922165795505</v>
      </c>
      <c r="S2103" t="s">
        <v>7686</v>
      </c>
      <c r="T2103" t="s">
        <v>11164</v>
      </c>
      <c r="U2103" t="s">
        <v>11164</v>
      </c>
      <c r="V2103" t="s">
        <v>11164</v>
      </c>
      <c r="W2103" t="s">
        <v>13231</v>
      </c>
      <c r="X2103">
        <v>17</v>
      </c>
      <c r="Y2103" t="s">
        <v>18745</v>
      </c>
      <c r="Z2103" t="s">
        <v>24253</v>
      </c>
      <c r="AA2103">
        <v>0.54920801886400261</v>
      </c>
      <c r="AB2103" t="str">
        <f>HYPERLINK("Melting_Curves/meltCurve_P30154_PPP2R1B.pdf", "Melting_Curves/meltCurve_P30154_PPP2R1B.pdf")</f>
        <v>Melting_Curves/meltCurve_P30154_PPP2R1B.pdf</v>
      </c>
    </row>
    <row r="2104" spans="1:28" x14ac:dyDescent="0.25">
      <c r="A2104" t="s">
        <v>2108</v>
      </c>
      <c r="B2104">
        <v>0.99796759195183404</v>
      </c>
      <c r="C2104">
        <v>0.98020220525076596</v>
      </c>
      <c r="D2104">
        <v>0.84607962190029895</v>
      </c>
      <c r="E2104">
        <v>1.00212343082362</v>
      </c>
      <c r="F2104">
        <v>0.77877501036946095</v>
      </c>
      <c r="G2104">
        <v>0.58338997308002405</v>
      </c>
      <c r="H2104">
        <v>0.54805320495975496</v>
      </c>
      <c r="I2104">
        <v>0.33521390232488502</v>
      </c>
      <c r="J2104">
        <v>0.34853588912715999</v>
      </c>
      <c r="K2104">
        <v>0.38509253318483</v>
      </c>
      <c r="L2104">
        <v>797.39373785137695</v>
      </c>
      <c r="M2104">
        <v>15.0819469233954</v>
      </c>
      <c r="N2104">
        <v>56.713818122549299</v>
      </c>
      <c r="O2104">
        <v>51.967366393725897</v>
      </c>
      <c r="P2104">
        <v>-4.9337760202063201E-2</v>
      </c>
      <c r="Q2104">
        <v>0.32006128308676401</v>
      </c>
      <c r="R2104">
        <v>0.94589255801738603</v>
      </c>
      <c r="S2104" t="s">
        <v>7687</v>
      </c>
      <c r="T2104" t="s">
        <v>11164</v>
      </c>
      <c r="U2104" t="s">
        <v>11164</v>
      </c>
      <c r="V2104" t="s">
        <v>11164</v>
      </c>
      <c r="W2104" t="s">
        <v>13232</v>
      </c>
      <c r="X2104">
        <v>2</v>
      </c>
      <c r="Y2104" t="s">
        <v>18746</v>
      </c>
      <c r="Z2104" t="s">
        <v>24254</v>
      </c>
      <c r="AA2104">
        <v>0.69196114288818511</v>
      </c>
      <c r="AB2104" t="str">
        <f>HYPERLINK("Melting_Curves/meltCurve_P30291_WEE1.pdf", "Melting_Curves/meltCurve_P30291_WEE1.pdf")</f>
        <v>Melting_Curves/meltCurve_P30291_WEE1.pdf</v>
      </c>
    </row>
    <row r="2105" spans="1:28" x14ac:dyDescent="0.25">
      <c r="A2105" t="s">
        <v>2109</v>
      </c>
      <c r="B2105">
        <v>0.99796759195183404</v>
      </c>
      <c r="C2105">
        <v>0.93577411970962898</v>
      </c>
      <c r="D2105">
        <v>0.91092485635461995</v>
      </c>
      <c r="E2105">
        <v>0.77505293256484098</v>
      </c>
      <c r="F2105">
        <v>0.40874496878101901</v>
      </c>
      <c r="G2105">
        <v>0.27703269869703101</v>
      </c>
      <c r="H2105">
        <v>0.177077642170551</v>
      </c>
      <c r="I2105">
        <v>0.17195323515678099</v>
      </c>
      <c r="J2105">
        <v>0.14936267520254201</v>
      </c>
      <c r="K2105">
        <v>0.114760214425214</v>
      </c>
      <c r="L2105">
        <v>908.15720712733696</v>
      </c>
      <c r="M2105">
        <v>18.664348893752202</v>
      </c>
      <c r="N2105">
        <v>49.479619524491603</v>
      </c>
      <c r="O2105">
        <v>48.109077296008103</v>
      </c>
      <c r="P2105">
        <v>-8.4060421341837402E-2</v>
      </c>
      <c r="Q2105">
        <v>0.13334316720848899</v>
      </c>
      <c r="R2105">
        <v>0.99411690937166897</v>
      </c>
      <c r="S2105" t="s">
        <v>7688</v>
      </c>
      <c r="T2105" t="s">
        <v>11164</v>
      </c>
      <c r="U2105" t="s">
        <v>11164</v>
      </c>
      <c r="V2105" t="s">
        <v>11164</v>
      </c>
      <c r="W2105" t="s">
        <v>13233</v>
      </c>
      <c r="X2105">
        <v>6</v>
      </c>
      <c r="Y2105" t="s">
        <v>18747</v>
      </c>
      <c r="Z2105" t="s">
        <v>24255</v>
      </c>
      <c r="AA2105">
        <v>0.48304932811765522</v>
      </c>
      <c r="AB2105" t="str">
        <f>HYPERLINK("Melting_Curves/meltCurve_P30307_2_CDC25C.pdf", "Melting_Curves/meltCurve_P30307_2_CDC25C.pdf")</f>
        <v>Melting_Curves/meltCurve_P30307_2_CDC25C.pdf</v>
      </c>
    </row>
    <row r="2106" spans="1:28" x14ac:dyDescent="0.25">
      <c r="A2106" t="s">
        <v>2110</v>
      </c>
      <c r="B2106">
        <v>0.99796759195183404</v>
      </c>
      <c r="C2106">
        <v>0.99878077087517603</v>
      </c>
      <c r="D2106">
        <v>0.95724236753077896</v>
      </c>
      <c r="E2106">
        <v>0.88105094147855301</v>
      </c>
      <c r="F2106">
        <v>0.73954234798734197</v>
      </c>
      <c r="G2106">
        <v>0.55384586857302698</v>
      </c>
      <c r="H2106">
        <v>0.28749878531166601</v>
      </c>
      <c r="I2106">
        <v>0.16419503903952101</v>
      </c>
      <c r="J2106">
        <v>0.15426133759437</v>
      </c>
      <c r="K2106">
        <v>0.119399028520765</v>
      </c>
      <c r="L2106">
        <v>780.62391101281503</v>
      </c>
      <c r="M2106">
        <v>14.5792632512252</v>
      </c>
      <c r="N2106">
        <v>54.005510258316598</v>
      </c>
      <c r="O2106">
        <v>52.566322479110902</v>
      </c>
      <c r="P2106">
        <v>-6.52791909417203E-2</v>
      </c>
      <c r="Q2106">
        <v>5.8635593230856799E-2</v>
      </c>
      <c r="R2106">
        <v>0.99629399866824098</v>
      </c>
      <c r="S2106" t="s">
        <v>7689</v>
      </c>
      <c r="T2106" t="s">
        <v>11164</v>
      </c>
      <c r="U2106" t="s">
        <v>11164</v>
      </c>
      <c r="V2106" t="s">
        <v>11164</v>
      </c>
      <c r="W2106" t="s">
        <v>13234</v>
      </c>
      <c r="X2106">
        <v>16</v>
      </c>
      <c r="Y2106" t="s">
        <v>18748</v>
      </c>
      <c r="Z2106" t="s">
        <v>24256</v>
      </c>
      <c r="AA2106">
        <v>0.59412555654077215</v>
      </c>
      <c r="AB2106" t="str">
        <f>HYPERLINK("Melting_Curves/meltCurve_P30405_PPIF.pdf", "Melting_Curves/meltCurve_P30405_PPIF.pdf")</f>
        <v>Melting_Curves/meltCurve_P30405_PPIF.pdf</v>
      </c>
    </row>
    <row r="2107" spans="1:28" x14ac:dyDescent="0.25">
      <c r="A2107" t="s">
        <v>2111</v>
      </c>
      <c r="B2107">
        <v>0.99796759195183404</v>
      </c>
      <c r="C2107">
        <v>1.00306811064847</v>
      </c>
      <c r="D2107">
        <v>1.0028907337211901</v>
      </c>
      <c r="E2107">
        <v>0.91488530904554599</v>
      </c>
      <c r="F2107">
        <v>0.729670831859487</v>
      </c>
      <c r="G2107">
        <v>0.67534508624613498</v>
      </c>
      <c r="H2107">
        <v>0.417499617688806</v>
      </c>
      <c r="I2107">
        <v>0.12757309284971899</v>
      </c>
      <c r="J2107">
        <v>9.1850030173772093E-2</v>
      </c>
      <c r="K2107">
        <v>6.37801105278549E-2</v>
      </c>
      <c r="L2107">
        <v>821.45460259102595</v>
      </c>
      <c r="M2107">
        <v>14.851767769541301</v>
      </c>
      <c r="N2107">
        <v>55.310224523207701</v>
      </c>
      <c r="O2107">
        <v>54.336501300522798</v>
      </c>
      <c r="P2107">
        <v>-6.8339546140287394E-2</v>
      </c>
      <c r="Q2107">
        <v>0</v>
      </c>
      <c r="R2107">
        <v>0.98390327760816298</v>
      </c>
      <c r="S2107" t="s">
        <v>7690</v>
      </c>
      <c r="T2107" t="s">
        <v>11164</v>
      </c>
      <c r="U2107" t="s">
        <v>11164</v>
      </c>
      <c r="V2107" t="s">
        <v>11164</v>
      </c>
      <c r="W2107" t="s">
        <v>13235</v>
      </c>
      <c r="X2107">
        <v>11</v>
      </c>
      <c r="Y2107" t="s">
        <v>18749</v>
      </c>
      <c r="Z2107" t="s">
        <v>24257</v>
      </c>
      <c r="AA2107">
        <v>0.62371910056955848</v>
      </c>
      <c r="AB2107" t="str">
        <f>HYPERLINK("Melting_Curves/meltCurve_P30419_NMT1.pdf", "Melting_Curves/meltCurve_P30419_NMT1.pdf")</f>
        <v>Melting_Curves/meltCurve_P30419_NMT1.pdf</v>
      </c>
    </row>
    <row r="2108" spans="1:28" x14ac:dyDescent="0.25">
      <c r="A2108" t="s">
        <v>2112</v>
      </c>
      <c r="B2108">
        <v>0.99796759195183404</v>
      </c>
      <c r="C2108">
        <v>1.0166169887599199</v>
      </c>
      <c r="D2108">
        <v>1.03816203377017</v>
      </c>
      <c r="E2108">
        <v>0.97522669908270199</v>
      </c>
      <c r="F2108">
        <v>0.79826698411760899</v>
      </c>
      <c r="G2108">
        <v>0.30239924042927202</v>
      </c>
      <c r="H2108">
        <v>0.19032094452617199</v>
      </c>
      <c r="I2108">
        <v>0.15672694751149699</v>
      </c>
      <c r="J2108">
        <v>0.137528428649003</v>
      </c>
      <c r="K2108">
        <v>9.9955932006711101E-2</v>
      </c>
      <c r="L2108">
        <v>1882.9321766670801</v>
      </c>
      <c r="M2108">
        <v>36.3583847463673</v>
      </c>
      <c r="N2108">
        <v>52.247990132916598</v>
      </c>
      <c r="O2108">
        <v>51.632195490551801</v>
      </c>
      <c r="P2108">
        <v>-0.15194021735008401</v>
      </c>
      <c r="Q2108">
        <v>0.13692719974727699</v>
      </c>
      <c r="R2108">
        <v>0.99718511865989201</v>
      </c>
      <c r="S2108" t="s">
        <v>7691</v>
      </c>
      <c r="T2108" t="s">
        <v>11164</v>
      </c>
      <c r="U2108" t="s">
        <v>11164</v>
      </c>
      <c r="V2108" t="s">
        <v>11164</v>
      </c>
      <c r="W2108" t="s">
        <v>13236</v>
      </c>
      <c r="X2108">
        <v>19</v>
      </c>
      <c r="Y2108" t="s">
        <v>18750</v>
      </c>
      <c r="Z2108" t="s">
        <v>24258</v>
      </c>
      <c r="AA2108">
        <v>0.5660961803122877</v>
      </c>
      <c r="AB2108" t="str">
        <f>HYPERLINK("Melting_Curves/meltCurve_P30519_HMOX2.pdf", "Melting_Curves/meltCurve_P30519_HMOX2.pdf")</f>
        <v>Melting_Curves/meltCurve_P30519_HMOX2.pdf</v>
      </c>
    </row>
    <row r="2109" spans="1:28" x14ac:dyDescent="0.25">
      <c r="A2109" t="s">
        <v>2113</v>
      </c>
      <c r="B2109">
        <v>0.99796759195183404</v>
      </c>
      <c r="C2109">
        <v>1.01114138897707</v>
      </c>
      <c r="D2109">
        <v>0.97671270929587695</v>
      </c>
      <c r="E2109">
        <v>0.96493087634865204</v>
      </c>
      <c r="F2109">
        <v>0.84887687466335604</v>
      </c>
      <c r="G2109">
        <v>0.79567402573938595</v>
      </c>
      <c r="H2109">
        <v>0.699604704861986</v>
      </c>
      <c r="I2109">
        <v>0.45922425394135402</v>
      </c>
      <c r="J2109">
        <v>0.15612573957699899</v>
      </c>
      <c r="K2109">
        <v>0.104840847384366</v>
      </c>
      <c r="L2109">
        <v>956.12319120271695</v>
      </c>
      <c r="M2109">
        <v>16.095474228394</v>
      </c>
      <c r="N2109">
        <v>59.403232617459501</v>
      </c>
      <c r="O2109">
        <v>58.508951055350003</v>
      </c>
      <c r="P2109">
        <v>-6.87788139986171E-2</v>
      </c>
      <c r="Q2109">
        <v>0</v>
      </c>
      <c r="R2109">
        <v>0.97302497639256402</v>
      </c>
      <c r="S2109" t="s">
        <v>7692</v>
      </c>
      <c r="T2109" t="s">
        <v>11164</v>
      </c>
      <c r="U2109" t="s">
        <v>11164</v>
      </c>
      <c r="V2109" t="s">
        <v>11164</v>
      </c>
      <c r="W2109" t="s">
        <v>13237</v>
      </c>
      <c r="X2109">
        <v>26</v>
      </c>
      <c r="Y2109" t="s">
        <v>18751</v>
      </c>
      <c r="Z2109" t="s">
        <v>24259</v>
      </c>
      <c r="AA2109">
        <v>0.7456101736316193</v>
      </c>
      <c r="AB2109" t="str">
        <f>HYPERLINK("Melting_Curves/meltCurve_P30520_ADSS.pdf", "Melting_Curves/meltCurve_P30520_ADSS.pdf")</f>
        <v>Melting_Curves/meltCurve_P30520_ADSS.pdf</v>
      </c>
    </row>
    <row r="2110" spans="1:28" x14ac:dyDescent="0.25">
      <c r="A2110" t="s">
        <v>2114</v>
      </c>
      <c r="B2110">
        <v>0.99796759195183404</v>
      </c>
      <c r="C2110">
        <v>1.0991421718271499</v>
      </c>
      <c r="D2110">
        <v>1.0323924664145701</v>
      </c>
      <c r="E2110">
        <v>1.0175742404655701</v>
      </c>
      <c r="F2110">
        <v>0.90509700951003402</v>
      </c>
      <c r="G2110">
        <v>0.63610009047163896</v>
      </c>
      <c r="H2110">
        <v>0.68955351413921795</v>
      </c>
      <c r="I2110">
        <v>0.55373261649980599</v>
      </c>
      <c r="J2110">
        <v>0.61226478366042403</v>
      </c>
      <c r="K2110">
        <v>0.61766079510726701</v>
      </c>
      <c r="L2110">
        <v>2936.9334081588599</v>
      </c>
      <c r="M2110">
        <v>57.392796027590499</v>
      </c>
      <c r="O2110">
        <v>51.1104997318022</v>
      </c>
      <c r="P2110">
        <v>-0.107423406041146</v>
      </c>
      <c r="Q2110">
        <v>0.61734147872353795</v>
      </c>
      <c r="R2110">
        <v>0.949750833593487</v>
      </c>
      <c r="S2110" t="s">
        <v>7693</v>
      </c>
      <c r="T2110" t="s">
        <v>11164</v>
      </c>
      <c r="U2110" t="s">
        <v>11164</v>
      </c>
      <c r="V2110" t="s">
        <v>11164</v>
      </c>
      <c r="W2110" t="s">
        <v>13238</v>
      </c>
      <c r="X2110">
        <v>15</v>
      </c>
      <c r="Y2110" t="s">
        <v>18752</v>
      </c>
      <c r="Z2110" t="s">
        <v>24260</v>
      </c>
      <c r="AA2110">
        <v>0.79877051379745079</v>
      </c>
      <c r="AB2110" t="str">
        <f>HYPERLINK("Melting_Curves/meltCurve_P30533_LRPAP1.pdf", "Melting_Curves/meltCurve_P30533_LRPAP1.pdf")</f>
        <v>Melting_Curves/meltCurve_P30533_LRPAP1.pdf</v>
      </c>
    </row>
    <row r="2111" spans="1:28" x14ac:dyDescent="0.25">
      <c r="A2111" t="s">
        <v>2115</v>
      </c>
      <c r="B2111">
        <v>0.99796759195183404</v>
      </c>
      <c r="C2111">
        <v>1.00603521088688</v>
      </c>
      <c r="D2111">
        <v>0.99094949171083802</v>
      </c>
      <c r="E2111">
        <v>0.94514139119594998</v>
      </c>
      <c r="F2111">
        <v>0.92697176189532804</v>
      </c>
      <c r="G2111">
        <v>1.4485193560479701</v>
      </c>
      <c r="H2111">
        <v>1.3355906052894999</v>
      </c>
      <c r="I2111">
        <v>1.3300813005623</v>
      </c>
      <c r="J2111">
        <v>1.00953278982691</v>
      </c>
      <c r="K2111">
        <v>0.104990682545562</v>
      </c>
      <c r="L2111">
        <v>15000</v>
      </c>
      <c r="M2111">
        <v>226.02317957447201</v>
      </c>
      <c r="N2111">
        <v>66.364882333652105</v>
      </c>
      <c r="O2111">
        <v>66.359661476506503</v>
      </c>
      <c r="P2111">
        <v>-0.851507959239031</v>
      </c>
      <c r="Q2111">
        <v>0</v>
      </c>
      <c r="R2111">
        <v>0.64974966476822105</v>
      </c>
      <c r="S2111" t="s">
        <v>7694</v>
      </c>
      <c r="T2111" t="s">
        <v>11164</v>
      </c>
      <c r="U2111" t="s">
        <v>11164</v>
      </c>
      <c r="V2111" t="s">
        <v>11164</v>
      </c>
      <c r="W2111" t="s">
        <v>13239</v>
      </c>
      <c r="X2111">
        <v>15</v>
      </c>
      <c r="Y2111" t="s">
        <v>18753</v>
      </c>
      <c r="Z2111" t="s">
        <v>24261</v>
      </c>
      <c r="AA2111">
        <v>0.97785445055025966</v>
      </c>
      <c r="AB2111" t="str">
        <f>HYPERLINK("Melting_Curves/meltCurve_P30566_ADSL.pdf", "Melting_Curves/meltCurve_P30566_ADSL.pdf")</f>
        <v>Melting_Curves/meltCurve_P30566_ADSL.pdf</v>
      </c>
    </row>
    <row r="2112" spans="1:28" x14ac:dyDescent="0.25">
      <c r="A2112" t="s">
        <v>2116</v>
      </c>
      <c r="B2112">
        <v>0.99796759195183404</v>
      </c>
      <c r="C2112">
        <v>0.98487389744147003</v>
      </c>
      <c r="D2112">
        <v>0.90165876948279</v>
      </c>
      <c r="E2112">
        <v>1.0006503765863499</v>
      </c>
      <c r="F2112">
        <v>0.95893953772437901</v>
      </c>
      <c r="G2112">
        <v>1.2711851865556301</v>
      </c>
      <c r="H2112">
        <v>1.7166259972237901</v>
      </c>
      <c r="I2112">
        <v>4.4836522408269204</v>
      </c>
      <c r="J2112">
        <v>0.75580239081544698</v>
      </c>
      <c r="K2112">
        <v>0.46548036396414399</v>
      </c>
      <c r="L2112">
        <v>13440.85993011</v>
      </c>
      <c r="M2112">
        <v>250</v>
      </c>
      <c r="O2112">
        <v>53.759999242177898</v>
      </c>
      <c r="P2112">
        <v>0.58128721152964002</v>
      </c>
      <c r="Q2112">
        <v>1.5</v>
      </c>
      <c r="R2112">
        <v>0.10518112572399101</v>
      </c>
      <c r="S2112" t="s">
        <v>7695</v>
      </c>
      <c r="T2112" t="s">
        <v>11164</v>
      </c>
      <c r="U2112" t="s">
        <v>11164</v>
      </c>
      <c r="V2112" t="s">
        <v>11164</v>
      </c>
      <c r="W2112" t="s">
        <v>13240</v>
      </c>
      <c r="X2112">
        <v>5</v>
      </c>
      <c r="Y2112" t="s">
        <v>18754</v>
      </c>
      <c r="Z2112" t="s">
        <v>24262</v>
      </c>
      <c r="AA2112">
        <v>1.220562160992684</v>
      </c>
      <c r="AB2112" t="str">
        <f>HYPERLINK("Melting_Curves/meltCurve_P30613_2_PKLR.pdf", "Melting_Curves/meltCurve_P30613_2_PKLR.pdf")</f>
        <v>Melting_Curves/meltCurve_P30613_2_PKLR.pdf</v>
      </c>
    </row>
    <row r="2113" spans="1:28" x14ac:dyDescent="0.25">
      <c r="A2113" t="s">
        <v>2117</v>
      </c>
      <c r="B2113">
        <v>0.99796759195183404</v>
      </c>
      <c r="C2113">
        <v>0.96700362211026403</v>
      </c>
      <c r="D2113">
        <v>0.93909485409139504</v>
      </c>
      <c r="E2113">
        <v>0.90433683392987496</v>
      </c>
      <c r="F2113">
        <v>0.83667361866513701</v>
      </c>
      <c r="G2113">
        <v>0.73188815460832102</v>
      </c>
      <c r="H2113">
        <v>0.65744273961539001</v>
      </c>
      <c r="I2113">
        <v>0.53451611859844295</v>
      </c>
      <c r="J2113">
        <v>0.495079560403063</v>
      </c>
      <c r="K2113">
        <v>0.32476847127512498</v>
      </c>
      <c r="L2113">
        <v>427.68689241771398</v>
      </c>
      <c r="M2113">
        <v>6.8802480205835899</v>
      </c>
      <c r="N2113">
        <v>62.161551341272599</v>
      </c>
      <c r="O2113">
        <v>57.5463258481238</v>
      </c>
      <c r="P2113">
        <v>-2.99490688489263E-2</v>
      </c>
      <c r="Q2113">
        <v>0</v>
      </c>
      <c r="R2113">
        <v>0.98728024184684904</v>
      </c>
      <c r="S2113" t="s">
        <v>7696</v>
      </c>
      <c r="T2113" t="s">
        <v>11164</v>
      </c>
      <c r="U2113" t="s">
        <v>11164</v>
      </c>
      <c r="V2113" t="s">
        <v>11164</v>
      </c>
      <c r="W2113" t="s">
        <v>13241</v>
      </c>
      <c r="X2113">
        <v>42</v>
      </c>
      <c r="Y2113" t="s">
        <v>18755</v>
      </c>
      <c r="Z2113" t="s">
        <v>24263</v>
      </c>
      <c r="AA2113">
        <v>0.7513062380616381</v>
      </c>
      <c r="AB2113" t="str">
        <f>HYPERLINK("Melting_Curves/meltCurve_P30622_1_CLIP1.pdf", "Melting_Curves/meltCurve_P30622_1_CLIP1.pdf")</f>
        <v>Melting_Curves/meltCurve_P30622_1_CLIP1.pdf</v>
      </c>
    </row>
    <row r="2114" spans="1:28" x14ac:dyDescent="0.25">
      <c r="A2114" t="s">
        <v>2118</v>
      </c>
      <c r="B2114">
        <v>0.99796759195183404</v>
      </c>
      <c r="C2114">
        <v>0.98908108873656098</v>
      </c>
      <c r="D2114">
        <v>0.97613653266848499</v>
      </c>
      <c r="E2114">
        <v>0.86124910143030098</v>
      </c>
      <c r="F2114">
        <v>0.68464602574933497</v>
      </c>
      <c r="G2114">
        <v>0.51511620039845296</v>
      </c>
      <c r="H2114">
        <v>0.30218842250803701</v>
      </c>
      <c r="I2114">
        <v>0.18779174100351401</v>
      </c>
      <c r="J2114">
        <v>0.16143268469904101</v>
      </c>
      <c r="K2114">
        <v>0.11290886581833</v>
      </c>
      <c r="L2114">
        <v>695.45128136876497</v>
      </c>
      <c r="M2114">
        <v>13.092769337521</v>
      </c>
      <c r="N2114">
        <v>53.602110644958202</v>
      </c>
      <c r="O2114">
        <v>51.923865882118399</v>
      </c>
      <c r="P2114">
        <v>-5.9527993034231501E-2</v>
      </c>
      <c r="Q2114">
        <v>5.58472151011205E-2</v>
      </c>
      <c r="R2114">
        <v>0.99845414685012202</v>
      </c>
      <c r="S2114" t="s">
        <v>7697</v>
      </c>
      <c r="T2114" t="s">
        <v>11164</v>
      </c>
      <c r="U2114" t="s">
        <v>11164</v>
      </c>
      <c r="V2114" t="s">
        <v>11164</v>
      </c>
      <c r="W2114" t="s">
        <v>13242</v>
      </c>
      <c r="X2114">
        <v>9</v>
      </c>
      <c r="Y2114" t="s">
        <v>18756</v>
      </c>
      <c r="Z2114" t="s">
        <v>24264</v>
      </c>
      <c r="AA2114">
        <v>0.58169839847504412</v>
      </c>
      <c r="AB2114" t="str">
        <f>HYPERLINK("Melting_Curves/meltCurve_P30740_SERPINB1.pdf", "Melting_Curves/meltCurve_P30740_SERPINB1.pdf")</f>
        <v>Melting_Curves/meltCurve_P30740_SERPINB1.pdf</v>
      </c>
    </row>
    <row r="2115" spans="1:28" x14ac:dyDescent="0.25">
      <c r="A2115" t="s">
        <v>2119</v>
      </c>
      <c r="B2115">
        <v>0.99796759195183404</v>
      </c>
      <c r="C2115">
        <v>0.80903451364119905</v>
      </c>
      <c r="D2115">
        <v>0.73635098583485004</v>
      </c>
      <c r="E2115">
        <v>1.0402623216570099</v>
      </c>
      <c r="F2115">
        <v>0.84111159489353704</v>
      </c>
      <c r="G2115">
        <v>0.67956185755297305</v>
      </c>
      <c r="H2115">
        <v>0.99574088678724104</v>
      </c>
      <c r="I2115">
        <v>0.96610055940297401</v>
      </c>
      <c r="J2115">
        <v>1.18293902463533</v>
      </c>
      <c r="K2115">
        <v>1.3209164472646799</v>
      </c>
      <c r="L2115">
        <v>15000</v>
      </c>
      <c r="M2115">
        <v>234.29133427184399</v>
      </c>
      <c r="O2115">
        <v>64.018189788352899</v>
      </c>
      <c r="P2115">
        <v>0.293628663859971</v>
      </c>
      <c r="Q2115">
        <v>1.3209265171278</v>
      </c>
      <c r="R2115">
        <v>0.332607589434606</v>
      </c>
      <c r="S2115" t="s">
        <v>7698</v>
      </c>
      <c r="T2115" t="s">
        <v>11164</v>
      </c>
      <c r="U2115" t="s">
        <v>11164</v>
      </c>
      <c r="V2115" t="s">
        <v>11164</v>
      </c>
      <c r="W2115" t="s">
        <v>13243</v>
      </c>
      <c r="X2115">
        <v>5</v>
      </c>
      <c r="Y2115" t="s">
        <v>18757</v>
      </c>
      <c r="Z2115" t="s">
        <v>24265</v>
      </c>
      <c r="AA2115">
        <v>1.0318072042994391</v>
      </c>
      <c r="AB2115" t="str">
        <f>HYPERLINK("Melting_Curves/meltCurve_P30825_SLC7A1.pdf", "Melting_Curves/meltCurve_P30825_SLC7A1.pdf")</f>
        <v>Melting_Curves/meltCurve_P30825_SLC7A1.pdf</v>
      </c>
    </row>
    <row r="2116" spans="1:28" x14ac:dyDescent="0.25">
      <c r="A2116" t="s">
        <v>2120</v>
      </c>
      <c r="B2116">
        <v>0.99796759195183404</v>
      </c>
      <c r="C2116">
        <v>0.95258130092327697</v>
      </c>
      <c r="D2116">
        <v>0.94315763078847004</v>
      </c>
      <c r="E2116">
        <v>0.95864409088477698</v>
      </c>
      <c r="F2116">
        <v>0.93166073107534197</v>
      </c>
      <c r="G2116">
        <v>1.1662308794949301</v>
      </c>
      <c r="H2116">
        <v>0.51727759023973197</v>
      </c>
      <c r="I2116">
        <v>0.194195621335468</v>
      </c>
      <c r="J2116">
        <v>0.161239484220111</v>
      </c>
      <c r="K2116">
        <v>0.127716254987364</v>
      </c>
      <c r="L2116">
        <v>14332.5577191422</v>
      </c>
      <c r="M2116">
        <v>250</v>
      </c>
      <c r="N2116">
        <v>57.419506727209303</v>
      </c>
      <c r="O2116">
        <v>57.326542259755001</v>
      </c>
      <c r="P2116">
        <v>-0.91466068890774599</v>
      </c>
      <c r="Q2116">
        <v>0.16105035455542399</v>
      </c>
      <c r="R2116">
        <v>0.97136300930786001</v>
      </c>
      <c r="S2116" t="s">
        <v>7699</v>
      </c>
      <c r="T2116" t="s">
        <v>11164</v>
      </c>
      <c r="U2116" t="s">
        <v>11164</v>
      </c>
      <c r="V2116" t="s">
        <v>11164</v>
      </c>
      <c r="W2116" t="s">
        <v>13244</v>
      </c>
      <c r="X2116">
        <v>11</v>
      </c>
      <c r="Y2116" t="s">
        <v>18758</v>
      </c>
      <c r="Z2116" t="s">
        <v>24266</v>
      </c>
      <c r="AA2116">
        <v>0.72966943054239297</v>
      </c>
      <c r="AB2116" t="str">
        <f>HYPERLINK("Melting_Curves/meltCurve_P30837_ALDH1B1.pdf", "Melting_Curves/meltCurve_P30837_ALDH1B1.pdf")</f>
        <v>Melting_Curves/meltCurve_P30837_ALDH1B1.pdf</v>
      </c>
    </row>
    <row r="2117" spans="1:28" x14ac:dyDescent="0.25">
      <c r="A2117" t="s">
        <v>2121</v>
      </c>
      <c r="B2117">
        <v>0.99796759195183404</v>
      </c>
      <c r="C2117">
        <v>1.0150025523597099</v>
      </c>
      <c r="D2117">
        <v>0.99470771497746602</v>
      </c>
      <c r="E2117">
        <v>0.99319061215644799</v>
      </c>
      <c r="F2117">
        <v>0.86730569668587298</v>
      </c>
      <c r="G2117">
        <v>0.86809032321065405</v>
      </c>
      <c r="H2117">
        <v>0.86438136414413902</v>
      </c>
      <c r="I2117">
        <v>0.70571608994143697</v>
      </c>
      <c r="J2117">
        <v>0.53172121765429303</v>
      </c>
      <c r="K2117">
        <v>0.134023550968247</v>
      </c>
      <c r="L2117">
        <v>1337.9857532994299</v>
      </c>
      <c r="M2117">
        <v>21.1196254716106</v>
      </c>
      <c r="N2117">
        <v>63.352721607962899</v>
      </c>
      <c r="O2117">
        <v>62.792932913866601</v>
      </c>
      <c r="P2117">
        <v>-8.40866109374514E-2</v>
      </c>
      <c r="Q2117">
        <v>0</v>
      </c>
      <c r="R2117">
        <v>0.92823041661514205</v>
      </c>
      <c r="S2117" t="s">
        <v>7700</v>
      </c>
      <c r="T2117" t="s">
        <v>11164</v>
      </c>
      <c r="U2117" t="s">
        <v>11164</v>
      </c>
      <c r="V2117" t="s">
        <v>11164</v>
      </c>
      <c r="W2117" t="s">
        <v>13245</v>
      </c>
      <c r="X2117">
        <v>36</v>
      </c>
      <c r="Y2117" t="s">
        <v>18759</v>
      </c>
      <c r="Z2117" t="s">
        <v>24267</v>
      </c>
      <c r="AA2117">
        <v>0.85979160895702378</v>
      </c>
      <c r="AB2117" t="str">
        <f>HYPERLINK("Melting_Curves/meltCurve_P31040_SDHA.pdf", "Melting_Curves/meltCurve_P31040_SDHA.pdf")</f>
        <v>Melting_Curves/meltCurve_P31040_SDHA.pdf</v>
      </c>
    </row>
    <row r="2118" spans="1:28" x14ac:dyDescent="0.25">
      <c r="A2118" t="s">
        <v>2122</v>
      </c>
      <c r="B2118">
        <v>0.99796759195183404</v>
      </c>
      <c r="C2118">
        <v>0.97361856090797805</v>
      </c>
      <c r="D2118">
        <v>0.90036047906762695</v>
      </c>
      <c r="E2118">
        <v>0.87314014521761096</v>
      </c>
      <c r="F2118">
        <v>0.76807319300569699</v>
      </c>
      <c r="G2118">
        <v>0.29110686729754898</v>
      </c>
      <c r="H2118">
        <v>0.168510186616464</v>
      </c>
      <c r="I2118">
        <v>0.112338866040349</v>
      </c>
      <c r="J2118">
        <v>0.122348706571264</v>
      </c>
      <c r="K2118">
        <v>8.4860779130420796E-2</v>
      </c>
      <c r="L2118">
        <v>1388.1858410119901</v>
      </c>
      <c r="M2118">
        <v>26.865343512313</v>
      </c>
      <c r="N2118">
        <v>52.093283231174603</v>
      </c>
      <c r="O2118">
        <v>51.3882389429018</v>
      </c>
      <c r="P2118">
        <v>-0.117937488966023</v>
      </c>
      <c r="Q2118">
        <v>9.7642125802576404E-2</v>
      </c>
      <c r="R2118">
        <v>0.98546460851961204</v>
      </c>
      <c r="S2118" t="s">
        <v>7701</v>
      </c>
      <c r="T2118" t="s">
        <v>11164</v>
      </c>
      <c r="U2118" t="s">
        <v>11164</v>
      </c>
      <c r="V2118" t="s">
        <v>11164</v>
      </c>
      <c r="W2118" t="s">
        <v>13246</v>
      </c>
      <c r="X2118">
        <v>5</v>
      </c>
      <c r="Y2118" t="s">
        <v>18760</v>
      </c>
      <c r="Z2118" t="s">
        <v>24268</v>
      </c>
      <c r="AA2118">
        <v>0.54595036025957955</v>
      </c>
      <c r="AB2118" t="str">
        <f>HYPERLINK("Melting_Curves/meltCurve_P31146_CORO1A.pdf", "Melting_Curves/meltCurve_P31146_CORO1A.pdf")</f>
        <v>Melting_Curves/meltCurve_P31146_CORO1A.pdf</v>
      </c>
    </row>
    <row r="2119" spans="1:28" x14ac:dyDescent="0.25">
      <c r="A2119" t="s">
        <v>2123</v>
      </c>
      <c r="B2119">
        <v>0.99796759195183404</v>
      </c>
      <c r="C2119">
        <v>1.09907673350774</v>
      </c>
      <c r="D2119">
        <v>1.0585068718142301</v>
      </c>
      <c r="E2119">
        <v>1.02089013864032</v>
      </c>
      <c r="F2119">
        <v>0.94327057410411297</v>
      </c>
      <c r="G2119">
        <v>0.80916801392702498</v>
      </c>
      <c r="H2119">
        <v>0.56169575492101698</v>
      </c>
      <c r="I2119">
        <v>0.221740269477432</v>
      </c>
      <c r="J2119">
        <v>0.156813798665451</v>
      </c>
      <c r="K2119">
        <v>0.122136796860325</v>
      </c>
      <c r="L2119">
        <v>1308.3186002534901</v>
      </c>
      <c r="M2119">
        <v>22.845005389022099</v>
      </c>
      <c r="N2119">
        <v>57.6931477788835</v>
      </c>
      <c r="O2119">
        <v>56.835946934331901</v>
      </c>
      <c r="P2119">
        <v>-9.2726758118148303E-2</v>
      </c>
      <c r="Q2119">
        <v>7.7240540140210506E-2</v>
      </c>
      <c r="R2119">
        <v>0.98762192369406998</v>
      </c>
      <c r="S2119" t="s">
        <v>7702</v>
      </c>
      <c r="T2119" t="s">
        <v>11164</v>
      </c>
      <c r="U2119" t="s">
        <v>11164</v>
      </c>
      <c r="V2119" t="s">
        <v>11164</v>
      </c>
      <c r="W2119" t="s">
        <v>13247</v>
      </c>
      <c r="X2119">
        <v>30</v>
      </c>
      <c r="Y2119" t="s">
        <v>18761</v>
      </c>
      <c r="Z2119" t="s">
        <v>24269</v>
      </c>
      <c r="AA2119">
        <v>0.70789549475562263</v>
      </c>
      <c r="AB2119" t="str">
        <f>HYPERLINK("Melting_Curves/meltCurve_P31150_GDI1.pdf", "Melting_Curves/meltCurve_P31150_GDI1.pdf")</f>
        <v>Melting_Curves/meltCurve_P31150_GDI1.pdf</v>
      </c>
    </row>
    <row r="2120" spans="1:28" x14ac:dyDescent="0.25">
      <c r="A2120" t="s">
        <v>2124</v>
      </c>
      <c r="B2120">
        <v>0.99796759195183404</v>
      </c>
      <c r="C2120">
        <v>1.00051868095077</v>
      </c>
      <c r="D2120">
        <v>0.95537720477147303</v>
      </c>
      <c r="E2120">
        <v>0.97030984487696703</v>
      </c>
      <c r="F2120">
        <v>0.91730346999411105</v>
      </c>
      <c r="G2120">
        <v>1.11449400267479</v>
      </c>
      <c r="H2120">
        <v>0.73331207916387997</v>
      </c>
      <c r="I2120">
        <v>0.63855116053658501</v>
      </c>
      <c r="J2120">
        <v>0.43686475054996099</v>
      </c>
      <c r="K2120">
        <v>0.29568648953246901</v>
      </c>
      <c r="L2120">
        <v>1223.4700252692301</v>
      </c>
      <c r="M2120">
        <v>19.9643867556053</v>
      </c>
      <c r="N2120">
        <v>62.717221205700298</v>
      </c>
      <c r="O2120">
        <v>60.677707458005202</v>
      </c>
      <c r="P2120">
        <v>-6.7180163018587896E-2</v>
      </c>
      <c r="Q2120">
        <v>0.183304870789816</v>
      </c>
      <c r="R2120">
        <v>0.93149886333926801</v>
      </c>
      <c r="S2120" t="s">
        <v>7703</v>
      </c>
      <c r="T2120" t="s">
        <v>11164</v>
      </c>
      <c r="U2120" t="s">
        <v>11164</v>
      </c>
      <c r="V2120" t="s">
        <v>11164</v>
      </c>
      <c r="W2120" t="s">
        <v>13248</v>
      </c>
      <c r="X2120">
        <v>20</v>
      </c>
      <c r="Y2120" t="s">
        <v>18762</v>
      </c>
      <c r="Z2120" t="s">
        <v>24270</v>
      </c>
      <c r="AA2120">
        <v>0.83961516586677332</v>
      </c>
      <c r="AB2120" t="str">
        <f>HYPERLINK("Melting_Curves/meltCurve_P31153_MAT2A.pdf", "Melting_Curves/meltCurve_P31153_MAT2A.pdf")</f>
        <v>Melting_Curves/meltCurve_P31153_MAT2A.pdf</v>
      </c>
    </row>
    <row r="2121" spans="1:28" x14ac:dyDescent="0.25">
      <c r="A2121" t="s">
        <v>2125</v>
      </c>
      <c r="B2121">
        <v>0.99796759195183404</v>
      </c>
      <c r="C2121">
        <v>0.94348303056393601</v>
      </c>
      <c r="D2121">
        <v>0.89959331278883703</v>
      </c>
      <c r="E2121">
        <v>0.945939998288996</v>
      </c>
      <c r="F2121">
        <v>0.73053715499229499</v>
      </c>
      <c r="G2121">
        <v>0.35716268708493198</v>
      </c>
      <c r="H2121">
        <v>0.27323745543005701</v>
      </c>
      <c r="I2121">
        <v>0.135589102239491</v>
      </c>
      <c r="J2121">
        <v>9.6705225370564904E-2</v>
      </c>
      <c r="K2121">
        <v>0.10935860101928099</v>
      </c>
      <c r="L2121">
        <v>1041.5633868459799</v>
      </c>
      <c r="M2121">
        <v>20.007355139990398</v>
      </c>
      <c r="N2121">
        <v>52.622096225777902</v>
      </c>
      <c r="O2121">
        <v>51.547317622840701</v>
      </c>
      <c r="P2121">
        <v>-8.7686676351863196E-2</v>
      </c>
      <c r="Q2121">
        <v>9.6359111950327203E-2</v>
      </c>
      <c r="R2121">
        <v>0.98691500193470205</v>
      </c>
      <c r="S2121" t="s">
        <v>7704</v>
      </c>
      <c r="T2121" t="s">
        <v>11164</v>
      </c>
      <c r="U2121" t="s">
        <v>11164</v>
      </c>
      <c r="V2121" t="s">
        <v>11164</v>
      </c>
      <c r="W2121" t="s">
        <v>13249</v>
      </c>
      <c r="X2121">
        <v>12</v>
      </c>
      <c r="Y2121" t="s">
        <v>18763</v>
      </c>
      <c r="Z2121" t="s">
        <v>24271</v>
      </c>
      <c r="AA2121">
        <v>0.56160751740773029</v>
      </c>
      <c r="AB2121" t="str">
        <f>HYPERLINK("Melting_Curves/meltCurve_P31323_PRKAR2B.pdf", "Melting_Curves/meltCurve_P31323_PRKAR2B.pdf")</f>
        <v>Melting_Curves/meltCurve_P31323_PRKAR2B.pdf</v>
      </c>
    </row>
    <row r="2122" spans="1:28" x14ac:dyDescent="0.25">
      <c r="A2122" t="s">
        <v>2126</v>
      </c>
      <c r="B2122">
        <v>0.99796759195183404</v>
      </c>
      <c r="C2122">
        <v>0.97534003999742103</v>
      </c>
      <c r="D2122">
        <v>0.88731651040793302</v>
      </c>
      <c r="E2122">
        <v>0.89509408970301596</v>
      </c>
      <c r="F2122">
        <v>0.76030960064638498</v>
      </c>
      <c r="G2122">
        <v>0.61406157994487798</v>
      </c>
      <c r="H2122">
        <v>0.29036499154579798</v>
      </c>
      <c r="I2122">
        <v>0.18848494602924401</v>
      </c>
      <c r="J2122">
        <v>0.16173880339456501</v>
      </c>
      <c r="K2122">
        <v>0.10165691562611</v>
      </c>
      <c r="L2122">
        <v>708.480743516698</v>
      </c>
      <c r="M2122">
        <v>12.996272814907501</v>
      </c>
      <c r="N2122">
        <v>54.621988878535099</v>
      </c>
      <c r="O2122">
        <v>53.271864083159301</v>
      </c>
      <c r="P2122">
        <v>-6.0228445163798598E-2</v>
      </c>
      <c r="Q2122">
        <v>1.2666122092265499E-2</v>
      </c>
      <c r="R2122">
        <v>0.98636556804909503</v>
      </c>
      <c r="S2122" t="s">
        <v>7705</v>
      </c>
      <c r="T2122" t="s">
        <v>11164</v>
      </c>
      <c r="U2122" t="s">
        <v>11164</v>
      </c>
      <c r="V2122" t="s">
        <v>11164</v>
      </c>
      <c r="W2122" t="s">
        <v>13250</v>
      </c>
      <c r="X2122">
        <v>9</v>
      </c>
      <c r="Y2122" t="s">
        <v>18764</v>
      </c>
      <c r="Z2122" t="s">
        <v>24272</v>
      </c>
      <c r="AA2122">
        <v>0.604887236626105</v>
      </c>
      <c r="AB2122" t="str">
        <f>HYPERLINK("Melting_Curves/meltCurve_P31327_CPS1.pdf", "Melting_Curves/meltCurve_P31327_CPS1.pdf")</f>
        <v>Melting_Curves/meltCurve_P31327_CPS1.pdf</v>
      </c>
    </row>
    <row r="2123" spans="1:28" x14ac:dyDescent="0.25">
      <c r="A2123" t="s">
        <v>2127</v>
      </c>
      <c r="B2123">
        <v>0.99796759195183404</v>
      </c>
      <c r="C2123">
        <v>0.99896572080543</v>
      </c>
      <c r="D2123">
        <v>0.98375377182623602</v>
      </c>
      <c r="E2123">
        <v>0.94482946902867204</v>
      </c>
      <c r="F2123">
        <v>0.81628767706793703</v>
      </c>
      <c r="G2123">
        <v>0.71398905210469299</v>
      </c>
      <c r="H2123">
        <v>0.77874441400335603</v>
      </c>
      <c r="I2123">
        <v>0.74399836373914796</v>
      </c>
      <c r="J2123">
        <v>0.95578389102477701</v>
      </c>
      <c r="K2123">
        <v>0.77344535406547199</v>
      </c>
      <c r="L2123">
        <v>2303.56246793323</v>
      </c>
      <c r="M2123">
        <v>48.4191817095248</v>
      </c>
      <c r="O2123">
        <v>47.494469066441198</v>
      </c>
      <c r="P2123">
        <v>-5.2422562527769702E-2</v>
      </c>
      <c r="Q2123">
        <v>0.79431462784157403</v>
      </c>
      <c r="R2123">
        <v>0.69798224621247396</v>
      </c>
      <c r="S2123" t="s">
        <v>7706</v>
      </c>
      <c r="T2123" t="s">
        <v>11164</v>
      </c>
      <c r="U2123" t="s">
        <v>11164</v>
      </c>
      <c r="V2123" t="s">
        <v>11164</v>
      </c>
      <c r="W2123" t="s">
        <v>13251</v>
      </c>
      <c r="X2123">
        <v>20</v>
      </c>
      <c r="Y2123" t="s">
        <v>18765</v>
      </c>
      <c r="Z2123" t="s">
        <v>24273</v>
      </c>
      <c r="AA2123">
        <v>0.86728199502134196</v>
      </c>
      <c r="AB2123" t="str">
        <f>HYPERLINK("Melting_Curves/meltCurve_P31350_RRM2.pdf", "Melting_Curves/meltCurve_P31350_RRM2.pdf")</f>
        <v>Melting_Curves/meltCurve_P31350_RRM2.pdf</v>
      </c>
    </row>
    <row r="2124" spans="1:28" x14ac:dyDescent="0.25">
      <c r="A2124" t="s">
        <v>2128</v>
      </c>
      <c r="B2124">
        <v>0.99796759195183404</v>
      </c>
      <c r="C2124">
        <v>1.0196585794036099</v>
      </c>
      <c r="D2124">
        <v>0.97870409179509799</v>
      </c>
      <c r="E2124">
        <v>0.89598299961351102</v>
      </c>
      <c r="F2124">
        <v>0.73472337028933798</v>
      </c>
      <c r="G2124">
        <v>0.71993754355800899</v>
      </c>
      <c r="H2124">
        <v>0.50593608568904702</v>
      </c>
      <c r="I2124">
        <v>0.31694047705384298</v>
      </c>
      <c r="J2124">
        <v>0.15039930846390101</v>
      </c>
      <c r="K2124">
        <v>0.11162880497741701</v>
      </c>
      <c r="L2124">
        <v>669.36452321273305</v>
      </c>
      <c r="M2124">
        <v>11.7987685240775</v>
      </c>
      <c r="N2124">
        <v>56.731727795883799</v>
      </c>
      <c r="O2124">
        <v>55.175630181639598</v>
      </c>
      <c r="P2124">
        <v>-5.3473813198419901E-2</v>
      </c>
      <c r="Q2124">
        <v>0</v>
      </c>
      <c r="R2124">
        <v>0.98262387167360998</v>
      </c>
      <c r="S2124" t="s">
        <v>7707</v>
      </c>
      <c r="T2124" t="s">
        <v>11164</v>
      </c>
      <c r="U2124" t="s">
        <v>11164</v>
      </c>
      <c r="V2124" t="s">
        <v>11164</v>
      </c>
      <c r="W2124" t="s">
        <v>13252</v>
      </c>
      <c r="X2124">
        <v>11</v>
      </c>
      <c r="Y2124" t="s">
        <v>18766</v>
      </c>
      <c r="Z2124" t="s">
        <v>24274</v>
      </c>
      <c r="AA2124">
        <v>0.6634684931798025</v>
      </c>
      <c r="AB2124" t="str">
        <f>HYPERLINK("Melting_Curves/meltCurve_P31689_DNAJA1.pdf", "Melting_Curves/meltCurve_P31689_DNAJA1.pdf")</f>
        <v>Melting_Curves/meltCurve_P31689_DNAJA1.pdf</v>
      </c>
    </row>
    <row r="2125" spans="1:28" x14ac:dyDescent="0.25">
      <c r="A2125" t="s">
        <v>2129</v>
      </c>
      <c r="B2125">
        <v>0.99796759195183404</v>
      </c>
      <c r="C2125">
        <v>1.0025376233410801</v>
      </c>
      <c r="D2125">
        <v>1.07482778603656</v>
      </c>
      <c r="E2125">
        <v>1.00710444122877</v>
      </c>
      <c r="F2125">
        <v>0.76644048244976204</v>
      </c>
      <c r="G2125">
        <v>0.29946795356438399</v>
      </c>
      <c r="H2125">
        <v>0.22624268835746</v>
      </c>
      <c r="I2125">
        <v>0.154318570202471</v>
      </c>
      <c r="J2125">
        <v>0.115296772426384</v>
      </c>
      <c r="K2125">
        <v>8.0572155736260906E-2</v>
      </c>
      <c r="L2125">
        <v>1713.4966054676399</v>
      </c>
      <c r="M2125">
        <v>33.134843402081202</v>
      </c>
      <c r="N2125">
        <v>52.188227917173499</v>
      </c>
      <c r="O2125">
        <v>51.5255668901032</v>
      </c>
      <c r="P2125">
        <v>-0.13982587960078399</v>
      </c>
      <c r="Q2125">
        <v>0.130271926291013</v>
      </c>
      <c r="R2125">
        <v>0.99141524259174396</v>
      </c>
      <c r="S2125" t="s">
        <v>7708</v>
      </c>
      <c r="T2125" t="s">
        <v>11164</v>
      </c>
      <c r="U2125" t="s">
        <v>11164</v>
      </c>
      <c r="V2125" t="s">
        <v>11164</v>
      </c>
      <c r="W2125" t="s">
        <v>13253</v>
      </c>
      <c r="X2125">
        <v>4</v>
      </c>
      <c r="Y2125" t="s">
        <v>18767</v>
      </c>
      <c r="Z2125" t="s">
        <v>24275</v>
      </c>
      <c r="AA2125">
        <v>0.56131822241507479</v>
      </c>
      <c r="AB2125" t="str">
        <f>HYPERLINK("Melting_Curves/meltCurve_P31749_AKT1.pdf", "Melting_Curves/meltCurve_P31749_AKT1.pdf")</f>
        <v>Melting_Curves/meltCurve_P31749_AKT1.pdf</v>
      </c>
    </row>
    <row r="2126" spans="1:28" x14ac:dyDescent="0.25">
      <c r="A2126" t="s">
        <v>2130</v>
      </c>
      <c r="B2126">
        <v>0.99796759195183404</v>
      </c>
      <c r="C2126">
        <v>1.01218366409637</v>
      </c>
      <c r="D2126">
        <v>1.0038458008276201</v>
      </c>
      <c r="E2126">
        <v>0.99441143556022205</v>
      </c>
      <c r="F2126">
        <v>0.85368453627165397</v>
      </c>
      <c r="G2126">
        <v>0.46213442999912402</v>
      </c>
      <c r="H2126">
        <v>0.28427331311646697</v>
      </c>
      <c r="I2126">
        <v>0.21179063181556401</v>
      </c>
      <c r="J2126">
        <v>0.16794496810225401</v>
      </c>
      <c r="K2126">
        <v>0.105935054058897</v>
      </c>
      <c r="L2126">
        <v>1366.42102435949</v>
      </c>
      <c r="M2126">
        <v>25.7947940991119</v>
      </c>
      <c r="N2126">
        <v>53.727810622069498</v>
      </c>
      <c r="O2126">
        <v>52.657443044059903</v>
      </c>
      <c r="P2126">
        <v>-0.103847654088168</v>
      </c>
      <c r="Q2126">
        <v>0.152032462634629</v>
      </c>
      <c r="R2126">
        <v>0.99553011334652497</v>
      </c>
      <c r="S2126" t="s">
        <v>7709</v>
      </c>
      <c r="T2126" t="s">
        <v>11164</v>
      </c>
      <c r="U2126" t="s">
        <v>11164</v>
      </c>
      <c r="V2126" t="s">
        <v>11164</v>
      </c>
      <c r="W2126" t="s">
        <v>13254</v>
      </c>
      <c r="X2126">
        <v>7</v>
      </c>
      <c r="Y2126" t="s">
        <v>18768</v>
      </c>
      <c r="Z2126" t="s">
        <v>24276</v>
      </c>
      <c r="AA2126">
        <v>0.61060977278256201</v>
      </c>
      <c r="AB2126" t="str">
        <f>HYPERLINK("Melting_Curves/meltCurve_P31751_AKT2.pdf", "Melting_Curves/meltCurve_P31751_AKT2.pdf")</f>
        <v>Melting_Curves/meltCurve_P31751_AKT2.pdf</v>
      </c>
    </row>
    <row r="2127" spans="1:28" x14ac:dyDescent="0.25">
      <c r="A2127" t="s">
        <v>2131</v>
      </c>
      <c r="B2127">
        <v>0.99796759195183404</v>
      </c>
      <c r="C2127">
        <v>0.97979219221582403</v>
      </c>
      <c r="D2127">
        <v>0.98925390062561103</v>
      </c>
      <c r="E2127">
        <v>0.96107901191895195</v>
      </c>
      <c r="F2127">
        <v>0.83136920314790896</v>
      </c>
      <c r="G2127">
        <v>0.74545591852933402</v>
      </c>
      <c r="H2127">
        <v>0.65984010720391895</v>
      </c>
      <c r="I2127">
        <v>0.56221699286012194</v>
      </c>
      <c r="J2127">
        <v>0.234569435297587</v>
      </c>
      <c r="K2127">
        <v>0.178370571563713</v>
      </c>
      <c r="L2127">
        <v>686.21723129885504</v>
      </c>
      <c r="M2127">
        <v>11.472533939359799</v>
      </c>
      <c r="N2127">
        <v>59.8139203806411</v>
      </c>
      <c r="O2127">
        <v>58.083131346410099</v>
      </c>
      <c r="P2127">
        <v>-4.9393953239954602E-2</v>
      </c>
      <c r="Q2127">
        <v>0</v>
      </c>
      <c r="R2127">
        <v>0.96324535693598801</v>
      </c>
      <c r="S2127" t="s">
        <v>7710</v>
      </c>
      <c r="T2127" t="s">
        <v>11164</v>
      </c>
      <c r="U2127" t="s">
        <v>11164</v>
      </c>
      <c r="V2127" t="s">
        <v>11164</v>
      </c>
      <c r="W2127" t="s">
        <v>13255</v>
      </c>
      <c r="X2127">
        <v>15</v>
      </c>
      <c r="Y2127" t="s">
        <v>18769</v>
      </c>
      <c r="Z2127" t="s">
        <v>24277</v>
      </c>
      <c r="AA2127">
        <v>0.74345629799692481</v>
      </c>
      <c r="AB2127" t="str">
        <f>HYPERLINK("Melting_Curves/meltCurve_P31930_UQCRC1.pdf", "Melting_Curves/meltCurve_P31930_UQCRC1.pdf")</f>
        <v>Melting_Curves/meltCurve_P31930_UQCRC1.pdf</v>
      </c>
    </row>
    <row r="2128" spans="1:28" x14ac:dyDescent="0.25">
      <c r="A2128" t="s">
        <v>2132</v>
      </c>
      <c r="B2128">
        <v>0.99796759195183404</v>
      </c>
      <c r="C2128">
        <v>0.92820307723662998</v>
      </c>
      <c r="D2128">
        <v>0.93973130224996004</v>
      </c>
      <c r="E2128">
        <v>0.88910491409708203</v>
      </c>
      <c r="F2128">
        <v>0.78437124623280496</v>
      </c>
      <c r="G2128">
        <v>0.61787636157985704</v>
      </c>
      <c r="H2128">
        <v>0.63069686235246802</v>
      </c>
      <c r="I2128">
        <v>0.575420515013917</v>
      </c>
      <c r="J2128">
        <v>0.60714168280671799</v>
      </c>
      <c r="K2128">
        <v>0.22328984663801499</v>
      </c>
      <c r="L2128">
        <v>356.73404233632698</v>
      </c>
      <c r="M2128">
        <v>5.7642555010318404</v>
      </c>
      <c r="N2128">
        <v>61.887271001080101</v>
      </c>
      <c r="O2128">
        <v>55.6542862466179</v>
      </c>
      <c r="P2128">
        <v>-2.5989818531324101E-2</v>
      </c>
      <c r="Q2128">
        <v>0</v>
      </c>
      <c r="R2128">
        <v>0.86863939487379305</v>
      </c>
      <c r="S2128" t="s">
        <v>7711</v>
      </c>
      <c r="T2128" t="s">
        <v>11164</v>
      </c>
      <c r="U2128" t="s">
        <v>11164</v>
      </c>
      <c r="V2128" t="s">
        <v>11164</v>
      </c>
      <c r="W2128" t="s">
        <v>13256</v>
      </c>
      <c r="X2128">
        <v>7</v>
      </c>
      <c r="Y2128" t="s">
        <v>18770</v>
      </c>
      <c r="Z2128" t="s">
        <v>24278</v>
      </c>
      <c r="AA2128">
        <v>0.72658263439836879</v>
      </c>
      <c r="AB2128" t="str">
        <f>HYPERLINK("Melting_Curves/meltCurve_P31937_HIBADH.pdf", "Melting_Curves/meltCurve_P31937_HIBADH.pdf")</f>
        <v>Melting_Curves/meltCurve_P31937_HIBADH.pdf</v>
      </c>
    </row>
    <row r="2129" spans="1:28" x14ac:dyDescent="0.25">
      <c r="A2129" t="s">
        <v>2133</v>
      </c>
      <c r="B2129">
        <v>0.99796759195183404</v>
      </c>
      <c r="C2129">
        <v>1.0122981430447699</v>
      </c>
      <c r="D2129">
        <v>1.00252190176582</v>
      </c>
      <c r="E2129">
        <v>0.955132977533106</v>
      </c>
      <c r="F2129">
        <v>0.822831071052747</v>
      </c>
      <c r="G2129">
        <v>0.63919018164833896</v>
      </c>
      <c r="H2129">
        <v>0.28345639309668702</v>
      </c>
      <c r="I2129">
        <v>0.14686349045095801</v>
      </c>
      <c r="J2129">
        <v>0.10368786494508</v>
      </c>
      <c r="K2129">
        <v>7.3986518238807697E-2</v>
      </c>
      <c r="L2129">
        <v>1066.77515314995</v>
      </c>
      <c r="M2129">
        <v>19.518251818370398</v>
      </c>
      <c r="N2129">
        <v>54.908183942819697</v>
      </c>
      <c r="O2129">
        <v>54.091243685261198</v>
      </c>
      <c r="P2129">
        <v>-8.6334777371130406E-2</v>
      </c>
      <c r="Q2129">
        <v>4.2990566359866103E-2</v>
      </c>
      <c r="R2129">
        <v>0.99698900072881802</v>
      </c>
      <c r="S2129" t="s">
        <v>7712</v>
      </c>
      <c r="T2129" t="s">
        <v>11164</v>
      </c>
      <c r="U2129" t="s">
        <v>11164</v>
      </c>
      <c r="V2129" t="s">
        <v>11164</v>
      </c>
      <c r="W2129" t="s">
        <v>13257</v>
      </c>
      <c r="X2129">
        <v>41</v>
      </c>
      <c r="Y2129" t="s">
        <v>18771</v>
      </c>
      <c r="Z2129" t="s">
        <v>24279</v>
      </c>
      <c r="AA2129">
        <v>0.61764678165482523</v>
      </c>
      <c r="AB2129" t="str">
        <f>HYPERLINK("Melting_Curves/meltCurve_P31939_ATIC.pdf", "Melting_Curves/meltCurve_P31939_ATIC.pdf")</f>
        <v>Melting_Curves/meltCurve_P31939_ATIC.pdf</v>
      </c>
    </row>
    <row r="2130" spans="1:28" x14ac:dyDescent="0.25">
      <c r="A2130" t="s">
        <v>2134</v>
      </c>
      <c r="B2130">
        <v>0.99796759195183404</v>
      </c>
      <c r="C2130">
        <v>0.99026286721958401</v>
      </c>
      <c r="D2130">
        <v>0.94737398651596005</v>
      </c>
      <c r="E2130">
        <v>0.99920470506260195</v>
      </c>
      <c r="F2130">
        <v>0.58197375426586095</v>
      </c>
      <c r="G2130">
        <v>0.29515858675143702</v>
      </c>
      <c r="H2130">
        <v>0.200247334690316</v>
      </c>
      <c r="I2130">
        <v>0.174378925343909</v>
      </c>
      <c r="J2130">
        <v>0.117207816788836</v>
      </c>
      <c r="K2130">
        <v>0.10074308728147099</v>
      </c>
      <c r="L2130">
        <v>1444.7975007545999</v>
      </c>
      <c r="M2130">
        <v>28.561370982788301</v>
      </c>
      <c r="N2130">
        <v>51.1774800728993</v>
      </c>
      <c r="O2130">
        <v>50.3396901797081</v>
      </c>
      <c r="P2130">
        <v>-0.121896985674897</v>
      </c>
      <c r="Q2130">
        <v>0.14062850474563399</v>
      </c>
      <c r="R2130">
        <v>0.99135718435592901</v>
      </c>
      <c r="S2130" t="s">
        <v>7713</v>
      </c>
      <c r="T2130" t="s">
        <v>11164</v>
      </c>
      <c r="U2130" t="s">
        <v>11164</v>
      </c>
      <c r="V2130" t="s">
        <v>11164</v>
      </c>
      <c r="W2130" t="s">
        <v>13258</v>
      </c>
      <c r="X2130">
        <v>6</v>
      </c>
      <c r="Y2130" t="s">
        <v>18772</v>
      </c>
      <c r="Z2130" t="s">
        <v>24280</v>
      </c>
      <c r="AA2130">
        <v>0.53565873511484108</v>
      </c>
      <c r="AB2130" t="str">
        <f>HYPERLINK("Melting_Curves/meltCurve_P31942_2_HNRNPH3.pdf", "Melting_Curves/meltCurve_P31942_2_HNRNPH3.pdf")</f>
        <v>Melting_Curves/meltCurve_P31942_2_HNRNPH3.pdf</v>
      </c>
    </row>
    <row r="2131" spans="1:28" x14ac:dyDescent="0.25">
      <c r="A2131" t="s">
        <v>2135</v>
      </c>
      <c r="B2131">
        <v>0.99796759195183404</v>
      </c>
      <c r="C2131">
        <v>0.97726908414473901</v>
      </c>
      <c r="D2131">
        <v>1.0118076776532401</v>
      </c>
      <c r="E2131">
        <v>0.97211936991812498</v>
      </c>
      <c r="F2131">
        <v>0.83904537123319101</v>
      </c>
      <c r="G2131">
        <v>0.71169345065134404</v>
      </c>
      <c r="H2131">
        <v>0.60359712497989904</v>
      </c>
      <c r="I2131">
        <v>0.28876454895318898</v>
      </c>
      <c r="J2131">
        <v>0.17628030717063001</v>
      </c>
      <c r="K2131">
        <v>0.118182074396728</v>
      </c>
      <c r="L2131">
        <v>806.39825162689897</v>
      </c>
      <c r="M2131">
        <v>13.968836297377401</v>
      </c>
      <c r="N2131">
        <v>57.728377378219101</v>
      </c>
      <c r="O2131">
        <v>56.583888583461302</v>
      </c>
      <c r="P2131">
        <v>-6.1725613534507603E-2</v>
      </c>
      <c r="Q2131">
        <v>0</v>
      </c>
      <c r="R2131">
        <v>0.98883836769028099</v>
      </c>
      <c r="S2131" t="s">
        <v>7714</v>
      </c>
      <c r="T2131" t="s">
        <v>11164</v>
      </c>
      <c r="U2131" t="s">
        <v>11164</v>
      </c>
      <c r="V2131" t="s">
        <v>11164</v>
      </c>
      <c r="W2131" t="s">
        <v>13259</v>
      </c>
      <c r="X2131">
        <v>17</v>
      </c>
      <c r="Y2131" t="s">
        <v>18773</v>
      </c>
      <c r="Z2131" t="s">
        <v>24281</v>
      </c>
      <c r="AA2131">
        <v>0.69506342182208136</v>
      </c>
      <c r="AB2131" t="str">
        <f>HYPERLINK("Melting_Curves/meltCurve_P31946_YWHAB.pdf", "Melting_Curves/meltCurve_P31946_YWHAB.pdf")</f>
        <v>Melting_Curves/meltCurve_P31946_YWHAB.pdf</v>
      </c>
    </row>
    <row r="2132" spans="1:28" x14ac:dyDescent="0.25">
      <c r="A2132" t="s">
        <v>2136</v>
      </c>
      <c r="B2132">
        <v>0.99796759195183404</v>
      </c>
      <c r="C2132">
        <v>0.894450402697202</v>
      </c>
      <c r="D2132">
        <v>0.84335423422162603</v>
      </c>
      <c r="E2132">
        <v>0.89733376992529101</v>
      </c>
      <c r="F2132">
        <v>0.81566666375247798</v>
      </c>
      <c r="G2132">
        <v>0.61851770434439601</v>
      </c>
      <c r="H2132">
        <v>0.54293747460972097</v>
      </c>
      <c r="I2132">
        <v>0.24110723977731</v>
      </c>
      <c r="J2132">
        <v>0.14077679015230801</v>
      </c>
      <c r="K2132">
        <v>8.8937855731215001E-2</v>
      </c>
      <c r="L2132">
        <v>672.87856818966304</v>
      </c>
      <c r="M2132">
        <v>11.9738637426517</v>
      </c>
      <c r="N2132">
        <v>56.195609337607699</v>
      </c>
      <c r="O2132">
        <v>54.697003641572699</v>
      </c>
      <c r="P2132">
        <v>-5.4741455716938801E-2</v>
      </c>
      <c r="Q2132">
        <v>0</v>
      </c>
      <c r="R2132">
        <v>0.95787387727581896</v>
      </c>
      <c r="S2132" t="s">
        <v>7715</v>
      </c>
      <c r="T2132" t="s">
        <v>11164</v>
      </c>
      <c r="U2132" t="s">
        <v>11164</v>
      </c>
      <c r="V2132" t="s">
        <v>11164</v>
      </c>
      <c r="W2132" t="s">
        <v>13260</v>
      </c>
      <c r="X2132">
        <v>7</v>
      </c>
      <c r="Y2132" t="s">
        <v>18774</v>
      </c>
      <c r="Z2132" t="s">
        <v>24282</v>
      </c>
      <c r="AA2132">
        <v>0.64866708669034445</v>
      </c>
      <c r="AB2132" t="str">
        <f>HYPERLINK("Melting_Curves/meltCurve_P31947_2_SFN.pdf", "Melting_Curves/meltCurve_P31947_2_SFN.pdf")</f>
        <v>Melting_Curves/meltCurve_P31947_2_SFN.pdf</v>
      </c>
    </row>
    <row r="2133" spans="1:28" x14ac:dyDescent="0.25">
      <c r="A2133" t="s">
        <v>2137</v>
      </c>
      <c r="B2133">
        <v>0.99796759195183404</v>
      </c>
      <c r="C2133">
        <v>1.08912099073876</v>
      </c>
      <c r="D2133">
        <v>1.0084945274858499</v>
      </c>
      <c r="E2133">
        <v>1.0800971992119699</v>
      </c>
      <c r="F2133">
        <v>0.98140575697396704</v>
      </c>
      <c r="G2133">
        <v>1.3634462193722601</v>
      </c>
      <c r="H2133">
        <v>0.71156220295571104</v>
      </c>
      <c r="I2133">
        <v>0.63557343806429201</v>
      </c>
      <c r="J2133">
        <v>0.48690642892521602</v>
      </c>
      <c r="K2133">
        <v>0.41261860533596501</v>
      </c>
      <c r="L2133">
        <v>14093.1019503056</v>
      </c>
      <c r="M2133">
        <v>245.89126919089</v>
      </c>
      <c r="O2133">
        <v>57.310564251542502</v>
      </c>
      <c r="P2133">
        <v>-0.52376400429832104</v>
      </c>
      <c r="Q2133">
        <v>0.51169936815950301</v>
      </c>
      <c r="R2133">
        <v>0.78923996608758396</v>
      </c>
      <c r="S2133" t="s">
        <v>7716</v>
      </c>
      <c r="T2133" t="s">
        <v>11164</v>
      </c>
      <c r="U2133" t="s">
        <v>11164</v>
      </c>
      <c r="V2133" t="s">
        <v>11164</v>
      </c>
      <c r="W2133" t="s">
        <v>13261</v>
      </c>
      <c r="X2133">
        <v>45</v>
      </c>
      <c r="Y2133" t="s">
        <v>18775</v>
      </c>
      <c r="Z2133" t="s">
        <v>24283</v>
      </c>
      <c r="AA2133">
        <v>0.84240071512441506</v>
      </c>
      <c r="AB2133" t="str">
        <f>HYPERLINK("Melting_Curves/meltCurve_P31948_STIP1.pdf", "Melting_Curves/meltCurve_P31948_STIP1.pdf")</f>
        <v>Melting_Curves/meltCurve_P31948_STIP1.pdf</v>
      </c>
    </row>
    <row r="2134" spans="1:28" x14ac:dyDescent="0.25">
      <c r="A2134" t="s">
        <v>2138</v>
      </c>
      <c r="B2134">
        <v>0.99796759195183404</v>
      </c>
      <c r="C2134">
        <v>0.84020388677498203</v>
      </c>
      <c r="D2134">
        <v>0.85575536866966295</v>
      </c>
      <c r="E2134">
        <v>0.76804255827317602</v>
      </c>
      <c r="F2134">
        <v>0.66915144830606399</v>
      </c>
      <c r="G2134">
        <v>0.55067513900518605</v>
      </c>
      <c r="H2134">
        <v>0.48449201441074502</v>
      </c>
      <c r="I2134">
        <v>0.38436390379944002</v>
      </c>
      <c r="J2134">
        <v>0.45397852983093601</v>
      </c>
      <c r="K2134">
        <v>0.37611254692854901</v>
      </c>
      <c r="L2134">
        <v>371.54043557619502</v>
      </c>
      <c r="M2134">
        <v>7.3372105836150299</v>
      </c>
      <c r="N2134">
        <v>56.844861006450301</v>
      </c>
      <c r="O2134">
        <v>47.283587003588998</v>
      </c>
      <c r="P2134">
        <v>-2.8146038243174E-2</v>
      </c>
      <c r="Q2134">
        <v>0.27559753787355901</v>
      </c>
      <c r="R2134">
        <v>0.96917945250665805</v>
      </c>
      <c r="S2134" t="s">
        <v>7717</v>
      </c>
      <c r="T2134" t="s">
        <v>11164</v>
      </c>
      <c r="U2134" t="s">
        <v>11164</v>
      </c>
      <c r="V2134" t="s">
        <v>11164</v>
      </c>
      <c r="W2134" t="s">
        <v>13262</v>
      </c>
      <c r="X2134">
        <v>7</v>
      </c>
      <c r="Y2134" t="s">
        <v>18776</v>
      </c>
      <c r="Z2134" t="s">
        <v>24284</v>
      </c>
      <c r="AA2134">
        <v>0.63293232999250515</v>
      </c>
      <c r="AB2134" t="str">
        <f>HYPERLINK("Melting_Curves/meltCurve_P31949_S100A11.pdf", "Melting_Curves/meltCurve_P31949_S100A11.pdf")</f>
        <v>Melting_Curves/meltCurve_P31949_S100A11.pdf</v>
      </c>
    </row>
    <row r="2135" spans="1:28" x14ac:dyDescent="0.25">
      <c r="A2135" t="s">
        <v>2139</v>
      </c>
      <c r="B2135">
        <v>0.99796759195183404</v>
      </c>
      <c r="C2135">
        <v>1.0608920239561099</v>
      </c>
      <c r="D2135">
        <v>0.95469255391810903</v>
      </c>
      <c r="E2135">
        <v>0.95097975031244497</v>
      </c>
      <c r="F2135">
        <v>0.677414673293673</v>
      </c>
      <c r="G2135">
        <v>0.31744382409806798</v>
      </c>
      <c r="H2135">
        <v>0.21528578276989399</v>
      </c>
      <c r="I2135">
        <v>0.18133365217922601</v>
      </c>
      <c r="J2135">
        <v>0.146569287684477</v>
      </c>
      <c r="K2135">
        <v>0.120449719636907</v>
      </c>
      <c r="L2135">
        <v>1340.75396800774</v>
      </c>
      <c r="M2135">
        <v>26.216547748709999</v>
      </c>
      <c r="N2135">
        <v>51.830789748248797</v>
      </c>
      <c r="O2135">
        <v>50.8467368526792</v>
      </c>
      <c r="P2135">
        <v>-0.109930450894503</v>
      </c>
      <c r="Q2135">
        <v>0.147173391374358</v>
      </c>
      <c r="R2135">
        <v>0.99486410728237595</v>
      </c>
      <c r="S2135" t="s">
        <v>7718</v>
      </c>
      <c r="T2135" t="s">
        <v>11164</v>
      </c>
      <c r="U2135" t="s">
        <v>11164</v>
      </c>
      <c r="V2135" t="s">
        <v>11164</v>
      </c>
      <c r="W2135" t="s">
        <v>13263</v>
      </c>
      <c r="X2135">
        <v>6</v>
      </c>
      <c r="Y2135" t="s">
        <v>18777</v>
      </c>
      <c r="Z2135" t="s">
        <v>24285</v>
      </c>
      <c r="AA2135">
        <v>0.55607425013735379</v>
      </c>
      <c r="AB2135" t="str">
        <f>HYPERLINK("Melting_Curves/meltCurve_P32019_3_INPP5B.pdf", "Melting_Curves/meltCurve_P32019_3_INPP5B.pdf")</f>
        <v>Melting_Curves/meltCurve_P32019_3_INPP5B.pdf</v>
      </c>
    </row>
    <row r="2136" spans="1:28" x14ac:dyDescent="0.25">
      <c r="A2136" t="s">
        <v>2140</v>
      </c>
      <c r="B2136">
        <v>0.99796759195183404</v>
      </c>
      <c r="C2136">
        <v>1.01821936396208</v>
      </c>
      <c r="D2136">
        <v>0.98316092273903699</v>
      </c>
      <c r="E2136">
        <v>1.0292671586481801</v>
      </c>
      <c r="F2136">
        <v>0.88996777611533096</v>
      </c>
      <c r="G2136">
        <v>1.2258544169664201</v>
      </c>
      <c r="H2136">
        <v>0.88888519213802297</v>
      </c>
      <c r="I2136">
        <v>0.47096311562144799</v>
      </c>
      <c r="J2136">
        <v>0.293077652213457</v>
      </c>
      <c r="K2136">
        <v>0.20961947944103301</v>
      </c>
      <c r="L2136">
        <v>2692.0082449780198</v>
      </c>
      <c r="M2136">
        <v>44.890254148242697</v>
      </c>
      <c r="N2136">
        <v>60.782522886191003</v>
      </c>
      <c r="O2136">
        <v>59.850012746343197</v>
      </c>
      <c r="P2136">
        <v>-0.14515513545099401</v>
      </c>
      <c r="Q2136">
        <v>0.22588762339375901</v>
      </c>
      <c r="R2136">
        <v>0.93705446277690396</v>
      </c>
      <c r="S2136" t="s">
        <v>7719</v>
      </c>
      <c r="T2136" t="s">
        <v>11164</v>
      </c>
      <c r="U2136" t="s">
        <v>11164</v>
      </c>
      <c r="V2136" t="s">
        <v>11164</v>
      </c>
      <c r="W2136" t="s">
        <v>13264</v>
      </c>
      <c r="X2136">
        <v>15</v>
      </c>
      <c r="Y2136" t="s">
        <v>18778</v>
      </c>
      <c r="Z2136" t="s">
        <v>24286</v>
      </c>
      <c r="AA2136">
        <v>0.82070272666801414</v>
      </c>
      <c r="AB2136" t="str">
        <f>HYPERLINK("Melting_Curves/meltCurve_P32119_PRDX2.pdf", "Melting_Curves/meltCurve_P32119_PRDX2.pdf")</f>
        <v>Melting_Curves/meltCurve_P32119_PRDX2.pdf</v>
      </c>
    </row>
    <row r="2137" spans="1:28" x14ac:dyDescent="0.25">
      <c r="A2137" t="s">
        <v>2141</v>
      </c>
      <c r="B2137">
        <v>0.99796759195183404</v>
      </c>
      <c r="C2137">
        <v>1.03962451231977</v>
      </c>
      <c r="D2137">
        <v>0.96885275511994695</v>
      </c>
      <c r="E2137">
        <v>0.85437717680532399</v>
      </c>
      <c r="F2137">
        <v>0.840085260426089</v>
      </c>
      <c r="G2137">
        <v>0.55001481919894102</v>
      </c>
      <c r="H2137">
        <v>0.26827154885464699</v>
      </c>
      <c r="I2137">
        <v>0.21042888227084999</v>
      </c>
      <c r="J2137">
        <v>0.18053038826678799</v>
      </c>
      <c r="K2137">
        <v>0.13869068928839201</v>
      </c>
      <c r="L2137">
        <v>989.21032006512405</v>
      </c>
      <c r="M2137">
        <v>18.509324383476201</v>
      </c>
      <c r="N2137">
        <v>54.263875769801501</v>
      </c>
      <c r="O2137">
        <v>52.831778811525098</v>
      </c>
      <c r="P2137">
        <v>-7.6904604814239802E-2</v>
      </c>
      <c r="Q2137">
        <v>0.12199334426748699</v>
      </c>
      <c r="R2137">
        <v>0.98795748077452505</v>
      </c>
      <c r="S2137" t="s">
        <v>7720</v>
      </c>
      <c r="T2137" t="s">
        <v>11164</v>
      </c>
      <c r="U2137" t="s">
        <v>11164</v>
      </c>
      <c r="V2137" t="s">
        <v>11164</v>
      </c>
      <c r="W2137" t="s">
        <v>13265</v>
      </c>
      <c r="X2137">
        <v>12</v>
      </c>
      <c r="Y2137" t="s">
        <v>18779</v>
      </c>
      <c r="Z2137" t="s">
        <v>24287</v>
      </c>
      <c r="AA2137">
        <v>0.61530950459632616</v>
      </c>
      <c r="AB2137" t="str">
        <f>HYPERLINK("Melting_Curves/meltCurve_P32121_5_ARRB2.pdf", "Melting_Curves/meltCurve_P32121_5_ARRB2.pdf")</f>
        <v>Melting_Curves/meltCurve_P32121_5_ARRB2.pdf</v>
      </c>
    </row>
    <row r="2138" spans="1:28" x14ac:dyDescent="0.25">
      <c r="A2138" t="s">
        <v>2142</v>
      </c>
      <c r="B2138">
        <v>0.99796759195183404</v>
      </c>
      <c r="C2138">
        <v>1.06449615514346</v>
      </c>
      <c r="D2138">
        <v>1.01036475074134</v>
      </c>
      <c r="E2138">
        <v>1.0152851118476001</v>
      </c>
      <c r="F2138">
        <v>0.95071607628141397</v>
      </c>
      <c r="G2138">
        <v>0.80988748928239396</v>
      </c>
      <c r="H2138">
        <v>0.93002237525945697</v>
      </c>
      <c r="I2138">
        <v>0.80710173914843897</v>
      </c>
      <c r="J2138">
        <v>0.83848218684843701</v>
      </c>
      <c r="K2138">
        <v>0.33507729494406902</v>
      </c>
      <c r="L2138">
        <v>2530.1074193940099</v>
      </c>
      <c r="M2138">
        <v>38.304388034723402</v>
      </c>
      <c r="N2138">
        <v>66.052694632426096</v>
      </c>
      <c r="O2138">
        <v>65.873417704201103</v>
      </c>
      <c r="P2138">
        <v>-0.14537154710342901</v>
      </c>
      <c r="Q2138">
        <v>0</v>
      </c>
      <c r="R2138">
        <v>0.80565854485531196</v>
      </c>
      <c r="S2138" t="s">
        <v>7721</v>
      </c>
      <c r="T2138" t="s">
        <v>11164</v>
      </c>
      <c r="U2138" t="s">
        <v>11164</v>
      </c>
      <c r="V2138" t="s">
        <v>11164</v>
      </c>
      <c r="W2138" t="s">
        <v>13266</v>
      </c>
      <c r="X2138">
        <v>4</v>
      </c>
      <c r="Y2138" t="s">
        <v>18780</v>
      </c>
      <c r="Z2138" t="s">
        <v>24288</v>
      </c>
      <c r="AA2138">
        <v>0.94452385835414987</v>
      </c>
      <c r="AB2138" t="str">
        <f>HYPERLINK("Melting_Curves/meltCurve_P32321_2_DCTD.pdf", "Melting_Curves/meltCurve_P32321_2_DCTD.pdf")</f>
        <v>Melting_Curves/meltCurve_P32321_2_DCTD.pdf</v>
      </c>
    </row>
    <row r="2139" spans="1:28" x14ac:dyDescent="0.25">
      <c r="A2139" t="s">
        <v>2143</v>
      </c>
      <c r="B2139">
        <v>0.99796759195183404</v>
      </c>
      <c r="C2139">
        <v>1.0337882107446199</v>
      </c>
      <c r="D2139">
        <v>0.94225071298741003</v>
      </c>
      <c r="E2139">
        <v>0.82982183138896004</v>
      </c>
      <c r="F2139">
        <v>0.56879184028887397</v>
      </c>
      <c r="G2139">
        <v>0.36648639073900702</v>
      </c>
      <c r="H2139">
        <v>0.298084370969188</v>
      </c>
      <c r="I2139">
        <v>0.26481251962902402</v>
      </c>
      <c r="J2139">
        <v>0.227617749977052</v>
      </c>
      <c r="K2139">
        <v>0.16514729435827899</v>
      </c>
      <c r="L2139">
        <v>862.02628689016797</v>
      </c>
      <c r="M2139">
        <v>17.2781885368282</v>
      </c>
      <c r="N2139">
        <v>51.4251101460369</v>
      </c>
      <c r="O2139">
        <v>49.2371095699202</v>
      </c>
      <c r="P2139">
        <v>-7.0066577734215499E-2</v>
      </c>
      <c r="Q2139">
        <v>0.20138056217973799</v>
      </c>
      <c r="R2139">
        <v>0.994486656187199</v>
      </c>
      <c r="S2139" t="s">
        <v>7722</v>
      </c>
      <c r="T2139" t="s">
        <v>11164</v>
      </c>
      <c r="U2139" t="s">
        <v>11164</v>
      </c>
      <c r="V2139" t="s">
        <v>11164</v>
      </c>
      <c r="W2139" t="s">
        <v>13267</v>
      </c>
      <c r="X2139">
        <v>5</v>
      </c>
      <c r="Y2139" t="s">
        <v>18781</v>
      </c>
      <c r="Z2139" t="s">
        <v>24289</v>
      </c>
      <c r="AA2139">
        <v>0.55801989368177973</v>
      </c>
      <c r="AB2139" t="str">
        <f>HYPERLINK("Melting_Curves/meltCurve_P32519_2_ELF1.pdf", "Melting_Curves/meltCurve_P32519_2_ELF1.pdf")</f>
        <v>Melting_Curves/meltCurve_P32519_2_ELF1.pdf</v>
      </c>
    </row>
    <row r="2140" spans="1:28" x14ac:dyDescent="0.25">
      <c r="A2140" t="s">
        <v>2144</v>
      </c>
      <c r="B2140">
        <v>0.99796759195183404</v>
      </c>
      <c r="C2140">
        <v>0.91486059317919999</v>
      </c>
      <c r="D2140">
        <v>0.89920339812628003</v>
      </c>
      <c r="E2140">
        <v>0.90756895320268405</v>
      </c>
      <c r="F2140">
        <v>0.80553867881334595</v>
      </c>
      <c r="G2140">
        <v>0.79278803875459702</v>
      </c>
      <c r="H2140">
        <v>0.82776405650789098</v>
      </c>
      <c r="I2140">
        <v>0.86089567216608898</v>
      </c>
      <c r="J2140">
        <v>0.88166425019677896</v>
      </c>
      <c r="K2140">
        <v>0.64938818489361005</v>
      </c>
      <c r="L2140">
        <v>261.80538703763602</v>
      </c>
      <c r="M2140">
        <v>5.35017048199495</v>
      </c>
      <c r="O2140">
        <v>43.3557679029147</v>
      </c>
      <c r="P2140">
        <v>-8.6042713920291194E-3</v>
      </c>
      <c r="Q2140">
        <v>0.72244320480311897</v>
      </c>
      <c r="R2140">
        <v>0.53395734253537896</v>
      </c>
      <c r="S2140" t="s">
        <v>7723</v>
      </c>
      <c r="T2140" t="s">
        <v>11164</v>
      </c>
      <c r="U2140" t="s">
        <v>11164</v>
      </c>
      <c r="V2140" t="s">
        <v>11164</v>
      </c>
      <c r="W2140" t="s">
        <v>13268</v>
      </c>
      <c r="X2140">
        <v>10</v>
      </c>
      <c r="Y2140" t="s">
        <v>18782</v>
      </c>
      <c r="Z2140" t="s">
        <v>24290</v>
      </c>
      <c r="AA2140">
        <v>0.85018828814716296</v>
      </c>
      <c r="AB2140" t="str">
        <f>HYPERLINK("Melting_Curves/meltCurve_P32929_CTH.pdf", "Melting_Curves/meltCurve_P32929_CTH.pdf")</f>
        <v>Melting_Curves/meltCurve_P32929_CTH.pdf</v>
      </c>
    </row>
    <row r="2141" spans="1:28" x14ac:dyDescent="0.25">
      <c r="A2141" t="s">
        <v>2145</v>
      </c>
      <c r="B2141">
        <v>0.99796759195183404</v>
      </c>
      <c r="C2141">
        <v>0.98369254508974802</v>
      </c>
      <c r="D2141">
        <v>0.99427707403802001</v>
      </c>
      <c r="E2141">
        <v>0.94347334279178696</v>
      </c>
      <c r="F2141">
        <v>0.80478814426584699</v>
      </c>
      <c r="G2141">
        <v>0.50495289297718304</v>
      </c>
      <c r="H2141">
        <v>0.17203285969927501</v>
      </c>
      <c r="I2141">
        <v>0.135598954331484</v>
      </c>
      <c r="J2141">
        <v>8.9748685555472801E-2</v>
      </c>
      <c r="K2141">
        <v>8.8286593184316101E-2</v>
      </c>
      <c r="L2141">
        <v>1241.3180021988101</v>
      </c>
      <c r="M2141">
        <v>23.338782010713299</v>
      </c>
      <c r="N2141">
        <v>53.552554752042198</v>
      </c>
      <c r="O2141">
        <v>52.801043377609801</v>
      </c>
      <c r="P2141">
        <v>-0.102366314748805</v>
      </c>
      <c r="Q2141">
        <v>7.3652724111518394E-2</v>
      </c>
      <c r="R2141">
        <v>0.99740399362311105</v>
      </c>
      <c r="S2141" t="s">
        <v>7724</v>
      </c>
      <c r="T2141" t="s">
        <v>11164</v>
      </c>
      <c r="U2141" t="s">
        <v>11164</v>
      </c>
      <c r="V2141" t="s">
        <v>11164</v>
      </c>
      <c r="W2141" t="s">
        <v>13269</v>
      </c>
      <c r="X2141">
        <v>15</v>
      </c>
      <c r="Y2141" t="s">
        <v>18783</v>
      </c>
      <c r="Z2141" t="s">
        <v>24291</v>
      </c>
      <c r="AA2141">
        <v>0.58264154798843115</v>
      </c>
      <c r="AB2141" t="str">
        <f>HYPERLINK("Melting_Curves/meltCurve_P33121_2_ACSL1.pdf", "Melting_Curves/meltCurve_P33121_2_ACSL1.pdf")</f>
        <v>Melting_Curves/meltCurve_P33121_2_ACSL1.pdf</v>
      </c>
    </row>
    <row r="2142" spans="1:28" x14ac:dyDescent="0.25">
      <c r="A2142" t="s">
        <v>2146</v>
      </c>
      <c r="B2142">
        <v>0.99796759195183404</v>
      </c>
      <c r="C2142">
        <v>1.01674372458989</v>
      </c>
      <c r="D2142">
        <v>0.96867391078101595</v>
      </c>
      <c r="E2142">
        <v>0.96739450327271104</v>
      </c>
      <c r="F2142">
        <v>0.86506815642619606</v>
      </c>
      <c r="G2142">
        <v>1.08118664203781</v>
      </c>
      <c r="H2142">
        <v>0.195697295553448</v>
      </c>
      <c r="I2142">
        <v>0.173766265534538</v>
      </c>
      <c r="J2142">
        <v>0.121786273976653</v>
      </c>
      <c r="K2142">
        <v>9.5452513592678201E-2</v>
      </c>
      <c r="L2142">
        <v>14205.925476906201</v>
      </c>
      <c r="M2142">
        <v>250</v>
      </c>
      <c r="N2142">
        <v>56.892438041233497</v>
      </c>
      <c r="O2142">
        <v>56.820061835989399</v>
      </c>
      <c r="P2142">
        <v>-0.956600099299454</v>
      </c>
      <c r="Q2142">
        <v>0.13033471513363101</v>
      </c>
      <c r="R2142">
        <v>0.98227629220685098</v>
      </c>
      <c r="S2142" t="s">
        <v>7725</v>
      </c>
      <c r="T2142" t="s">
        <v>11164</v>
      </c>
      <c r="U2142" t="s">
        <v>11164</v>
      </c>
      <c r="V2142" t="s">
        <v>11164</v>
      </c>
      <c r="W2142" t="s">
        <v>13270</v>
      </c>
      <c r="X2142">
        <v>49</v>
      </c>
      <c r="Y2142" t="s">
        <v>18784</v>
      </c>
      <c r="Z2142" t="s">
        <v>24292</v>
      </c>
      <c r="AA2142">
        <v>0.70508762114079793</v>
      </c>
      <c r="AB2142" t="str">
        <f>HYPERLINK("Melting_Curves/meltCurve_P33176_KIF5B.pdf", "Melting_Curves/meltCurve_P33176_KIF5B.pdf")</f>
        <v>Melting_Curves/meltCurve_P33176_KIF5B.pdf</v>
      </c>
    </row>
    <row r="2143" spans="1:28" x14ac:dyDescent="0.25">
      <c r="A2143" t="s">
        <v>2147</v>
      </c>
      <c r="B2143">
        <v>0.99796759195183404</v>
      </c>
      <c r="C2143">
        <v>0.99569986362775598</v>
      </c>
      <c r="D2143">
        <v>0.97068242743441202</v>
      </c>
      <c r="E2143">
        <v>0.92663926294070698</v>
      </c>
      <c r="F2143">
        <v>0.75799988835381005</v>
      </c>
      <c r="G2143">
        <v>0.68968628813736099</v>
      </c>
      <c r="H2143">
        <v>0.71860158603708602</v>
      </c>
      <c r="I2143">
        <v>0.55647534003357901</v>
      </c>
      <c r="J2143">
        <v>0.56819738503836903</v>
      </c>
      <c r="K2143">
        <v>0.42667965720845902</v>
      </c>
      <c r="L2143">
        <v>409.82004573117899</v>
      </c>
      <c r="M2143">
        <v>7.0151050064932603</v>
      </c>
      <c r="N2143">
        <v>65.0859473838821</v>
      </c>
      <c r="O2143">
        <v>54.228383156389597</v>
      </c>
      <c r="P2143">
        <v>-2.4097202498546699E-2</v>
      </c>
      <c r="Q2143">
        <v>0.25626024186836699</v>
      </c>
      <c r="R2143">
        <v>0.95206545439258095</v>
      </c>
      <c r="S2143" t="s">
        <v>7726</v>
      </c>
      <c r="T2143" t="s">
        <v>11164</v>
      </c>
      <c r="U2143" t="s">
        <v>11164</v>
      </c>
      <c r="V2143" t="s">
        <v>11164</v>
      </c>
      <c r="W2143" t="s">
        <v>13271</v>
      </c>
      <c r="X2143">
        <v>20</v>
      </c>
      <c r="Y2143" t="s">
        <v>18785</v>
      </c>
      <c r="Z2143" t="s">
        <v>24293</v>
      </c>
      <c r="AA2143">
        <v>0.76140548285867626</v>
      </c>
      <c r="AB2143" t="str">
        <f>HYPERLINK("Melting_Curves/meltCurve_P33240_2_CSTF2.pdf", "Melting_Curves/meltCurve_P33240_2_CSTF2.pdf")</f>
        <v>Melting_Curves/meltCurve_P33240_2_CSTF2.pdf</v>
      </c>
    </row>
    <row r="2144" spans="1:28" x14ac:dyDescent="0.25">
      <c r="A2144" t="s">
        <v>2148</v>
      </c>
      <c r="B2144">
        <v>0.99796759195183404</v>
      </c>
      <c r="C2144">
        <v>1.0200652793320599</v>
      </c>
      <c r="D2144">
        <v>1.0271782071946001</v>
      </c>
      <c r="E2144">
        <v>1.0044293986389099</v>
      </c>
      <c r="F2144">
        <v>0.87936225284431302</v>
      </c>
      <c r="G2144">
        <v>0.54001703529968703</v>
      </c>
      <c r="H2144">
        <v>0.37322267497549699</v>
      </c>
      <c r="I2144">
        <v>0.168236850518241</v>
      </c>
      <c r="J2144">
        <v>0.19085062810797099</v>
      </c>
      <c r="K2144">
        <v>0.182023959686095</v>
      </c>
      <c r="L2144">
        <v>1268.4274194319901</v>
      </c>
      <c r="M2144">
        <v>23.620644564727499</v>
      </c>
      <c r="N2144">
        <v>54.645743244667301</v>
      </c>
      <c r="O2144">
        <v>53.319481893124603</v>
      </c>
      <c r="P2144">
        <v>-9.2170016265941596E-2</v>
      </c>
      <c r="Q2144">
        <v>0.16778289987959599</v>
      </c>
      <c r="R2144">
        <v>0.99339648392525703</v>
      </c>
      <c r="S2144" t="s">
        <v>7727</v>
      </c>
      <c r="T2144" t="s">
        <v>11164</v>
      </c>
      <c r="U2144" t="s">
        <v>11164</v>
      </c>
      <c r="V2144" t="s">
        <v>11164</v>
      </c>
      <c r="W2144" t="s">
        <v>13272</v>
      </c>
      <c r="X2144">
        <v>18</v>
      </c>
      <c r="Y2144" t="s">
        <v>18786</v>
      </c>
      <c r="Z2144" t="s">
        <v>24294</v>
      </c>
      <c r="AA2144">
        <v>0.63905120788248293</v>
      </c>
      <c r="AB2144" t="str">
        <f>HYPERLINK("Melting_Curves/meltCurve_P33316_DUT.pdf", "Melting_Curves/meltCurve_P33316_DUT.pdf")</f>
        <v>Melting_Curves/meltCurve_P33316_DUT.pdf</v>
      </c>
    </row>
    <row r="2145" spans="1:28" x14ac:dyDescent="0.25">
      <c r="A2145" t="s">
        <v>2149</v>
      </c>
      <c r="B2145">
        <v>0.99796759195183404</v>
      </c>
      <c r="C2145">
        <v>1.09141601452285</v>
      </c>
      <c r="D2145">
        <v>1.0892862071571401</v>
      </c>
      <c r="E2145">
        <v>1.02725945998785</v>
      </c>
      <c r="F2145">
        <v>0.92870073666936404</v>
      </c>
      <c r="G2145">
        <v>0.578072467018511</v>
      </c>
      <c r="H2145">
        <v>0.34437453437987198</v>
      </c>
      <c r="I2145">
        <v>0.214401913589365</v>
      </c>
      <c r="J2145">
        <v>0.21012377736777499</v>
      </c>
      <c r="K2145">
        <v>0.18422567283244701</v>
      </c>
      <c r="L2145">
        <v>1543.10999924302</v>
      </c>
      <c r="M2145">
        <v>28.663891210955001</v>
      </c>
      <c r="N2145">
        <v>54.788661012750403</v>
      </c>
      <c r="O2145">
        <v>53.574647915550997</v>
      </c>
      <c r="P2145">
        <v>-0.10747866705314001</v>
      </c>
      <c r="Q2145">
        <v>0.196468246567924</v>
      </c>
      <c r="R2145">
        <v>0.98593173718815097</v>
      </c>
      <c r="S2145" t="s">
        <v>7728</v>
      </c>
      <c r="T2145" t="s">
        <v>11164</v>
      </c>
      <c r="U2145" t="s">
        <v>11164</v>
      </c>
      <c r="V2145" t="s">
        <v>11164</v>
      </c>
      <c r="W2145" t="s">
        <v>13273</v>
      </c>
      <c r="X2145">
        <v>19</v>
      </c>
      <c r="Y2145" t="s">
        <v>18786</v>
      </c>
      <c r="Z2145" t="s">
        <v>24295</v>
      </c>
      <c r="AA2145">
        <v>0.65294187139287563</v>
      </c>
      <c r="AB2145" t="str">
        <f>HYPERLINK("Melting_Curves/meltCurve_P33316_2_DUT.pdf", "Melting_Curves/meltCurve_P33316_2_DUT.pdf")</f>
        <v>Melting_Curves/meltCurve_P33316_2_DUT.pdf</v>
      </c>
    </row>
    <row r="2146" spans="1:28" x14ac:dyDescent="0.25">
      <c r="A2146" t="s">
        <v>2150</v>
      </c>
      <c r="B2146">
        <v>0.99796759195183404</v>
      </c>
      <c r="C2146">
        <v>0.83683580269663005</v>
      </c>
      <c r="D2146">
        <v>0.71915153500963003</v>
      </c>
      <c r="E2146">
        <v>0.77670183318928898</v>
      </c>
      <c r="F2146">
        <v>0.69312382549435803</v>
      </c>
      <c r="G2146">
        <v>1.0780170518300201</v>
      </c>
      <c r="H2146">
        <v>0.59590431633000296</v>
      </c>
      <c r="I2146">
        <v>0.26278743686005102</v>
      </c>
      <c r="J2146">
        <v>0.162084944954063</v>
      </c>
      <c r="K2146">
        <v>0.10557279024357299</v>
      </c>
      <c r="L2146">
        <v>2585.7652749679901</v>
      </c>
      <c r="M2146">
        <v>44.803509258260398</v>
      </c>
      <c r="N2146">
        <v>58.159231888759997</v>
      </c>
      <c r="O2146">
        <v>57.598842215106401</v>
      </c>
      <c r="P2146">
        <v>-0.166203182668309</v>
      </c>
      <c r="Q2146">
        <v>0.145326202602171</v>
      </c>
      <c r="R2146">
        <v>0.74492343382926696</v>
      </c>
      <c r="S2146" t="s">
        <v>7729</v>
      </c>
      <c r="T2146" t="s">
        <v>11164</v>
      </c>
      <c r="U2146" t="s">
        <v>11164</v>
      </c>
      <c r="V2146" t="s">
        <v>11164</v>
      </c>
      <c r="W2146" t="s">
        <v>13274</v>
      </c>
      <c r="X2146">
        <v>3</v>
      </c>
      <c r="Y2146" t="s">
        <v>18787</v>
      </c>
      <c r="Z2146" t="s">
        <v>24296</v>
      </c>
      <c r="AA2146">
        <v>0.73804309593706718</v>
      </c>
      <c r="AB2146" t="str">
        <f>HYPERLINK("Melting_Curves/meltCurve_P33527_7_ABCC1.pdf", "Melting_Curves/meltCurve_P33527_7_ABCC1.pdf")</f>
        <v>Melting_Curves/meltCurve_P33527_7_ABCC1.pdf</v>
      </c>
    </row>
    <row r="2147" spans="1:28" x14ac:dyDescent="0.25">
      <c r="A2147" t="s">
        <v>2151</v>
      </c>
      <c r="B2147">
        <v>0.99796759195183404</v>
      </c>
      <c r="C2147">
        <v>1.0676624228646701</v>
      </c>
      <c r="D2147">
        <v>1.00937354314471</v>
      </c>
      <c r="E2147">
        <v>0.89621740454460097</v>
      </c>
      <c r="F2147">
        <v>0.73294285347939903</v>
      </c>
      <c r="G2147">
        <v>0.52407026218520603</v>
      </c>
      <c r="H2147">
        <v>0.34033324489540001</v>
      </c>
      <c r="I2147">
        <v>0.29470228735164999</v>
      </c>
      <c r="J2147">
        <v>0.25863261639919499</v>
      </c>
      <c r="K2147">
        <v>0.18725792670958799</v>
      </c>
      <c r="L2147">
        <v>855.55403324251495</v>
      </c>
      <c r="M2147">
        <v>16.3131178634574</v>
      </c>
      <c r="N2147">
        <v>54.112403120944798</v>
      </c>
      <c r="O2147">
        <v>51.676656950803498</v>
      </c>
      <c r="P2147">
        <v>-6.3339435438589303E-2</v>
      </c>
      <c r="Q2147">
        <v>0.197472265061859</v>
      </c>
      <c r="R2147">
        <v>0.99200736362252295</v>
      </c>
      <c r="S2147" t="s">
        <v>7730</v>
      </c>
      <c r="T2147" t="s">
        <v>11164</v>
      </c>
      <c r="U2147" t="s">
        <v>11164</v>
      </c>
      <c r="V2147" t="s">
        <v>11164</v>
      </c>
      <c r="W2147" t="s">
        <v>13275</v>
      </c>
      <c r="X2147">
        <v>6</v>
      </c>
      <c r="Y2147" t="s">
        <v>18788</v>
      </c>
      <c r="Z2147" t="s">
        <v>24297</v>
      </c>
      <c r="AA2147">
        <v>0.62422529313151798</v>
      </c>
      <c r="AB2147" t="str">
        <f>HYPERLINK("Melting_Curves/meltCurve_P33552_CKS2.pdf", "Melting_Curves/meltCurve_P33552_CKS2.pdf")</f>
        <v>Melting_Curves/meltCurve_P33552_CKS2.pdf</v>
      </c>
    </row>
    <row r="2148" spans="1:28" x14ac:dyDescent="0.25">
      <c r="A2148" t="s">
        <v>2152</v>
      </c>
      <c r="B2148">
        <v>0.99796759195183404</v>
      </c>
      <c r="C2148">
        <v>0.98409217415860495</v>
      </c>
      <c r="D2148">
        <v>1.0085730597596201</v>
      </c>
      <c r="E2148">
        <v>0.951890904079709</v>
      </c>
      <c r="F2148">
        <v>0.82803686525909304</v>
      </c>
      <c r="G2148">
        <v>0.68423835480617001</v>
      </c>
      <c r="H2148">
        <v>0.49451952358076201</v>
      </c>
      <c r="I2148">
        <v>0.23660054100084599</v>
      </c>
      <c r="J2148">
        <v>0.13977669712907401</v>
      </c>
      <c r="K2148">
        <v>7.5379777050506303E-2</v>
      </c>
      <c r="L2148">
        <v>829.98851414662704</v>
      </c>
      <c r="M2148">
        <v>14.6642657643881</v>
      </c>
      <c r="N2148">
        <v>56.5993915525113</v>
      </c>
      <c r="O2148">
        <v>55.5780943237408</v>
      </c>
      <c r="P2148">
        <v>-6.59697163624995E-2</v>
      </c>
      <c r="Q2148">
        <v>0</v>
      </c>
      <c r="R2148">
        <v>0.99603793950670205</v>
      </c>
      <c r="S2148" t="s">
        <v>7731</v>
      </c>
      <c r="T2148" t="s">
        <v>11164</v>
      </c>
      <c r="U2148" t="s">
        <v>11164</v>
      </c>
      <c r="V2148" t="s">
        <v>11164</v>
      </c>
      <c r="W2148" t="s">
        <v>13276</v>
      </c>
      <c r="X2148">
        <v>8</v>
      </c>
      <c r="Y2148" t="s">
        <v>18789</v>
      </c>
      <c r="Z2148" t="s">
        <v>24298</v>
      </c>
      <c r="AA2148">
        <v>0.66275522344534166</v>
      </c>
      <c r="AB2148" t="str">
        <f>HYPERLINK("Melting_Curves/meltCurve_P33908_MAN1A1.pdf", "Melting_Curves/meltCurve_P33908_MAN1A1.pdf")</f>
        <v>Melting_Curves/meltCurve_P33908_MAN1A1.pdf</v>
      </c>
    </row>
    <row r="2149" spans="1:28" x14ac:dyDescent="0.25">
      <c r="A2149" t="s">
        <v>2153</v>
      </c>
      <c r="B2149">
        <v>0.99796759195183404</v>
      </c>
      <c r="C2149">
        <v>1.0295975327473399</v>
      </c>
      <c r="D2149">
        <v>0.96582027889875099</v>
      </c>
      <c r="E2149">
        <v>0.78231778554841602</v>
      </c>
      <c r="F2149">
        <v>0.40577731148781099</v>
      </c>
      <c r="G2149">
        <v>0.24187758207267299</v>
      </c>
      <c r="H2149">
        <v>0.19282898222683001</v>
      </c>
      <c r="I2149">
        <v>0.14515468963226599</v>
      </c>
      <c r="J2149">
        <v>9.7051502150404603E-2</v>
      </c>
      <c r="K2149">
        <v>8.1055143373308894E-2</v>
      </c>
      <c r="L2149">
        <v>1056.0225752141</v>
      </c>
      <c r="M2149">
        <v>21.6109442316891</v>
      </c>
      <c r="N2149">
        <v>49.467896709207899</v>
      </c>
      <c r="O2149">
        <v>48.4525326152582</v>
      </c>
      <c r="P2149">
        <v>-9.8601525114844005E-2</v>
      </c>
      <c r="Q2149">
        <v>0.115748110422557</v>
      </c>
      <c r="R2149">
        <v>0.99531409314354902</v>
      </c>
      <c r="S2149" t="s">
        <v>7732</v>
      </c>
      <c r="T2149" t="s">
        <v>11164</v>
      </c>
      <c r="U2149" t="s">
        <v>11164</v>
      </c>
      <c r="V2149" t="s">
        <v>11164</v>
      </c>
      <c r="W2149" t="s">
        <v>13277</v>
      </c>
      <c r="X2149">
        <v>9</v>
      </c>
      <c r="Y2149" t="s">
        <v>18790</v>
      </c>
      <c r="Z2149" t="s">
        <v>24299</v>
      </c>
      <c r="AA2149">
        <v>0.47556052663295012</v>
      </c>
      <c r="AB2149" t="str">
        <f>HYPERLINK("Melting_Curves/meltCurve_P33981_2_TTK.pdf", "Melting_Curves/meltCurve_P33981_2_TTK.pdf")</f>
        <v>Melting_Curves/meltCurve_P33981_2_TTK.pdf</v>
      </c>
    </row>
    <row r="2150" spans="1:28" x14ac:dyDescent="0.25">
      <c r="A2150" t="s">
        <v>2154</v>
      </c>
      <c r="B2150">
        <v>0.99796759195183404</v>
      </c>
      <c r="C2150">
        <v>1.0271916758055499</v>
      </c>
      <c r="D2150">
        <v>0.98705168543421296</v>
      </c>
      <c r="E2150">
        <v>1.03448878949767</v>
      </c>
      <c r="F2150">
        <v>0.86203824722614597</v>
      </c>
      <c r="G2150">
        <v>1.6242747064543901</v>
      </c>
      <c r="H2150">
        <v>0.33688358596630902</v>
      </c>
      <c r="I2150">
        <v>0.269418768875064</v>
      </c>
      <c r="J2150">
        <v>0.18953990679421101</v>
      </c>
      <c r="K2150">
        <v>0.1404543294991</v>
      </c>
      <c r="L2150">
        <v>14259.5159984568</v>
      </c>
      <c r="M2150">
        <v>250</v>
      </c>
      <c r="N2150">
        <v>57.154701216668897</v>
      </c>
      <c r="O2150">
        <v>57.034435109782102</v>
      </c>
      <c r="P2150">
        <v>-0.87687849554934105</v>
      </c>
      <c r="Q2150">
        <v>0.19980398182769801</v>
      </c>
      <c r="R2150">
        <v>0.80401148756531704</v>
      </c>
      <c r="S2150" t="s">
        <v>7733</v>
      </c>
      <c r="T2150" t="s">
        <v>11164</v>
      </c>
      <c r="U2150" t="s">
        <v>11164</v>
      </c>
      <c r="V2150" t="s">
        <v>11164</v>
      </c>
      <c r="W2150" t="s">
        <v>13278</v>
      </c>
      <c r="X2150">
        <v>11</v>
      </c>
      <c r="Y2150" t="s">
        <v>18791</v>
      </c>
      <c r="Z2150" t="s">
        <v>24300</v>
      </c>
      <c r="AA2150">
        <v>0.73436338283905456</v>
      </c>
      <c r="AB2150" t="str">
        <f>HYPERLINK("Melting_Curves/meltCurve_P33991_MCM4.pdf", "Melting_Curves/meltCurve_P33991_MCM4.pdf")</f>
        <v>Melting_Curves/meltCurve_P33991_MCM4.pdf</v>
      </c>
    </row>
    <row r="2151" spans="1:28" x14ac:dyDescent="0.25">
      <c r="A2151" t="s">
        <v>2155</v>
      </c>
      <c r="B2151">
        <v>0.99796759195183404</v>
      </c>
      <c r="C2151">
        <v>0.96802771168207202</v>
      </c>
      <c r="D2151">
        <v>0.94072320318538305</v>
      </c>
      <c r="E2151">
        <v>0.98860147582667102</v>
      </c>
      <c r="F2151">
        <v>0.88567610219922399</v>
      </c>
      <c r="G2151">
        <v>1.32638607485983</v>
      </c>
      <c r="H2151">
        <v>0.71424375246126504</v>
      </c>
      <c r="I2151">
        <v>0.23879567775115401</v>
      </c>
      <c r="J2151">
        <v>0.154392155573946</v>
      </c>
      <c r="K2151">
        <v>0.123204203796002</v>
      </c>
      <c r="L2151">
        <v>4162.4548272435604</v>
      </c>
      <c r="M2151">
        <v>71.794342170283599</v>
      </c>
      <c r="N2151">
        <v>58.297117010429602</v>
      </c>
      <c r="O2151">
        <v>57.9325428563508</v>
      </c>
      <c r="P2151">
        <v>-0.25941154173992298</v>
      </c>
      <c r="Q2151">
        <v>0.162699077279988</v>
      </c>
      <c r="R2151">
        <v>0.91610058280339102</v>
      </c>
      <c r="S2151" t="s">
        <v>7734</v>
      </c>
      <c r="T2151" t="s">
        <v>11164</v>
      </c>
      <c r="U2151" t="s">
        <v>11164</v>
      </c>
      <c r="V2151" t="s">
        <v>11164</v>
      </c>
      <c r="W2151" t="s">
        <v>13279</v>
      </c>
      <c r="X2151">
        <v>15</v>
      </c>
      <c r="Y2151" t="s">
        <v>18792</v>
      </c>
      <c r="Z2151" t="s">
        <v>24301</v>
      </c>
      <c r="AA2151">
        <v>0.74921472795392985</v>
      </c>
      <c r="AB2151" t="str">
        <f>HYPERLINK("Melting_Curves/meltCurve_P33992_MCM5.pdf", "Melting_Curves/meltCurve_P33992_MCM5.pdf")</f>
        <v>Melting_Curves/meltCurve_P33992_MCM5.pdf</v>
      </c>
    </row>
    <row r="2152" spans="1:28" x14ac:dyDescent="0.25">
      <c r="A2152" t="s">
        <v>2156</v>
      </c>
      <c r="B2152">
        <v>0.99796759195183404</v>
      </c>
      <c r="C2152">
        <v>1.0257104574845499</v>
      </c>
      <c r="D2152">
        <v>1.00928767338139</v>
      </c>
      <c r="E2152">
        <v>0.83793514638638</v>
      </c>
      <c r="F2152">
        <v>0.55984620053263001</v>
      </c>
      <c r="G2152">
        <v>0.92034525693904101</v>
      </c>
      <c r="H2152">
        <v>0.23629852141843899</v>
      </c>
      <c r="I2152">
        <v>0.196492004883184</v>
      </c>
      <c r="J2152">
        <v>0.149705682473874</v>
      </c>
      <c r="K2152">
        <v>0.13249912506768999</v>
      </c>
      <c r="L2152">
        <v>656.84196464410002</v>
      </c>
      <c r="M2152">
        <v>11.9035709317914</v>
      </c>
      <c r="N2152">
        <v>55.1802453791435</v>
      </c>
      <c r="O2152">
        <v>53.6920792296904</v>
      </c>
      <c r="P2152">
        <v>-5.5438976378936702E-2</v>
      </c>
      <c r="Q2152">
        <v>0</v>
      </c>
      <c r="R2152">
        <v>0.86033646665458996</v>
      </c>
      <c r="S2152" t="s">
        <v>7735</v>
      </c>
      <c r="T2152" t="s">
        <v>11164</v>
      </c>
      <c r="U2152" t="s">
        <v>11164</v>
      </c>
      <c r="V2152" t="s">
        <v>11164</v>
      </c>
      <c r="W2152" t="s">
        <v>13280</v>
      </c>
      <c r="X2152">
        <v>13</v>
      </c>
      <c r="Y2152" t="s">
        <v>18793</v>
      </c>
      <c r="Z2152" t="s">
        <v>24302</v>
      </c>
      <c r="AA2152">
        <v>0.61939344825902887</v>
      </c>
      <c r="AB2152" t="str">
        <f>HYPERLINK("Melting_Curves/meltCurve_P33993_MCM7.pdf", "Melting_Curves/meltCurve_P33993_MCM7.pdf")</f>
        <v>Melting_Curves/meltCurve_P33993_MCM7.pdf</v>
      </c>
    </row>
    <row r="2153" spans="1:28" x14ac:dyDescent="0.25">
      <c r="A2153" t="s">
        <v>2157</v>
      </c>
      <c r="B2153">
        <v>0.99796759195183404</v>
      </c>
      <c r="C2153">
        <v>1.0200693951873501</v>
      </c>
      <c r="D2153">
        <v>1.0016861384581599</v>
      </c>
      <c r="E2153">
        <v>0.96463752070570197</v>
      </c>
      <c r="F2153">
        <v>0.97665976057933501</v>
      </c>
      <c r="G2153">
        <v>1.1458976112711201</v>
      </c>
      <c r="H2153">
        <v>1.00381895966024</v>
      </c>
      <c r="I2153">
        <v>0.93349356663828797</v>
      </c>
      <c r="J2153">
        <v>0.93612975903808904</v>
      </c>
      <c r="K2153">
        <v>0.46135453374258101</v>
      </c>
      <c r="L2153">
        <v>4048.84675417881</v>
      </c>
      <c r="M2153">
        <v>60.581795865116398</v>
      </c>
      <c r="N2153">
        <v>66.832729200587707</v>
      </c>
      <c r="O2153">
        <v>66.760022144786205</v>
      </c>
      <c r="P2153">
        <v>-0.22686413947283701</v>
      </c>
      <c r="Q2153">
        <v>0</v>
      </c>
      <c r="R2153">
        <v>0.90523103162367502</v>
      </c>
      <c r="S2153" t="s">
        <v>7736</v>
      </c>
      <c r="T2153" t="s">
        <v>11164</v>
      </c>
      <c r="U2153" t="s">
        <v>11164</v>
      </c>
      <c r="V2153" t="s">
        <v>11164</v>
      </c>
      <c r="W2153" t="s">
        <v>13281</v>
      </c>
      <c r="X2153">
        <v>12</v>
      </c>
      <c r="Y2153" t="s">
        <v>18794</v>
      </c>
      <c r="Z2153" t="s">
        <v>24303</v>
      </c>
      <c r="AA2153">
        <v>0.97256557690639955</v>
      </c>
      <c r="AB2153" t="str">
        <f>HYPERLINK("Melting_Curves/meltCurve_P34896_2_SHMT1.pdf", "Melting_Curves/meltCurve_P34896_2_SHMT1.pdf")</f>
        <v>Melting_Curves/meltCurve_P34896_2_SHMT1.pdf</v>
      </c>
    </row>
    <row r="2154" spans="1:28" x14ac:dyDescent="0.25">
      <c r="A2154" t="s">
        <v>2158</v>
      </c>
      <c r="B2154">
        <v>0.99796759195183404</v>
      </c>
      <c r="C2154">
        <v>0.99842572655917905</v>
      </c>
      <c r="D2154">
        <v>0.972373911081166</v>
      </c>
      <c r="E2154">
        <v>0.959382108048209</v>
      </c>
      <c r="F2154">
        <v>0.88958302284730495</v>
      </c>
      <c r="G2154">
        <v>1.3672365872185901</v>
      </c>
      <c r="H2154">
        <v>1.15979393469234</v>
      </c>
      <c r="I2154">
        <v>1.0734983793566399</v>
      </c>
      <c r="J2154">
        <v>0.90012786506293896</v>
      </c>
      <c r="K2154">
        <v>0.38275611035822299</v>
      </c>
      <c r="L2154">
        <v>15000</v>
      </c>
      <c r="M2154">
        <v>232.36423411379201</v>
      </c>
      <c r="N2154">
        <v>64.958961274314206</v>
      </c>
      <c r="O2154">
        <v>64.549042778728605</v>
      </c>
      <c r="P2154">
        <v>-0.55560495299639701</v>
      </c>
      <c r="Q2154">
        <v>0.38262843345827702</v>
      </c>
      <c r="R2154">
        <v>0.67923799019653797</v>
      </c>
      <c r="S2154" t="s">
        <v>7737</v>
      </c>
      <c r="T2154" t="s">
        <v>11164</v>
      </c>
      <c r="U2154" t="s">
        <v>11164</v>
      </c>
      <c r="V2154" t="s">
        <v>11164</v>
      </c>
      <c r="W2154" t="s">
        <v>13282</v>
      </c>
      <c r="X2154">
        <v>36</v>
      </c>
      <c r="Y2154" t="s">
        <v>18795</v>
      </c>
      <c r="Z2154" t="s">
        <v>24304</v>
      </c>
      <c r="AA2154">
        <v>0.94973970767351978</v>
      </c>
      <c r="AB2154" t="str">
        <f>HYPERLINK("Melting_Curves/meltCurve_P34897_3_SHMT2.pdf", "Melting_Curves/meltCurve_P34897_3_SHMT2.pdf")</f>
        <v>Melting_Curves/meltCurve_P34897_3_SHMT2.pdf</v>
      </c>
    </row>
    <row r="2155" spans="1:28" x14ac:dyDescent="0.25">
      <c r="A2155" t="s">
        <v>2159</v>
      </c>
      <c r="B2155">
        <v>0.99796759195183404</v>
      </c>
      <c r="C2155">
        <v>0.83503112000725399</v>
      </c>
      <c r="D2155">
        <v>0.86754042568430401</v>
      </c>
      <c r="E2155">
        <v>0.95702787859552596</v>
      </c>
      <c r="F2155">
        <v>0.73223967852482497</v>
      </c>
      <c r="G2155">
        <v>0.81051839860223396</v>
      </c>
      <c r="H2155">
        <v>0.53737679082304501</v>
      </c>
      <c r="I2155">
        <v>0.57586823072973403</v>
      </c>
      <c r="J2155">
        <v>0.32054174076144798</v>
      </c>
      <c r="K2155">
        <v>5.9975945079691402E-2</v>
      </c>
      <c r="L2155">
        <v>585.45008029189296</v>
      </c>
      <c r="M2155">
        <v>9.9189696650461201</v>
      </c>
      <c r="N2155">
        <v>59.0232756222752</v>
      </c>
      <c r="O2155">
        <v>56.7744972361238</v>
      </c>
      <c r="P2155">
        <v>-4.3698962274581199E-2</v>
      </c>
      <c r="Q2155">
        <v>0</v>
      </c>
      <c r="R2155">
        <v>0.857240433305551</v>
      </c>
      <c r="S2155" t="s">
        <v>7738</v>
      </c>
      <c r="T2155" t="s">
        <v>11164</v>
      </c>
      <c r="U2155" t="s">
        <v>11164</v>
      </c>
      <c r="V2155" t="s">
        <v>11164</v>
      </c>
      <c r="W2155" t="s">
        <v>13283</v>
      </c>
      <c r="X2155">
        <v>27</v>
      </c>
      <c r="Y2155" t="s">
        <v>18796</v>
      </c>
      <c r="Z2155" t="s">
        <v>24305</v>
      </c>
      <c r="AA2155">
        <v>0.71619333420361131</v>
      </c>
      <c r="AB2155" t="str">
        <f>HYPERLINK("Melting_Curves/meltCurve_P34931_HSPA1L.pdf", "Melting_Curves/meltCurve_P34931_HSPA1L.pdf")</f>
        <v>Melting_Curves/meltCurve_P34931_HSPA1L.pdf</v>
      </c>
    </row>
    <row r="2156" spans="1:28" x14ac:dyDescent="0.25">
      <c r="A2156" t="s">
        <v>2160</v>
      </c>
      <c r="B2156">
        <v>0.99796759195183404</v>
      </c>
      <c r="C2156">
        <v>1.0048370709784</v>
      </c>
      <c r="D2156">
        <v>0.99577186637801895</v>
      </c>
      <c r="E2156">
        <v>0.93210874187697901</v>
      </c>
      <c r="F2156">
        <v>0.84013136134737498</v>
      </c>
      <c r="G2156">
        <v>0.68741830980248397</v>
      </c>
      <c r="H2156">
        <v>0.18163995208942699</v>
      </c>
      <c r="I2156">
        <v>0.14168113918945699</v>
      </c>
      <c r="J2156">
        <v>0.103545662729182</v>
      </c>
      <c r="K2156">
        <v>7.5904507223734805E-2</v>
      </c>
      <c r="L2156">
        <v>1533.2988289116599</v>
      </c>
      <c r="M2156">
        <v>28.142025738060902</v>
      </c>
      <c r="N2156">
        <v>54.795154076427998</v>
      </c>
      <c r="O2156">
        <v>54.211420140770699</v>
      </c>
      <c r="P2156">
        <v>-0.12020469541498199</v>
      </c>
      <c r="Q2156">
        <v>7.3782016166218198E-2</v>
      </c>
      <c r="R2156">
        <v>0.98645729934839799</v>
      </c>
      <c r="S2156" t="s">
        <v>7739</v>
      </c>
      <c r="T2156" t="s">
        <v>11164</v>
      </c>
      <c r="U2156" t="s">
        <v>11164</v>
      </c>
      <c r="V2156" t="s">
        <v>11164</v>
      </c>
      <c r="W2156" t="s">
        <v>13284</v>
      </c>
      <c r="X2156">
        <v>74</v>
      </c>
      <c r="Y2156" t="s">
        <v>18797</v>
      </c>
      <c r="Z2156" t="s">
        <v>24306</v>
      </c>
      <c r="AA2156">
        <v>0.62018867148942014</v>
      </c>
      <c r="AB2156" t="str">
        <f>HYPERLINK("Melting_Curves/meltCurve_P34932_HSPA4.pdf", "Melting_Curves/meltCurve_P34932_HSPA4.pdf")</f>
        <v>Melting_Curves/meltCurve_P34932_HSPA4.pdf</v>
      </c>
    </row>
    <row r="2157" spans="1:28" x14ac:dyDescent="0.25">
      <c r="A2157" t="s">
        <v>2161</v>
      </c>
      <c r="B2157">
        <v>0.99796759195183404</v>
      </c>
      <c r="C2157">
        <v>0.993212803020459</v>
      </c>
      <c r="D2157">
        <v>1.00422798991687</v>
      </c>
      <c r="E2157">
        <v>0.87077665655785097</v>
      </c>
      <c r="F2157">
        <v>0.61902729810538004</v>
      </c>
      <c r="G2157">
        <v>0.288975021192795</v>
      </c>
      <c r="H2157">
        <v>0.15420650692121399</v>
      </c>
      <c r="I2157">
        <v>0.121469229663231</v>
      </c>
      <c r="J2157">
        <v>9.6074729181812701E-2</v>
      </c>
      <c r="K2157">
        <v>6.8806905006652097E-2</v>
      </c>
      <c r="L2157">
        <v>1087.2604983743099</v>
      </c>
      <c r="M2157">
        <v>21.364475205869301</v>
      </c>
      <c r="N2157">
        <v>51.306783120514098</v>
      </c>
      <c r="O2157">
        <v>50.451475047069799</v>
      </c>
      <c r="P2157">
        <v>-9.7454666055797598E-2</v>
      </c>
      <c r="Q2157">
        <v>7.9479753606485098E-2</v>
      </c>
      <c r="R2157">
        <v>0.99897453436104999</v>
      </c>
      <c r="S2157" t="s">
        <v>7740</v>
      </c>
      <c r="T2157" t="s">
        <v>11164</v>
      </c>
      <c r="U2157" t="s">
        <v>11164</v>
      </c>
      <c r="V2157" t="s">
        <v>11164</v>
      </c>
      <c r="W2157" t="s">
        <v>13285</v>
      </c>
      <c r="X2157">
        <v>10</v>
      </c>
      <c r="Y2157" t="s">
        <v>18798</v>
      </c>
      <c r="Z2157" t="s">
        <v>24307</v>
      </c>
      <c r="AA2157">
        <v>0.51649012482237266</v>
      </c>
      <c r="AB2157" t="str">
        <f>HYPERLINK("Melting_Curves/meltCurve_P34949_MPI.pdf", "Melting_Curves/meltCurve_P34949_MPI.pdf")</f>
        <v>Melting_Curves/meltCurve_P34949_MPI.pdf</v>
      </c>
    </row>
    <row r="2158" spans="1:28" x14ac:dyDescent="0.25">
      <c r="A2158" t="s">
        <v>2162</v>
      </c>
      <c r="B2158">
        <v>0.99796759195183404</v>
      </c>
      <c r="C2158">
        <v>0.96991022523313797</v>
      </c>
      <c r="D2158">
        <v>0.95617336340401005</v>
      </c>
      <c r="E2158">
        <v>0.857092325012491</v>
      </c>
      <c r="F2158">
        <v>0.78128887026905802</v>
      </c>
      <c r="G2158">
        <v>0.47014796284898103</v>
      </c>
      <c r="H2158">
        <v>0.25428418601606601</v>
      </c>
      <c r="I2158">
        <v>0.19165591526160899</v>
      </c>
      <c r="J2158">
        <v>0.16790836239024601</v>
      </c>
      <c r="K2158">
        <v>0.14690565168901501</v>
      </c>
      <c r="L2158">
        <v>915.76272336475904</v>
      </c>
      <c r="M2158">
        <v>17.417965270393001</v>
      </c>
      <c r="N2158">
        <v>53.4120814375474</v>
      </c>
      <c r="O2158">
        <v>51.897427186167398</v>
      </c>
      <c r="P2158">
        <v>-7.3895688406769799E-2</v>
      </c>
      <c r="Q2158">
        <v>0.11935047007013</v>
      </c>
      <c r="R2158">
        <v>0.99313225214773504</v>
      </c>
      <c r="S2158" t="s">
        <v>7741</v>
      </c>
      <c r="T2158" t="s">
        <v>11164</v>
      </c>
      <c r="U2158" t="s">
        <v>11164</v>
      </c>
      <c r="V2158" t="s">
        <v>11164</v>
      </c>
      <c r="W2158" t="s">
        <v>13286</v>
      </c>
      <c r="X2158">
        <v>14</v>
      </c>
      <c r="Y2158" t="s">
        <v>18799</v>
      </c>
      <c r="Z2158" t="s">
        <v>24308</v>
      </c>
      <c r="AA2158">
        <v>0.59020078940533649</v>
      </c>
      <c r="AB2158" t="str">
        <f>HYPERLINK("Melting_Curves/meltCurve_P35219_CA8.pdf", "Melting_Curves/meltCurve_P35219_CA8.pdf")</f>
        <v>Melting_Curves/meltCurve_P35219_CA8.pdf</v>
      </c>
    </row>
    <row r="2159" spans="1:28" x14ac:dyDescent="0.25">
      <c r="A2159" t="s">
        <v>2163</v>
      </c>
      <c r="B2159">
        <v>0.99796759195183404</v>
      </c>
      <c r="C2159">
        <v>1.00686392273787</v>
      </c>
      <c r="D2159">
        <v>1.00276941776463</v>
      </c>
      <c r="E2159">
        <v>0.93511573352765498</v>
      </c>
      <c r="F2159">
        <v>0.88482633051562198</v>
      </c>
      <c r="G2159">
        <v>0.94441520239976495</v>
      </c>
      <c r="H2159">
        <v>0.69995952253710603</v>
      </c>
      <c r="I2159">
        <v>0.28281983304296499</v>
      </c>
      <c r="J2159">
        <v>0.15676531905744501</v>
      </c>
      <c r="K2159">
        <v>0.117300649425768</v>
      </c>
      <c r="L2159">
        <v>1854.58808361914</v>
      </c>
      <c r="M2159">
        <v>31.673036483492201</v>
      </c>
      <c r="N2159">
        <v>58.9601853175351</v>
      </c>
      <c r="O2159">
        <v>58.322227073696403</v>
      </c>
      <c r="P2159">
        <v>-0.122464686133583</v>
      </c>
      <c r="Q2159">
        <v>9.7986611756314498E-2</v>
      </c>
      <c r="R2159">
        <v>0.98635950233605896</v>
      </c>
      <c r="S2159" t="s">
        <v>7742</v>
      </c>
      <c r="T2159" t="s">
        <v>11164</v>
      </c>
      <c r="U2159" t="s">
        <v>11164</v>
      </c>
      <c r="V2159" t="s">
        <v>11164</v>
      </c>
      <c r="W2159" t="s">
        <v>13287</v>
      </c>
      <c r="X2159">
        <v>19</v>
      </c>
      <c r="Y2159" t="s">
        <v>18800</v>
      </c>
      <c r="Z2159" t="s">
        <v>24309</v>
      </c>
      <c r="AA2159">
        <v>0.75047424869667789</v>
      </c>
      <c r="AB2159" t="str">
        <f>HYPERLINK("Melting_Curves/meltCurve_P35221_CTNNA1.pdf", "Melting_Curves/meltCurve_P35221_CTNNA1.pdf")</f>
        <v>Melting_Curves/meltCurve_P35221_CTNNA1.pdf</v>
      </c>
    </row>
    <row r="2160" spans="1:28" x14ac:dyDescent="0.25">
      <c r="A2160" t="s">
        <v>2164</v>
      </c>
      <c r="B2160">
        <v>0.99796759195183404</v>
      </c>
      <c r="C2160">
        <v>0.94534635946161605</v>
      </c>
      <c r="D2160">
        <v>0.92420170230725596</v>
      </c>
      <c r="E2160">
        <v>0.91109791130870099</v>
      </c>
      <c r="F2160">
        <v>0.82678677523358002</v>
      </c>
      <c r="G2160">
        <v>1.2505749660874601</v>
      </c>
      <c r="H2160">
        <v>1.2110065116009101</v>
      </c>
      <c r="I2160">
        <v>3.40951902616766</v>
      </c>
      <c r="J2160">
        <v>1.5013706089322401</v>
      </c>
      <c r="K2160">
        <v>0.93695583619332901</v>
      </c>
      <c r="L2160">
        <v>2916.4472218514602</v>
      </c>
      <c r="M2160">
        <v>53.900807617193202</v>
      </c>
      <c r="O2160">
        <v>54.033347408385502</v>
      </c>
      <c r="P2160">
        <v>0.12469346296099</v>
      </c>
      <c r="Q2160">
        <v>1.5</v>
      </c>
      <c r="R2160">
        <v>0.23775382146337201</v>
      </c>
      <c r="S2160" t="s">
        <v>7743</v>
      </c>
      <c r="T2160" t="s">
        <v>11164</v>
      </c>
      <c r="U2160" t="s">
        <v>11164</v>
      </c>
      <c r="V2160" t="s">
        <v>11164</v>
      </c>
      <c r="W2160" t="s">
        <v>13288</v>
      </c>
      <c r="X2160">
        <v>22</v>
      </c>
      <c r="Y2160" t="s">
        <v>18801</v>
      </c>
      <c r="Z2160" t="s">
        <v>24310</v>
      </c>
      <c r="AA2160">
        <v>1.213846901281979</v>
      </c>
      <c r="AB2160" t="str">
        <f>HYPERLINK("Melting_Curves/meltCurve_P35232_PHB.pdf", "Melting_Curves/meltCurve_P35232_PHB.pdf")</f>
        <v>Melting_Curves/meltCurve_P35232_PHB.pdf</v>
      </c>
    </row>
    <row r="2161" spans="1:28" x14ac:dyDescent="0.25">
      <c r="A2161" t="s">
        <v>2165</v>
      </c>
      <c r="B2161">
        <v>0.99796759195183404</v>
      </c>
      <c r="C2161">
        <v>1.0047982642328701</v>
      </c>
      <c r="D2161">
        <v>1.0206987913735199</v>
      </c>
      <c r="E2161">
        <v>0.907474484249151</v>
      </c>
      <c r="F2161">
        <v>0.86900471904450305</v>
      </c>
      <c r="G2161">
        <v>0.63644490445843305</v>
      </c>
      <c r="H2161">
        <v>0.59201941908168798</v>
      </c>
      <c r="I2161">
        <v>0.50824276797702095</v>
      </c>
      <c r="J2161">
        <v>0.214682828069958</v>
      </c>
      <c r="K2161">
        <v>0.112358026596913</v>
      </c>
      <c r="L2161">
        <v>651.03733645213595</v>
      </c>
      <c r="M2161">
        <v>11.150414802262899</v>
      </c>
      <c r="N2161">
        <v>58.386826729095198</v>
      </c>
      <c r="O2161">
        <v>56.603300494870702</v>
      </c>
      <c r="P2161">
        <v>-4.92638543704811E-2</v>
      </c>
      <c r="Q2161">
        <v>0</v>
      </c>
      <c r="R2161">
        <v>0.96212506098544204</v>
      </c>
      <c r="S2161" t="s">
        <v>7744</v>
      </c>
      <c r="T2161" t="s">
        <v>11164</v>
      </c>
      <c r="U2161" t="s">
        <v>11164</v>
      </c>
      <c r="V2161" t="s">
        <v>11164</v>
      </c>
      <c r="W2161" t="s">
        <v>13289</v>
      </c>
      <c r="X2161">
        <v>13</v>
      </c>
      <c r="Y2161" t="s">
        <v>18802</v>
      </c>
      <c r="Z2161" t="s">
        <v>24311</v>
      </c>
      <c r="AA2161">
        <v>0.70611141999856153</v>
      </c>
      <c r="AB2161" t="str">
        <f>HYPERLINK("Melting_Curves/meltCurve_P35237_SERPINB6.pdf", "Melting_Curves/meltCurve_P35237_SERPINB6.pdf")</f>
        <v>Melting_Curves/meltCurve_P35237_SERPINB6.pdf</v>
      </c>
    </row>
    <row r="2162" spans="1:28" x14ac:dyDescent="0.25">
      <c r="A2162" t="s">
        <v>2166</v>
      </c>
      <c r="B2162">
        <v>0.99796759195183404</v>
      </c>
      <c r="C2162">
        <v>1.02373975096265</v>
      </c>
      <c r="D2162">
        <v>1.00149607839277</v>
      </c>
      <c r="E2162">
        <v>0.91596796190308405</v>
      </c>
      <c r="F2162">
        <v>0.85367588583259701</v>
      </c>
      <c r="G2162">
        <v>0.56697160869283503</v>
      </c>
      <c r="H2162">
        <v>0.258685787604372</v>
      </c>
      <c r="I2162">
        <v>0.19054177143583101</v>
      </c>
      <c r="J2162">
        <v>0.13725122281173299</v>
      </c>
      <c r="K2162">
        <v>0.101304697748459</v>
      </c>
      <c r="L2162">
        <v>1142.88070703778</v>
      </c>
      <c r="M2162">
        <v>21.227113596627898</v>
      </c>
      <c r="N2162">
        <v>54.408762788103999</v>
      </c>
      <c r="O2162">
        <v>53.369605561891198</v>
      </c>
      <c r="P2162">
        <v>-8.9552350093412697E-2</v>
      </c>
      <c r="Q2162">
        <v>9.9406401947815401E-2</v>
      </c>
      <c r="R2162">
        <v>0.99620603685961795</v>
      </c>
      <c r="S2162" t="s">
        <v>7745</v>
      </c>
      <c r="T2162" t="s">
        <v>11164</v>
      </c>
      <c r="U2162" t="s">
        <v>11164</v>
      </c>
      <c r="V2162" t="s">
        <v>11164</v>
      </c>
      <c r="W2162" t="s">
        <v>13290</v>
      </c>
      <c r="X2162">
        <v>7</v>
      </c>
      <c r="Y2162" t="s">
        <v>18803</v>
      </c>
      <c r="Z2162" t="s">
        <v>24312</v>
      </c>
      <c r="AA2162">
        <v>0.61507883647842376</v>
      </c>
      <c r="AB2162" t="str">
        <f>HYPERLINK("Melting_Curves/meltCurve_P35240_5_NF2.pdf", "Melting_Curves/meltCurve_P35240_5_NF2.pdf")</f>
        <v>Melting_Curves/meltCurve_P35240_5_NF2.pdf</v>
      </c>
    </row>
    <row r="2163" spans="1:28" x14ac:dyDescent="0.25">
      <c r="A2163" t="s">
        <v>2167</v>
      </c>
      <c r="B2163">
        <v>0.99796759195183404</v>
      </c>
      <c r="C2163">
        <v>1.0087012410933101</v>
      </c>
      <c r="D2163">
        <v>0.98410256558058895</v>
      </c>
      <c r="E2163">
        <v>0.96765057074510097</v>
      </c>
      <c r="F2163">
        <v>0.859044407213582</v>
      </c>
      <c r="G2163">
        <v>0.73187613173992305</v>
      </c>
      <c r="H2163">
        <v>0.72065966388506197</v>
      </c>
      <c r="I2163">
        <v>0.56612238300671303</v>
      </c>
      <c r="J2163">
        <v>0.18921852418159499</v>
      </c>
      <c r="K2163">
        <v>0.131601105826989</v>
      </c>
      <c r="L2163">
        <v>820.31828802648397</v>
      </c>
      <c r="M2163">
        <v>13.690986449237</v>
      </c>
      <c r="N2163">
        <v>59.916682152373497</v>
      </c>
      <c r="O2163">
        <v>58.681748091636997</v>
      </c>
      <c r="P2163">
        <v>-5.8335698977905602E-2</v>
      </c>
      <c r="Q2163">
        <v>0</v>
      </c>
      <c r="R2163">
        <v>0.94786980115248498</v>
      </c>
      <c r="S2163" t="s">
        <v>7746</v>
      </c>
      <c r="T2163" t="s">
        <v>11164</v>
      </c>
      <c r="U2163" t="s">
        <v>11164</v>
      </c>
      <c r="V2163" t="s">
        <v>11164</v>
      </c>
      <c r="W2163" t="s">
        <v>13291</v>
      </c>
      <c r="X2163">
        <v>48</v>
      </c>
      <c r="Y2163" t="s">
        <v>18804</v>
      </c>
      <c r="Z2163" t="s">
        <v>24313</v>
      </c>
      <c r="AA2163">
        <v>0.75429631982390788</v>
      </c>
      <c r="AB2163" t="str">
        <f>HYPERLINK("Melting_Curves/meltCurve_P35241_RDX.pdf", "Melting_Curves/meltCurve_P35241_RDX.pdf")</f>
        <v>Melting_Curves/meltCurve_P35241_RDX.pdf</v>
      </c>
    </row>
    <row r="2164" spans="1:28" x14ac:dyDescent="0.25">
      <c r="A2164" t="s">
        <v>2168</v>
      </c>
      <c r="B2164">
        <v>0.99796759195183404</v>
      </c>
      <c r="C2164">
        <v>1.0670398172020901</v>
      </c>
      <c r="D2164">
        <v>0.84153002451964098</v>
      </c>
      <c r="E2164">
        <v>0.83259319618717398</v>
      </c>
      <c r="F2164">
        <v>0.89438484791000705</v>
      </c>
      <c r="G2164">
        <v>0.69113348156396404</v>
      </c>
      <c r="H2164">
        <v>0.53084408284266604</v>
      </c>
      <c r="I2164">
        <v>0.38934295073915998</v>
      </c>
      <c r="J2164">
        <v>0.265067284172886</v>
      </c>
      <c r="K2164">
        <v>0.117352855878904</v>
      </c>
      <c r="L2164">
        <v>616.85285265681296</v>
      </c>
      <c r="M2164">
        <v>10.675069037116801</v>
      </c>
      <c r="N2164">
        <v>57.784436885657001</v>
      </c>
      <c r="O2164">
        <v>55.867346861079398</v>
      </c>
      <c r="P2164">
        <v>-4.7787803045242799E-2</v>
      </c>
      <c r="Q2164">
        <v>0</v>
      </c>
      <c r="R2164">
        <v>0.95508152409930502</v>
      </c>
      <c r="S2164" t="s">
        <v>7747</v>
      </c>
      <c r="T2164" t="s">
        <v>11164</v>
      </c>
      <c r="U2164" t="s">
        <v>11164</v>
      </c>
      <c r="V2164" t="s">
        <v>11164</v>
      </c>
      <c r="W2164" t="s">
        <v>13292</v>
      </c>
      <c r="X2164">
        <v>4</v>
      </c>
      <c r="Y2164" t="s">
        <v>18805</v>
      </c>
      <c r="Z2164" t="s">
        <v>24314</v>
      </c>
      <c r="AA2164">
        <v>0.68873326820387004</v>
      </c>
      <c r="AB2164" t="str">
        <f>HYPERLINK("Melting_Curves/meltCurve_P35244_RPA3.pdf", "Melting_Curves/meltCurve_P35244_RPA3.pdf")</f>
        <v>Melting_Curves/meltCurve_P35244_RPA3.pdf</v>
      </c>
    </row>
    <row r="2165" spans="1:28" x14ac:dyDescent="0.25">
      <c r="A2165" t="s">
        <v>2169</v>
      </c>
      <c r="B2165">
        <v>0.99796759195183404</v>
      </c>
      <c r="C2165">
        <v>1.03946344334404</v>
      </c>
      <c r="D2165">
        <v>0.95645692568033402</v>
      </c>
      <c r="E2165">
        <v>0.92683780541572702</v>
      </c>
      <c r="F2165">
        <v>0.99074478915694197</v>
      </c>
      <c r="G2165">
        <v>0.63286714348589002</v>
      </c>
      <c r="H2165">
        <v>0.26266220875097301</v>
      </c>
      <c r="I2165">
        <v>0.200483078690157</v>
      </c>
      <c r="J2165">
        <v>0.14494164506288901</v>
      </c>
      <c r="K2165">
        <v>8.5964700132930102E-2</v>
      </c>
      <c r="L2165">
        <v>1795.28980456404</v>
      </c>
      <c r="M2165">
        <v>32.997177442525498</v>
      </c>
      <c r="N2165">
        <v>54.915929660129002</v>
      </c>
      <c r="O2165">
        <v>54.208711631234401</v>
      </c>
      <c r="P2165">
        <v>-0.13214297798300401</v>
      </c>
      <c r="Q2165">
        <v>0.131650726371496</v>
      </c>
      <c r="R2165">
        <v>0.99013642630251697</v>
      </c>
      <c r="S2165" t="s">
        <v>7748</v>
      </c>
      <c r="T2165" t="s">
        <v>11164</v>
      </c>
      <c r="U2165" t="s">
        <v>11164</v>
      </c>
      <c r="V2165" t="s">
        <v>11164</v>
      </c>
      <c r="W2165" t="s">
        <v>13293</v>
      </c>
      <c r="X2165">
        <v>17</v>
      </c>
      <c r="Y2165" t="s">
        <v>18806</v>
      </c>
      <c r="Z2165" t="s">
        <v>24315</v>
      </c>
      <c r="AA2165">
        <v>0.64016847884102346</v>
      </c>
      <c r="AB2165" t="str">
        <f>HYPERLINK("Melting_Curves/meltCurve_P35249_RFC4.pdf", "Melting_Curves/meltCurve_P35249_RFC4.pdf")</f>
        <v>Melting_Curves/meltCurve_P35249_RFC4.pdf</v>
      </c>
    </row>
    <row r="2166" spans="1:28" x14ac:dyDescent="0.25">
      <c r="A2166" t="s">
        <v>2170</v>
      </c>
      <c r="B2166">
        <v>0.99796759195183404</v>
      </c>
      <c r="C2166">
        <v>0.96069351372869705</v>
      </c>
      <c r="D2166">
        <v>0.96654484650111006</v>
      </c>
      <c r="E2166">
        <v>0.90824533164910604</v>
      </c>
      <c r="F2166">
        <v>0.85872770365949502</v>
      </c>
      <c r="G2166">
        <v>0.44581051142023598</v>
      </c>
      <c r="H2166">
        <v>0.169780236947841</v>
      </c>
      <c r="I2166">
        <v>0.13555104172986501</v>
      </c>
      <c r="J2166">
        <v>0.10320169103592799</v>
      </c>
      <c r="K2166">
        <v>7.2643297876989102E-2</v>
      </c>
      <c r="L2166">
        <v>1456.3888657207799</v>
      </c>
      <c r="M2166">
        <v>27.491494947539699</v>
      </c>
      <c r="N2166">
        <v>53.349584388477403</v>
      </c>
      <c r="O2166">
        <v>52.698050636077703</v>
      </c>
      <c r="P2166">
        <v>-0.11900109481252601</v>
      </c>
      <c r="Q2166">
        <v>8.7562475104687898E-2</v>
      </c>
      <c r="R2166">
        <v>0.99386472087477695</v>
      </c>
      <c r="S2166" t="s">
        <v>7749</v>
      </c>
      <c r="T2166" t="s">
        <v>11164</v>
      </c>
      <c r="U2166" t="s">
        <v>11164</v>
      </c>
      <c r="V2166" t="s">
        <v>11164</v>
      </c>
      <c r="W2166" t="s">
        <v>13294</v>
      </c>
      <c r="X2166">
        <v>10</v>
      </c>
      <c r="Y2166" t="s">
        <v>18807</v>
      </c>
      <c r="Z2166" t="s">
        <v>24316</v>
      </c>
      <c r="AA2166">
        <v>0.58028442081344933</v>
      </c>
      <c r="AB2166" t="str">
        <f>HYPERLINK("Melting_Curves/meltCurve_P35250_RFC2.pdf", "Melting_Curves/meltCurve_P35250_RFC2.pdf")</f>
        <v>Melting_Curves/meltCurve_P35250_RFC2.pdf</v>
      </c>
    </row>
    <row r="2167" spans="1:28" x14ac:dyDescent="0.25">
      <c r="A2167" t="s">
        <v>2171</v>
      </c>
      <c r="B2167">
        <v>0.99796759195183404</v>
      </c>
      <c r="C2167">
        <v>0.86580277385844495</v>
      </c>
      <c r="D2167">
        <v>1.0514173186036699</v>
      </c>
      <c r="E2167">
        <v>0.77409747479827995</v>
      </c>
      <c r="F2167">
        <v>0.69613553439579601</v>
      </c>
      <c r="G2167">
        <v>0.38414751947613401</v>
      </c>
      <c r="H2167">
        <v>0.32186380531724701</v>
      </c>
      <c r="I2167">
        <v>0.23094257797151299</v>
      </c>
      <c r="J2167">
        <v>0.22147662225211301</v>
      </c>
      <c r="K2167">
        <v>0.17464863056280899</v>
      </c>
      <c r="L2167">
        <v>758.65570175092796</v>
      </c>
      <c r="M2167">
        <v>14.847915030787901</v>
      </c>
      <c r="N2167">
        <v>52.512287724335302</v>
      </c>
      <c r="O2167">
        <v>50.195131067010102</v>
      </c>
      <c r="P2167">
        <v>-6.1749769363643299E-2</v>
      </c>
      <c r="Q2167">
        <v>0.165078215738448</v>
      </c>
      <c r="R2167">
        <v>0.96599064528826795</v>
      </c>
      <c r="S2167" t="s">
        <v>7750</v>
      </c>
      <c r="T2167" t="s">
        <v>11164</v>
      </c>
      <c r="U2167" t="s">
        <v>11164</v>
      </c>
      <c r="V2167" t="s">
        <v>11164</v>
      </c>
      <c r="W2167" t="s">
        <v>13295</v>
      </c>
      <c r="X2167">
        <v>2</v>
      </c>
      <c r="Y2167" t="s">
        <v>18808</v>
      </c>
      <c r="Z2167" t="s">
        <v>24317</v>
      </c>
      <c r="AA2167">
        <v>0.57431452335052768</v>
      </c>
      <c r="AB2167" t="str">
        <f>HYPERLINK("Melting_Curves/meltCurve_P35251_2_RFC1.pdf", "Melting_Curves/meltCurve_P35251_2_RFC1.pdf")</f>
        <v>Melting_Curves/meltCurve_P35251_2_RFC1.pdf</v>
      </c>
    </row>
    <row r="2168" spans="1:28" x14ac:dyDescent="0.25">
      <c r="A2168" t="s">
        <v>2172</v>
      </c>
      <c r="B2168">
        <v>0.99796759195183404</v>
      </c>
      <c r="C2168">
        <v>1.0217213735100099</v>
      </c>
      <c r="D2168">
        <v>0.98716504152055096</v>
      </c>
      <c r="E2168">
        <v>0.90417537074173004</v>
      </c>
      <c r="F2168">
        <v>0.73615675672580105</v>
      </c>
      <c r="G2168">
        <v>0.60065551827959796</v>
      </c>
      <c r="H2168">
        <v>0.454669845492297</v>
      </c>
      <c r="I2168">
        <v>0.41725937739846602</v>
      </c>
      <c r="J2168">
        <v>0.171740389612067</v>
      </c>
      <c r="K2168">
        <v>0.10559616539152</v>
      </c>
      <c r="L2168">
        <v>583.079505758403</v>
      </c>
      <c r="M2168">
        <v>10.361529934381201</v>
      </c>
      <c r="N2168">
        <v>56.273508986292804</v>
      </c>
      <c r="O2168">
        <v>54.298429771459098</v>
      </c>
      <c r="P2168">
        <v>-4.7726651582579702E-2</v>
      </c>
      <c r="Q2168">
        <v>0</v>
      </c>
      <c r="R2168">
        <v>0.98025214612227596</v>
      </c>
      <c r="S2168" t="s">
        <v>7751</v>
      </c>
      <c r="T2168" t="s">
        <v>11164</v>
      </c>
      <c r="U2168" t="s">
        <v>11164</v>
      </c>
      <c r="V2168" t="s">
        <v>11164</v>
      </c>
      <c r="W2168" t="s">
        <v>13296</v>
      </c>
      <c r="X2168">
        <v>4</v>
      </c>
      <c r="Y2168" t="s">
        <v>18809</v>
      </c>
      <c r="Z2168" t="s">
        <v>24318</v>
      </c>
      <c r="AA2168">
        <v>0.64770721391056685</v>
      </c>
      <c r="AB2168" t="str">
        <f>HYPERLINK("Melting_Curves/meltCurve_P35268_RPL22.pdf", "Melting_Curves/meltCurve_P35268_RPL22.pdf")</f>
        <v>Melting_Curves/meltCurve_P35268_RPL22.pdf</v>
      </c>
    </row>
    <row r="2169" spans="1:28" x14ac:dyDescent="0.25">
      <c r="A2169" t="s">
        <v>2173</v>
      </c>
      <c r="B2169">
        <v>0.99796759195183404</v>
      </c>
      <c r="C2169">
        <v>0.99006696232811897</v>
      </c>
      <c r="D2169">
        <v>0.96695234867315905</v>
      </c>
      <c r="E2169">
        <v>0.85834924620761699</v>
      </c>
      <c r="F2169">
        <v>0.760139686403418</v>
      </c>
      <c r="G2169">
        <v>0.55261326105813202</v>
      </c>
      <c r="H2169">
        <v>0.38919120956600201</v>
      </c>
      <c r="I2169">
        <v>0.25199603270068599</v>
      </c>
      <c r="J2169">
        <v>0.21038257900656701</v>
      </c>
      <c r="K2169">
        <v>0.20919304846221901</v>
      </c>
      <c r="L2169">
        <v>692.12041062650098</v>
      </c>
      <c r="M2169">
        <v>12.929832183045299</v>
      </c>
      <c r="N2169">
        <v>54.769644300881097</v>
      </c>
      <c r="O2169">
        <v>52.2970454201728</v>
      </c>
      <c r="P2169">
        <v>-5.3972538218905998E-2</v>
      </c>
      <c r="Q2169">
        <v>0.12695074266195</v>
      </c>
      <c r="R2169">
        <v>0.99753214673459201</v>
      </c>
      <c r="S2169" t="s">
        <v>7752</v>
      </c>
      <c r="T2169" t="s">
        <v>11164</v>
      </c>
      <c r="U2169" t="s">
        <v>11164</v>
      </c>
      <c r="V2169" t="s">
        <v>11164</v>
      </c>
      <c r="W2169" t="s">
        <v>13297</v>
      </c>
      <c r="X2169">
        <v>15</v>
      </c>
      <c r="Y2169" t="s">
        <v>18810</v>
      </c>
      <c r="Z2169" t="s">
        <v>24319</v>
      </c>
      <c r="AA2169">
        <v>0.62442427224220654</v>
      </c>
      <c r="AB2169" t="str">
        <f>HYPERLINK("Melting_Curves/meltCurve_P35269_GTF2F1.pdf", "Melting_Curves/meltCurve_P35269_GTF2F1.pdf")</f>
        <v>Melting_Curves/meltCurve_P35269_GTF2F1.pdf</v>
      </c>
    </row>
    <row r="2170" spans="1:28" x14ac:dyDescent="0.25">
      <c r="A2170" t="s">
        <v>2174</v>
      </c>
      <c r="B2170">
        <v>0.99796759195183404</v>
      </c>
      <c r="C2170">
        <v>0.92201410691321295</v>
      </c>
      <c r="D2170">
        <v>0.87655579405745598</v>
      </c>
      <c r="E2170">
        <v>0.82819005723157302</v>
      </c>
      <c r="F2170">
        <v>0.82431074441752294</v>
      </c>
      <c r="G2170">
        <v>0.56179356010049497</v>
      </c>
      <c r="H2170">
        <v>0.33453912969023603</v>
      </c>
      <c r="I2170">
        <v>0.21216172512295101</v>
      </c>
      <c r="J2170">
        <v>0.16875471074731899</v>
      </c>
      <c r="K2170">
        <v>0.134470823235427</v>
      </c>
      <c r="L2170">
        <v>611.29969846512995</v>
      </c>
      <c r="M2170">
        <v>11.1676418863017</v>
      </c>
      <c r="N2170">
        <v>54.738464128857999</v>
      </c>
      <c r="O2170">
        <v>53.071282357040403</v>
      </c>
      <c r="P2170">
        <v>-5.2623546284971602E-2</v>
      </c>
      <c r="Q2170">
        <v>0</v>
      </c>
      <c r="R2170">
        <v>0.97786757039976202</v>
      </c>
      <c r="S2170" t="s">
        <v>7753</v>
      </c>
      <c r="T2170" t="s">
        <v>11164</v>
      </c>
      <c r="U2170" t="s">
        <v>11164</v>
      </c>
      <c r="V2170" t="s">
        <v>11164</v>
      </c>
      <c r="W2170" t="s">
        <v>13298</v>
      </c>
      <c r="X2170">
        <v>9</v>
      </c>
      <c r="Y2170" t="s">
        <v>18811</v>
      </c>
      <c r="Z2170" t="s">
        <v>24320</v>
      </c>
      <c r="AA2170">
        <v>0.6061241001132619</v>
      </c>
      <c r="AB2170" t="str">
        <f>HYPERLINK("Melting_Curves/meltCurve_P35270_SPR.pdf", "Melting_Curves/meltCurve_P35270_SPR.pdf")</f>
        <v>Melting_Curves/meltCurve_P35270_SPR.pdf</v>
      </c>
    </row>
    <row r="2171" spans="1:28" x14ac:dyDescent="0.25">
      <c r="A2171" t="s">
        <v>2175</v>
      </c>
      <c r="B2171">
        <v>0.99796759195183404</v>
      </c>
      <c r="C2171">
        <v>0.97842814232531605</v>
      </c>
      <c r="D2171">
        <v>0.97206349319392904</v>
      </c>
      <c r="E2171">
        <v>0.93153973114144195</v>
      </c>
      <c r="F2171">
        <v>0.82507827821783197</v>
      </c>
      <c r="G2171">
        <v>0.77174872488109802</v>
      </c>
      <c r="H2171">
        <v>0.53198458008526806</v>
      </c>
      <c r="I2171">
        <v>0.214079790360132</v>
      </c>
      <c r="J2171">
        <v>0.13099976150477</v>
      </c>
      <c r="K2171">
        <v>0.12055701063669701</v>
      </c>
      <c r="L2171">
        <v>895.10447879700803</v>
      </c>
      <c r="M2171">
        <v>15.654126984587499</v>
      </c>
      <c r="N2171">
        <v>57.180095762354803</v>
      </c>
      <c r="O2171">
        <v>56.271369673823997</v>
      </c>
      <c r="P2171">
        <v>-6.9553429105325998E-2</v>
      </c>
      <c r="Q2171">
        <v>0</v>
      </c>
      <c r="R2171">
        <v>0.98600451452860605</v>
      </c>
      <c r="S2171" t="s">
        <v>7754</v>
      </c>
      <c r="T2171" t="s">
        <v>11164</v>
      </c>
      <c r="U2171" t="s">
        <v>11164</v>
      </c>
      <c r="V2171" t="s">
        <v>11164</v>
      </c>
      <c r="W2171" t="s">
        <v>13299</v>
      </c>
      <c r="X2171">
        <v>16</v>
      </c>
      <c r="Y2171" t="s">
        <v>18812</v>
      </c>
      <c r="Z2171" t="s">
        <v>24321</v>
      </c>
      <c r="AA2171">
        <v>0.68058421974736893</v>
      </c>
      <c r="AB2171" t="str">
        <f>HYPERLINK("Melting_Curves/meltCurve_P35520_CBS.pdf", "Melting_Curves/meltCurve_P35520_CBS.pdf")</f>
        <v>Melting_Curves/meltCurve_P35520_CBS.pdf</v>
      </c>
    </row>
    <row r="2172" spans="1:28" x14ac:dyDescent="0.25">
      <c r="A2172" t="s">
        <v>2176</v>
      </c>
      <c r="B2172">
        <v>0.99796759195183404</v>
      </c>
      <c r="C2172">
        <v>1.00132609527671</v>
      </c>
      <c r="D2172">
        <v>1.05373284491063</v>
      </c>
      <c r="E2172">
        <v>1.05415084526077</v>
      </c>
      <c r="F2172">
        <v>0.97771322958719697</v>
      </c>
      <c r="G2172">
        <v>0.44311042643991899</v>
      </c>
      <c r="H2172">
        <v>0.23626414161321699</v>
      </c>
      <c r="I2172">
        <v>0.195514677832856</v>
      </c>
      <c r="J2172">
        <v>0.19073133606270701</v>
      </c>
      <c r="K2172">
        <v>0.16305279128118699</v>
      </c>
      <c r="L2172">
        <v>2990.3518447797401</v>
      </c>
      <c r="M2172">
        <v>56.3608659586465</v>
      </c>
      <c r="N2172">
        <v>53.519767524156102</v>
      </c>
      <c r="O2172">
        <v>52.990589241965999</v>
      </c>
      <c r="P2172">
        <v>-0.21463767518221799</v>
      </c>
      <c r="Q2172">
        <v>0.192789839427292</v>
      </c>
      <c r="R2172">
        <v>0.99488543202858204</v>
      </c>
      <c r="S2172" t="s">
        <v>7755</v>
      </c>
      <c r="T2172" t="s">
        <v>11164</v>
      </c>
      <c r="U2172" t="s">
        <v>11164</v>
      </c>
      <c r="V2172" t="s">
        <v>11164</v>
      </c>
      <c r="W2172" t="s">
        <v>13300</v>
      </c>
      <c r="X2172">
        <v>8</v>
      </c>
      <c r="Y2172" t="s">
        <v>18813</v>
      </c>
      <c r="Z2172" t="s">
        <v>24322</v>
      </c>
      <c r="AA2172">
        <v>0.62632670680251512</v>
      </c>
      <c r="AB2172" t="str">
        <f>HYPERLINK("Melting_Curves/meltCurve_P35573_AGL.pdf", "Melting_Curves/meltCurve_P35573_AGL.pdf")</f>
        <v>Melting_Curves/meltCurve_P35573_AGL.pdf</v>
      </c>
    </row>
    <row r="2173" spans="1:28" x14ac:dyDescent="0.25">
      <c r="A2173" t="s">
        <v>2177</v>
      </c>
      <c r="B2173">
        <v>0.99796759195183404</v>
      </c>
      <c r="C2173">
        <v>1.06618219365051</v>
      </c>
      <c r="D2173">
        <v>0.98966005786292199</v>
      </c>
      <c r="E2173">
        <v>1.0174600937552101</v>
      </c>
      <c r="F2173">
        <v>0.90656438518426297</v>
      </c>
      <c r="G2173">
        <v>2.0830361714221</v>
      </c>
      <c r="H2173">
        <v>0.86807110401152698</v>
      </c>
      <c r="I2173">
        <v>0.29999393325312801</v>
      </c>
      <c r="J2173">
        <v>0.23969148433736501</v>
      </c>
      <c r="K2173">
        <v>0.19947898263162001</v>
      </c>
      <c r="L2173">
        <v>4314.7506605302397</v>
      </c>
      <c r="M2173">
        <v>73.389937611968506</v>
      </c>
      <c r="N2173">
        <v>59.283361984592503</v>
      </c>
      <c r="O2173">
        <v>58.748524243587603</v>
      </c>
      <c r="P2173">
        <v>-0.241157221576318</v>
      </c>
      <c r="Q2173">
        <v>0.227816355968747</v>
      </c>
      <c r="R2173">
        <v>0.56491805585209598</v>
      </c>
      <c r="S2173" t="s">
        <v>7756</v>
      </c>
      <c r="T2173" t="s">
        <v>11164</v>
      </c>
      <c r="U2173" t="s">
        <v>11164</v>
      </c>
      <c r="V2173" t="s">
        <v>11164</v>
      </c>
      <c r="W2173" t="s">
        <v>13301</v>
      </c>
      <c r="X2173">
        <v>102</v>
      </c>
      <c r="Y2173" t="s">
        <v>18814</v>
      </c>
      <c r="Z2173" t="s">
        <v>24323</v>
      </c>
      <c r="AA2173">
        <v>0.7896571331105543</v>
      </c>
      <c r="AB2173" t="str">
        <f>HYPERLINK("Melting_Curves/meltCurve_P35579_MYH9.pdf", "Melting_Curves/meltCurve_P35579_MYH9.pdf")</f>
        <v>Melting_Curves/meltCurve_P35579_MYH9.pdf</v>
      </c>
    </row>
    <row r="2174" spans="1:28" x14ac:dyDescent="0.25">
      <c r="A2174" t="s">
        <v>2178</v>
      </c>
      <c r="B2174">
        <v>0.99796759195183404</v>
      </c>
      <c r="C2174">
        <v>1.07103157155336</v>
      </c>
      <c r="D2174">
        <v>0.98292668310213605</v>
      </c>
      <c r="E2174">
        <v>0.95589494680616405</v>
      </c>
      <c r="F2174">
        <v>0.86826471893694002</v>
      </c>
      <c r="G2174">
        <v>1.0431600109222801</v>
      </c>
      <c r="H2174">
        <v>0.576340576263631</v>
      </c>
      <c r="I2174">
        <v>0.34765806026103602</v>
      </c>
      <c r="J2174">
        <v>0.23713429454749901</v>
      </c>
      <c r="K2174">
        <v>0.18467023306881</v>
      </c>
      <c r="L2174">
        <v>2623.0344068274198</v>
      </c>
      <c r="M2174">
        <v>45.760162502669701</v>
      </c>
      <c r="N2174">
        <v>58.122449117986299</v>
      </c>
      <c r="O2174">
        <v>57.212219729598999</v>
      </c>
      <c r="P2174">
        <v>-0.15318952742460401</v>
      </c>
      <c r="Q2174">
        <v>0.23389260309173199</v>
      </c>
      <c r="R2174">
        <v>0.96578209316010999</v>
      </c>
      <c r="S2174" t="s">
        <v>7757</v>
      </c>
      <c r="T2174" t="s">
        <v>11164</v>
      </c>
      <c r="U2174" t="s">
        <v>11164</v>
      </c>
      <c r="V2174" t="s">
        <v>11164</v>
      </c>
      <c r="W2174" t="s">
        <v>13302</v>
      </c>
      <c r="X2174">
        <v>56</v>
      </c>
      <c r="Y2174" t="s">
        <v>18815</v>
      </c>
      <c r="Z2174" t="s">
        <v>24324</v>
      </c>
      <c r="AA2174">
        <v>0.75509035737089492</v>
      </c>
      <c r="AB2174" t="str">
        <f>HYPERLINK("Melting_Curves/meltCurve_P35580_MYH10.pdf", "Melting_Curves/meltCurve_P35580_MYH10.pdf")</f>
        <v>Melting_Curves/meltCurve_P35580_MYH10.pdf</v>
      </c>
    </row>
    <row r="2175" spans="1:28" x14ac:dyDescent="0.25">
      <c r="A2175" t="s">
        <v>2179</v>
      </c>
      <c r="B2175">
        <v>0.99796759195183404</v>
      </c>
      <c r="C2175">
        <v>1.03673646299088</v>
      </c>
      <c r="D2175">
        <v>1.0062923351131601</v>
      </c>
      <c r="E2175">
        <v>0.88564469189067296</v>
      </c>
      <c r="F2175">
        <v>0.76074324394429504</v>
      </c>
      <c r="G2175">
        <v>0.92045303864848804</v>
      </c>
      <c r="H2175">
        <v>0.51628794636990905</v>
      </c>
      <c r="I2175">
        <v>0.36872350239491503</v>
      </c>
      <c r="J2175">
        <v>0.16593943927555299</v>
      </c>
      <c r="K2175">
        <v>0.10896592484577799</v>
      </c>
      <c r="L2175">
        <v>874.74852496210201</v>
      </c>
      <c r="M2175">
        <v>15.0102974343726</v>
      </c>
      <c r="N2175">
        <v>58.2765617301554</v>
      </c>
      <c r="O2175">
        <v>57.271561060902002</v>
      </c>
      <c r="P2175">
        <v>-6.5529075648324206E-2</v>
      </c>
      <c r="Q2175">
        <v>0</v>
      </c>
      <c r="R2175">
        <v>0.948558176159644</v>
      </c>
      <c r="S2175" t="s">
        <v>7758</v>
      </c>
      <c r="T2175" t="s">
        <v>11164</v>
      </c>
      <c r="U2175" t="s">
        <v>11164</v>
      </c>
      <c r="V2175" t="s">
        <v>11164</v>
      </c>
      <c r="W2175" t="s">
        <v>13303</v>
      </c>
      <c r="X2175">
        <v>20</v>
      </c>
      <c r="Y2175" t="s">
        <v>18816</v>
      </c>
      <c r="Z2175" t="s">
        <v>24325</v>
      </c>
      <c r="AA2175">
        <v>0.71211559575626215</v>
      </c>
      <c r="AB2175" t="str">
        <f>HYPERLINK("Melting_Curves/meltCurve_P35606_COPB2.pdf", "Melting_Curves/meltCurve_P35606_COPB2.pdf")</f>
        <v>Melting_Curves/meltCurve_P35606_COPB2.pdf</v>
      </c>
    </row>
    <row r="2176" spans="1:28" x14ac:dyDescent="0.25">
      <c r="A2176" t="s">
        <v>2180</v>
      </c>
      <c r="B2176">
        <v>0.99796759195183404</v>
      </c>
      <c r="C2176">
        <v>0.99564365681438205</v>
      </c>
      <c r="D2176">
        <v>0.98508235746122397</v>
      </c>
      <c r="E2176">
        <v>0.94967277345099999</v>
      </c>
      <c r="F2176">
        <v>0.84686335870190499</v>
      </c>
      <c r="G2176">
        <v>0.78493881639779794</v>
      </c>
      <c r="H2176">
        <v>0.67655259790074695</v>
      </c>
      <c r="I2176">
        <v>0.51844154409747301</v>
      </c>
      <c r="J2176">
        <v>0.40758554708198202</v>
      </c>
      <c r="K2176">
        <v>0.28729446921277302</v>
      </c>
      <c r="L2176">
        <v>566.70429588629997</v>
      </c>
      <c r="M2176">
        <v>9.2449518076635204</v>
      </c>
      <c r="N2176">
        <v>61.298769001765599</v>
      </c>
      <c r="O2176">
        <v>58.635383418593001</v>
      </c>
      <c r="P2176">
        <v>-3.9442972775357202E-2</v>
      </c>
      <c r="Q2176">
        <v>0</v>
      </c>
      <c r="R2176">
        <v>0.99535823955679004</v>
      </c>
      <c r="S2176" t="s">
        <v>7759</v>
      </c>
      <c r="T2176" t="s">
        <v>11164</v>
      </c>
      <c r="U2176" t="s">
        <v>11164</v>
      </c>
      <c r="V2176" t="s">
        <v>11164</v>
      </c>
      <c r="W2176" t="s">
        <v>13304</v>
      </c>
      <c r="X2176">
        <v>21</v>
      </c>
      <c r="Y2176" t="s">
        <v>18817</v>
      </c>
      <c r="Z2176" t="s">
        <v>24326</v>
      </c>
      <c r="AA2176">
        <v>0.7627092717185161</v>
      </c>
      <c r="AB2176" t="str">
        <f>HYPERLINK("Melting_Curves/meltCurve_P35611_2_ADD1.pdf", "Melting_Curves/meltCurve_P35611_2_ADD1.pdf")</f>
        <v>Melting_Curves/meltCurve_P35611_2_ADD1.pdf</v>
      </c>
    </row>
    <row r="2177" spans="1:28" x14ac:dyDescent="0.25">
      <c r="A2177" t="s">
        <v>2181</v>
      </c>
      <c r="B2177">
        <v>0.99796759195183404</v>
      </c>
      <c r="C2177">
        <v>0.99704395956983505</v>
      </c>
      <c r="D2177">
        <v>0.98231628739914001</v>
      </c>
      <c r="E2177">
        <v>0.89670478747402205</v>
      </c>
      <c r="F2177">
        <v>0.75569347256418895</v>
      </c>
      <c r="G2177">
        <v>0.68558709909415305</v>
      </c>
      <c r="H2177">
        <v>0.57224650850056502</v>
      </c>
      <c r="I2177">
        <v>0.44934776867213799</v>
      </c>
      <c r="J2177">
        <v>0.35312653894059498</v>
      </c>
      <c r="K2177">
        <v>0.19339460459591801</v>
      </c>
      <c r="L2177">
        <v>499.515478568498</v>
      </c>
      <c r="M2177">
        <v>8.5129619251428501</v>
      </c>
      <c r="N2177">
        <v>58.6770397286923</v>
      </c>
      <c r="O2177">
        <v>55.707935507399398</v>
      </c>
      <c r="P2177">
        <v>-3.8237769415970499E-2</v>
      </c>
      <c r="Q2177">
        <v>0</v>
      </c>
      <c r="R2177">
        <v>0.98677261486703705</v>
      </c>
      <c r="S2177" t="s">
        <v>7760</v>
      </c>
      <c r="T2177" t="s">
        <v>11164</v>
      </c>
      <c r="U2177" t="s">
        <v>11164</v>
      </c>
      <c r="V2177" t="s">
        <v>11164</v>
      </c>
      <c r="W2177" t="s">
        <v>13305</v>
      </c>
      <c r="X2177">
        <v>8</v>
      </c>
      <c r="Y2177" t="s">
        <v>18818</v>
      </c>
      <c r="Z2177" t="s">
        <v>24327</v>
      </c>
      <c r="AA2177">
        <v>0.69865586347652353</v>
      </c>
      <c r="AB2177" t="str">
        <f>HYPERLINK("Melting_Curves/meltCurve_P35612_ADD2.pdf", "Melting_Curves/meltCurve_P35612_ADD2.pdf")</f>
        <v>Melting_Curves/meltCurve_P35612_ADD2.pdf</v>
      </c>
    </row>
    <row r="2178" spans="1:28" x14ac:dyDescent="0.25">
      <c r="A2178" t="s">
        <v>2182</v>
      </c>
      <c r="B2178">
        <v>0.99796759195183404</v>
      </c>
      <c r="C2178">
        <v>0.96669478298141698</v>
      </c>
      <c r="D2178">
        <v>0.96990425181935602</v>
      </c>
      <c r="E2178">
        <v>0.92660972057692903</v>
      </c>
      <c r="F2178">
        <v>0.82919794971370397</v>
      </c>
      <c r="G2178">
        <v>0.61302894163638799</v>
      </c>
      <c r="H2178">
        <v>0.61488348201436305</v>
      </c>
      <c r="I2178">
        <v>0.58197683591530003</v>
      </c>
      <c r="J2178">
        <v>0.668523733809123</v>
      </c>
      <c r="K2178">
        <v>0.89451673058722403</v>
      </c>
      <c r="L2178">
        <v>1839.2206991861499</v>
      </c>
      <c r="M2178">
        <v>37.162435088295297</v>
      </c>
      <c r="O2178">
        <v>49.348737387878202</v>
      </c>
      <c r="P2178">
        <v>-6.1152855384339698E-2</v>
      </c>
      <c r="Q2178">
        <v>0.67517652780779802</v>
      </c>
      <c r="R2178">
        <v>0.71872251454225999</v>
      </c>
      <c r="S2178" t="s">
        <v>7761</v>
      </c>
      <c r="T2178" t="s">
        <v>11164</v>
      </c>
      <c r="U2178" t="s">
        <v>11164</v>
      </c>
      <c r="V2178" t="s">
        <v>11164</v>
      </c>
      <c r="W2178" t="s">
        <v>13306</v>
      </c>
      <c r="X2178">
        <v>9</v>
      </c>
      <c r="Y2178" t="s">
        <v>18819</v>
      </c>
      <c r="Z2178" t="s">
        <v>24328</v>
      </c>
      <c r="AA2178">
        <v>0.81171433798956671</v>
      </c>
      <c r="AB2178" t="str">
        <f>HYPERLINK("Melting_Curves/meltCurve_P35613_2_BSG.pdf", "Melting_Curves/meltCurve_P35613_2_BSG.pdf")</f>
        <v>Melting_Curves/meltCurve_P35613_2_BSG.pdf</v>
      </c>
    </row>
    <row r="2179" spans="1:28" x14ac:dyDescent="0.25">
      <c r="A2179" t="s">
        <v>2183</v>
      </c>
      <c r="B2179">
        <v>0.99796759195183404</v>
      </c>
      <c r="C2179">
        <v>0.95651948473794202</v>
      </c>
      <c r="D2179">
        <v>0.96721075793292999</v>
      </c>
      <c r="E2179">
        <v>0.94841015425282005</v>
      </c>
      <c r="F2179">
        <v>0.79346131814181797</v>
      </c>
      <c r="G2179">
        <v>0.58464170741381605</v>
      </c>
      <c r="H2179">
        <v>0.50133082571565801</v>
      </c>
      <c r="I2179">
        <v>0.47862886026111601</v>
      </c>
      <c r="J2179">
        <v>0.45833719261665801</v>
      </c>
      <c r="K2179">
        <v>0.37477574308188299</v>
      </c>
      <c r="L2179">
        <v>953.82843533729294</v>
      </c>
      <c r="M2179">
        <v>18.445363083836199</v>
      </c>
      <c r="N2179">
        <v>57.2108038036503</v>
      </c>
      <c r="O2179">
        <v>51.114713192756398</v>
      </c>
      <c r="P2179">
        <v>-5.2768998725920897E-2</v>
      </c>
      <c r="Q2179">
        <v>0.41510473432781803</v>
      </c>
      <c r="R2179">
        <v>0.98763081468981495</v>
      </c>
      <c r="S2179" t="s">
        <v>7762</v>
      </c>
      <c r="T2179" t="s">
        <v>11164</v>
      </c>
      <c r="U2179" t="s">
        <v>11164</v>
      </c>
      <c r="V2179" t="s">
        <v>11164</v>
      </c>
      <c r="W2179" t="s">
        <v>13307</v>
      </c>
      <c r="X2179">
        <v>6</v>
      </c>
      <c r="Y2179" t="s">
        <v>18820</v>
      </c>
      <c r="Z2179" t="s">
        <v>24329</v>
      </c>
      <c r="AA2179">
        <v>0.71052120056218426</v>
      </c>
      <c r="AB2179" t="str">
        <f>HYPERLINK("Melting_Curves/meltCurve_P35637_2_FUS.pdf", "Melting_Curves/meltCurve_P35637_2_FUS.pdf")</f>
        <v>Melting_Curves/meltCurve_P35637_2_FUS.pdf</v>
      </c>
    </row>
    <row r="2180" spans="1:28" x14ac:dyDescent="0.25">
      <c r="A2180" t="s">
        <v>2184</v>
      </c>
      <c r="B2180">
        <v>0.99796759195183404</v>
      </c>
      <c r="C2180">
        <v>1.00273363481366</v>
      </c>
      <c r="D2180">
        <v>0.99129705331152096</v>
      </c>
      <c r="E2180">
        <v>0.86679135217486303</v>
      </c>
      <c r="F2180">
        <v>0.78044743037092001</v>
      </c>
      <c r="G2180">
        <v>0.61254417838165798</v>
      </c>
      <c r="H2180">
        <v>0.27354370395776501</v>
      </c>
      <c r="I2180">
        <v>0.22014806052470701</v>
      </c>
      <c r="J2180">
        <v>0.158069240477131</v>
      </c>
      <c r="K2180">
        <v>0.14418509322575199</v>
      </c>
      <c r="L2180">
        <v>839.50729590916399</v>
      </c>
      <c r="M2180">
        <v>15.581322201210201</v>
      </c>
      <c r="N2180">
        <v>54.547690358519901</v>
      </c>
      <c r="O2180">
        <v>53.015010476137</v>
      </c>
      <c r="P2180">
        <v>-6.7094693386996002E-2</v>
      </c>
      <c r="Q2180">
        <v>8.6928439197919094E-2</v>
      </c>
      <c r="R2180">
        <v>0.98982635591280199</v>
      </c>
      <c r="S2180" t="s">
        <v>7763</v>
      </c>
      <c r="T2180" t="s">
        <v>11164</v>
      </c>
      <c r="U2180" t="s">
        <v>11164</v>
      </c>
      <c r="V2180" t="s">
        <v>11164</v>
      </c>
      <c r="W2180" t="s">
        <v>13308</v>
      </c>
      <c r="X2180">
        <v>14</v>
      </c>
      <c r="Y2180" t="s">
        <v>18821</v>
      </c>
      <c r="Z2180" t="s">
        <v>24330</v>
      </c>
      <c r="AA2180">
        <v>0.615201641338466</v>
      </c>
      <c r="AB2180" t="str">
        <f>HYPERLINK("Melting_Curves/meltCurve_P35658_2_NUP214.pdf", "Melting_Curves/meltCurve_P35658_2_NUP214.pdf")</f>
        <v>Melting_Curves/meltCurve_P35658_2_NUP214.pdf</v>
      </c>
    </row>
    <row r="2181" spans="1:28" x14ac:dyDescent="0.25">
      <c r="A2181" t="s">
        <v>2185</v>
      </c>
      <c r="B2181">
        <v>0.99796759195183404</v>
      </c>
      <c r="C2181">
        <v>0.91250079461060096</v>
      </c>
      <c r="D2181">
        <v>0.94351511527014997</v>
      </c>
      <c r="E2181">
        <v>0.79591165999943203</v>
      </c>
      <c r="F2181">
        <v>0.680238960887808</v>
      </c>
      <c r="G2181">
        <v>0.39851713997670202</v>
      </c>
      <c r="H2181">
        <v>0.31039785815723098</v>
      </c>
      <c r="I2181">
        <v>0.22926514033100401</v>
      </c>
      <c r="J2181">
        <v>0.222002937666474</v>
      </c>
      <c r="K2181">
        <v>0.16135878929214301</v>
      </c>
      <c r="L2181">
        <v>653.49891891703203</v>
      </c>
      <c r="M2181">
        <v>12.7302840792953</v>
      </c>
      <c r="N2181">
        <v>52.591240521525002</v>
      </c>
      <c r="O2181">
        <v>50.116927964806401</v>
      </c>
      <c r="P2181">
        <v>-5.51836096261486E-2</v>
      </c>
      <c r="Q2181">
        <v>0.131173204136391</v>
      </c>
      <c r="R2181">
        <v>0.98974161914884096</v>
      </c>
      <c r="S2181" t="s">
        <v>7764</v>
      </c>
      <c r="T2181" t="s">
        <v>11164</v>
      </c>
      <c r="U2181" t="s">
        <v>11164</v>
      </c>
      <c r="V2181" t="s">
        <v>11164</v>
      </c>
      <c r="W2181" t="s">
        <v>13309</v>
      </c>
      <c r="X2181">
        <v>9</v>
      </c>
      <c r="Y2181" t="s">
        <v>18822</v>
      </c>
      <c r="Z2181" t="s">
        <v>24331</v>
      </c>
      <c r="AA2181">
        <v>0.56706869170442498</v>
      </c>
      <c r="AB2181" t="str">
        <f>HYPERLINK("Melting_Curves/meltCurve_P35659_DEK.pdf", "Melting_Curves/meltCurve_P35659_DEK.pdf")</f>
        <v>Melting_Curves/meltCurve_P35659_DEK.pdf</v>
      </c>
    </row>
    <row r="2182" spans="1:28" x14ac:dyDescent="0.25">
      <c r="A2182" t="s">
        <v>2186</v>
      </c>
      <c r="B2182">
        <v>0.99796759195183404</v>
      </c>
      <c r="C2182">
        <v>1.0464866503266299</v>
      </c>
      <c r="D2182">
        <v>1.00538265916356</v>
      </c>
      <c r="E2182">
        <v>0.98948581343104203</v>
      </c>
      <c r="F2182">
        <v>0.89881788253946604</v>
      </c>
      <c r="G2182">
        <v>0.64767537020022103</v>
      </c>
      <c r="H2182">
        <v>0.70368180509469502</v>
      </c>
      <c r="I2182">
        <v>0.67930403842682796</v>
      </c>
      <c r="J2182">
        <v>0.91507306528319998</v>
      </c>
      <c r="K2182">
        <v>0.92192477913905801</v>
      </c>
      <c r="L2182">
        <v>12560.726589178899</v>
      </c>
      <c r="M2182">
        <v>250</v>
      </c>
      <c r="O2182">
        <v>50.2396911597992</v>
      </c>
      <c r="P2182">
        <v>-0.28173464788749902</v>
      </c>
      <c r="Q2182">
        <v>0.77353181315471597</v>
      </c>
      <c r="R2182">
        <v>0.62652299552742696</v>
      </c>
      <c r="S2182" t="s">
        <v>7765</v>
      </c>
      <c r="T2182" t="s">
        <v>11164</v>
      </c>
      <c r="U2182" t="s">
        <v>11164</v>
      </c>
      <c r="V2182" t="s">
        <v>11164</v>
      </c>
      <c r="W2182" t="s">
        <v>13310</v>
      </c>
      <c r="X2182">
        <v>5</v>
      </c>
      <c r="Y2182" t="s">
        <v>18823</v>
      </c>
      <c r="Z2182" t="s">
        <v>24332</v>
      </c>
      <c r="AA2182">
        <v>0.87352168181013679</v>
      </c>
      <c r="AB2182" t="str">
        <f>HYPERLINK("Melting_Curves/meltCurve_P35754_GLRX.pdf", "Melting_Curves/meltCurve_P35754_GLRX.pdf")</f>
        <v>Melting_Curves/meltCurve_P35754_GLRX.pdf</v>
      </c>
    </row>
    <row r="2183" spans="1:28" x14ac:dyDescent="0.25">
      <c r="A2183" t="s">
        <v>2187</v>
      </c>
      <c r="B2183">
        <v>0.99796759195183404</v>
      </c>
      <c r="C2183">
        <v>0.99669613756778297</v>
      </c>
      <c r="D2183">
        <v>0.89085870691139002</v>
      </c>
      <c r="E2183">
        <v>0.93336341447858095</v>
      </c>
      <c r="F2183">
        <v>0.83008309991861695</v>
      </c>
      <c r="G2183">
        <v>0.59200113943529598</v>
      </c>
      <c r="H2183">
        <v>0.40447858210158599</v>
      </c>
      <c r="I2183">
        <v>0.233444659983084</v>
      </c>
      <c r="J2183">
        <v>0.18501041218256001</v>
      </c>
      <c r="K2183">
        <v>0.124820963257626</v>
      </c>
      <c r="L2183">
        <v>743.30397906891403</v>
      </c>
      <c r="M2183">
        <v>13.4691859492563</v>
      </c>
      <c r="N2183">
        <v>55.563889242154403</v>
      </c>
      <c r="O2183">
        <v>54.011661146345297</v>
      </c>
      <c r="P2183">
        <v>-5.9621129048442301E-2</v>
      </c>
      <c r="Q2183">
        <v>4.3820168587068498E-2</v>
      </c>
      <c r="R2183">
        <v>0.991691566349853</v>
      </c>
      <c r="S2183" t="s">
        <v>7766</v>
      </c>
      <c r="T2183" t="s">
        <v>11164</v>
      </c>
      <c r="U2183" t="s">
        <v>11164</v>
      </c>
      <c r="V2183" t="s">
        <v>11164</v>
      </c>
      <c r="W2183" t="s">
        <v>13311</v>
      </c>
      <c r="X2183">
        <v>3</v>
      </c>
      <c r="Y2183" t="s">
        <v>18824</v>
      </c>
      <c r="Z2183" t="s">
        <v>24333</v>
      </c>
      <c r="AA2183">
        <v>0.63669211545637916</v>
      </c>
      <c r="AB2183" t="str">
        <f>HYPERLINK("Melting_Curves/meltCurve_P35790_2_CHKA.pdf", "Melting_Curves/meltCurve_P35790_2_CHKA.pdf")</f>
        <v>Melting_Curves/meltCurve_P35790_2_CHKA.pdf</v>
      </c>
    </row>
    <row r="2184" spans="1:28" x14ac:dyDescent="0.25">
      <c r="A2184" t="s">
        <v>2188</v>
      </c>
      <c r="B2184">
        <v>0.99796759195183404</v>
      </c>
      <c r="C2184">
        <v>1.06871574570779</v>
      </c>
      <c r="D2184">
        <v>1.03494238464398</v>
      </c>
      <c r="E2184">
        <v>0.97037464911645899</v>
      </c>
      <c r="F2184">
        <v>0.84360651532563002</v>
      </c>
      <c r="G2184">
        <v>0.53956771077794297</v>
      </c>
      <c r="H2184">
        <v>0.24211768484166801</v>
      </c>
      <c r="I2184">
        <v>0.188097001324949</v>
      </c>
      <c r="J2184">
        <v>0.165274657499802</v>
      </c>
      <c r="K2184">
        <v>0.12791187514392299</v>
      </c>
      <c r="L2184">
        <v>1335.4162677265299</v>
      </c>
      <c r="M2184">
        <v>25.023521764595898</v>
      </c>
      <c r="N2184">
        <v>54.062899303831003</v>
      </c>
      <c r="O2184">
        <v>53.029124428254299</v>
      </c>
      <c r="P2184">
        <v>-0.101717750283206</v>
      </c>
      <c r="Q2184">
        <v>0.13778232006398</v>
      </c>
      <c r="R2184">
        <v>0.99484350882721895</v>
      </c>
      <c r="S2184" t="s">
        <v>7767</v>
      </c>
      <c r="T2184" t="s">
        <v>11164</v>
      </c>
      <c r="U2184" t="s">
        <v>11164</v>
      </c>
      <c r="V2184" t="s">
        <v>11164</v>
      </c>
      <c r="W2184" t="s">
        <v>13312</v>
      </c>
      <c r="X2184">
        <v>14</v>
      </c>
      <c r="Y2184" t="s">
        <v>18825</v>
      </c>
      <c r="Z2184" t="s">
        <v>24334</v>
      </c>
      <c r="AA2184">
        <v>0.61574696499638515</v>
      </c>
      <c r="AB2184" t="str">
        <f>HYPERLINK("Melting_Curves/meltCurve_P35813_PPM1A.pdf", "Melting_Curves/meltCurve_P35813_PPM1A.pdf")</f>
        <v>Melting_Curves/meltCurve_P35813_PPM1A.pdf</v>
      </c>
    </row>
    <row r="2185" spans="1:28" x14ac:dyDescent="0.25">
      <c r="A2185" t="s">
        <v>2189</v>
      </c>
      <c r="B2185">
        <v>0.99796759195183404</v>
      </c>
      <c r="C2185">
        <v>0.98935358032491505</v>
      </c>
      <c r="D2185">
        <v>0.92238664797775405</v>
      </c>
      <c r="E2185">
        <v>0.73583417040871402</v>
      </c>
      <c r="F2185">
        <v>0.43846954221122397</v>
      </c>
      <c r="G2185">
        <v>0.72788313839043295</v>
      </c>
      <c r="H2185">
        <v>0.54708072814420206</v>
      </c>
      <c r="I2185">
        <v>0.309630122484302</v>
      </c>
      <c r="J2185">
        <v>0.106026529739589</v>
      </c>
      <c r="K2185">
        <v>7.8673356500431793E-2</v>
      </c>
      <c r="L2185">
        <v>440.987897473239</v>
      </c>
      <c r="M2185">
        <v>8.1072680158400008</v>
      </c>
      <c r="N2185">
        <v>54.394153105310899</v>
      </c>
      <c r="O2185">
        <v>51.384715192949699</v>
      </c>
      <c r="P2185">
        <v>-3.94863922519917E-2</v>
      </c>
      <c r="Q2185">
        <v>0</v>
      </c>
      <c r="R2185">
        <v>0.86362639943044595</v>
      </c>
      <c r="S2185" t="s">
        <v>7768</v>
      </c>
      <c r="T2185" t="s">
        <v>11164</v>
      </c>
      <c r="U2185" t="s">
        <v>11164</v>
      </c>
      <c r="V2185" t="s">
        <v>11164</v>
      </c>
      <c r="W2185" t="s">
        <v>13313</v>
      </c>
      <c r="X2185">
        <v>14</v>
      </c>
      <c r="Y2185" t="s">
        <v>18826</v>
      </c>
      <c r="Z2185" t="s">
        <v>24335</v>
      </c>
      <c r="AA2185">
        <v>0.59171460586245606</v>
      </c>
      <c r="AB2185" t="str">
        <f>HYPERLINK("Melting_Curves/meltCurve_P35998_PSMC2.pdf", "Melting_Curves/meltCurve_P35998_PSMC2.pdf")</f>
        <v>Melting_Curves/meltCurve_P35998_PSMC2.pdf</v>
      </c>
    </row>
    <row r="2186" spans="1:28" x14ac:dyDescent="0.25">
      <c r="A2186" t="s">
        <v>2190</v>
      </c>
      <c r="B2186">
        <v>0.99796759195183404</v>
      </c>
      <c r="C2186">
        <v>0.92279994768866103</v>
      </c>
      <c r="D2186">
        <v>0.93157589668004004</v>
      </c>
      <c r="E2186">
        <v>0.86224780789169297</v>
      </c>
      <c r="F2186">
        <v>0.77832418635762501</v>
      </c>
      <c r="G2186">
        <v>0.62915709319909296</v>
      </c>
      <c r="H2186">
        <v>0.35784097749920701</v>
      </c>
      <c r="I2186">
        <v>0.20708114644921499</v>
      </c>
      <c r="J2186">
        <v>0.15727374767361099</v>
      </c>
      <c r="K2186">
        <v>0.121985850463612</v>
      </c>
      <c r="L2186">
        <v>659.07803924987604</v>
      </c>
      <c r="M2186">
        <v>11.9543781010908</v>
      </c>
      <c r="N2186">
        <v>55.132775116765899</v>
      </c>
      <c r="O2186">
        <v>53.657944186183201</v>
      </c>
      <c r="P2186">
        <v>-5.5710792110897502E-2</v>
      </c>
      <c r="Q2186">
        <v>0</v>
      </c>
      <c r="R2186">
        <v>0.98883173224155796</v>
      </c>
      <c r="S2186" t="s">
        <v>7769</v>
      </c>
      <c r="T2186" t="s">
        <v>11164</v>
      </c>
      <c r="U2186" t="s">
        <v>11164</v>
      </c>
      <c r="V2186" t="s">
        <v>11164</v>
      </c>
      <c r="W2186" t="s">
        <v>13314</v>
      </c>
      <c r="X2186">
        <v>7</v>
      </c>
      <c r="Y2186" t="s">
        <v>18827</v>
      </c>
      <c r="Z2186" t="s">
        <v>24336</v>
      </c>
      <c r="AA2186">
        <v>0.61804111646739701</v>
      </c>
      <c r="AB2186" t="str">
        <f>HYPERLINK("Melting_Curves/meltCurve_P36404_ARL2.pdf", "Melting_Curves/meltCurve_P36404_ARL2.pdf")</f>
        <v>Melting_Curves/meltCurve_P36404_ARL2.pdf</v>
      </c>
    </row>
    <row r="2187" spans="1:28" x14ac:dyDescent="0.25">
      <c r="A2187" t="s">
        <v>2191</v>
      </c>
      <c r="B2187">
        <v>0.99796759195183404</v>
      </c>
      <c r="C2187">
        <v>0.965601386496726</v>
      </c>
      <c r="D2187">
        <v>0.93159618494367502</v>
      </c>
      <c r="E2187">
        <v>0.83771246255301801</v>
      </c>
      <c r="F2187">
        <v>0.78766407761750301</v>
      </c>
      <c r="G2187">
        <v>0.65227555276465898</v>
      </c>
      <c r="H2187">
        <v>0.39486500554315201</v>
      </c>
      <c r="I2187">
        <v>0.29516890661592199</v>
      </c>
      <c r="J2187">
        <v>0.20730412451073901</v>
      </c>
      <c r="K2187">
        <v>0.133687981416139</v>
      </c>
      <c r="L2187">
        <v>585.59693244784501</v>
      </c>
      <c r="M2187">
        <v>10.481139715426901</v>
      </c>
      <c r="N2187">
        <v>55.871515414918697</v>
      </c>
      <c r="O2187">
        <v>53.952535429278697</v>
      </c>
      <c r="P2187">
        <v>-4.8586214277940597E-2</v>
      </c>
      <c r="Q2187">
        <v>0</v>
      </c>
      <c r="R2187">
        <v>0.99141169109704197</v>
      </c>
      <c r="S2187" t="s">
        <v>7770</v>
      </c>
      <c r="T2187" t="s">
        <v>11164</v>
      </c>
      <c r="U2187" t="s">
        <v>11164</v>
      </c>
      <c r="V2187" t="s">
        <v>11164</v>
      </c>
      <c r="W2187" t="s">
        <v>13315</v>
      </c>
      <c r="X2187">
        <v>10</v>
      </c>
      <c r="Y2187" t="s">
        <v>18828</v>
      </c>
      <c r="Z2187" t="s">
        <v>24337</v>
      </c>
      <c r="AA2187">
        <v>0.63705787152208848</v>
      </c>
      <c r="AB2187" t="str">
        <f>HYPERLINK("Melting_Curves/meltCurve_P36405_ARL3.pdf", "Melting_Curves/meltCurve_P36405_ARL3.pdf")</f>
        <v>Melting_Curves/meltCurve_P36405_ARL3.pdf</v>
      </c>
    </row>
    <row r="2188" spans="1:28" x14ac:dyDescent="0.25">
      <c r="A2188" t="s">
        <v>2192</v>
      </c>
      <c r="B2188">
        <v>0.99796759195183404</v>
      </c>
      <c r="C2188">
        <v>0.96631211147412099</v>
      </c>
      <c r="D2188">
        <v>0.90243113708737099</v>
      </c>
      <c r="E2188">
        <v>0.77352393548105702</v>
      </c>
      <c r="F2188">
        <v>0.62087669966189696</v>
      </c>
      <c r="G2188">
        <v>0.57001172345179496</v>
      </c>
      <c r="H2188">
        <v>0.32770522498980298</v>
      </c>
      <c r="I2188">
        <v>0.22239924056612101</v>
      </c>
      <c r="J2188">
        <v>0.107690204363666</v>
      </c>
      <c r="K2188">
        <v>5.5584403051005198E-2</v>
      </c>
      <c r="L2188">
        <v>545.32189594553597</v>
      </c>
      <c r="M2188">
        <v>10.2327688946053</v>
      </c>
      <c r="N2188">
        <v>53.291732738468603</v>
      </c>
      <c r="O2188">
        <v>51.376746130716199</v>
      </c>
      <c r="P2188">
        <v>-4.9814996451837901E-2</v>
      </c>
      <c r="Q2188">
        <v>0</v>
      </c>
      <c r="R2188">
        <v>0.98546634443727199</v>
      </c>
      <c r="S2188" t="s">
        <v>7771</v>
      </c>
      <c r="T2188" t="s">
        <v>11164</v>
      </c>
      <c r="U2188" t="s">
        <v>11164</v>
      </c>
      <c r="V2188" t="s">
        <v>11164</v>
      </c>
      <c r="W2188" t="s">
        <v>13316</v>
      </c>
      <c r="X2188">
        <v>1</v>
      </c>
      <c r="Y2188" t="s">
        <v>18829</v>
      </c>
      <c r="Z2188" t="s">
        <v>24338</v>
      </c>
      <c r="AA2188">
        <v>0.5640902909316643</v>
      </c>
      <c r="AB2188" t="str">
        <f>HYPERLINK("Melting_Curves/meltCurve_P36406_3_TRIM23.pdf", "Melting_Curves/meltCurve_P36406_3_TRIM23.pdf")</f>
        <v>Melting_Curves/meltCurve_P36406_3_TRIM23.pdf</v>
      </c>
    </row>
    <row r="2189" spans="1:28" x14ac:dyDescent="0.25">
      <c r="A2189" t="s">
        <v>2193</v>
      </c>
      <c r="B2189">
        <v>0.99796759195183404</v>
      </c>
      <c r="C2189">
        <v>0.99456855366315999</v>
      </c>
      <c r="D2189">
        <v>1.0347646251070799</v>
      </c>
      <c r="E2189">
        <v>1.02561632335139</v>
      </c>
      <c r="F2189">
        <v>0.88327702181672496</v>
      </c>
      <c r="G2189">
        <v>0.53259287582386206</v>
      </c>
      <c r="H2189">
        <v>0.22385220286472701</v>
      </c>
      <c r="I2189">
        <v>0.163457173989631</v>
      </c>
      <c r="J2189">
        <v>0.124975800965622</v>
      </c>
      <c r="K2189">
        <v>0.103446457003634</v>
      </c>
      <c r="L2189">
        <v>1555.61774206465</v>
      </c>
      <c r="M2189">
        <v>29.037915512845998</v>
      </c>
      <c r="N2189">
        <v>54.0704210471308</v>
      </c>
      <c r="O2189">
        <v>53.319805001425301</v>
      </c>
      <c r="P2189">
        <v>-0.120162481547472</v>
      </c>
      <c r="Q2189">
        <v>0.11743079619576</v>
      </c>
      <c r="R2189">
        <v>0.99781025967310499</v>
      </c>
      <c r="S2189" t="s">
        <v>7772</v>
      </c>
      <c r="T2189" t="s">
        <v>11164</v>
      </c>
      <c r="U2189" t="s">
        <v>11164</v>
      </c>
      <c r="V2189" t="s">
        <v>11164</v>
      </c>
      <c r="W2189" t="s">
        <v>13317</v>
      </c>
      <c r="X2189">
        <v>16</v>
      </c>
      <c r="Y2189" t="s">
        <v>18830</v>
      </c>
      <c r="Z2189" t="s">
        <v>24339</v>
      </c>
      <c r="AA2189">
        <v>0.6109377423162855</v>
      </c>
      <c r="AB2189" t="str">
        <f>HYPERLINK("Melting_Curves/meltCurve_P36507_MAP2K2.pdf", "Melting_Curves/meltCurve_P36507_MAP2K2.pdf")</f>
        <v>Melting_Curves/meltCurve_P36507_MAP2K2.pdf</v>
      </c>
    </row>
    <row r="2190" spans="1:28" x14ac:dyDescent="0.25">
      <c r="A2190" t="s">
        <v>2194</v>
      </c>
      <c r="B2190">
        <v>0.99796759195183404</v>
      </c>
      <c r="C2190">
        <v>0.98342893385699703</v>
      </c>
      <c r="D2190">
        <v>0.99111146553879104</v>
      </c>
      <c r="E2190">
        <v>1.3828242558532999</v>
      </c>
      <c r="F2190">
        <v>1.3549388582919899</v>
      </c>
      <c r="G2190">
        <v>1.90447255688227</v>
      </c>
      <c r="H2190">
        <v>1.29261932720408</v>
      </c>
      <c r="I2190">
        <v>1.3333101224745001</v>
      </c>
      <c r="J2190">
        <v>0.53413010405095496</v>
      </c>
      <c r="K2190">
        <v>0.36447209592790603</v>
      </c>
      <c r="L2190">
        <v>15000</v>
      </c>
      <c r="M2190">
        <v>235.019069272845</v>
      </c>
      <c r="N2190">
        <v>64.181050439616399</v>
      </c>
      <c r="O2190">
        <v>63.819986571077798</v>
      </c>
      <c r="P2190">
        <v>-0.58511209437023703</v>
      </c>
      <c r="Q2190">
        <v>0.364445684334335</v>
      </c>
      <c r="R2190">
        <v>0.27609720056848902</v>
      </c>
      <c r="S2190" t="s">
        <v>7773</v>
      </c>
      <c r="T2190" t="s">
        <v>11164</v>
      </c>
      <c r="U2190" t="s">
        <v>11164</v>
      </c>
      <c r="V2190" t="s">
        <v>11164</v>
      </c>
      <c r="W2190" t="s">
        <v>13318</v>
      </c>
      <c r="X2190">
        <v>9</v>
      </c>
      <c r="Y2190" t="s">
        <v>18831</v>
      </c>
      <c r="Z2190" t="s">
        <v>24340</v>
      </c>
      <c r="AA2190">
        <v>0.9328093299519945</v>
      </c>
      <c r="AB2190" t="str">
        <f>HYPERLINK("Melting_Curves/meltCurve_P36542_ATP5C1.pdf", "Melting_Curves/meltCurve_P36542_ATP5C1.pdf")</f>
        <v>Melting_Curves/meltCurve_P36542_ATP5C1.pdf</v>
      </c>
    </row>
    <row r="2191" spans="1:28" x14ac:dyDescent="0.25">
      <c r="A2191" t="s">
        <v>2195</v>
      </c>
      <c r="B2191">
        <v>0.99796759195183404</v>
      </c>
      <c r="C2191">
        <v>1.0196363043433601</v>
      </c>
      <c r="D2191">
        <v>0.92354716391990399</v>
      </c>
      <c r="E2191">
        <v>0.864433118719525</v>
      </c>
      <c r="F2191">
        <v>0.67102607096308498</v>
      </c>
      <c r="G2191">
        <v>0.84293734981130597</v>
      </c>
      <c r="H2191">
        <v>0.475845136581658</v>
      </c>
      <c r="I2191">
        <v>0.23922429771967699</v>
      </c>
      <c r="J2191">
        <v>0.13908343041037499</v>
      </c>
      <c r="K2191">
        <v>9.1656370877160498E-2</v>
      </c>
      <c r="L2191">
        <v>716.86990186272806</v>
      </c>
      <c r="M2191">
        <v>12.6721926174705</v>
      </c>
      <c r="N2191">
        <v>56.570313099208597</v>
      </c>
      <c r="O2191">
        <v>55.217040662899798</v>
      </c>
      <c r="P2191">
        <v>-5.7385660300975E-2</v>
      </c>
      <c r="Q2191">
        <v>0</v>
      </c>
      <c r="R2191">
        <v>0.93612236630726797</v>
      </c>
      <c r="S2191" t="s">
        <v>7774</v>
      </c>
      <c r="T2191" t="s">
        <v>11164</v>
      </c>
      <c r="U2191" t="s">
        <v>11164</v>
      </c>
      <c r="V2191" t="s">
        <v>11164</v>
      </c>
      <c r="W2191" t="s">
        <v>13319</v>
      </c>
      <c r="X2191">
        <v>8</v>
      </c>
      <c r="Y2191" t="s">
        <v>18832</v>
      </c>
      <c r="Z2191" t="s">
        <v>24341</v>
      </c>
      <c r="AA2191">
        <v>0.66025879826513356</v>
      </c>
      <c r="AB2191" t="str">
        <f>HYPERLINK("Melting_Curves/meltCurve_P36543_ATP6V1E1.pdf", "Melting_Curves/meltCurve_P36543_ATP6V1E1.pdf")</f>
        <v>Melting_Curves/meltCurve_P36543_ATP6V1E1.pdf</v>
      </c>
    </row>
    <row r="2192" spans="1:28" x14ac:dyDescent="0.25">
      <c r="A2192" t="s">
        <v>2196</v>
      </c>
      <c r="B2192">
        <v>0.99796759195183404</v>
      </c>
      <c r="C2192">
        <v>0.94669865965752398</v>
      </c>
      <c r="D2192">
        <v>0.96678432621706401</v>
      </c>
      <c r="E2192">
        <v>0.94917466996880995</v>
      </c>
      <c r="F2192">
        <v>0.80487378786819197</v>
      </c>
      <c r="G2192">
        <v>0.65867599421675505</v>
      </c>
      <c r="H2192">
        <v>0.55438932685124798</v>
      </c>
      <c r="I2192">
        <v>0.45360716970189802</v>
      </c>
      <c r="J2192">
        <v>0.310229519885792</v>
      </c>
      <c r="K2192">
        <v>0.142689915277391</v>
      </c>
      <c r="L2192">
        <v>567.36631039518898</v>
      </c>
      <c r="M2192">
        <v>9.7335530972794295</v>
      </c>
      <c r="N2192">
        <v>58.289750462879503</v>
      </c>
      <c r="O2192">
        <v>55.988989418560301</v>
      </c>
      <c r="P2192">
        <v>-4.3485330119249099E-2</v>
      </c>
      <c r="Q2192">
        <v>0</v>
      </c>
      <c r="R2192">
        <v>0.98265790757136195</v>
      </c>
      <c r="S2192" t="s">
        <v>7775</v>
      </c>
      <c r="T2192" t="s">
        <v>11164</v>
      </c>
      <c r="U2192" t="s">
        <v>11164</v>
      </c>
      <c r="V2192" t="s">
        <v>11164</v>
      </c>
      <c r="W2192" t="s">
        <v>13320</v>
      </c>
      <c r="X2192">
        <v>18</v>
      </c>
      <c r="Y2192" t="s">
        <v>18833</v>
      </c>
      <c r="Z2192" t="s">
        <v>24342</v>
      </c>
      <c r="AA2192">
        <v>0.69730290398503469</v>
      </c>
      <c r="AB2192" t="str">
        <f>HYPERLINK("Melting_Curves/meltCurve_P36551_CPOX.pdf", "Melting_Curves/meltCurve_P36551_CPOX.pdf")</f>
        <v>Melting_Curves/meltCurve_P36551_CPOX.pdf</v>
      </c>
    </row>
    <row r="2193" spans="1:28" x14ac:dyDescent="0.25">
      <c r="A2193" t="s">
        <v>2197</v>
      </c>
      <c r="B2193">
        <v>0.99796759195183404</v>
      </c>
      <c r="C2193">
        <v>1.01697346571308</v>
      </c>
      <c r="D2193">
        <v>0.93045274935073496</v>
      </c>
      <c r="E2193">
        <v>1.24192398012775</v>
      </c>
      <c r="F2193">
        <v>1.35284553966535</v>
      </c>
      <c r="G2193">
        <v>4.3046879352957701</v>
      </c>
      <c r="H2193">
        <v>1.953666843688</v>
      </c>
      <c r="I2193">
        <v>3.18776840991173</v>
      </c>
      <c r="J2193">
        <v>1.66918673425666</v>
      </c>
      <c r="K2193">
        <v>1.80036605146416</v>
      </c>
      <c r="L2193">
        <v>2931.0223069389199</v>
      </c>
      <c r="M2193">
        <v>62.790335143823498</v>
      </c>
      <c r="O2193">
        <v>46.632234785299197</v>
      </c>
      <c r="P2193">
        <v>0.16831264073965599</v>
      </c>
      <c r="Q2193">
        <v>1.5</v>
      </c>
      <c r="R2193">
        <v>-3.0007734552892899E-2</v>
      </c>
      <c r="S2193" t="s">
        <v>7776</v>
      </c>
      <c r="T2193" t="s">
        <v>11164</v>
      </c>
      <c r="U2193" t="s">
        <v>11164</v>
      </c>
      <c r="V2193" t="s">
        <v>11164</v>
      </c>
      <c r="W2193" t="s">
        <v>13321</v>
      </c>
      <c r="X2193">
        <v>3</v>
      </c>
      <c r="Y2193" t="s">
        <v>18834</v>
      </c>
      <c r="Z2193" t="s">
        <v>24343</v>
      </c>
      <c r="AA2193">
        <v>1.3380232942913921</v>
      </c>
      <c r="AB2193" t="str">
        <f>HYPERLINK("Melting_Curves/meltCurve_P36578_RPL4.pdf", "Melting_Curves/meltCurve_P36578_RPL4.pdf")</f>
        <v>Melting_Curves/meltCurve_P36578_RPL4.pdf</v>
      </c>
    </row>
    <row r="2194" spans="1:28" x14ac:dyDescent="0.25">
      <c r="A2194" t="s">
        <v>2198</v>
      </c>
      <c r="B2194">
        <v>0.99796759195183404</v>
      </c>
      <c r="C2194">
        <v>1.0098982404305601</v>
      </c>
      <c r="D2194">
        <v>0.99042708361974396</v>
      </c>
      <c r="E2194">
        <v>0.90645866758383697</v>
      </c>
      <c r="F2194">
        <v>0.86969136431525296</v>
      </c>
      <c r="G2194">
        <v>0.46757944671026203</v>
      </c>
      <c r="H2194">
        <v>0.35442394918923198</v>
      </c>
      <c r="I2194">
        <v>0.27119579086255102</v>
      </c>
      <c r="J2194">
        <v>0.218481120966526</v>
      </c>
      <c r="K2194">
        <v>0.16809041169512201</v>
      </c>
      <c r="L2194">
        <v>1153.2130824333401</v>
      </c>
      <c r="M2194">
        <v>21.808351216041899</v>
      </c>
      <c r="N2194">
        <v>54.135728140361103</v>
      </c>
      <c r="O2194">
        <v>52.440827007472002</v>
      </c>
      <c r="P2194">
        <v>-8.3322963302878195E-2</v>
      </c>
      <c r="Q2194">
        <v>0.19857783431944501</v>
      </c>
      <c r="R2194">
        <v>0.988289252507909</v>
      </c>
      <c r="S2194" t="s">
        <v>7777</v>
      </c>
      <c r="T2194" t="s">
        <v>11164</v>
      </c>
      <c r="U2194" t="s">
        <v>11164</v>
      </c>
      <c r="V2194" t="s">
        <v>11164</v>
      </c>
      <c r="W2194" t="s">
        <v>13322</v>
      </c>
      <c r="X2194">
        <v>5</v>
      </c>
      <c r="Y2194" t="s">
        <v>18835</v>
      </c>
      <c r="Z2194" t="s">
        <v>24344</v>
      </c>
      <c r="AA2194">
        <v>0.6316672483615744</v>
      </c>
      <c r="AB2194" t="str">
        <f>HYPERLINK("Melting_Curves/meltCurve_P36639_4_NUDT1.pdf", "Melting_Curves/meltCurve_P36639_4_NUDT1.pdf")</f>
        <v>Melting_Curves/meltCurve_P36639_4_NUDT1.pdf</v>
      </c>
    </row>
    <row r="2195" spans="1:28" x14ac:dyDescent="0.25">
      <c r="A2195" t="s">
        <v>2199</v>
      </c>
      <c r="B2195">
        <v>0.99796759195183404</v>
      </c>
      <c r="C2195">
        <v>0.98212549531482096</v>
      </c>
      <c r="D2195">
        <v>1.0160144703694001</v>
      </c>
      <c r="E2195">
        <v>0.96691853324102495</v>
      </c>
      <c r="F2195">
        <v>0.842357001633671</v>
      </c>
      <c r="G2195">
        <v>0.61589395155098603</v>
      </c>
      <c r="H2195">
        <v>0.61550351995989505</v>
      </c>
      <c r="I2195">
        <v>0.50327986058152596</v>
      </c>
      <c r="J2195">
        <v>0.33414710200032499</v>
      </c>
      <c r="K2195">
        <v>0.119876182177103</v>
      </c>
      <c r="L2195">
        <v>593.75389304049497</v>
      </c>
      <c r="M2195">
        <v>10.0764377526777</v>
      </c>
      <c r="N2195">
        <v>58.924980016167602</v>
      </c>
      <c r="O2195">
        <v>56.745355216096499</v>
      </c>
      <c r="P2195">
        <v>-4.4414199487785098E-2</v>
      </c>
      <c r="Q2195">
        <v>0</v>
      </c>
      <c r="R2195">
        <v>0.95804852306939903</v>
      </c>
      <c r="S2195" t="s">
        <v>7778</v>
      </c>
      <c r="T2195" t="s">
        <v>11164</v>
      </c>
      <c r="U2195" t="s">
        <v>11164</v>
      </c>
      <c r="V2195" t="s">
        <v>11164</v>
      </c>
      <c r="W2195" t="s">
        <v>13323</v>
      </c>
      <c r="X2195">
        <v>23</v>
      </c>
      <c r="Y2195" t="s">
        <v>18836</v>
      </c>
      <c r="Z2195" t="s">
        <v>24345</v>
      </c>
      <c r="AA2195">
        <v>0.7146968646098284</v>
      </c>
      <c r="AB2195" t="str">
        <f>HYPERLINK("Melting_Curves/meltCurve_P36871_PGM1.pdf", "Melting_Curves/meltCurve_P36871_PGM1.pdf")</f>
        <v>Melting_Curves/meltCurve_P36871_PGM1.pdf</v>
      </c>
    </row>
    <row r="2196" spans="1:28" x14ac:dyDescent="0.25">
      <c r="A2196" t="s">
        <v>2200</v>
      </c>
      <c r="B2196">
        <v>0.99796759195183404</v>
      </c>
      <c r="C2196">
        <v>1.06207462876508</v>
      </c>
      <c r="D2196">
        <v>0.990612720626598</v>
      </c>
      <c r="E2196">
        <v>0.93002388360253097</v>
      </c>
      <c r="F2196">
        <v>0.83916020920524603</v>
      </c>
      <c r="G2196">
        <v>0.46452100548249398</v>
      </c>
      <c r="H2196">
        <v>0.20018027004566499</v>
      </c>
      <c r="I2196">
        <v>0.15574523503665</v>
      </c>
      <c r="J2196">
        <v>0.13281833355355399</v>
      </c>
      <c r="K2196">
        <v>9.1038949328875199E-2</v>
      </c>
      <c r="L2196">
        <v>1356.44988983179</v>
      </c>
      <c r="M2196">
        <v>25.615647099906699</v>
      </c>
      <c r="N2196">
        <v>53.459878330814803</v>
      </c>
      <c r="O2196">
        <v>52.634388861630001</v>
      </c>
      <c r="P2196">
        <v>-0.108573456778921</v>
      </c>
      <c r="Q2196">
        <v>0.10763483643034399</v>
      </c>
      <c r="R2196">
        <v>0.99526713461504202</v>
      </c>
      <c r="S2196" t="s">
        <v>7779</v>
      </c>
      <c r="T2196" t="s">
        <v>11164</v>
      </c>
      <c r="U2196" t="s">
        <v>11164</v>
      </c>
      <c r="V2196" t="s">
        <v>11164</v>
      </c>
      <c r="W2196" t="s">
        <v>13324</v>
      </c>
      <c r="X2196">
        <v>17</v>
      </c>
      <c r="Y2196" t="s">
        <v>18837</v>
      </c>
      <c r="Z2196" t="s">
        <v>24346</v>
      </c>
      <c r="AA2196">
        <v>0.58975556969902121</v>
      </c>
      <c r="AB2196" t="str">
        <f>HYPERLINK("Melting_Curves/meltCurve_P36915_GNL1.pdf", "Melting_Curves/meltCurve_P36915_GNL1.pdf")</f>
        <v>Melting_Curves/meltCurve_P36915_GNL1.pdf</v>
      </c>
    </row>
    <row r="2197" spans="1:28" x14ac:dyDescent="0.25">
      <c r="A2197" t="s">
        <v>2201</v>
      </c>
      <c r="B2197">
        <v>0.99796759195183404</v>
      </c>
      <c r="C2197">
        <v>0.93787258233229998</v>
      </c>
      <c r="D2197">
        <v>0.97070864411549396</v>
      </c>
      <c r="E2197">
        <v>0.96693941097184599</v>
      </c>
      <c r="F2197">
        <v>0.84672925086751005</v>
      </c>
      <c r="G2197">
        <v>0.68030448518437503</v>
      </c>
      <c r="H2197">
        <v>0.755712368288322</v>
      </c>
      <c r="I2197">
        <v>0.81203417887590701</v>
      </c>
      <c r="J2197">
        <v>0.97322951008573799</v>
      </c>
      <c r="K2197">
        <v>0.96405890565344499</v>
      </c>
      <c r="L2197">
        <v>3123.6833255122201</v>
      </c>
      <c r="M2197">
        <v>65.667018491554302</v>
      </c>
      <c r="O2197">
        <v>47.524470252653103</v>
      </c>
      <c r="P2197">
        <v>-5.6025627672403697E-2</v>
      </c>
      <c r="Q2197">
        <v>0.83781279858143898</v>
      </c>
      <c r="R2197">
        <v>0.34487190853297101</v>
      </c>
      <c r="S2197" t="s">
        <v>7780</v>
      </c>
      <c r="T2197" t="s">
        <v>11164</v>
      </c>
      <c r="U2197" t="s">
        <v>11164</v>
      </c>
      <c r="V2197" t="s">
        <v>11164</v>
      </c>
      <c r="W2197" t="s">
        <v>13325</v>
      </c>
      <c r="X2197">
        <v>7</v>
      </c>
      <c r="Y2197" t="s">
        <v>18838</v>
      </c>
      <c r="Z2197" t="s">
        <v>24347</v>
      </c>
      <c r="AA2197">
        <v>0.89514562435394252</v>
      </c>
      <c r="AB2197" t="str">
        <f>HYPERLINK("Melting_Curves/meltCurve_P36954_POLR2I.pdf", "Melting_Curves/meltCurve_P36954_POLR2I.pdf")</f>
        <v>Melting_Curves/meltCurve_P36954_POLR2I.pdf</v>
      </c>
    </row>
    <row r="2198" spans="1:28" x14ac:dyDescent="0.25">
      <c r="A2198" t="s">
        <v>2202</v>
      </c>
      <c r="B2198">
        <v>0.99796759195183404</v>
      </c>
      <c r="C2198">
        <v>0.799507636624741</v>
      </c>
      <c r="D2198">
        <v>0.74195257943234305</v>
      </c>
      <c r="E2198">
        <v>0.745401436002607</v>
      </c>
      <c r="F2198">
        <v>0.68211341823825899</v>
      </c>
      <c r="G2198">
        <v>0.68365243282876698</v>
      </c>
      <c r="H2198">
        <v>1.4966018867413899</v>
      </c>
      <c r="I2198">
        <v>1.9643025508356999</v>
      </c>
      <c r="J2198">
        <v>1.1811291267117601</v>
      </c>
      <c r="K2198">
        <v>0.72830844565668895</v>
      </c>
      <c r="L2198">
        <v>3407.9856244917901</v>
      </c>
      <c r="M2198">
        <v>61.037601644408603</v>
      </c>
      <c r="O2198">
        <v>55.7743598148652</v>
      </c>
      <c r="P2198">
        <v>9.3414322708323505E-2</v>
      </c>
      <c r="Q2198">
        <v>1.34143687873774</v>
      </c>
      <c r="R2198">
        <v>0.25759019303109298</v>
      </c>
      <c r="S2198" t="s">
        <v>7781</v>
      </c>
      <c r="T2198" t="s">
        <v>11164</v>
      </c>
      <c r="U2198" t="s">
        <v>11164</v>
      </c>
      <c r="V2198" t="s">
        <v>11164</v>
      </c>
      <c r="W2198" t="s">
        <v>13326</v>
      </c>
      <c r="X2198">
        <v>8</v>
      </c>
      <c r="Y2198" t="s">
        <v>18839</v>
      </c>
      <c r="Z2198" t="s">
        <v>24348</v>
      </c>
      <c r="AA2198">
        <v>1.1265178919451031</v>
      </c>
      <c r="AB2198" t="str">
        <f>HYPERLINK("Melting_Curves/meltCurve_P36957_DLST.pdf", "Melting_Curves/meltCurve_P36957_DLST.pdf")</f>
        <v>Melting_Curves/meltCurve_P36957_DLST.pdf</v>
      </c>
    </row>
    <row r="2199" spans="1:28" x14ac:dyDescent="0.25">
      <c r="A2199" t="s">
        <v>2203</v>
      </c>
      <c r="B2199">
        <v>0.99796759195183404</v>
      </c>
      <c r="C2199">
        <v>0.87783821677562601</v>
      </c>
      <c r="D2199">
        <v>0.93269389657379398</v>
      </c>
      <c r="E2199">
        <v>0.82062311272136701</v>
      </c>
      <c r="F2199">
        <v>0.67022918448952695</v>
      </c>
      <c r="G2199">
        <v>0.49111737274213701</v>
      </c>
      <c r="H2199">
        <v>0.40325528493261498</v>
      </c>
      <c r="I2199">
        <v>0.31275113223738998</v>
      </c>
      <c r="J2199">
        <v>0.113397304528287</v>
      </c>
      <c r="K2199">
        <v>7.6975662460075298E-2</v>
      </c>
      <c r="L2199">
        <v>519.52088248635505</v>
      </c>
      <c r="M2199">
        <v>9.6293064388525504</v>
      </c>
      <c r="N2199">
        <v>53.952056774924003</v>
      </c>
      <c r="O2199">
        <v>51.779221427252097</v>
      </c>
      <c r="P2199">
        <v>-4.6518255615423103E-2</v>
      </c>
      <c r="Q2199">
        <v>0</v>
      </c>
      <c r="R2199">
        <v>0.97859572179375998</v>
      </c>
      <c r="S2199" t="s">
        <v>7782</v>
      </c>
      <c r="T2199" t="s">
        <v>11164</v>
      </c>
      <c r="U2199" t="s">
        <v>11164</v>
      </c>
      <c r="V2199" t="s">
        <v>11164</v>
      </c>
      <c r="W2199" t="s">
        <v>13327</v>
      </c>
      <c r="X2199">
        <v>6</v>
      </c>
      <c r="Y2199" t="s">
        <v>18840</v>
      </c>
      <c r="Z2199" t="s">
        <v>24349</v>
      </c>
      <c r="AA2199">
        <v>0.58261984440493664</v>
      </c>
      <c r="AB2199" t="str">
        <f>HYPERLINK("Melting_Curves/meltCurve_P36969_2_GPX4.pdf", "Melting_Curves/meltCurve_P36969_2_GPX4.pdf")</f>
        <v>Melting_Curves/meltCurve_P36969_2_GPX4.pdf</v>
      </c>
    </row>
    <row r="2200" spans="1:28" x14ac:dyDescent="0.25">
      <c r="A2200" t="s">
        <v>2204</v>
      </c>
      <c r="B2200">
        <v>0.99796759195183404</v>
      </c>
      <c r="C2200">
        <v>1.04790682946392</v>
      </c>
      <c r="D2200">
        <v>1.00432922343425</v>
      </c>
      <c r="E2200">
        <v>1.07126415518461</v>
      </c>
      <c r="F2200">
        <v>0.88836058672999196</v>
      </c>
      <c r="G2200">
        <v>0.857766434681562</v>
      </c>
      <c r="H2200">
        <v>0.74842110704431097</v>
      </c>
      <c r="I2200">
        <v>0.60592187444688606</v>
      </c>
      <c r="J2200">
        <v>0.69298171418264898</v>
      </c>
      <c r="K2200">
        <v>0.41729776946112401</v>
      </c>
      <c r="L2200">
        <v>575.335756513197</v>
      </c>
      <c r="M2200">
        <v>9.0331673420527192</v>
      </c>
      <c r="N2200">
        <v>66.315170780061706</v>
      </c>
      <c r="O2200">
        <v>60.802538660445499</v>
      </c>
      <c r="P2200">
        <v>-3.1583526887083602E-2</v>
      </c>
      <c r="Q2200">
        <v>0.15024965053164299</v>
      </c>
      <c r="R2200">
        <v>0.90504314295176602</v>
      </c>
      <c r="S2200" t="s">
        <v>7783</v>
      </c>
      <c r="T2200" t="s">
        <v>11164</v>
      </c>
      <c r="U2200" t="s">
        <v>11164</v>
      </c>
      <c r="V2200" t="s">
        <v>11164</v>
      </c>
      <c r="W2200" t="s">
        <v>13328</v>
      </c>
      <c r="X2200">
        <v>5</v>
      </c>
      <c r="Y2200" t="s">
        <v>18841</v>
      </c>
      <c r="Z2200" t="s">
        <v>24350</v>
      </c>
      <c r="AA2200">
        <v>0.83667528606997343</v>
      </c>
      <c r="AB2200" t="str">
        <f>HYPERLINK("Melting_Curves/meltCurve_P37108_SRP14.pdf", "Melting_Curves/meltCurve_P37108_SRP14.pdf")</f>
        <v>Melting_Curves/meltCurve_P37108_SRP14.pdf</v>
      </c>
    </row>
    <row r="2201" spans="1:28" x14ac:dyDescent="0.25">
      <c r="A2201" t="s">
        <v>2205</v>
      </c>
      <c r="B2201">
        <v>0.99796759195183404</v>
      </c>
      <c r="C2201">
        <v>1.00908668639292</v>
      </c>
      <c r="D2201">
        <v>0.99121659834201803</v>
      </c>
      <c r="E2201">
        <v>0.92434197529955797</v>
      </c>
      <c r="F2201">
        <v>0.840837972735892</v>
      </c>
      <c r="G2201">
        <v>0.59660807604810695</v>
      </c>
      <c r="H2201">
        <v>0.259629844347394</v>
      </c>
      <c r="I2201">
        <v>0.17075361641355899</v>
      </c>
      <c r="J2201">
        <v>0.14372176697044101</v>
      </c>
      <c r="K2201">
        <v>0.105117610807849</v>
      </c>
      <c r="L2201">
        <v>1136.4040888806801</v>
      </c>
      <c r="M2201">
        <v>21.0447868779925</v>
      </c>
      <c r="N2201">
        <v>54.539218321188997</v>
      </c>
      <c r="O2201">
        <v>53.518829249297198</v>
      </c>
      <c r="P2201">
        <v>-8.9064199604144204E-2</v>
      </c>
      <c r="Q2201">
        <v>9.4030370082710701E-2</v>
      </c>
      <c r="R2201">
        <v>0.996515515035168</v>
      </c>
      <c r="S2201" t="s">
        <v>7784</v>
      </c>
      <c r="T2201" t="s">
        <v>11164</v>
      </c>
      <c r="U2201" t="s">
        <v>11164</v>
      </c>
      <c r="V2201" t="s">
        <v>11164</v>
      </c>
      <c r="W2201" t="s">
        <v>13329</v>
      </c>
      <c r="X2201">
        <v>12</v>
      </c>
      <c r="Y2201" t="s">
        <v>18842</v>
      </c>
      <c r="Z2201" t="s">
        <v>24351</v>
      </c>
      <c r="AA2201">
        <v>0.6176315857234741</v>
      </c>
      <c r="AB2201" t="str">
        <f>HYPERLINK("Melting_Curves/meltCurve_P37268_FDFT1.pdf", "Melting_Curves/meltCurve_P37268_FDFT1.pdf")</f>
        <v>Melting_Curves/meltCurve_P37268_FDFT1.pdf</v>
      </c>
    </row>
    <row r="2202" spans="1:28" x14ac:dyDescent="0.25">
      <c r="A2202" t="s">
        <v>2206</v>
      </c>
      <c r="B2202">
        <v>0.99796759195183404</v>
      </c>
      <c r="C2202">
        <v>1.0569265425355401</v>
      </c>
      <c r="D2202">
        <v>1.19200275336604</v>
      </c>
      <c r="E2202">
        <v>1.2677181203026999</v>
      </c>
      <c r="F2202">
        <v>1.05705002133477</v>
      </c>
      <c r="G2202">
        <v>1.05180293675493</v>
      </c>
      <c r="H2202">
        <v>1.0590541504478701</v>
      </c>
      <c r="I2202">
        <v>0.52766564640316205</v>
      </c>
      <c r="J2202">
        <v>0.193386507254483</v>
      </c>
      <c r="K2202">
        <v>6.6344481174363104E-2</v>
      </c>
      <c r="L2202">
        <v>4003.3402116508</v>
      </c>
      <c r="M2202">
        <v>65.6939334726369</v>
      </c>
      <c r="N2202">
        <v>61.167071961630498</v>
      </c>
      <c r="O2202">
        <v>60.882873553659401</v>
      </c>
      <c r="P2202">
        <v>-0.24048243003088399</v>
      </c>
      <c r="Q2202">
        <v>0.10851694244618</v>
      </c>
      <c r="R2202">
        <v>0.92158795157502904</v>
      </c>
      <c r="S2202" t="s">
        <v>7785</v>
      </c>
      <c r="T2202" t="s">
        <v>11164</v>
      </c>
      <c r="U2202" t="s">
        <v>11164</v>
      </c>
      <c r="V2202" t="s">
        <v>11164</v>
      </c>
      <c r="W2202" t="s">
        <v>13330</v>
      </c>
      <c r="X2202">
        <v>2</v>
      </c>
      <c r="Y2202" t="s">
        <v>18843</v>
      </c>
      <c r="Z2202" t="s">
        <v>24352</v>
      </c>
      <c r="AA2202">
        <v>0.82119311327689459</v>
      </c>
      <c r="AB2202" t="str">
        <f>HYPERLINK("Melting_Curves/meltCurve_P37287_3_PIGA.pdf", "Melting_Curves/meltCurve_P37287_3_PIGA.pdf")</f>
        <v>Melting_Curves/meltCurve_P37287_3_PIGA.pdf</v>
      </c>
    </row>
    <row r="2203" spans="1:28" x14ac:dyDescent="0.25">
      <c r="A2203" t="s">
        <v>2207</v>
      </c>
      <c r="B2203">
        <v>0.99796759195183404</v>
      </c>
      <c r="C2203">
        <v>0.917205333625283</v>
      </c>
      <c r="D2203">
        <v>0.91402590217290303</v>
      </c>
      <c r="E2203">
        <v>0.83424596239691695</v>
      </c>
      <c r="F2203">
        <v>0.68621793906549899</v>
      </c>
      <c r="G2203">
        <v>0.43771552526538998</v>
      </c>
      <c r="H2203">
        <v>0.23397026166348001</v>
      </c>
      <c r="I2203">
        <v>0.159809043442664</v>
      </c>
      <c r="J2203">
        <v>0.16699739759976201</v>
      </c>
      <c r="K2203">
        <v>0.18548502932131999</v>
      </c>
      <c r="L2203">
        <v>761.74783098962803</v>
      </c>
      <c r="M2203">
        <v>14.7679395589309</v>
      </c>
      <c r="N2203">
        <v>52.496543486467203</v>
      </c>
      <c r="O2203">
        <v>50.6630574359544</v>
      </c>
      <c r="P2203">
        <v>-6.4608247261362897E-2</v>
      </c>
      <c r="Q2203">
        <v>0.113511748467786</v>
      </c>
      <c r="R2203">
        <v>0.98762822901425396</v>
      </c>
      <c r="S2203" t="s">
        <v>7786</v>
      </c>
      <c r="T2203" t="s">
        <v>11164</v>
      </c>
      <c r="U2203" t="s">
        <v>11164</v>
      </c>
      <c r="V2203" t="s">
        <v>11164</v>
      </c>
      <c r="W2203" t="s">
        <v>13331</v>
      </c>
      <c r="X2203">
        <v>20</v>
      </c>
      <c r="Y2203" t="s">
        <v>18844</v>
      </c>
      <c r="Z2203" t="s">
        <v>24353</v>
      </c>
      <c r="AA2203">
        <v>0.56207166834165467</v>
      </c>
      <c r="AB2203" t="str">
        <f>HYPERLINK("Melting_Curves/meltCurve_P37802_TAGLN2.pdf", "Melting_Curves/meltCurve_P37802_TAGLN2.pdf")</f>
        <v>Melting_Curves/meltCurve_P37802_TAGLN2.pdf</v>
      </c>
    </row>
    <row r="2204" spans="1:28" x14ac:dyDescent="0.25">
      <c r="A2204" t="s">
        <v>2208</v>
      </c>
      <c r="B2204">
        <v>0.99796759195183404</v>
      </c>
      <c r="C2204">
        <v>1.00226739271068</v>
      </c>
      <c r="D2204">
        <v>0.98433267701942295</v>
      </c>
      <c r="E2204">
        <v>0.91963915964601195</v>
      </c>
      <c r="F2204">
        <v>0.81064413207836905</v>
      </c>
      <c r="G2204">
        <v>0.53245758124513598</v>
      </c>
      <c r="H2204">
        <v>0.246781163381073</v>
      </c>
      <c r="I2204">
        <v>0.13978301285594799</v>
      </c>
      <c r="J2204">
        <v>0.11682613982103</v>
      </c>
      <c r="K2204">
        <v>9.1156168428704498E-2</v>
      </c>
      <c r="L2204">
        <v>1057.5206635314</v>
      </c>
      <c r="M2204">
        <v>19.739810664441801</v>
      </c>
      <c r="N2204">
        <v>53.986885999104203</v>
      </c>
      <c r="O2204">
        <v>53.032270865410297</v>
      </c>
      <c r="P2204">
        <v>-8.6524135031609495E-2</v>
      </c>
      <c r="Q2204">
        <v>7.0221261726142403E-2</v>
      </c>
      <c r="R2204">
        <v>0.99849250042047799</v>
      </c>
      <c r="S2204" t="s">
        <v>7787</v>
      </c>
      <c r="T2204" t="s">
        <v>11164</v>
      </c>
      <c r="U2204" t="s">
        <v>11164</v>
      </c>
      <c r="V2204" t="s">
        <v>11164</v>
      </c>
      <c r="W2204" t="s">
        <v>13332</v>
      </c>
      <c r="X2204">
        <v>35</v>
      </c>
      <c r="Y2204" t="s">
        <v>18845</v>
      </c>
      <c r="Z2204" t="s">
        <v>24354</v>
      </c>
      <c r="AA2204">
        <v>0.59553394946094829</v>
      </c>
      <c r="AB2204" t="str">
        <f>HYPERLINK("Melting_Curves/meltCurve_P37837_TALDO1.pdf", "Melting_Curves/meltCurve_P37837_TALDO1.pdf")</f>
        <v>Melting_Curves/meltCurve_P37837_TALDO1.pdf</v>
      </c>
    </row>
    <row r="2205" spans="1:28" x14ac:dyDescent="0.25">
      <c r="A2205" t="s">
        <v>2209</v>
      </c>
      <c r="B2205">
        <v>0.99796759195183404</v>
      </c>
      <c r="C2205">
        <v>0.990020770669786</v>
      </c>
      <c r="D2205">
        <v>0.98106848132084401</v>
      </c>
      <c r="E2205">
        <v>0.972849808778673</v>
      </c>
      <c r="F2205">
        <v>0.82116040167606696</v>
      </c>
      <c r="G2205">
        <v>0.64617001038913902</v>
      </c>
      <c r="H2205">
        <v>0.482201403838454</v>
      </c>
      <c r="I2205">
        <v>0.29508457741850502</v>
      </c>
      <c r="J2205">
        <v>0.29673619374876498</v>
      </c>
      <c r="K2205">
        <v>0.12942047039816501</v>
      </c>
      <c r="L2205">
        <v>703.74508048000996</v>
      </c>
      <c r="M2205">
        <v>12.5036208491697</v>
      </c>
      <c r="N2205">
        <v>56.872583323300901</v>
      </c>
      <c r="O2205">
        <v>54.9018240503637</v>
      </c>
      <c r="P2205">
        <v>-5.34879909510622E-2</v>
      </c>
      <c r="Q2205">
        <v>6.0756930922101202E-2</v>
      </c>
      <c r="R2205">
        <v>0.99125867885769103</v>
      </c>
      <c r="S2205" t="s">
        <v>7788</v>
      </c>
      <c r="T2205" t="s">
        <v>11164</v>
      </c>
      <c r="U2205" t="s">
        <v>11164</v>
      </c>
      <c r="V2205" t="s">
        <v>11164</v>
      </c>
      <c r="W2205" t="s">
        <v>13333</v>
      </c>
      <c r="X2205">
        <v>26</v>
      </c>
      <c r="Y2205" t="s">
        <v>18846</v>
      </c>
      <c r="Z2205" t="s">
        <v>24355</v>
      </c>
      <c r="AA2205">
        <v>0.67298163602450312</v>
      </c>
      <c r="AB2205" t="str">
        <f>HYPERLINK("Melting_Curves/meltCurve_P38117_ETFB.pdf", "Melting_Curves/meltCurve_P38117_ETFB.pdf")</f>
        <v>Melting_Curves/meltCurve_P38117_ETFB.pdf</v>
      </c>
    </row>
    <row r="2206" spans="1:28" x14ac:dyDescent="0.25">
      <c r="A2206" t="s">
        <v>2210</v>
      </c>
      <c r="B2206">
        <v>0.99796759195183404</v>
      </c>
      <c r="C2206">
        <v>0.85055092074660099</v>
      </c>
      <c r="D2206">
        <v>0.789008094686386</v>
      </c>
      <c r="E2206">
        <v>0.71372228296401397</v>
      </c>
      <c r="F2206">
        <v>0.31754930381069901</v>
      </c>
      <c r="G2206">
        <v>0.15290809444949599</v>
      </c>
      <c r="H2206">
        <v>0.17100667718050699</v>
      </c>
      <c r="I2206">
        <v>0.114530317393883</v>
      </c>
      <c r="J2206">
        <v>0.10241626916207699</v>
      </c>
      <c r="K2206">
        <v>5.6433861632887397E-2</v>
      </c>
      <c r="L2206">
        <v>655.35423259039601</v>
      </c>
      <c r="M2206">
        <v>13.748074632124601</v>
      </c>
      <c r="N2206">
        <v>48.066292219802698</v>
      </c>
      <c r="O2206">
        <v>46.694185153301802</v>
      </c>
      <c r="P2206">
        <v>-6.9661730735422894E-2</v>
      </c>
      <c r="Q2206">
        <v>5.3733463210501597E-2</v>
      </c>
      <c r="R2206">
        <v>0.97435576457568396</v>
      </c>
      <c r="S2206" t="s">
        <v>7789</v>
      </c>
      <c r="T2206" t="s">
        <v>11164</v>
      </c>
      <c r="U2206" t="s">
        <v>11164</v>
      </c>
      <c r="V2206" t="s">
        <v>11164</v>
      </c>
      <c r="W2206" t="s">
        <v>13334</v>
      </c>
      <c r="X2206">
        <v>2</v>
      </c>
      <c r="Y2206" t="s">
        <v>18847</v>
      </c>
      <c r="Z2206" t="s">
        <v>24356</v>
      </c>
      <c r="AA2206">
        <v>0.41455591249183121</v>
      </c>
      <c r="AB2206" t="str">
        <f>HYPERLINK("Melting_Curves/meltCurve_P38432_COIL.pdf", "Melting_Curves/meltCurve_P38432_COIL.pdf")</f>
        <v>Melting_Curves/meltCurve_P38432_COIL.pdf</v>
      </c>
    </row>
    <row r="2207" spans="1:28" x14ac:dyDescent="0.25">
      <c r="A2207" t="s">
        <v>2211</v>
      </c>
      <c r="B2207">
        <v>0.99796759195183404</v>
      </c>
      <c r="C2207">
        <v>1.1393704377851099</v>
      </c>
      <c r="D2207">
        <v>1.1124252669465799</v>
      </c>
      <c r="E2207">
        <v>1.03207960481228</v>
      </c>
      <c r="F2207">
        <v>0.92289205153071896</v>
      </c>
      <c r="G2207">
        <v>0.64708261418600999</v>
      </c>
      <c r="H2207">
        <v>0.25995853682474002</v>
      </c>
      <c r="I2207">
        <v>0.22562624642524101</v>
      </c>
      <c r="J2207">
        <v>0.20265490970160899</v>
      </c>
      <c r="K2207">
        <v>0.167570574619581</v>
      </c>
      <c r="L2207">
        <v>1901.7394033320099</v>
      </c>
      <c r="M2207">
        <v>35.1494677573735</v>
      </c>
      <c r="N2207">
        <v>54.834759797773202</v>
      </c>
      <c r="O2207">
        <v>53.930129829034897</v>
      </c>
      <c r="P2207">
        <v>-0.13248172411176601</v>
      </c>
      <c r="Q2207">
        <v>0.18693143673110399</v>
      </c>
      <c r="R2207">
        <v>0.97694390174433698</v>
      </c>
      <c r="S2207" t="s">
        <v>7790</v>
      </c>
      <c r="T2207" t="s">
        <v>11164</v>
      </c>
      <c r="U2207" t="s">
        <v>11164</v>
      </c>
      <c r="V2207" t="s">
        <v>11164</v>
      </c>
      <c r="W2207" t="s">
        <v>13335</v>
      </c>
      <c r="X2207">
        <v>4</v>
      </c>
      <c r="Y2207" t="s">
        <v>18848</v>
      </c>
      <c r="Z2207" t="s">
        <v>24357</v>
      </c>
      <c r="AA2207">
        <v>0.65436852695676617</v>
      </c>
      <c r="AB2207" t="str">
        <f>HYPERLINK("Melting_Curves/meltCurve_P38435_GGCX.pdf", "Melting_Curves/meltCurve_P38435_GGCX.pdf")</f>
        <v>Melting_Curves/meltCurve_P38435_GGCX.pdf</v>
      </c>
    </row>
    <row r="2208" spans="1:28" x14ac:dyDescent="0.25">
      <c r="A2208" t="s">
        <v>2212</v>
      </c>
      <c r="B2208">
        <v>0.99796759195183404</v>
      </c>
      <c r="C2208">
        <v>0.98824728003685203</v>
      </c>
      <c r="D2208">
        <v>0.960242996488755</v>
      </c>
      <c r="E2208">
        <v>0.85216317885192305</v>
      </c>
      <c r="F2208">
        <v>0.66327130019543901</v>
      </c>
      <c r="G2208">
        <v>0.652570399467294</v>
      </c>
      <c r="H2208">
        <v>0.47723781402521698</v>
      </c>
      <c r="I2208">
        <v>0.48697988752629201</v>
      </c>
      <c r="J2208">
        <v>0.45202005662747902</v>
      </c>
      <c r="K2208">
        <v>0.15496641997617999</v>
      </c>
      <c r="L2208">
        <v>403.311589699764</v>
      </c>
      <c r="M2208">
        <v>6.9511356398299897</v>
      </c>
      <c r="N2208">
        <v>58.020963831147903</v>
      </c>
      <c r="O2208">
        <v>53.790338938802002</v>
      </c>
      <c r="P2208">
        <v>-3.23680699047659E-2</v>
      </c>
      <c r="Q2208">
        <v>0</v>
      </c>
      <c r="R2208">
        <v>0.93565987196773703</v>
      </c>
      <c r="S2208" t="s">
        <v>7791</v>
      </c>
      <c r="T2208" t="s">
        <v>11164</v>
      </c>
      <c r="U2208" t="s">
        <v>11164</v>
      </c>
      <c r="V2208" t="s">
        <v>11164</v>
      </c>
      <c r="W2208" t="s">
        <v>13336</v>
      </c>
      <c r="X2208">
        <v>11</v>
      </c>
      <c r="Y2208" t="s">
        <v>18849</v>
      </c>
      <c r="Z2208" t="s">
        <v>24358</v>
      </c>
      <c r="AA2208">
        <v>0.66997369403796569</v>
      </c>
      <c r="AB2208" t="str">
        <f>HYPERLINK("Melting_Curves/meltCurve_P38606_ATP6V1A.pdf", "Melting_Curves/meltCurve_P38606_ATP6V1A.pdf")</f>
        <v>Melting_Curves/meltCurve_P38606_ATP6V1A.pdf</v>
      </c>
    </row>
    <row r="2209" spans="1:28" x14ac:dyDescent="0.25">
      <c r="A2209" t="s">
        <v>2213</v>
      </c>
      <c r="B2209">
        <v>0.99796759195183404</v>
      </c>
      <c r="C2209">
        <v>1.0558852076530301</v>
      </c>
      <c r="D2209">
        <v>0.99087514864378301</v>
      </c>
      <c r="E2209">
        <v>0.91890336977421405</v>
      </c>
      <c r="F2209">
        <v>0.78813123975553401</v>
      </c>
      <c r="G2209">
        <v>0.75949144289928905</v>
      </c>
      <c r="H2209">
        <v>0.391415192373892</v>
      </c>
      <c r="I2209">
        <v>0.14517584201332601</v>
      </c>
      <c r="J2209">
        <v>8.3311366633415804E-2</v>
      </c>
      <c r="K2209">
        <v>6.1749809133743797E-2</v>
      </c>
      <c r="L2209">
        <v>990.19872855287497</v>
      </c>
      <c r="M2209">
        <v>17.685331346413601</v>
      </c>
      <c r="N2209">
        <v>55.989832728637097</v>
      </c>
      <c r="O2209">
        <v>55.288681904213803</v>
      </c>
      <c r="P2209">
        <v>-7.9972368315223405E-2</v>
      </c>
      <c r="Q2209">
        <v>0</v>
      </c>
      <c r="R2209">
        <v>0.98298190918770401</v>
      </c>
      <c r="S2209" t="s">
        <v>7792</v>
      </c>
      <c r="T2209" t="s">
        <v>11164</v>
      </c>
      <c r="U2209" t="s">
        <v>11164</v>
      </c>
      <c r="V2209" t="s">
        <v>11164</v>
      </c>
      <c r="W2209" t="s">
        <v>13337</v>
      </c>
      <c r="X2209">
        <v>57</v>
      </c>
      <c r="Y2209" t="s">
        <v>18850</v>
      </c>
      <c r="Z2209" t="s">
        <v>24359</v>
      </c>
      <c r="AA2209">
        <v>0.64413359146846594</v>
      </c>
      <c r="AB2209" t="str">
        <f>HYPERLINK("Melting_Curves/meltCurve_P38646_HSPA9.pdf", "Melting_Curves/meltCurve_P38646_HSPA9.pdf")</f>
        <v>Melting_Curves/meltCurve_P38646_HSPA9.pdf</v>
      </c>
    </row>
    <row r="2210" spans="1:28" x14ac:dyDescent="0.25">
      <c r="A2210" t="s">
        <v>2214</v>
      </c>
      <c r="B2210">
        <v>0.99796759195183404</v>
      </c>
      <c r="C2210">
        <v>1.0065004227559999</v>
      </c>
      <c r="D2210">
        <v>0.95510761791658005</v>
      </c>
      <c r="E2210">
        <v>1.0187428814488999</v>
      </c>
      <c r="F2210">
        <v>0.87216454561719903</v>
      </c>
      <c r="G2210">
        <v>0.59678915293452395</v>
      </c>
      <c r="H2210">
        <v>0.29575332050612502</v>
      </c>
      <c r="I2210">
        <v>0.23211349874248399</v>
      </c>
      <c r="J2210">
        <v>0.139834752550967</v>
      </c>
      <c r="K2210">
        <v>9.1182943151179197E-2</v>
      </c>
      <c r="L2210">
        <v>1195.3758809855001</v>
      </c>
      <c r="M2210">
        <v>22.020389858283</v>
      </c>
      <c r="N2210">
        <v>54.900607872180103</v>
      </c>
      <c r="O2210">
        <v>53.843210669411299</v>
      </c>
      <c r="P2210">
        <v>-9.10592756678551E-2</v>
      </c>
      <c r="Q2210">
        <v>0.109404557460339</v>
      </c>
      <c r="R2210">
        <v>0.99460080467105005</v>
      </c>
      <c r="S2210" t="s">
        <v>7793</v>
      </c>
      <c r="T2210" t="s">
        <v>11164</v>
      </c>
      <c r="U2210" t="s">
        <v>11164</v>
      </c>
      <c r="V2210" t="s">
        <v>11164</v>
      </c>
      <c r="W2210" t="s">
        <v>13338</v>
      </c>
      <c r="X2210">
        <v>11</v>
      </c>
      <c r="Y2210" t="s">
        <v>18851</v>
      </c>
      <c r="Z2210" t="s">
        <v>24360</v>
      </c>
      <c r="AA2210">
        <v>0.63187646873504244</v>
      </c>
      <c r="AB2210" t="str">
        <f>HYPERLINK("Melting_Curves/meltCurve_P38919_EIF4A3.pdf", "Melting_Curves/meltCurve_P38919_EIF4A3.pdf")</f>
        <v>Melting_Curves/meltCurve_P38919_EIF4A3.pdf</v>
      </c>
    </row>
    <row r="2211" spans="1:28" x14ac:dyDescent="0.25">
      <c r="A2211" t="s">
        <v>2215</v>
      </c>
      <c r="B2211">
        <v>0.99796759195183404</v>
      </c>
      <c r="C2211">
        <v>1.0299539146272001</v>
      </c>
      <c r="D2211">
        <v>1.1067494704489</v>
      </c>
      <c r="E2211">
        <v>1.45184574058146</v>
      </c>
      <c r="F2211">
        <v>1.6330448848238399</v>
      </c>
      <c r="G2211">
        <v>3.5896025595641201</v>
      </c>
      <c r="H2211">
        <v>1.03716755144427</v>
      </c>
      <c r="I2211">
        <v>1.0710556959911699</v>
      </c>
      <c r="J2211">
        <v>0.98798612568501998</v>
      </c>
      <c r="K2211">
        <v>0.91303381006365703</v>
      </c>
      <c r="L2211">
        <v>1056.2861897713899</v>
      </c>
      <c r="M2211">
        <v>9.6370419105711793</v>
      </c>
      <c r="Q2211">
        <v>3.5535673399004198E-13</v>
      </c>
      <c r="R2211">
        <v>-0.24797839182748599</v>
      </c>
      <c r="S2211" t="s">
        <v>7794</v>
      </c>
      <c r="T2211" t="s">
        <v>11164</v>
      </c>
      <c r="U2211" t="s">
        <v>11164</v>
      </c>
      <c r="V2211" t="s">
        <v>11164</v>
      </c>
      <c r="W2211" t="s">
        <v>13339</v>
      </c>
      <c r="X2211">
        <v>10</v>
      </c>
      <c r="Y2211" t="s">
        <v>18852</v>
      </c>
      <c r="Z2211" t="s">
        <v>24361</v>
      </c>
      <c r="AA2211">
        <v>0.99972466993121956</v>
      </c>
      <c r="AB2211" t="str">
        <f>HYPERLINK("Melting_Curves/meltCurve_P39019_RPS19.pdf", "Melting_Curves/meltCurve_P39019_RPS19.pdf")</f>
        <v>Melting_Curves/meltCurve_P39019_RPS19.pdf</v>
      </c>
    </row>
    <row r="2212" spans="1:28" x14ac:dyDescent="0.25">
      <c r="A2212" t="s">
        <v>2216</v>
      </c>
      <c r="B2212">
        <v>0.99796759195183404</v>
      </c>
      <c r="C2212">
        <v>1.0324478656348799</v>
      </c>
      <c r="D2212">
        <v>1.0419286004261801</v>
      </c>
      <c r="E2212">
        <v>0.93868061642876299</v>
      </c>
      <c r="F2212">
        <v>0.88980962213500603</v>
      </c>
      <c r="G2212">
        <v>1.14261114102766</v>
      </c>
      <c r="H2212">
        <v>0.43706249663169999</v>
      </c>
      <c r="I2212">
        <v>0.30442399233449302</v>
      </c>
      <c r="J2212">
        <v>0.146224097596589</v>
      </c>
      <c r="K2212">
        <v>0.11510098211651799</v>
      </c>
      <c r="L2212">
        <v>14303.0578821214</v>
      </c>
      <c r="M2212">
        <v>250</v>
      </c>
      <c r="N2212">
        <v>57.320791165650697</v>
      </c>
      <c r="O2212">
        <v>57.208570358230197</v>
      </c>
      <c r="P2212">
        <v>-0.88646799739451498</v>
      </c>
      <c r="Q2212">
        <v>0.188582932632093</v>
      </c>
      <c r="R2212">
        <v>0.95966472808835901</v>
      </c>
      <c r="S2212" t="s">
        <v>7795</v>
      </c>
      <c r="T2212" t="s">
        <v>11164</v>
      </c>
      <c r="U2212" t="s">
        <v>11164</v>
      </c>
      <c r="V2212" t="s">
        <v>11164</v>
      </c>
      <c r="W2212" t="s">
        <v>13340</v>
      </c>
      <c r="X2212">
        <v>8</v>
      </c>
      <c r="Y2212" t="s">
        <v>18853</v>
      </c>
      <c r="Z2212" t="s">
        <v>24362</v>
      </c>
      <c r="AA2212">
        <v>0.73534939196829852</v>
      </c>
      <c r="AB2212" t="str">
        <f>HYPERLINK("Melting_Curves/meltCurve_P39656_DDOST.pdf", "Melting_Curves/meltCurve_P39656_DDOST.pdf")</f>
        <v>Melting_Curves/meltCurve_P39656_DDOST.pdf</v>
      </c>
    </row>
    <row r="2213" spans="1:28" x14ac:dyDescent="0.25">
      <c r="A2213" t="s">
        <v>2217</v>
      </c>
      <c r="B2213">
        <v>0.99796759195183404</v>
      </c>
      <c r="C2213">
        <v>1.0125264150217399</v>
      </c>
      <c r="D2213">
        <v>1.0085261619556101</v>
      </c>
      <c r="E2213">
        <v>0.91305701751497004</v>
      </c>
      <c r="F2213">
        <v>0.895199917970526</v>
      </c>
      <c r="G2213">
        <v>0.71014933884382303</v>
      </c>
      <c r="H2213">
        <v>0.64497206474559898</v>
      </c>
      <c r="I2213">
        <v>0.51807034392558704</v>
      </c>
      <c r="J2213">
        <v>0.59981304186626805</v>
      </c>
      <c r="K2213">
        <v>0.51801328748021802</v>
      </c>
      <c r="L2213">
        <v>892.45711771609194</v>
      </c>
      <c r="M2213">
        <v>16.862208963734801</v>
      </c>
      <c r="O2213">
        <v>52.198897293599799</v>
      </c>
      <c r="P2213">
        <v>-3.8582925981828699E-2</v>
      </c>
      <c r="Q2213">
        <v>0.52227903497693795</v>
      </c>
      <c r="R2213">
        <v>0.97370095958342495</v>
      </c>
      <c r="S2213" t="s">
        <v>7796</v>
      </c>
      <c r="T2213" t="s">
        <v>11164</v>
      </c>
      <c r="U2213" t="s">
        <v>11164</v>
      </c>
      <c r="V2213" t="s">
        <v>11164</v>
      </c>
      <c r="W2213" t="s">
        <v>13341</v>
      </c>
      <c r="X2213">
        <v>15</v>
      </c>
      <c r="Y2213" t="s">
        <v>18854</v>
      </c>
      <c r="Z2213" t="s">
        <v>24363</v>
      </c>
      <c r="AA2213">
        <v>0.78345014621323916</v>
      </c>
      <c r="AB2213" t="str">
        <f>HYPERLINK("Melting_Curves/meltCurve_P39687_ANP32A.pdf", "Melting_Curves/meltCurve_P39687_ANP32A.pdf")</f>
        <v>Melting_Curves/meltCurve_P39687_ANP32A.pdf</v>
      </c>
    </row>
    <row r="2214" spans="1:28" x14ac:dyDescent="0.25">
      <c r="A2214" t="s">
        <v>2218</v>
      </c>
      <c r="B2214">
        <v>0.99796759195183404</v>
      </c>
      <c r="C2214">
        <v>0.97631291341351001</v>
      </c>
      <c r="D2214">
        <v>0.97131783938639005</v>
      </c>
      <c r="E2214">
        <v>0.91201262842772901</v>
      </c>
      <c r="F2214">
        <v>0.66124721893189697</v>
      </c>
      <c r="G2214">
        <v>0.29863398011530401</v>
      </c>
      <c r="H2214">
        <v>0.153411283393384</v>
      </c>
      <c r="I2214">
        <v>0.12713107803791901</v>
      </c>
      <c r="J2214">
        <v>0.105404349412277</v>
      </c>
      <c r="K2214">
        <v>8.0328934210078307E-2</v>
      </c>
      <c r="L2214">
        <v>1218.3810866951701</v>
      </c>
      <c r="M2214">
        <v>23.803328878001398</v>
      </c>
      <c r="N2214">
        <v>51.625434995220097</v>
      </c>
      <c r="O2214">
        <v>50.828165691097603</v>
      </c>
      <c r="P2214">
        <v>-0.10632790416882899</v>
      </c>
      <c r="Q2214">
        <v>9.1830529293356597E-2</v>
      </c>
      <c r="R2214">
        <v>0.99887989545751599</v>
      </c>
      <c r="S2214" t="s">
        <v>7797</v>
      </c>
      <c r="T2214" t="s">
        <v>11164</v>
      </c>
      <c r="U2214" t="s">
        <v>11164</v>
      </c>
      <c r="V2214" t="s">
        <v>11164</v>
      </c>
      <c r="W2214" t="s">
        <v>13342</v>
      </c>
      <c r="X2214">
        <v>22</v>
      </c>
      <c r="Y2214" t="s">
        <v>18855</v>
      </c>
      <c r="Z2214" t="s">
        <v>24364</v>
      </c>
      <c r="AA2214">
        <v>0.53002822173074837</v>
      </c>
      <c r="AB2214" t="str">
        <f>HYPERLINK("Melting_Curves/meltCurve_P39748_FEN1.pdf", "Melting_Curves/meltCurve_P39748_FEN1.pdf")</f>
        <v>Melting_Curves/meltCurve_P39748_FEN1.pdf</v>
      </c>
    </row>
    <row r="2215" spans="1:28" x14ac:dyDescent="0.25">
      <c r="A2215" t="s">
        <v>2219</v>
      </c>
      <c r="B2215">
        <v>0.99796759195183404</v>
      </c>
      <c r="C2215">
        <v>1.01288736265409</v>
      </c>
      <c r="D2215">
        <v>0.97874162333770798</v>
      </c>
      <c r="E2215">
        <v>0.88250575258014896</v>
      </c>
      <c r="F2215">
        <v>0.80957073798243895</v>
      </c>
      <c r="G2215">
        <v>0.63204955903004501</v>
      </c>
      <c r="H2215">
        <v>0.27968539516118701</v>
      </c>
      <c r="I2215">
        <v>0.218450447349153</v>
      </c>
      <c r="J2215">
        <v>0.18176518183403301</v>
      </c>
      <c r="K2215">
        <v>0.159607462856696</v>
      </c>
      <c r="L2215">
        <v>950.38876051831699</v>
      </c>
      <c r="M2215">
        <v>17.623637871498101</v>
      </c>
      <c r="N2215">
        <v>54.773897351444496</v>
      </c>
      <c r="O2215">
        <v>53.246978723580902</v>
      </c>
      <c r="P2215">
        <v>-7.2880042315370597E-2</v>
      </c>
      <c r="Q2215">
        <v>0.119266072582079</v>
      </c>
      <c r="R2215">
        <v>0.98909170065263596</v>
      </c>
      <c r="S2215" t="s">
        <v>7798</v>
      </c>
      <c r="T2215" t="s">
        <v>11164</v>
      </c>
      <c r="U2215" t="s">
        <v>11164</v>
      </c>
      <c r="V2215" t="s">
        <v>11164</v>
      </c>
      <c r="W2215" t="s">
        <v>13343</v>
      </c>
      <c r="X2215">
        <v>7</v>
      </c>
      <c r="Y2215" t="s">
        <v>18856</v>
      </c>
      <c r="Z2215" t="s">
        <v>24365</v>
      </c>
      <c r="AA2215">
        <v>0.62862696057409295</v>
      </c>
      <c r="AB2215" t="str">
        <f>HYPERLINK("Melting_Curves/meltCurve_P39880_3_CUX1.pdf", "Melting_Curves/meltCurve_P39880_3_CUX1.pdf")</f>
        <v>Melting_Curves/meltCurve_P39880_3_CUX1.pdf</v>
      </c>
    </row>
    <row r="2216" spans="1:28" x14ac:dyDescent="0.25">
      <c r="A2216" t="s">
        <v>2220</v>
      </c>
      <c r="B2216">
        <v>0.99796759195183404</v>
      </c>
      <c r="C2216">
        <v>0.86957031411316599</v>
      </c>
      <c r="D2216">
        <v>0.96134221731763203</v>
      </c>
      <c r="E2216">
        <v>0.90712950162357797</v>
      </c>
      <c r="F2216">
        <v>0.72638202049493605</v>
      </c>
      <c r="G2216">
        <v>0.36286149539478202</v>
      </c>
      <c r="H2216">
        <v>0.22541702253938201</v>
      </c>
      <c r="I2216">
        <v>0.16029169780215999</v>
      </c>
      <c r="J2216">
        <v>0.124104267484132</v>
      </c>
      <c r="K2216">
        <v>0.114464225668927</v>
      </c>
      <c r="L2216">
        <v>1082.23317182201</v>
      </c>
      <c r="M2216">
        <v>20.896418354719099</v>
      </c>
      <c r="N2216">
        <v>52.4287751731801</v>
      </c>
      <c r="O2216">
        <v>51.323064185566601</v>
      </c>
      <c r="P2216">
        <v>-9.0357090579937696E-2</v>
      </c>
      <c r="Q2216">
        <v>0.11233100134391399</v>
      </c>
      <c r="R2216">
        <v>0.98502225541698696</v>
      </c>
      <c r="S2216" t="s">
        <v>7799</v>
      </c>
      <c r="T2216" t="s">
        <v>11164</v>
      </c>
      <c r="U2216" t="s">
        <v>11164</v>
      </c>
      <c r="V2216" t="s">
        <v>11164</v>
      </c>
      <c r="W2216" t="s">
        <v>13344</v>
      </c>
      <c r="X2216">
        <v>3</v>
      </c>
      <c r="Y2216" t="s">
        <v>18857</v>
      </c>
      <c r="Z2216" t="s">
        <v>24366</v>
      </c>
      <c r="AA2216">
        <v>0.56068252996963153</v>
      </c>
      <c r="AB2216" t="str">
        <f>HYPERLINK("Melting_Curves/meltCurve_P40121_2_CAPG.pdf", "Melting_Curves/meltCurve_P40121_2_CAPG.pdf")</f>
        <v>Melting_Curves/meltCurve_P40121_2_CAPG.pdf</v>
      </c>
    </row>
    <row r="2217" spans="1:28" x14ac:dyDescent="0.25">
      <c r="A2217" t="s">
        <v>2221</v>
      </c>
      <c r="B2217">
        <v>0.99796759195183404</v>
      </c>
      <c r="C2217">
        <v>1.1300440064235999</v>
      </c>
      <c r="D2217">
        <v>1.25556579397054</v>
      </c>
      <c r="E2217">
        <v>1.1452047009466799</v>
      </c>
      <c r="F2217">
        <v>1.008782259992</v>
      </c>
      <c r="G2217">
        <v>0.923281242393586</v>
      </c>
      <c r="H2217">
        <v>0.89167188076287596</v>
      </c>
      <c r="I2217">
        <v>0.68997925676433602</v>
      </c>
      <c r="J2217">
        <v>0.62048862042727104</v>
      </c>
      <c r="K2217">
        <v>0.51845831503288697</v>
      </c>
      <c r="L2217">
        <v>1226.4594729775199</v>
      </c>
      <c r="M2217">
        <v>20.236870717313298</v>
      </c>
      <c r="O2217">
        <v>60.022690600700301</v>
      </c>
      <c r="P2217">
        <v>-4.5385898759323799E-2</v>
      </c>
      <c r="Q2217">
        <v>0.461557108697431</v>
      </c>
      <c r="R2217">
        <v>0.796037507933399</v>
      </c>
      <c r="S2217" t="s">
        <v>7800</v>
      </c>
      <c r="T2217" t="s">
        <v>11164</v>
      </c>
      <c r="U2217" t="s">
        <v>11164</v>
      </c>
      <c r="V2217" t="s">
        <v>11164</v>
      </c>
      <c r="W2217" t="s">
        <v>13345</v>
      </c>
      <c r="X2217">
        <v>2</v>
      </c>
      <c r="Y2217" t="s">
        <v>18858</v>
      </c>
      <c r="Z2217" t="s">
        <v>24367</v>
      </c>
      <c r="AA2217">
        <v>0.88416888618448108</v>
      </c>
      <c r="AB2217" t="str">
        <f>HYPERLINK("Melting_Curves/meltCurve_P40189_3_IL6ST.pdf", "Melting_Curves/meltCurve_P40189_3_IL6ST.pdf")</f>
        <v>Melting_Curves/meltCurve_P40189_3_IL6ST.pdf</v>
      </c>
    </row>
    <row r="2218" spans="1:28" x14ac:dyDescent="0.25">
      <c r="A2218" t="s">
        <v>2222</v>
      </c>
      <c r="B2218">
        <v>0.99796759195183404</v>
      </c>
      <c r="C2218">
        <v>1.03423411220483</v>
      </c>
      <c r="D2218">
        <v>1.0218856055596199</v>
      </c>
      <c r="E2218">
        <v>0.97618904807793605</v>
      </c>
      <c r="F2218">
        <v>0.83420217587006196</v>
      </c>
      <c r="G2218">
        <v>0.60050114338759997</v>
      </c>
      <c r="H2218">
        <v>0.354597902414517</v>
      </c>
      <c r="I2218">
        <v>0.23381870776524</v>
      </c>
      <c r="J2218">
        <v>0.20627744263730899</v>
      </c>
      <c r="K2218">
        <v>0.15975603576184599</v>
      </c>
      <c r="L2218">
        <v>1060.6747981947301</v>
      </c>
      <c r="M2218">
        <v>19.628309007977101</v>
      </c>
      <c r="N2218">
        <v>55.069527495855702</v>
      </c>
      <c r="O2218">
        <v>53.486490886705802</v>
      </c>
      <c r="P2218">
        <v>-7.7634492592802501E-2</v>
      </c>
      <c r="Q2218">
        <v>0.153823994445067</v>
      </c>
      <c r="R2218">
        <v>0.99785412569367704</v>
      </c>
      <c r="S2218" t="s">
        <v>7801</v>
      </c>
      <c r="T2218" t="s">
        <v>11164</v>
      </c>
      <c r="U2218" t="s">
        <v>11164</v>
      </c>
      <c r="V2218" t="s">
        <v>11164</v>
      </c>
      <c r="W2218" t="s">
        <v>13346</v>
      </c>
      <c r="X2218">
        <v>28</v>
      </c>
      <c r="Y2218" t="s">
        <v>18859</v>
      </c>
      <c r="Z2218" t="s">
        <v>24368</v>
      </c>
      <c r="AA2218">
        <v>0.64485394188648781</v>
      </c>
      <c r="AB2218" t="str">
        <f>HYPERLINK("Melting_Curves/meltCurve_P40222_TXLNA.pdf", "Melting_Curves/meltCurve_P40222_TXLNA.pdf")</f>
        <v>Melting_Curves/meltCurve_P40222_TXLNA.pdf</v>
      </c>
    </row>
    <row r="2219" spans="1:28" x14ac:dyDescent="0.25">
      <c r="A2219" t="s">
        <v>2223</v>
      </c>
      <c r="B2219">
        <v>0.99796759195183404</v>
      </c>
      <c r="C2219">
        <v>0.92615172266110501</v>
      </c>
      <c r="D2219">
        <v>0.84384539154486404</v>
      </c>
      <c r="E2219">
        <v>0.74038488660966695</v>
      </c>
      <c r="F2219">
        <v>0.58425964554185394</v>
      </c>
      <c r="G2219">
        <v>0.62576595510908095</v>
      </c>
      <c r="H2219">
        <v>0.68069098009568396</v>
      </c>
      <c r="I2219">
        <v>0.74566736729540894</v>
      </c>
      <c r="J2219">
        <v>0.67738444115597796</v>
      </c>
      <c r="K2219">
        <v>0.177143433190491</v>
      </c>
      <c r="L2219">
        <v>223.32098241512401</v>
      </c>
      <c r="M2219">
        <v>3.4668204794956998</v>
      </c>
      <c r="N2219">
        <v>64.416656064460398</v>
      </c>
      <c r="O2219">
        <v>50.321453706040003</v>
      </c>
      <c r="P2219">
        <v>-1.7569840809471798E-2</v>
      </c>
      <c r="Q2219">
        <v>0</v>
      </c>
      <c r="R2219">
        <v>0.58721632518769795</v>
      </c>
      <c r="S2219" t="s">
        <v>7802</v>
      </c>
      <c r="T2219" t="s">
        <v>11164</v>
      </c>
      <c r="U2219" t="s">
        <v>11164</v>
      </c>
      <c r="V2219" t="s">
        <v>11164</v>
      </c>
      <c r="W2219" t="s">
        <v>13347</v>
      </c>
      <c r="X2219">
        <v>25</v>
      </c>
      <c r="Y2219" t="s">
        <v>18860</v>
      </c>
      <c r="Z2219" t="s">
        <v>24369</v>
      </c>
      <c r="AA2219">
        <v>0.69772165711336287</v>
      </c>
      <c r="AB2219" t="str">
        <f>HYPERLINK("Melting_Curves/meltCurve_P40227_CCT6A.pdf", "Melting_Curves/meltCurve_P40227_CCT6A.pdf")</f>
        <v>Melting_Curves/meltCurve_P40227_CCT6A.pdf</v>
      </c>
    </row>
    <row r="2220" spans="1:28" x14ac:dyDescent="0.25">
      <c r="A2220" t="s">
        <v>2224</v>
      </c>
      <c r="B2220">
        <v>0.99796759195183404</v>
      </c>
      <c r="C2220">
        <v>0.93540357064175395</v>
      </c>
      <c r="D2220">
        <v>0.998094812835017</v>
      </c>
      <c r="E2220">
        <v>0.92305989168114999</v>
      </c>
      <c r="F2220">
        <v>0.61786710239424203</v>
      </c>
      <c r="G2220">
        <v>0.228159933098082</v>
      </c>
      <c r="H2220">
        <v>0.159988821546064</v>
      </c>
      <c r="I2220">
        <v>0.146065595229462</v>
      </c>
      <c r="J2220">
        <v>0.130561577986363</v>
      </c>
      <c r="K2220">
        <v>0.121243738494868</v>
      </c>
      <c r="L2220">
        <v>1564.8426079911001</v>
      </c>
      <c r="M2220">
        <v>30.978235330400999</v>
      </c>
      <c r="N2220">
        <v>51.010994481128897</v>
      </c>
      <c r="O2220">
        <v>50.305158201908903</v>
      </c>
      <c r="P2220">
        <v>-0.13390672229373801</v>
      </c>
      <c r="Q2220">
        <v>0.13020737564828999</v>
      </c>
      <c r="R2220">
        <v>0.99651123337779401</v>
      </c>
      <c r="S2220" t="s">
        <v>7803</v>
      </c>
      <c r="T2220" t="s">
        <v>11164</v>
      </c>
      <c r="U2220" t="s">
        <v>11164</v>
      </c>
      <c r="V2220" t="s">
        <v>11164</v>
      </c>
      <c r="W2220" t="s">
        <v>13348</v>
      </c>
      <c r="X2220">
        <v>4</v>
      </c>
      <c r="Y2220" t="s">
        <v>18861</v>
      </c>
      <c r="Z2220" t="s">
        <v>24370</v>
      </c>
      <c r="AA2220">
        <v>0.52707865054245207</v>
      </c>
      <c r="AB2220" t="str">
        <f>HYPERLINK("Melting_Curves/meltCurve_P40337_3_VHL.pdf", "Melting_Curves/meltCurve_P40337_3_VHL.pdf")</f>
        <v>Melting_Curves/meltCurve_P40337_3_VHL.pdf</v>
      </c>
    </row>
    <row r="2221" spans="1:28" x14ac:dyDescent="0.25">
      <c r="A2221" t="s">
        <v>2225</v>
      </c>
      <c r="B2221">
        <v>0.99796759195183404</v>
      </c>
      <c r="C2221">
        <v>0.99238747292635299</v>
      </c>
      <c r="D2221">
        <v>1.0001126016401201</v>
      </c>
      <c r="E2221">
        <v>0.94444395093963396</v>
      </c>
      <c r="F2221">
        <v>0.67183041833408996</v>
      </c>
      <c r="G2221">
        <v>0.21830988071955501</v>
      </c>
      <c r="H2221">
        <v>0.15300721250761801</v>
      </c>
      <c r="I2221">
        <v>0.108181489480809</v>
      </c>
      <c r="J2221">
        <v>9.2426661960686898E-2</v>
      </c>
      <c r="K2221">
        <v>5.5038230960684303E-2</v>
      </c>
      <c r="L2221">
        <v>1625.2082653273201</v>
      </c>
      <c r="M2221">
        <v>31.847726912250799</v>
      </c>
      <c r="N2221">
        <v>51.351785446634601</v>
      </c>
      <c r="O2221">
        <v>50.830656322938403</v>
      </c>
      <c r="P2221">
        <v>-0.14249145997652199</v>
      </c>
      <c r="Q2221">
        <v>9.0309110928380995E-2</v>
      </c>
      <c r="R2221">
        <v>0.99789175009867204</v>
      </c>
      <c r="S2221" t="s">
        <v>7804</v>
      </c>
      <c r="T2221" t="s">
        <v>11164</v>
      </c>
      <c r="U2221" t="s">
        <v>11164</v>
      </c>
      <c r="V2221" t="s">
        <v>11164</v>
      </c>
      <c r="W2221" t="s">
        <v>13349</v>
      </c>
      <c r="X2221">
        <v>10</v>
      </c>
      <c r="Y2221" t="s">
        <v>18862</v>
      </c>
      <c r="Z2221" t="s">
        <v>24371</v>
      </c>
      <c r="AA2221">
        <v>0.52080261719813847</v>
      </c>
      <c r="AB2221" t="str">
        <f>HYPERLINK("Melting_Curves/meltCurve_P40763_STAT3.pdf", "Melting_Curves/meltCurve_P40763_STAT3.pdf")</f>
        <v>Melting_Curves/meltCurve_P40763_STAT3.pdf</v>
      </c>
    </row>
    <row r="2222" spans="1:28" x14ac:dyDescent="0.25">
      <c r="A2222" t="s">
        <v>2226</v>
      </c>
      <c r="B2222">
        <v>0.99796759195183404</v>
      </c>
      <c r="C2222">
        <v>1.0007207438147701</v>
      </c>
      <c r="D2222">
        <v>0.93422138259462995</v>
      </c>
      <c r="E2222">
        <v>0.805825388220475</v>
      </c>
      <c r="F2222">
        <v>0.78587882570441403</v>
      </c>
      <c r="G2222">
        <v>0.320867194559738</v>
      </c>
      <c r="H2222">
        <v>0.25338549569590901</v>
      </c>
      <c r="I2222">
        <v>0.179120445066596</v>
      </c>
      <c r="J2222">
        <v>0.12778361895625101</v>
      </c>
      <c r="K2222">
        <v>9.7185272855765295E-2</v>
      </c>
      <c r="L2222">
        <v>882.65949110300699</v>
      </c>
      <c r="M2222">
        <v>17.0147953643703</v>
      </c>
      <c r="N2222">
        <v>52.484674334327003</v>
      </c>
      <c r="O2222">
        <v>51.175318990461598</v>
      </c>
      <c r="P2222">
        <v>-7.5682444669561103E-2</v>
      </c>
      <c r="Q2222">
        <v>8.95371599831533E-2</v>
      </c>
      <c r="R2222">
        <v>0.977540980309903</v>
      </c>
      <c r="S2222" t="s">
        <v>7805</v>
      </c>
      <c r="T2222" t="s">
        <v>11164</v>
      </c>
      <c r="U2222" t="s">
        <v>11164</v>
      </c>
      <c r="V2222" t="s">
        <v>11164</v>
      </c>
      <c r="W2222" t="s">
        <v>13350</v>
      </c>
      <c r="X2222">
        <v>4</v>
      </c>
      <c r="Y2222" t="s">
        <v>18863</v>
      </c>
      <c r="Z2222" t="s">
        <v>24372</v>
      </c>
      <c r="AA2222">
        <v>0.55595970804935435</v>
      </c>
      <c r="AB2222" t="str">
        <f>HYPERLINK("Melting_Curves/meltCurve_P40818_USP8.pdf", "Melting_Curves/meltCurve_P40818_USP8.pdf")</f>
        <v>Melting_Curves/meltCurve_P40818_USP8.pdf</v>
      </c>
    </row>
    <row r="2223" spans="1:28" x14ac:dyDescent="0.25">
      <c r="A2223" t="s">
        <v>2227</v>
      </c>
      <c r="B2223">
        <v>0.99796759195183404</v>
      </c>
      <c r="C2223">
        <v>1.0124664150633</v>
      </c>
      <c r="D2223">
        <v>0.98483451703146196</v>
      </c>
      <c r="E2223">
        <v>0.94166509757398398</v>
      </c>
      <c r="F2223">
        <v>0.83133483272480302</v>
      </c>
      <c r="G2223">
        <v>0.76487564388912399</v>
      </c>
      <c r="H2223">
        <v>0.70563866737944303</v>
      </c>
      <c r="I2223">
        <v>0.55129564453589497</v>
      </c>
      <c r="J2223">
        <v>0.129596221476241</v>
      </c>
      <c r="K2223">
        <v>5.63892388317681E-2</v>
      </c>
      <c r="L2223">
        <v>960.10776072833596</v>
      </c>
      <c r="M2223">
        <v>16.117977374013201</v>
      </c>
      <c r="N2223">
        <v>59.567509427215498</v>
      </c>
      <c r="O2223">
        <v>58.673203967993999</v>
      </c>
      <c r="P2223">
        <v>-6.86821434745222E-2</v>
      </c>
      <c r="Q2223">
        <v>0</v>
      </c>
      <c r="R2223">
        <v>0.93773121365079204</v>
      </c>
      <c r="S2223" t="s">
        <v>7806</v>
      </c>
      <c r="T2223" t="s">
        <v>11164</v>
      </c>
      <c r="U2223" t="s">
        <v>11164</v>
      </c>
      <c r="V2223" t="s">
        <v>11164</v>
      </c>
      <c r="W2223" t="s">
        <v>13351</v>
      </c>
      <c r="X2223">
        <v>23</v>
      </c>
      <c r="Y2223" t="s">
        <v>18864</v>
      </c>
      <c r="Z2223" t="s">
        <v>24373</v>
      </c>
      <c r="AA2223">
        <v>0.7502465926172025</v>
      </c>
      <c r="AB2223" t="str">
        <f>HYPERLINK("Melting_Curves/meltCurve_P40925_MDH1.pdf", "Melting_Curves/meltCurve_P40925_MDH1.pdf")</f>
        <v>Melting_Curves/meltCurve_P40925_MDH1.pdf</v>
      </c>
    </row>
    <row r="2224" spans="1:28" x14ac:dyDescent="0.25">
      <c r="A2224" t="s">
        <v>2228</v>
      </c>
      <c r="B2224">
        <v>0.99796759195183404</v>
      </c>
      <c r="C2224">
        <v>0.93281269010305101</v>
      </c>
      <c r="D2224">
        <v>0.95998890419206295</v>
      </c>
      <c r="E2224">
        <v>0.91035189638617797</v>
      </c>
      <c r="F2224">
        <v>0.76454613576752295</v>
      </c>
      <c r="G2224">
        <v>0.62446740629920905</v>
      </c>
      <c r="H2224">
        <v>0.58404666507805902</v>
      </c>
      <c r="I2224">
        <v>0.46305528004841401</v>
      </c>
      <c r="J2224">
        <v>0.24212803825867699</v>
      </c>
      <c r="K2224">
        <v>5.60987735772671E-2</v>
      </c>
      <c r="L2224">
        <v>578.894210990548</v>
      </c>
      <c r="M2224">
        <v>10.064567328087</v>
      </c>
      <c r="N2224">
        <v>57.518042481560897</v>
      </c>
      <c r="O2224">
        <v>55.385742844248398</v>
      </c>
      <c r="P2224">
        <v>-4.5450972701780799E-2</v>
      </c>
      <c r="Q2224">
        <v>0</v>
      </c>
      <c r="R2224">
        <v>0.95355042408398205</v>
      </c>
      <c r="S2224" t="s">
        <v>7807</v>
      </c>
      <c r="T2224" t="s">
        <v>11164</v>
      </c>
      <c r="U2224" t="s">
        <v>11164</v>
      </c>
      <c r="V2224" t="s">
        <v>11164</v>
      </c>
      <c r="W2224" t="s">
        <v>13352</v>
      </c>
      <c r="X2224">
        <v>34</v>
      </c>
      <c r="Y2224" t="s">
        <v>18865</v>
      </c>
      <c r="Z2224" t="s">
        <v>24374</v>
      </c>
      <c r="AA2224">
        <v>0.67946846621176826</v>
      </c>
      <c r="AB2224" t="str">
        <f>HYPERLINK("Melting_Curves/meltCurve_P40926_MDH2.pdf", "Melting_Curves/meltCurve_P40926_MDH2.pdf")</f>
        <v>Melting_Curves/meltCurve_P40926_MDH2.pdf</v>
      </c>
    </row>
    <row r="2225" spans="1:28" x14ac:dyDescent="0.25">
      <c r="A2225" t="s">
        <v>2229</v>
      </c>
      <c r="B2225">
        <v>0.99796759195183404</v>
      </c>
      <c r="C2225">
        <v>1.2762958119836301</v>
      </c>
      <c r="D2225">
        <v>1.14412394522981</v>
      </c>
      <c r="E2225">
        <v>1.05355626810521</v>
      </c>
      <c r="F2225">
        <v>1.086991693843</v>
      </c>
      <c r="G2225">
        <v>0.62340945301334405</v>
      </c>
      <c r="H2225">
        <v>0.14985320874484001</v>
      </c>
      <c r="I2225">
        <v>2.9904116461172602E-2</v>
      </c>
      <c r="J2225">
        <v>0.10246676629408399</v>
      </c>
      <c r="K2225">
        <v>3.8351249318835302E-2</v>
      </c>
      <c r="L2225">
        <v>2874.2848350254699</v>
      </c>
      <c r="M2225">
        <v>52.976762411813702</v>
      </c>
      <c r="N2225">
        <v>54.400776430131501</v>
      </c>
      <c r="O2225">
        <v>54.178433732073003</v>
      </c>
      <c r="P2225">
        <v>-0.22833886097247799</v>
      </c>
      <c r="Q2225">
        <v>6.5927564311930101E-2</v>
      </c>
      <c r="R2225">
        <v>0.95252001006190801</v>
      </c>
      <c r="S2225" t="s">
        <v>7808</v>
      </c>
      <c r="T2225" t="s">
        <v>11164</v>
      </c>
      <c r="U2225" t="s">
        <v>11164</v>
      </c>
      <c r="V2225" t="s">
        <v>11164</v>
      </c>
      <c r="W2225" t="s">
        <v>13353</v>
      </c>
      <c r="X2225">
        <v>4</v>
      </c>
      <c r="Y2225" t="s">
        <v>18866</v>
      </c>
      <c r="Z2225" t="s">
        <v>24375</v>
      </c>
      <c r="AA2225">
        <v>0.60518079596176355</v>
      </c>
      <c r="AB2225" t="str">
        <f>HYPERLINK("Melting_Curves/meltCurve_P40937_RFC5.pdf", "Melting_Curves/meltCurve_P40937_RFC5.pdf")</f>
        <v>Melting_Curves/meltCurve_P40937_RFC5.pdf</v>
      </c>
    </row>
    <row r="2226" spans="1:28" x14ac:dyDescent="0.25">
      <c r="A2226" t="s">
        <v>2230</v>
      </c>
      <c r="B2226">
        <v>0.99796759195183404</v>
      </c>
      <c r="C2226">
        <v>1.10058262144626</v>
      </c>
      <c r="D2226">
        <v>1.1039922607200301</v>
      </c>
      <c r="E2226">
        <v>1.17382739054283</v>
      </c>
      <c r="F2226">
        <v>1.35457262225791</v>
      </c>
      <c r="G2226">
        <v>0.71497147885673795</v>
      </c>
      <c r="H2226">
        <v>0.47867225826245602</v>
      </c>
      <c r="I2226">
        <v>0.358097231799197</v>
      </c>
      <c r="J2226">
        <v>0.217425235684096</v>
      </c>
      <c r="K2226">
        <v>0.12909384194033</v>
      </c>
      <c r="L2226">
        <v>1673.38264726284</v>
      </c>
      <c r="M2226">
        <v>29.8120918707775</v>
      </c>
      <c r="N2226">
        <v>57.1000246520614</v>
      </c>
      <c r="O2226">
        <v>55.880275066814498</v>
      </c>
      <c r="P2226">
        <v>-0.106897052268884</v>
      </c>
      <c r="Q2226">
        <v>0.19852724762756199</v>
      </c>
      <c r="R2226">
        <v>0.87368990938412805</v>
      </c>
      <c r="S2226" t="s">
        <v>7809</v>
      </c>
      <c r="T2226" t="s">
        <v>11164</v>
      </c>
      <c r="U2226" t="s">
        <v>11164</v>
      </c>
      <c r="V2226" t="s">
        <v>11164</v>
      </c>
      <c r="W2226" t="s">
        <v>13354</v>
      </c>
      <c r="X2226">
        <v>5</v>
      </c>
      <c r="Y2226" t="s">
        <v>18867</v>
      </c>
      <c r="Z2226" t="s">
        <v>24376</v>
      </c>
      <c r="AA2226">
        <v>0.71464837694082217</v>
      </c>
      <c r="AB2226" t="str">
        <f>HYPERLINK("Melting_Curves/meltCurve_P40938_2_RFC3.pdf", "Melting_Curves/meltCurve_P40938_2_RFC3.pdf")</f>
        <v>Melting_Curves/meltCurve_P40938_2_RFC3.pdf</v>
      </c>
    </row>
    <row r="2227" spans="1:28" x14ac:dyDescent="0.25">
      <c r="A2227" t="s">
        <v>2231</v>
      </c>
      <c r="B2227">
        <v>0.99796759195183404</v>
      </c>
      <c r="C2227">
        <v>1.0359898115020201</v>
      </c>
      <c r="D2227">
        <v>0.93912967502372302</v>
      </c>
      <c r="E2227">
        <v>0.878449552559041</v>
      </c>
      <c r="F2227">
        <v>0.79630109887299705</v>
      </c>
      <c r="G2227">
        <v>0.92689719231673595</v>
      </c>
      <c r="H2227">
        <v>0.19185850197486401</v>
      </c>
      <c r="I2227">
        <v>0.18423210271613999</v>
      </c>
      <c r="J2227">
        <v>0.13528318952191501</v>
      </c>
      <c r="K2227">
        <v>0.109095948256187</v>
      </c>
      <c r="L2227">
        <v>4363.1614971546196</v>
      </c>
      <c r="M2227">
        <v>78.753929944987405</v>
      </c>
      <c r="N2227">
        <v>55.638492270649003</v>
      </c>
      <c r="O2227">
        <v>55.366768178429403</v>
      </c>
      <c r="P2227">
        <v>-0.30510350263137698</v>
      </c>
      <c r="Q2227">
        <v>0.142006373133828</v>
      </c>
      <c r="R2227">
        <v>0.95669987363017495</v>
      </c>
      <c r="S2227" t="s">
        <v>7810</v>
      </c>
      <c r="T2227" t="s">
        <v>11164</v>
      </c>
      <c r="U2227" t="s">
        <v>11164</v>
      </c>
      <c r="V2227" t="s">
        <v>11164</v>
      </c>
      <c r="W2227" t="s">
        <v>13355</v>
      </c>
      <c r="X2227">
        <v>14</v>
      </c>
      <c r="Y2227" t="s">
        <v>18868</v>
      </c>
      <c r="Z2227" t="s">
        <v>24377</v>
      </c>
      <c r="AA2227">
        <v>0.66915515813004178</v>
      </c>
      <c r="AB2227" t="str">
        <f>HYPERLINK("Melting_Curves/meltCurve_P40939_HADHA.pdf", "Melting_Curves/meltCurve_P40939_HADHA.pdf")</f>
        <v>Melting_Curves/meltCurve_P40939_HADHA.pdf</v>
      </c>
    </row>
    <row r="2228" spans="1:28" x14ac:dyDescent="0.25">
      <c r="A2228" t="s">
        <v>2232</v>
      </c>
      <c r="B2228">
        <v>0.99796759195183404</v>
      </c>
      <c r="C2228">
        <v>1.0239591497623699</v>
      </c>
      <c r="D2228">
        <v>1.01461501330758</v>
      </c>
      <c r="E2228">
        <v>0.91328753383484096</v>
      </c>
      <c r="F2228">
        <v>0.71172021190076795</v>
      </c>
      <c r="G2228">
        <v>0.55644250333177703</v>
      </c>
      <c r="H2228">
        <v>0.392574257812567</v>
      </c>
      <c r="I2228">
        <v>0.186414042349061</v>
      </c>
      <c r="J2228">
        <v>0.105915767638481</v>
      </c>
      <c r="K2228">
        <v>7.7819700810698098E-2</v>
      </c>
      <c r="L2228">
        <v>713.02627143057896</v>
      </c>
      <c r="M2228">
        <v>13.0535073299815</v>
      </c>
      <c r="N2228">
        <v>54.623347877171199</v>
      </c>
      <c r="O2228">
        <v>53.389076721469102</v>
      </c>
      <c r="P2228">
        <v>-6.1135056414942997E-2</v>
      </c>
      <c r="Q2228">
        <v>0</v>
      </c>
      <c r="R2228">
        <v>0.99401443927592203</v>
      </c>
      <c r="S2228" t="s">
        <v>7811</v>
      </c>
      <c r="T2228" t="s">
        <v>11164</v>
      </c>
      <c r="U2228" t="s">
        <v>11164</v>
      </c>
      <c r="V2228" t="s">
        <v>11164</v>
      </c>
      <c r="W2228" t="s">
        <v>13356</v>
      </c>
      <c r="X2228">
        <v>24</v>
      </c>
      <c r="Y2228" t="s">
        <v>18869</v>
      </c>
      <c r="Z2228" t="s">
        <v>24378</v>
      </c>
      <c r="AA2228">
        <v>0.60310838170102055</v>
      </c>
      <c r="AB2228" t="str">
        <f>HYPERLINK("Melting_Curves/meltCurve_P41091_EIF2S3.pdf", "Melting_Curves/meltCurve_P41091_EIF2S3.pdf")</f>
        <v>Melting_Curves/meltCurve_P41091_EIF2S3.pdf</v>
      </c>
    </row>
    <row r="2229" spans="1:28" x14ac:dyDescent="0.25">
      <c r="A2229" t="s">
        <v>2233</v>
      </c>
      <c r="B2229">
        <v>0.99796759195183404</v>
      </c>
      <c r="C2229">
        <v>0.99069667800959405</v>
      </c>
      <c r="D2229">
        <v>0.947564313407249</v>
      </c>
      <c r="E2229">
        <v>0.89545812175737904</v>
      </c>
      <c r="F2229">
        <v>0.82315046172026096</v>
      </c>
      <c r="G2229">
        <v>0.60138069073945699</v>
      </c>
      <c r="H2229">
        <v>0.645230701261574</v>
      </c>
      <c r="I2229">
        <v>0.69718714984033603</v>
      </c>
      <c r="J2229">
        <v>0.92430437454959202</v>
      </c>
      <c r="K2229">
        <v>0.91910603539597802</v>
      </c>
      <c r="L2229">
        <v>1457.5753758506701</v>
      </c>
      <c r="M2229">
        <v>31.185062671728101</v>
      </c>
      <c r="O2229">
        <v>46.5486008762796</v>
      </c>
      <c r="P2229">
        <v>-3.95884909564308E-2</v>
      </c>
      <c r="Q2229">
        <v>0.76363317391499297</v>
      </c>
      <c r="R2229">
        <v>0.481991592739904</v>
      </c>
      <c r="S2229" t="s">
        <v>7812</v>
      </c>
      <c r="T2229" t="s">
        <v>11164</v>
      </c>
      <c r="U2229" t="s">
        <v>11164</v>
      </c>
      <c r="V2229" t="s">
        <v>11164</v>
      </c>
      <c r="W2229" t="s">
        <v>13357</v>
      </c>
      <c r="X2229">
        <v>7</v>
      </c>
      <c r="Y2229" t="s">
        <v>18870</v>
      </c>
      <c r="Z2229" t="s">
        <v>24379</v>
      </c>
      <c r="AA2229">
        <v>0.84163377985686327</v>
      </c>
      <c r="AB2229" t="str">
        <f>HYPERLINK("Melting_Curves/meltCurve_P41208_CETN2.pdf", "Melting_Curves/meltCurve_P41208_CETN2.pdf")</f>
        <v>Melting_Curves/meltCurve_P41208_CETN2.pdf</v>
      </c>
    </row>
    <row r="2230" spans="1:28" x14ac:dyDescent="0.25">
      <c r="A2230" t="s">
        <v>2234</v>
      </c>
      <c r="B2230">
        <v>0.99796759195183404</v>
      </c>
      <c r="C2230">
        <v>0.95598097944261096</v>
      </c>
      <c r="D2230">
        <v>0.97095505583213604</v>
      </c>
      <c r="E2230">
        <v>0.88585096211763903</v>
      </c>
      <c r="F2230">
        <v>0.75037954220533798</v>
      </c>
      <c r="G2230">
        <v>0.86442869430487401</v>
      </c>
      <c r="H2230">
        <v>0.76319860917999804</v>
      </c>
      <c r="I2230">
        <v>0.47601262968478802</v>
      </c>
      <c r="J2230">
        <v>0.31194249979514999</v>
      </c>
      <c r="K2230">
        <v>0.280603711896315</v>
      </c>
      <c r="L2230">
        <v>617.550863161179</v>
      </c>
      <c r="M2230">
        <v>10.140170163721899</v>
      </c>
      <c r="N2230">
        <v>60.901445592927402</v>
      </c>
      <c r="O2230">
        <v>58.675226381827699</v>
      </c>
      <c r="P2230">
        <v>-4.3224565108509201E-2</v>
      </c>
      <c r="Q2230">
        <v>0</v>
      </c>
      <c r="R2230">
        <v>0.92359669240768705</v>
      </c>
      <c r="S2230" t="s">
        <v>7813</v>
      </c>
      <c r="T2230" t="s">
        <v>11164</v>
      </c>
      <c r="U2230" t="s">
        <v>11164</v>
      </c>
      <c r="V2230" t="s">
        <v>11164</v>
      </c>
      <c r="W2230" t="s">
        <v>13358</v>
      </c>
      <c r="X2230">
        <v>11</v>
      </c>
      <c r="Y2230" t="s">
        <v>18871</v>
      </c>
      <c r="Z2230" t="s">
        <v>24380</v>
      </c>
      <c r="AA2230">
        <v>0.76121699748103588</v>
      </c>
      <c r="AB2230" t="str">
        <f>HYPERLINK("Melting_Curves/meltCurve_P41219_PRPH.pdf", "Melting_Curves/meltCurve_P41219_PRPH.pdf")</f>
        <v>Melting_Curves/meltCurve_P41219_PRPH.pdf</v>
      </c>
    </row>
    <row r="2231" spans="1:28" x14ac:dyDescent="0.25">
      <c r="A2231" t="s">
        <v>2235</v>
      </c>
      <c r="B2231">
        <v>0.99796759195183404</v>
      </c>
      <c r="C2231">
        <v>1.0335963371758701</v>
      </c>
      <c r="D2231">
        <v>1.06706775672998</v>
      </c>
      <c r="E2231">
        <v>1.05897306103761</v>
      </c>
      <c r="F2231">
        <v>0.83145049614276101</v>
      </c>
      <c r="G2231">
        <v>0.52187940495852503</v>
      </c>
      <c r="H2231">
        <v>0.23053842759575399</v>
      </c>
      <c r="I2231">
        <v>0.1243254189189</v>
      </c>
      <c r="J2231">
        <v>9.0361101994963097E-2</v>
      </c>
      <c r="K2231">
        <v>7.4542154202140498E-2</v>
      </c>
      <c r="L2231">
        <v>1342.5216113535801</v>
      </c>
      <c r="M2231">
        <v>25.036414865777498</v>
      </c>
      <c r="N2231">
        <v>53.979356516266897</v>
      </c>
      <c r="O2231">
        <v>53.284165164639603</v>
      </c>
      <c r="P2231">
        <v>-0.108514534194299</v>
      </c>
      <c r="Q2231">
        <v>7.6220921996153296E-2</v>
      </c>
      <c r="R2231">
        <v>0.99244405032333005</v>
      </c>
      <c r="S2231" t="s">
        <v>7814</v>
      </c>
      <c r="T2231" t="s">
        <v>11164</v>
      </c>
      <c r="U2231" t="s">
        <v>11164</v>
      </c>
      <c r="V2231" t="s">
        <v>11164</v>
      </c>
      <c r="W2231" t="s">
        <v>13359</v>
      </c>
      <c r="X2231">
        <v>12</v>
      </c>
      <c r="Y2231" t="s">
        <v>18872</v>
      </c>
      <c r="Z2231" t="s">
        <v>24381</v>
      </c>
      <c r="AA2231">
        <v>0.59617295414338012</v>
      </c>
      <c r="AB2231" t="str">
        <f>HYPERLINK("Melting_Curves/meltCurve_P41223_BUD31.pdf", "Melting_Curves/meltCurve_P41223_BUD31.pdf")</f>
        <v>Melting_Curves/meltCurve_P41223_BUD31.pdf</v>
      </c>
    </row>
    <row r="2232" spans="1:28" x14ac:dyDescent="0.25">
      <c r="A2232" t="s">
        <v>2236</v>
      </c>
      <c r="B2232">
        <v>0.99796759195183404</v>
      </c>
      <c r="C2232">
        <v>0.99423983772699598</v>
      </c>
      <c r="D2232">
        <v>0.92262888512155905</v>
      </c>
      <c r="E2232">
        <v>0.94876591329795601</v>
      </c>
      <c r="F2232">
        <v>0.75405228092992604</v>
      </c>
      <c r="G2232">
        <v>0.78067005246613896</v>
      </c>
      <c r="H2232">
        <v>0.46570158460635003</v>
      </c>
      <c r="I2232">
        <v>0.175101248389673</v>
      </c>
      <c r="J2232">
        <v>9.2189401952542202E-2</v>
      </c>
      <c r="K2232">
        <v>7.26546852537375E-2</v>
      </c>
      <c r="L2232">
        <v>921.10565793311298</v>
      </c>
      <c r="M2232">
        <v>16.317083930057098</v>
      </c>
      <c r="N2232">
        <v>56.4503846808501</v>
      </c>
      <c r="O2232">
        <v>55.622934410808099</v>
      </c>
      <c r="P2232">
        <v>-7.3343255277563399E-2</v>
      </c>
      <c r="Q2232">
        <v>0</v>
      </c>
      <c r="R2232">
        <v>0.97322809447617797</v>
      </c>
      <c r="S2232" t="s">
        <v>7815</v>
      </c>
      <c r="T2232" t="s">
        <v>11164</v>
      </c>
      <c r="U2232" t="s">
        <v>11164</v>
      </c>
      <c r="V2232" t="s">
        <v>11164</v>
      </c>
      <c r="W2232" t="s">
        <v>13360</v>
      </c>
      <c r="X2232">
        <v>7</v>
      </c>
      <c r="Y2232" t="s">
        <v>18873</v>
      </c>
      <c r="Z2232" t="s">
        <v>24382</v>
      </c>
      <c r="AA2232">
        <v>0.6586466411083387</v>
      </c>
      <c r="AB2232" t="str">
        <f>HYPERLINK("Melting_Curves/meltCurve_P41227_2_NAA10.pdf", "Melting_Curves/meltCurve_P41227_2_NAA10.pdf")</f>
        <v>Melting_Curves/meltCurve_P41227_2_NAA10.pdf</v>
      </c>
    </row>
    <row r="2233" spans="1:28" x14ac:dyDescent="0.25">
      <c r="A2233" t="s">
        <v>2237</v>
      </c>
      <c r="B2233">
        <v>0.99796759195183404</v>
      </c>
      <c r="C2233">
        <v>1.0122091345400399</v>
      </c>
      <c r="D2233">
        <v>0.99841220997684399</v>
      </c>
      <c r="E2233">
        <v>0.78637382357667795</v>
      </c>
      <c r="F2233">
        <v>0.623895568444506</v>
      </c>
      <c r="G2233">
        <v>0.197488639276446</v>
      </c>
      <c r="H2233">
        <v>0.15263101109771099</v>
      </c>
      <c r="I2233">
        <v>0.102264224850572</v>
      </c>
      <c r="J2233">
        <v>9.2088025355224007E-2</v>
      </c>
      <c r="K2233">
        <v>7.3498267687793606E-2</v>
      </c>
      <c r="L2233">
        <v>1049.66662033845</v>
      </c>
      <c r="M2233">
        <v>20.842757457024199</v>
      </c>
      <c r="N2233">
        <v>50.734565136184301</v>
      </c>
      <c r="O2233">
        <v>49.904501520124001</v>
      </c>
      <c r="P2233">
        <v>-9.6992357705795604E-2</v>
      </c>
      <c r="Q2233">
        <v>7.1097712551411105E-2</v>
      </c>
      <c r="R2233">
        <v>0.99002713942812204</v>
      </c>
      <c r="S2233" t="s">
        <v>7816</v>
      </c>
      <c r="T2233" t="s">
        <v>11164</v>
      </c>
      <c r="U2233" t="s">
        <v>11164</v>
      </c>
      <c r="V2233" t="s">
        <v>11164</v>
      </c>
      <c r="W2233" t="s">
        <v>13361</v>
      </c>
      <c r="X2233">
        <v>12</v>
      </c>
      <c r="Y2233" t="s">
        <v>18874</v>
      </c>
      <c r="Z2233" t="s">
        <v>24383</v>
      </c>
      <c r="AA2233">
        <v>0.49617609149119679</v>
      </c>
      <c r="AB2233" t="str">
        <f>HYPERLINK("Melting_Curves/meltCurve_P41229_2_KDM5C.pdf", "Melting_Curves/meltCurve_P41229_2_KDM5C.pdf")</f>
        <v>Melting_Curves/meltCurve_P41229_2_KDM5C.pdf</v>
      </c>
    </row>
    <row r="2234" spans="1:28" x14ac:dyDescent="0.25">
      <c r="A2234" t="s">
        <v>2238</v>
      </c>
      <c r="B2234">
        <v>0.99796759195183404</v>
      </c>
      <c r="C2234">
        <v>0.97670590290106696</v>
      </c>
      <c r="D2234">
        <v>0.97084323068973299</v>
      </c>
      <c r="E2234">
        <v>0.95023206374023805</v>
      </c>
      <c r="F2234">
        <v>0.83068167638989399</v>
      </c>
      <c r="G2234">
        <v>0.57876292299397802</v>
      </c>
      <c r="H2234">
        <v>0.68075885994497298</v>
      </c>
      <c r="I2234">
        <v>0.58197409161178004</v>
      </c>
      <c r="J2234">
        <v>0.75234681046501894</v>
      </c>
      <c r="K2234">
        <v>0.68358493409565602</v>
      </c>
      <c r="L2234">
        <v>12551.713100843101</v>
      </c>
      <c r="M2234">
        <v>250</v>
      </c>
      <c r="O2234">
        <v>50.203641856432398</v>
      </c>
      <c r="P2234">
        <v>-0.42889629299809001</v>
      </c>
      <c r="Q2234">
        <v>0.65548552238190105</v>
      </c>
      <c r="R2234">
        <v>0.89595078499468395</v>
      </c>
      <c r="S2234" t="s">
        <v>7817</v>
      </c>
      <c r="T2234" t="s">
        <v>11164</v>
      </c>
      <c r="U2234" t="s">
        <v>11164</v>
      </c>
      <c r="V2234" t="s">
        <v>11164</v>
      </c>
      <c r="W2234" t="s">
        <v>13362</v>
      </c>
      <c r="X2234">
        <v>18</v>
      </c>
      <c r="Y2234" t="s">
        <v>18875</v>
      </c>
      <c r="Z2234" t="s">
        <v>24384</v>
      </c>
      <c r="AA2234">
        <v>0.80718094021671938</v>
      </c>
      <c r="AB2234" t="str">
        <f>HYPERLINK("Melting_Curves/meltCurve_P41236_PPP1R2.pdf", "Melting_Curves/meltCurve_P41236_PPP1R2.pdf")</f>
        <v>Melting_Curves/meltCurve_P41236_PPP1R2.pdf</v>
      </c>
    </row>
    <row r="2235" spans="1:28" x14ac:dyDescent="0.25">
      <c r="A2235" t="s">
        <v>2239</v>
      </c>
      <c r="B2235">
        <v>0.99796759195183404</v>
      </c>
      <c r="C2235">
        <v>0.99772212893432699</v>
      </c>
      <c r="D2235">
        <v>1.0132630143980199</v>
      </c>
      <c r="E2235">
        <v>0.95632016975491996</v>
      </c>
      <c r="F2235">
        <v>0.76051020669902702</v>
      </c>
      <c r="G2235">
        <v>0.27390583939494501</v>
      </c>
      <c r="H2235">
        <v>0.147498858478112</v>
      </c>
      <c r="I2235">
        <v>0.11297661643396401</v>
      </c>
      <c r="J2235">
        <v>9.6014201443320804E-2</v>
      </c>
      <c r="K2235">
        <v>6.2084842050886699E-2</v>
      </c>
      <c r="L2235">
        <v>1704.3549177252501</v>
      </c>
      <c r="M2235">
        <v>32.976653963002299</v>
      </c>
      <c r="N2235">
        <v>52.005057999950601</v>
      </c>
      <c r="O2235">
        <v>51.494733315269599</v>
      </c>
      <c r="P2235">
        <v>-0.14533972217099</v>
      </c>
      <c r="Q2235">
        <v>9.2182416210477805E-2</v>
      </c>
      <c r="R2235">
        <v>0.99851312053125896</v>
      </c>
      <c r="S2235" t="s">
        <v>7818</v>
      </c>
      <c r="T2235" t="s">
        <v>11164</v>
      </c>
      <c r="U2235" t="s">
        <v>11164</v>
      </c>
      <c r="V2235" t="s">
        <v>11164</v>
      </c>
      <c r="W2235" t="s">
        <v>13363</v>
      </c>
      <c r="X2235">
        <v>18</v>
      </c>
      <c r="Y2235" t="s">
        <v>18876</v>
      </c>
      <c r="Z2235" t="s">
        <v>24385</v>
      </c>
      <c r="AA2235">
        <v>0.54126651051998231</v>
      </c>
      <c r="AB2235" t="str">
        <f>HYPERLINK("Melting_Curves/meltCurve_P41240_CSK.pdf", "Melting_Curves/meltCurve_P41240_CSK.pdf")</f>
        <v>Melting_Curves/meltCurve_P41240_CSK.pdf</v>
      </c>
    </row>
    <row r="2236" spans="1:28" x14ac:dyDescent="0.25">
      <c r="A2236" t="s">
        <v>2240</v>
      </c>
      <c r="B2236">
        <v>0.99796759195183404</v>
      </c>
      <c r="C2236">
        <v>1.07098312475099</v>
      </c>
      <c r="D2236">
        <v>1.03571123895956</v>
      </c>
      <c r="E2236">
        <v>1.03937766435342</v>
      </c>
      <c r="F2236">
        <v>1.06950628675981</v>
      </c>
      <c r="G2236">
        <v>1.1925628987226</v>
      </c>
      <c r="H2236">
        <v>0.91646908563979401</v>
      </c>
      <c r="I2236">
        <v>0.85065744642019303</v>
      </c>
      <c r="J2236">
        <v>0.80588578033517999</v>
      </c>
      <c r="K2236">
        <v>0.52309930473002697</v>
      </c>
      <c r="L2236">
        <v>1409.11791008314</v>
      </c>
      <c r="M2236">
        <v>20.863938995579701</v>
      </c>
      <c r="O2236">
        <v>66.927171367739305</v>
      </c>
      <c r="P2236">
        <v>-7.7937379929112593E-2</v>
      </c>
      <c r="Q2236">
        <v>0</v>
      </c>
      <c r="R2236">
        <v>0.80866895800469296</v>
      </c>
      <c r="S2236" t="s">
        <v>7819</v>
      </c>
      <c r="T2236" t="s">
        <v>11164</v>
      </c>
      <c r="U2236" t="s">
        <v>11164</v>
      </c>
      <c r="V2236" t="s">
        <v>11164</v>
      </c>
      <c r="W2236" t="s">
        <v>13364</v>
      </c>
      <c r="X2236">
        <v>28</v>
      </c>
      <c r="Y2236" t="s">
        <v>18877</v>
      </c>
      <c r="Z2236" t="s">
        <v>24386</v>
      </c>
      <c r="AA2236">
        <v>0.94119117542763531</v>
      </c>
      <c r="AB2236" t="str">
        <f>HYPERLINK("Melting_Curves/meltCurve_P41250_GARS.pdf", "Melting_Curves/meltCurve_P41250_GARS.pdf")</f>
        <v>Melting_Curves/meltCurve_P41250_GARS.pdf</v>
      </c>
    </row>
    <row r="2237" spans="1:28" x14ac:dyDescent="0.25">
      <c r="A2237" t="s">
        <v>2241</v>
      </c>
      <c r="B2237">
        <v>0.99796759195183404</v>
      </c>
      <c r="C2237">
        <v>1.02731962576323</v>
      </c>
      <c r="D2237">
        <v>0.96268309664367602</v>
      </c>
      <c r="E2237">
        <v>1.06986783419679</v>
      </c>
      <c r="F2237">
        <v>0.88679691803250105</v>
      </c>
      <c r="G2237">
        <v>0.59940596878631502</v>
      </c>
      <c r="H2237">
        <v>0.53605011338533204</v>
      </c>
      <c r="I2237">
        <v>0.40028650179440001</v>
      </c>
      <c r="J2237">
        <v>0.48834566246304401</v>
      </c>
      <c r="K2237">
        <v>0.451981010981786</v>
      </c>
      <c r="L2237">
        <v>1785.35038547927</v>
      </c>
      <c r="M2237">
        <v>34.151132208010701</v>
      </c>
      <c r="N2237">
        <v>56.431141660239199</v>
      </c>
      <c r="O2237">
        <v>52.099648775706797</v>
      </c>
      <c r="P2237">
        <v>-8.8573369103072702E-2</v>
      </c>
      <c r="Q2237">
        <v>0.459505641741705</v>
      </c>
      <c r="R2237">
        <v>0.97559084958702103</v>
      </c>
      <c r="S2237" t="s">
        <v>7820</v>
      </c>
      <c r="T2237" t="s">
        <v>11164</v>
      </c>
      <c r="U2237" t="s">
        <v>11164</v>
      </c>
      <c r="V2237" t="s">
        <v>11164</v>
      </c>
      <c r="W2237" t="s">
        <v>13365</v>
      </c>
      <c r="X2237">
        <v>4</v>
      </c>
      <c r="Y2237" t="s">
        <v>18878</v>
      </c>
      <c r="Z2237" t="s">
        <v>24387</v>
      </c>
      <c r="AA2237">
        <v>0.73742217162463219</v>
      </c>
      <c r="AB2237" t="str">
        <f>HYPERLINK("Melting_Curves/meltCurve_P41440_SLC19A1.pdf", "Melting_Curves/meltCurve_P41440_SLC19A1.pdf")</f>
        <v>Melting_Curves/meltCurve_P41440_SLC19A1.pdf</v>
      </c>
    </row>
    <row r="2238" spans="1:28" x14ac:dyDescent="0.25">
      <c r="A2238" t="s">
        <v>2242</v>
      </c>
      <c r="B2238">
        <v>0.99796759195183404</v>
      </c>
      <c r="C2238">
        <v>1.01816437944132</v>
      </c>
      <c r="D2238">
        <v>1.0415931918297801</v>
      </c>
      <c r="E2238">
        <v>0.97100859356712099</v>
      </c>
      <c r="F2238">
        <v>0.91130710534830905</v>
      </c>
      <c r="G2238">
        <v>0.79229251495118502</v>
      </c>
      <c r="H2238">
        <v>0.80997450360583001</v>
      </c>
      <c r="I2238">
        <v>0.64892980383689103</v>
      </c>
      <c r="J2238">
        <v>0.65668043406326304</v>
      </c>
      <c r="K2238">
        <v>0.46116315458747398</v>
      </c>
      <c r="L2238">
        <v>483.69914107359102</v>
      </c>
      <c r="M2238">
        <v>7.1992994487504403</v>
      </c>
      <c r="O2238">
        <v>62.5833608788475</v>
      </c>
      <c r="P2238">
        <v>-2.8806935494898201E-2</v>
      </c>
      <c r="Q2238">
        <v>0</v>
      </c>
      <c r="R2238">
        <v>0.948040197203597</v>
      </c>
      <c r="S2238" t="s">
        <v>7821</v>
      </c>
      <c r="T2238" t="s">
        <v>11164</v>
      </c>
      <c r="U2238" t="s">
        <v>11164</v>
      </c>
      <c r="V2238" t="s">
        <v>11164</v>
      </c>
      <c r="W2238" t="s">
        <v>13366</v>
      </c>
      <c r="X2238">
        <v>10</v>
      </c>
      <c r="Y2238" t="s">
        <v>18879</v>
      </c>
      <c r="Z2238" t="s">
        <v>24388</v>
      </c>
      <c r="AA2238">
        <v>0.83771344721408236</v>
      </c>
      <c r="AB2238" t="str">
        <f>HYPERLINK("Melting_Curves/meltCurve_P41567_EIF1.pdf", "Melting_Curves/meltCurve_P41567_EIF1.pdf")</f>
        <v>Melting_Curves/meltCurve_P41567_EIF1.pdf</v>
      </c>
    </row>
    <row r="2239" spans="1:28" x14ac:dyDescent="0.25">
      <c r="A2239" t="s">
        <v>2243</v>
      </c>
      <c r="B2239">
        <v>0.99796759195183404</v>
      </c>
      <c r="C2239">
        <v>1.00557045013694</v>
      </c>
      <c r="D2239">
        <v>0.99288588635335395</v>
      </c>
      <c r="E2239">
        <v>0.94990872158620998</v>
      </c>
      <c r="F2239">
        <v>0.82976413073521604</v>
      </c>
      <c r="G2239">
        <v>0.50223570358071601</v>
      </c>
      <c r="H2239">
        <v>0.19291433423570301</v>
      </c>
      <c r="I2239">
        <v>0.16307205530059399</v>
      </c>
      <c r="J2239">
        <v>0.14681250602153101</v>
      </c>
      <c r="K2239">
        <v>8.6259959875713499E-2</v>
      </c>
      <c r="L2239">
        <v>1327.79876237233</v>
      </c>
      <c r="M2239">
        <v>24.988387452488499</v>
      </c>
      <c r="N2239">
        <v>53.655122862097599</v>
      </c>
      <c r="O2239">
        <v>52.799830404140998</v>
      </c>
      <c r="P2239">
        <v>-0.10562647722445</v>
      </c>
      <c r="Q2239">
        <v>0.107267703714924</v>
      </c>
      <c r="R2239">
        <v>0.99728172663597303</v>
      </c>
      <c r="S2239" t="s">
        <v>7822</v>
      </c>
      <c r="T2239" t="s">
        <v>11164</v>
      </c>
      <c r="U2239" t="s">
        <v>11164</v>
      </c>
      <c r="V2239" t="s">
        <v>11164</v>
      </c>
      <c r="W2239" t="s">
        <v>13367</v>
      </c>
      <c r="X2239">
        <v>7</v>
      </c>
      <c r="Y2239" t="s">
        <v>18880</v>
      </c>
      <c r="Z2239" t="s">
        <v>24389</v>
      </c>
      <c r="AA2239">
        <v>0.59534480250509603</v>
      </c>
      <c r="AB2239" t="str">
        <f>HYPERLINK("Melting_Curves/meltCurve_P41743_PRKCI.pdf", "Melting_Curves/meltCurve_P41743_PRKCI.pdf")</f>
        <v>Melting_Curves/meltCurve_P41743_PRKCI.pdf</v>
      </c>
    </row>
    <row r="2240" spans="1:28" x14ac:dyDescent="0.25">
      <c r="A2240" t="s">
        <v>2244</v>
      </c>
      <c r="B2240">
        <v>0.99796759195183404</v>
      </c>
      <c r="C2240">
        <v>0.90179374026328396</v>
      </c>
      <c r="D2240">
        <v>0.87924764475738004</v>
      </c>
      <c r="E2240">
        <v>0.761879269742467</v>
      </c>
      <c r="F2240">
        <v>0.94540315191114599</v>
      </c>
      <c r="G2240">
        <v>1.10668594064143</v>
      </c>
      <c r="H2240">
        <v>0.91765026532879801</v>
      </c>
      <c r="I2240">
        <v>1.2741888891272699</v>
      </c>
      <c r="J2240">
        <v>0.52505149498156001</v>
      </c>
      <c r="K2240">
        <v>0.24238977088032401</v>
      </c>
      <c r="L2240">
        <v>15000</v>
      </c>
      <c r="M2240">
        <v>234.52815743896701</v>
      </c>
      <c r="N2240">
        <v>64.139534745417905</v>
      </c>
      <c r="O2240">
        <v>63.953554516914103</v>
      </c>
      <c r="P2240">
        <v>-0.69459155318883703</v>
      </c>
      <c r="Q2240">
        <v>0.242366475079724</v>
      </c>
      <c r="R2240">
        <v>0.76895496415662601</v>
      </c>
      <c r="S2240" t="s">
        <v>7823</v>
      </c>
      <c r="T2240" t="s">
        <v>11164</v>
      </c>
      <c r="U2240" t="s">
        <v>11164</v>
      </c>
      <c r="V2240" t="s">
        <v>11164</v>
      </c>
      <c r="W2240" t="s">
        <v>13368</v>
      </c>
      <c r="X2240">
        <v>4</v>
      </c>
      <c r="Y2240" t="s">
        <v>18881</v>
      </c>
      <c r="Z2240" t="s">
        <v>24390</v>
      </c>
      <c r="AA2240">
        <v>0.92327759401078779</v>
      </c>
      <c r="AB2240" t="str">
        <f>HYPERLINK("Melting_Curves/meltCurve_P42025_ACTR1B.pdf", "Melting_Curves/meltCurve_P42025_ACTR1B.pdf")</f>
        <v>Melting_Curves/meltCurve_P42025_ACTR1B.pdf</v>
      </c>
    </row>
    <row r="2241" spans="1:28" x14ac:dyDescent="0.25">
      <c r="A2241" t="s">
        <v>2245</v>
      </c>
      <c r="B2241">
        <v>0.99796759195183404</v>
      </c>
      <c r="C2241">
        <v>0.78698614659864996</v>
      </c>
      <c r="D2241">
        <v>0.85118909117471298</v>
      </c>
      <c r="E2241">
        <v>0.746103568197099</v>
      </c>
      <c r="F2241">
        <v>0.58724219340686601</v>
      </c>
      <c r="G2241">
        <v>0.339431623601402</v>
      </c>
      <c r="H2241">
        <v>0.42016295567365702</v>
      </c>
      <c r="I2241">
        <v>0.57563888999968105</v>
      </c>
      <c r="J2241">
        <v>0.65761357959414202</v>
      </c>
      <c r="K2241">
        <v>0.47229880957385401</v>
      </c>
      <c r="L2241">
        <v>613.24390077248404</v>
      </c>
      <c r="M2241">
        <v>13.8047282854287</v>
      </c>
      <c r="N2241">
        <v>62.487528016859201</v>
      </c>
      <c r="O2241">
        <v>43.521696727823397</v>
      </c>
      <c r="P2241">
        <v>-4.03875002590997E-2</v>
      </c>
      <c r="Q2241">
        <v>0.49075813241669403</v>
      </c>
      <c r="R2241">
        <v>0.72976402484243297</v>
      </c>
      <c r="S2241" t="s">
        <v>7824</v>
      </c>
      <c r="T2241" t="s">
        <v>11164</v>
      </c>
      <c r="U2241" t="s">
        <v>11164</v>
      </c>
      <c r="V2241" t="s">
        <v>11164</v>
      </c>
      <c r="W2241" t="s">
        <v>13369</v>
      </c>
      <c r="X2241">
        <v>4</v>
      </c>
      <c r="Y2241" t="s">
        <v>18882</v>
      </c>
      <c r="Z2241" t="s">
        <v>24391</v>
      </c>
      <c r="AA2241">
        <v>0.63140789133294173</v>
      </c>
      <c r="AB2241" t="str">
        <f>HYPERLINK("Melting_Curves/meltCurve_P42126_2_ECI1.pdf", "Melting_Curves/meltCurve_P42126_2_ECI1.pdf")</f>
        <v>Melting_Curves/meltCurve_P42126_2_ECI1.pdf</v>
      </c>
    </row>
    <row r="2242" spans="1:28" x14ac:dyDescent="0.25">
      <c r="A2242" t="s">
        <v>2246</v>
      </c>
      <c r="B2242">
        <v>0.99796759195183404</v>
      </c>
      <c r="C2242">
        <v>0.98527905331463095</v>
      </c>
      <c r="D2242">
        <v>1.0531850863554899</v>
      </c>
      <c r="E2242">
        <v>0.915070474366245</v>
      </c>
      <c r="F2242">
        <v>0.95778666552970304</v>
      </c>
      <c r="G2242">
        <v>0.55445851167590499</v>
      </c>
      <c r="H2242">
        <v>0.49168924006890702</v>
      </c>
      <c r="I2242">
        <v>0.33401568465600201</v>
      </c>
      <c r="J2242">
        <v>0.33808184725202201</v>
      </c>
      <c r="K2242">
        <v>0.28772228905340902</v>
      </c>
      <c r="L2242">
        <v>1346.6955171950599</v>
      </c>
      <c r="M2242">
        <v>25.232620661242301</v>
      </c>
      <c r="N2242">
        <v>55.599100768283698</v>
      </c>
      <c r="O2242">
        <v>53.039373219298596</v>
      </c>
      <c r="P2242">
        <v>-8.1103184372199794E-2</v>
      </c>
      <c r="Q2242">
        <v>0.31808806254459099</v>
      </c>
      <c r="R2242">
        <v>0.97234121636245796</v>
      </c>
      <c r="S2242" t="s">
        <v>7825</v>
      </c>
      <c r="T2242" t="s">
        <v>11164</v>
      </c>
      <c r="U2242" t="s">
        <v>11164</v>
      </c>
      <c r="V2242" t="s">
        <v>11164</v>
      </c>
      <c r="W2242" t="s">
        <v>13370</v>
      </c>
      <c r="X2242">
        <v>29</v>
      </c>
      <c r="Y2242" t="s">
        <v>18883</v>
      </c>
      <c r="Z2242" t="s">
        <v>24392</v>
      </c>
      <c r="AA2242">
        <v>0.69612585151364992</v>
      </c>
      <c r="AB2242" t="str">
        <f>HYPERLINK("Melting_Curves/meltCurve_P42166_TMPO.pdf", "Melting_Curves/meltCurve_P42166_TMPO.pdf")</f>
        <v>Melting_Curves/meltCurve_P42166_TMPO.pdf</v>
      </c>
    </row>
    <row r="2243" spans="1:28" x14ac:dyDescent="0.25">
      <c r="A2243" t="s">
        <v>2247</v>
      </c>
      <c r="B2243">
        <v>0.99796759195183404</v>
      </c>
      <c r="C2243">
        <v>0.87416912331750796</v>
      </c>
      <c r="D2243">
        <v>0.94780760174085399</v>
      </c>
      <c r="E2243">
        <v>0.88923826308697096</v>
      </c>
      <c r="F2243">
        <v>0.75839755160019695</v>
      </c>
      <c r="G2243">
        <v>0.60405807073819495</v>
      </c>
      <c r="H2243">
        <v>0.60629977842511695</v>
      </c>
      <c r="I2243">
        <v>0.40897589515386301</v>
      </c>
      <c r="J2243">
        <v>0.42733592539963799</v>
      </c>
      <c r="K2243">
        <v>0.35814931279198398</v>
      </c>
      <c r="L2243">
        <v>419.08929058996699</v>
      </c>
      <c r="M2243">
        <v>7.4653003299766203</v>
      </c>
      <c r="N2243">
        <v>59.365761500636602</v>
      </c>
      <c r="O2243">
        <v>52.533086301844399</v>
      </c>
      <c r="P2243">
        <v>-2.9644173960635799E-2</v>
      </c>
      <c r="Q2243">
        <v>0.16679785162515101</v>
      </c>
      <c r="R2243">
        <v>0.96310092154521099</v>
      </c>
      <c r="S2243" t="s">
        <v>7826</v>
      </c>
      <c r="T2243" t="s">
        <v>11164</v>
      </c>
      <c r="U2243" t="s">
        <v>11164</v>
      </c>
      <c r="V2243" t="s">
        <v>11164</v>
      </c>
      <c r="W2243" t="s">
        <v>13371</v>
      </c>
      <c r="X2243">
        <v>23</v>
      </c>
      <c r="Y2243" t="s">
        <v>18883</v>
      </c>
      <c r="Z2243" t="s">
        <v>24393</v>
      </c>
      <c r="AA2243">
        <v>0.69321384887394955</v>
      </c>
      <c r="AB2243" t="str">
        <f>HYPERLINK("Melting_Curves/meltCurve_P42167_TMPO.pdf", "Melting_Curves/meltCurve_P42167_TMPO.pdf")</f>
        <v>Melting_Curves/meltCurve_P42167_TMPO.pdf</v>
      </c>
    </row>
    <row r="2244" spans="1:28" x14ac:dyDescent="0.25">
      <c r="A2244" t="s">
        <v>2248</v>
      </c>
      <c r="B2244">
        <v>0.99796759195183404</v>
      </c>
      <c r="C2244">
        <v>1.38083112088108</v>
      </c>
      <c r="D2244">
        <v>1.1622567923005001</v>
      </c>
      <c r="E2244">
        <v>0.708173605920562</v>
      </c>
      <c r="F2244">
        <v>1.63280157048932</v>
      </c>
      <c r="G2244">
        <v>1.40355069872459</v>
      </c>
      <c r="H2244">
        <v>1.3136463646029599</v>
      </c>
      <c r="I2244">
        <v>0.65921257911643305</v>
      </c>
      <c r="J2244">
        <v>0.84836016673410297</v>
      </c>
      <c r="K2244">
        <v>0.38876653116982501</v>
      </c>
      <c r="L2244">
        <v>1904.20134798411</v>
      </c>
      <c r="M2244">
        <v>28.716871999813399</v>
      </c>
      <c r="N2244">
        <v>66.309497988410101</v>
      </c>
      <c r="O2244">
        <v>65.990439858516496</v>
      </c>
      <c r="P2244">
        <v>-0.108792632194565</v>
      </c>
      <c r="Q2244">
        <v>0</v>
      </c>
      <c r="R2244">
        <v>0.28007447623887799</v>
      </c>
      <c r="S2244" t="s">
        <v>7827</v>
      </c>
      <c r="T2244" t="s">
        <v>11164</v>
      </c>
      <c r="U2244" t="s">
        <v>11164</v>
      </c>
      <c r="V2244" t="s">
        <v>11164</v>
      </c>
      <c r="W2244" t="s">
        <v>13372</v>
      </c>
      <c r="X2244">
        <v>23</v>
      </c>
      <c r="Y2244" t="s">
        <v>18883</v>
      </c>
      <c r="Z2244" t="s">
        <v>24394</v>
      </c>
      <c r="AA2244">
        <v>0.93825620627709772</v>
      </c>
      <c r="AB2244" t="str">
        <f>HYPERLINK("Melting_Curves/meltCurve_P42167_2_TMPO.pdf", "Melting_Curves/meltCurve_P42167_2_TMPO.pdf")</f>
        <v>Melting_Curves/meltCurve_P42167_2_TMPO.pdf</v>
      </c>
    </row>
    <row r="2245" spans="1:28" x14ac:dyDescent="0.25">
      <c r="A2245" t="s">
        <v>2249</v>
      </c>
      <c r="B2245">
        <v>0.99796759195183404</v>
      </c>
      <c r="C2245">
        <v>1.0023453612354201</v>
      </c>
      <c r="D2245">
        <v>1.01085093612747</v>
      </c>
      <c r="E2245">
        <v>0.90041335094165598</v>
      </c>
      <c r="F2245">
        <v>0.47908134363990901</v>
      </c>
      <c r="G2245">
        <v>0.24158475559439799</v>
      </c>
      <c r="H2245">
        <v>0.20085754610898099</v>
      </c>
      <c r="I2245">
        <v>0.15655302931328099</v>
      </c>
      <c r="J2245">
        <v>0.121049205418293</v>
      </c>
      <c r="K2245">
        <v>8.3383153445791405E-2</v>
      </c>
      <c r="L2245">
        <v>1390.19679286409</v>
      </c>
      <c r="M2245">
        <v>28.004171771802</v>
      </c>
      <c r="N2245">
        <v>50.207634848636999</v>
      </c>
      <c r="O2245">
        <v>49.391421787708801</v>
      </c>
      <c r="P2245">
        <v>-0.12258513426451199</v>
      </c>
      <c r="Q2245">
        <v>0.13518574192832999</v>
      </c>
      <c r="R2245">
        <v>0.99528665310367703</v>
      </c>
      <c r="S2245" t="s">
        <v>7828</v>
      </c>
      <c r="T2245" t="s">
        <v>11164</v>
      </c>
      <c r="U2245" t="s">
        <v>11164</v>
      </c>
      <c r="V2245" t="s">
        <v>11164</v>
      </c>
      <c r="W2245" t="s">
        <v>13373</v>
      </c>
      <c r="X2245">
        <v>14</v>
      </c>
      <c r="Y2245" t="s">
        <v>18884</v>
      </c>
      <c r="Z2245" t="s">
        <v>24395</v>
      </c>
      <c r="AA2245">
        <v>0.50567481000146641</v>
      </c>
      <c r="AB2245" t="str">
        <f>HYPERLINK("Melting_Curves/meltCurve_P42224_STAT1.pdf", "Melting_Curves/meltCurve_P42224_STAT1.pdf")</f>
        <v>Melting_Curves/meltCurve_P42224_STAT1.pdf</v>
      </c>
    </row>
    <row r="2246" spans="1:28" x14ac:dyDescent="0.25">
      <c r="A2246" t="s">
        <v>2250</v>
      </c>
      <c r="B2246">
        <v>0.99796759195183404</v>
      </c>
      <c r="C2246">
        <v>0.94592866594428804</v>
      </c>
      <c r="D2246">
        <v>1.0705404896184201</v>
      </c>
      <c r="E2246">
        <v>0.91951464220793999</v>
      </c>
      <c r="F2246">
        <v>0.69767426488957796</v>
      </c>
      <c r="G2246">
        <v>0.29629640659280898</v>
      </c>
      <c r="H2246">
        <v>0.120719337125649</v>
      </c>
      <c r="I2246">
        <v>5.14721698704457E-2</v>
      </c>
      <c r="J2246">
        <v>3.5113936590206798E-2</v>
      </c>
      <c r="K2246">
        <v>0</v>
      </c>
      <c r="L2246">
        <v>1230.3837714502699</v>
      </c>
      <c r="M2246">
        <v>23.733698100244201</v>
      </c>
      <c r="N2246">
        <v>51.916251075038403</v>
      </c>
      <c r="O2246">
        <v>51.477357811671297</v>
      </c>
      <c r="P2246">
        <v>-0.11332155252047101</v>
      </c>
      <c r="Q2246">
        <v>1.68577362841256E-2</v>
      </c>
      <c r="R2246">
        <v>0.99446301275837201</v>
      </c>
      <c r="S2246" t="s">
        <v>7829</v>
      </c>
      <c r="T2246" t="s">
        <v>11164</v>
      </c>
      <c r="U2246" t="s">
        <v>11164</v>
      </c>
      <c r="V2246" t="s">
        <v>11164</v>
      </c>
      <c r="W2246" t="s">
        <v>13374</v>
      </c>
      <c r="X2246">
        <v>4</v>
      </c>
      <c r="Y2246" t="s">
        <v>18885</v>
      </c>
      <c r="Z2246" t="s">
        <v>24396</v>
      </c>
      <c r="AA2246">
        <v>0.51277995355123296</v>
      </c>
      <c r="AB2246" t="str">
        <f>HYPERLINK("Melting_Curves/meltCurve_P42226_STAT6.pdf", "Melting_Curves/meltCurve_P42226_STAT6.pdf")</f>
        <v>Melting_Curves/meltCurve_P42226_STAT6.pdf</v>
      </c>
    </row>
    <row r="2247" spans="1:28" x14ac:dyDescent="0.25">
      <c r="A2247" t="s">
        <v>2251</v>
      </c>
      <c r="B2247">
        <v>0.99796759195183404</v>
      </c>
      <c r="C2247">
        <v>0.96234169067544495</v>
      </c>
      <c r="D2247">
        <v>0.99218292321757595</v>
      </c>
      <c r="E2247">
        <v>1.00899436910787</v>
      </c>
      <c r="F2247">
        <v>1.4603280816933399</v>
      </c>
      <c r="G2247">
        <v>1.48101494360323</v>
      </c>
      <c r="H2247">
        <v>0.52115764717852697</v>
      </c>
      <c r="I2247">
        <v>0.32440707231515398</v>
      </c>
      <c r="J2247">
        <v>0.238464321531214</v>
      </c>
      <c r="K2247">
        <v>0.17082009810176599</v>
      </c>
      <c r="L2247">
        <v>14318.497772345199</v>
      </c>
      <c r="M2247">
        <v>250</v>
      </c>
      <c r="N2247">
        <v>57.428264555806003</v>
      </c>
      <c r="O2247">
        <v>57.270347703135897</v>
      </c>
      <c r="P2247">
        <v>-0.82441939602782599</v>
      </c>
      <c r="Q2247">
        <v>0.24456371891440001</v>
      </c>
      <c r="R2247">
        <v>0.77815611696387199</v>
      </c>
      <c r="S2247" t="s">
        <v>7830</v>
      </c>
      <c r="T2247" t="s">
        <v>11164</v>
      </c>
      <c r="U2247" t="s">
        <v>11164</v>
      </c>
      <c r="V2247" t="s">
        <v>11164</v>
      </c>
      <c r="W2247" t="s">
        <v>13375</v>
      </c>
      <c r="X2247">
        <v>15</v>
      </c>
      <c r="Y2247" t="s">
        <v>18886</v>
      </c>
      <c r="Z2247" t="s">
        <v>24397</v>
      </c>
      <c r="AA2247">
        <v>0.75516326594170979</v>
      </c>
      <c r="AB2247" t="str">
        <f>HYPERLINK("Melting_Curves/meltCurve_P42285_SKIV2L2.pdf", "Melting_Curves/meltCurve_P42285_SKIV2L2.pdf")</f>
        <v>Melting_Curves/meltCurve_P42285_SKIV2L2.pdf</v>
      </c>
    </row>
    <row r="2248" spans="1:28" x14ac:dyDescent="0.25">
      <c r="A2248" t="s">
        <v>2252</v>
      </c>
      <c r="B2248">
        <v>0.99796759195183404</v>
      </c>
      <c r="C2248">
        <v>0.83521949141254603</v>
      </c>
      <c r="D2248">
        <v>1.17749475340832</v>
      </c>
      <c r="E2248">
        <v>0.69176794389271901</v>
      </c>
      <c r="F2248">
        <v>0.590407564607073</v>
      </c>
      <c r="G2248">
        <v>0.73425494538474201</v>
      </c>
      <c r="H2248">
        <v>0.33329692587249399</v>
      </c>
      <c r="I2248">
        <v>0.20310633420496099</v>
      </c>
      <c r="J2248">
        <v>0.14780772030762601</v>
      </c>
      <c r="K2248">
        <v>0.13600336599111201</v>
      </c>
      <c r="L2248">
        <v>547.25332577537699</v>
      </c>
      <c r="M2248">
        <v>10.068745702497701</v>
      </c>
      <c r="N2248">
        <v>54.351688016125003</v>
      </c>
      <c r="O2248">
        <v>52.338347613057799</v>
      </c>
      <c r="P2248">
        <v>-4.81172883621791E-2</v>
      </c>
      <c r="Q2248">
        <v>0</v>
      </c>
      <c r="R2248">
        <v>0.86849325108196795</v>
      </c>
      <c r="S2248" t="s">
        <v>7831</v>
      </c>
      <c r="T2248" t="s">
        <v>11164</v>
      </c>
      <c r="U2248" t="s">
        <v>11164</v>
      </c>
      <c r="V2248" t="s">
        <v>11164</v>
      </c>
      <c r="W2248" t="s">
        <v>13376</v>
      </c>
      <c r="X2248">
        <v>6</v>
      </c>
      <c r="Y2248" t="s">
        <v>18887</v>
      </c>
      <c r="Z2248" t="s">
        <v>24398</v>
      </c>
      <c r="AA2248">
        <v>0.59421739996987599</v>
      </c>
      <c r="AB2248" t="str">
        <f>HYPERLINK("Melting_Curves/meltCurve_P42330_AKR1C3.pdf", "Melting_Curves/meltCurve_P42330_AKR1C3.pdf")</f>
        <v>Melting_Curves/meltCurve_P42330_AKR1C3.pdf</v>
      </c>
    </row>
    <row r="2249" spans="1:28" x14ac:dyDescent="0.25">
      <c r="A2249" t="s">
        <v>2253</v>
      </c>
      <c r="B2249">
        <v>0.99796759195183404</v>
      </c>
      <c r="C2249">
        <v>1.0516144412650099</v>
      </c>
      <c r="D2249">
        <v>1.0002125088138301</v>
      </c>
      <c r="E2249">
        <v>0.93831971263740099</v>
      </c>
      <c r="F2249">
        <v>0.87745779229217302</v>
      </c>
      <c r="G2249">
        <v>0.43286522758400697</v>
      </c>
      <c r="H2249">
        <v>0.24765713672200601</v>
      </c>
      <c r="I2249">
        <v>0.282270858399158</v>
      </c>
      <c r="J2249">
        <v>0.18993692977585899</v>
      </c>
      <c r="K2249">
        <v>0.128753587565477</v>
      </c>
      <c r="L2249">
        <v>1741.4979332850301</v>
      </c>
      <c r="M2249">
        <v>33.155364490051298</v>
      </c>
      <c r="N2249">
        <v>53.325816098048101</v>
      </c>
      <c r="O2249">
        <v>52.335412589240804</v>
      </c>
      <c r="P2249">
        <v>-0.127332768014978</v>
      </c>
      <c r="Q2249">
        <v>0.196029707218764</v>
      </c>
      <c r="R2249">
        <v>0.98772664742167504</v>
      </c>
      <c r="S2249" t="s">
        <v>7832</v>
      </c>
      <c r="T2249" t="s">
        <v>11164</v>
      </c>
      <c r="U2249" t="s">
        <v>11164</v>
      </c>
      <c r="V2249" t="s">
        <v>11164</v>
      </c>
      <c r="W2249" t="s">
        <v>13377</v>
      </c>
      <c r="X2249">
        <v>14</v>
      </c>
      <c r="Y2249" t="s">
        <v>18888</v>
      </c>
      <c r="Z2249" t="s">
        <v>24399</v>
      </c>
      <c r="AA2249">
        <v>0.61630341997351212</v>
      </c>
      <c r="AB2249" t="str">
        <f>HYPERLINK("Melting_Curves/meltCurve_P42345_MTOR.pdf", "Melting_Curves/meltCurve_P42345_MTOR.pdf")</f>
        <v>Melting_Curves/meltCurve_P42345_MTOR.pdf</v>
      </c>
    </row>
    <row r="2250" spans="1:28" x14ac:dyDescent="0.25">
      <c r="A2250" t="s">
        <v>2254</v>
      </c>
      <c r="B2250">
        <v>0.99796759195183404</v>
      </c>
      <c r="C2250">
        <v>1.04503592683806</v>
      </c>
      <c r="D2250">
        <v>1.0181287176213001</v>
      </c>
      <c r="E2250">
        <v>0.95254355805156499</v>
      </c>
      <c r="F2250">
        <v>0.86623600317080995</v>
      </c>
      <c r="G2250">
        <v>0.65624894779797704</v>
      </c>
      <c r="H2250">
        <v>0.70531793756472705</v>
      </c>
      <c r="I2250">
        <v>0.62304245294493898</v>
      </c>
      <c r="J2250">
        <v>0.77658131192575797</v>
      </c>
      <c r="K2250">
        <v>0.74019261469369402</v>
      </c>
      <c r="L2250">
        <v>12560.826418474</v>
      </c>
      <c r="M2250">
        <v>250</v>
      </c>
      <c r="O2250">
        <v>50.240090451574197</v>
      </c>
      <c r="P2250">
        <v>-0.372863766699919</v>
      </c>
      <c r="Q2250">
        <v>0.70027665060478195</v>
      </c>
      <c r="R2250">
        <v>0.911298883666947</v>
      </c>
      <c r="S2250" t="s">
        <v>7833</v>
      </c>
      <c r="T2250" t="s">
        <v>11164</v>
      </c>
      <c r="U2250" t="s">
        <v>11164</v>
      </c>
      <c r="V2250" t="s">
        <v>11164</v>
      </c>
      <c r="W2250" t="s">
        <v>13378</v>
      </c>
      <c r="X2250">
        <v>13</v>
      </c>
      <c r="Y2250" t="s">
        <v>18889</v>
      </c>
      <c r="Z2250" t="s">
        <v>24400</v>
      </c>
      <c r="AA2250">
        <v>0.8326140101981212</v>
      </c>
      <c r="AB2250" t="str">
        <f>HYPERLINK("Melting_Curves/meltCurve_P42574_CASP3.pdf", "Melting_Curves/meltCurve_P42574_CASP3.pdf")</f>
        <v>Melting_Curves/meltCurve_P42574_CASP3.pdf</v>
      </c>
    </row>
    <row r="2251" spans="1:28" x14ac:dyDescent="0.25">
      <c r="A2251" t="s">
        <v>2255</v>
      </c>
      <c r="B2251">
        <v>0.99796759195183404</v>
      </c>
      <c r="C2251">
        <v>1.1243018857818099</v>
      </c>
      <c r="D2251">
        <v>1.09006286394959</v>
      </c>
      <c r="E2251">
        <v>0.94744073925607197</v>
      </c>
      <c r="F2251">
        <v>0.61343376876656597</v>
      </c>
      <c r="G2251">
        <v>0.37499011669316601</v>
      </c>
      <c r="H2251">
        <v>0.21256130150730701</v>
      </c>
      <c r="I2251">
        <v>0.135120479921397</v>
      </c>
      <c r="J2251">
        <v>0.121518458680338</v>
      </c>
      <c r="K2251">
        <v>8.1436857790256695E-2</v>
      </c>
      <c r="L2251">
        <v>1114.6474400448899</v>
      </c>
      <c r="M2251">
        <v>21.7011071296414</v>
      </c>
      <c r="N2251">
        <v>51.935541156935997</v>
      </c>
      <c r="O2251">
        <v>50.933431436736001</v>
      </c>
      <c r="P2251">
        <v>-9.5198330094885694E-2</v>
      </c>
      <c r="Q2251">
        <v>0.106282769767123</v>
      </c>
      <c r="R2251">
        <v>0.98097256061956795</v>
      </c>
      <c r="S2251" t="s">
        <v>7834</v>
      </c>
      <c r="T2251" t="s">
        <v>11164</v>
      </c>
      <c r="U2251" t="s">
        <v>11164</v>
      </c>
      <c r="V2251" t="s">
        <v>11164</v>
      </c>
      <c r="W2251" t="s">
        <v>13379</v>
      </c>
      <c r="X2251">
        <v>5</v>
      </c>
      <c r="Y2251" t="s">
        <v>18890</v>
      </c>
      <c r="Z2251" t="s">
        <v>24401</v>
      </c>
      <c r="AA2251">
        <v>0.54434897459873477</v>
      </c>
      <c r="AB2251" t="str">
        <f>HYPERLINK("Melting_Curves/meltCurve_P42575_CASP2.pdf", "Melting_Curves/meltCurve_P42575_CASP2.pdf")</f>
        <v>Melting_Curves/meltCurve_P42575_CASP2.pdf</v>
      </c>
    </row>
    <row r="2252" spans="1:28" x14ac:dyDescent="0.25">
      <c r="A2252" t="s">
        <v>2256</v>
      </c>
      <c r="B2252">
        <v>0.99796759195183404</v>
      </c>
      <c r="C2252">
        <v>0.94852013004438795</v>
      </c>
      <c r="D2252">
        <v>0.92167693457787503</v>
      </c>
      <c r="E2252">
        <v>0.81823818217019795</v>
      </c>
      <c r="F2252">
        <v>0.64440891022342395</v>
      </c>
      <c r="G2252">
        <v>0.469069272758117</v>
      </c>
      <c r="H2252">
        <v>0.405610210341393</v>
      </c>
      <c r="I2252">
        <v>0.35550342822138897</v>
      </c>
      <c r="J2252">
        <v>0.26804026795500002</v>
      </c>
      <c r="K2252">
        <v>0.196160388812853</v>
      </c>
      <c r="L2252">
        <v>523.49684421641496</v>
      </c>
      <c r="M2252">
        <v>10.052668899212</v>
      </c>
      <c r="N2252">
        <v>53.9976965286072</v>
      </c>
      <c r="O2252">
        <v>50.140582930761703</v>
      </c>
      <c r="P2252">
        <v>-4.2603400903205101E-2</v>
      </c>
      <c r="Q2252">
        <v>0.15041804839313699</v>
      </c>
      <c r="R2252">
        <v>0.99259850595816301</v>
      </c>
      <c r="S2252" t="s">
        <v>7835</v>
      </c>
      <c r="T2252" t="s">
        <v>11164</v>
      </c>
      <c r="U2252" t="s">
        <v>11164</v>
      </c>
      <c r="V2252" t="s">
        <v>11164</v>
      </c>
      <c r="W2252" t="s">
        <v>13380</v>
      </c>
      <c r="X2252">
        <v>4</v>
      </c>
      <c r="Y2252" t="s">
        <v>18891</v>
      </c>
      <c r="Z2252" t="s">
        <v>24402</v>
      </c>
      <c r="AA2252">
        <v>0.59968143855609957</v>
      </c>
      <c r="AB2252" t="str">
        <f>HYPERLINK("Melting_Curves/meltCurve_P42677_RPS27.pdf", "Melting_Curves/meltCurve_P42677_RPS27.pdf")</f>
        <v>Melting_Curves/meltCurve_P42677_RPS27.pdf</v>
      </c>
    </row>
    <row r="2253" spans="1:28" x14ac:dyDescent="0.25">
      <c r="A2253" t="s">
        <v>2257</v>
      </c>
      <c r="B2253">
        <v>0.99796759195183404</v>
      </c>
      <c r="C2253">
        <v>0.97765705184537699</v>
      </c>
      <c r="D2253">
        <v>0.98681437135717598</v>
      </c>
      <c r="E2253">
        <v>0.91658983965961904</v>
      </c>
      <c r="F2253">
        <v>0.509916238246371</v>
      </c>
      <c r="G2253">
        <v>0.234274733651718</v>
      </c>
      <c r="H2253">
        <v>0.186879330600591</v>
      </c>
      <c r="I2253">
        <v>0.14626059152672699</v>
      </c>
      <c r="J2253">
        <v>0.13463801729005301</v>
      </c>
      <c r="K2253">
        <v>0.114308961675277</v>
      </c>
      <c r="L2253">
        <v>1471.8716741134201</v>
      </c>
      <c r="M2253">
        <v>29.548920706068099</v>
      </c>
      <c r="N2253">
        <v>50.372956952095898</v>
      </c>
      <c r="O2253">
        <v>49.584890391973403</v>
      </c>
      <c r="P2253">
        <v>-0.12807482946969601</v>
      </c>
      <c r="Q2253">
        <v>0.140336569111943</v>
      </c>
      <c r="R2253">
        <v>0.99823873813543895</v>
      </c>
      <c r="S2253" t="s">
        <v>7836</v>
      </c>
      <c r="T2253" t="s">
        <v>11164</v>
      </c>
      <c r="U2253" t="s">
        <v>11164</v>
      </c>
      <c r="V2253" t="s">
        <v>11164</v>
      </c>
      <c r="W2253" t="s">
        <v>13381</v>
      </c>
      <c r="X2253">
        <v>7</v>
      </c>
      <c r="Y2253" t="s">
        <v>18892</v>
      </c>
      <c r="Z2253" t="s">
        <v>24403</v>
      </c>
      <c r="AA2253">
        <v>0.5128696674442802</v>
      </c>
      <c r="AB2253" t="str">
        <f>HYPERLINK("Melting_Curves/meltCurve_P42684_6_ABL2.pdf", "Melting_Curves/meltCurve_P42684_6_ABL2.pdf")</f>
        <v>Melting_Curves/meltCurve_P42684_6_ABL2.pdf</v>
      </c>
    </row>
    <row r="2254" spans="1:28" x14ac:dyDescent="0.25">
      <c r="A2254" t="s">
        <v>2258</v>
      </c>
      <c r="B2254">
        <v>0.99796759195183404</v>
      </c>
      <c r="C2254">
        <v>0.85243710972727704</v>
      </c>
      <c r="D2254">
        <v>0.75989519246945203</v>
      </c>
      <c r="E2254">
        <v>0.82333822316911998</v>
      </c>
      <c r="F2254">
        <v>0.76642639825324999</v>
      </c>
      <c r="G2254">
        <v>0.53186544690332305</v>
      </c>
      <c r="H2254">
        <v>0.50839455396700906</v>
      </c>
      <c r="I2254">
        <v>0.395390323476707</v>
      </c>
      <c r="J2254">
        <v>0.38608782858380097</v>
      </c>
      <c r="K2254">
        <v>0.142382081843029</v>
      </c>
      <c r="L2254">
        <v>347.48049542357802</v>
      </c>
      <c r="M2254">
        <v>6.1692775780931903</v>
      </c>
      <c r="N2254">
        <v>56.324349367297302</v>
      </c>
      <c r="O2254">
        <v>51.269380797812801</v>
      </c>
      <c r="P2254">
        <v>-3.0170864217117101E-2</v>
      </c>
      <c r="Q2254">
        <v>0</v>
      </c>
      <c r="R2254">
        <v>0.91694578612501498</v>
      </c>
      <c r="S2254" t="s">
        <v>7837</v>
      </c>
      <c r="T2254" t="s">
        <v>11164</v>
      </c>
      <c r="U2254" t="s">
        <v>11164</v>
      </c>
      <c r="V2254" t="s">
        <v>11164</v>
      </c>
      <c r="W2254" t="s">
        <v>13382</v>
      </c>
      <c r="X2254">
        <v>1</v>
      </c>
      <c r="Y2254" t="s">
        <v>18893</v>
      </c>
      <c r="Z2254" t="s">
        <v>24404</v>
      </c>
      <c r="AA2254">
        <v>0.62553856392396212</v>
      </c>
      <c r="AB2254" t="str">
        <f>HYPERLINK("Melting_Curves/meltCurve_P42702_LIFR.pdf", "Melting_Curves/meltCurve_P42702_LIFR.pdf")</f>
        <v>Melting_Curves/meltCurve_P42702_LIFR.pdf</v>
      </c>
    </row>
    <row r="2255" spans="1:28" x14ac:dyDescent="0.25">
      <c r="A2255" t="s">
        <v>2259</v>
      </c>
      <c r="B2255">
        <v>0.99796759195183404</v>
      </c>
      <c r="C2255">
        <v>1.0097716398747301</v>
      </c>
      <c r="D2255">
        <v>1.0058157691065599</v>
      </c>
      <c r="E2255">
        <v>0.91312814739913595</v>
      </c>
      <c r="F2255">
        <v>0.51597405838315102</v>
      </c>
      <c r="G2255">
        <v>0.208610816820508</v>
      </c>
      <c r="H2255">
        <v>0.15133435093091199</v>
      </c>
      <c r="I2255">
        <v>0.11639631040118301</v>
      </c>
      <c r="J2255">
        <v>0.10472720259714501</v>
      </c>
      <c r="K2255">
        <v>8.5321903942570096E-2</v>
      </c>
      <c r="L2255">
        <v>1469.5831924686299</v>
      </c>
      <c r="M2255">
        <v>29.413692686201699</v>
      </c>
      <c r="N2255">
        <v>50.379183813755702</v>
      </c>
      <c r="O2255">
        <v>49.733321226248201</v>
      </c>
      <c r="P2255">
        <v>-0.131895178191447</v>
      </c>
      <c r="Q2255">
        <v>0.107961165392136</v>
      </c>
      <c r="R2255">
        <v>0.99902572456081096</v>
      </c>
      <c r="S2255" t="s">
        <v>7838</v>
      </c>
      <c r="T2255" t="s">
        <v>11164</v>
      </c>
      <c r="U2255" t="s">
        <v>11164</v>
      </c>
      <c r="V2255" t="s">
        <v>11164</v>
      </c>
      <c r="W2255" t="s">
        <v>13383</v>
      </c>
      <c r="X2255">
        <v>58</v>
      </c>
      <c r="Y2255" t="s">
        <v>18894</v>
      </c>
      <c r="Z2255" t="s">
        <v>24405</v>
      </c>
      <c r="AA2255">
        <v>0.49908494007321558</v>
      </c>
      <c r="AB2255" t="str">
        <f>HYPERLINK("Melting_Curves/meltCurve_P42704_LRPPRC.pdf", "Melting_Curves/meltCurve_P42704_LRPPRC.pdf")</f>
        <v>Melting_Curves/meltCurve_P42704_LRPPRC.pdf</v>
      </c>
    </row>
    <row r="2256" spans="1:28" x14ac:dyDescent="0.25">
      <c r="A2256" t="s">
        <v>2260</v>
      </c>
      <c r="B2256">
        <v>0.99796759195183404</v>
      </c>
      <c r="C2256">
        <v>1.0333547833607699</v>
      </c>
      <c r="D2256">
        <v>1.0055523276874601</v>
      </c>
      <c r="E2256">
        <v>0.94378648441886703</v>
      </c>
      <c r="F2256">
        <v>0.86058505351163705</v>
      </c>
      <c r="G2256">
        <v>0.92949978057470894</v>
      </c>
      <c r="H2256">
        <v>0.77161769129008695</v>
      </c>
      <c r="I2256">
        <v>0.78996269935324803</v>
      </c>
      <c r="J2256">
        <v>0.89387266366873597</v>
      </c>
      <c r="K2256">
        <v>0.71849075492248604</v>
      </c>
      <c r="L2256">
        <v>639.88991839861001</v>
      </c>
      <c r="M2256">
        <v>12.4180195775687</v>
      </c>
      <c r="O2256">
        <v>50.247587238982199</v>
      </c>
      <c r="P2256">
        <v>-1.38832704497197E-2</v>
      </c>
      <c r="Q2256">
        <v>0.77534148876740105</v>
      </c>
      <c r="R2256">
        <v>0.74036079513203201</v>
      </c>
      <c r="S2256" t="s">
        <v>7839</v>
      </c>
      <c r="T2256" t="s">
        <v>11164</v>
      </c>
      <c r="U2256" t="s">
        <v>11164</v>
      </c>
      <c r="V2256" t="s">
        <v>11164</v>
      </c>
      <c r="W2256" t="s">
        <v>13384</v>
      </c>
      <c r="X2256">
        <v>11</v>
      </c>
      <c r="Y2256" t="s">
        <v>18895</v>
      </c>
      <c r="Z2256" t="s">
        <v>24406</v>
      </c>
      <c r="AA2256">
        <v>0.88956045528472016</v>
      </c>
      <c r="AB2256" t="str">
        <f>HYPERLINK("Melting_Curves/meltCurve_P42765_ACAA2.pdf", "Melting_Curves/meltCurve_P42765_ACAA2.pdf")</f>
        <v>Melting_Curves/meltCurve_P42765_ACAA2.pdf</v>
      </c>
    </row>
    <row r="2257" spans="1:28" x14ac:dyDescent="0.25">
      <c r="A2257" t="s">
        <v>2261</v>
      </c>
      <c r="B2257">
        <v>0.99796759195183404</v>
      </c>
      <c r="C2257">
        <v>1.07838095453225</v>
      </c>
      <c r="D2257">
        <v>1.0322820530565</v>
      </c>
      <c r="E2257">
        <v>0.88507103243267604</v>
      </c>
      <c r="F2257">
        <v>0.77427088156497503</v>
      </c>
      <c r="G2257">
        <v>0.55112940749962702</v>
      </c>
      <c r="H2257">
        <v>0.39018602621051202</v>
      </c>
      <c r="I2257">
        <v>0.229916869382817</v>
      </c>
      <c r="J2257">
        <v>0.173578211442841</v>
      </c>
      <c r="K2257">
        <v>0.107890030836176</v>
      </c>
      <c r="L2257">
        <v>737.28419811352603</v>
      </c>
      <c r="M2257">
        <v>13.5278802583796</v>
      </c>
      <c r="N2257">
        <v>54.944382512131298</v>
      </c>
      <c r="O2257">
        <v>53.3514842318205</v>
      </c>
      <c r="P2257">
        <v>-6.01222489664145E-2</v>
      </c>
      <c r="Q2257">
        <v>5.16988757366681E-2</v>
      </c>
      <c r="R2257">
        <v>0.99045446433213202</v>
      </c>
      <c r="S2257" t="s">
        <v>7840</v>
      </c>
      <c r="T2257" t="s">
        <v>11164</v>
      </c>
      <c r="U2257" t="s">
        <v>11164</v>
      </c>
      <c r="V2257" t="s">
        <v>11164</v>
      </c>
      <c r="W2257" t="s">
        <v>13385</v>
      </c>
      <c r="X2257">
        <v>12</v>
      </c>
      <c r="Y2257" t="s">
        <v>18896</v>
      </c>
      <c r="Z2257" t="s">
        <v>24407</v>
      </c>
      <c r="AA2257">
        <v>0.61999012257251052</v>
      </c>
      <c r="AB2257" t="str">
        <f>HYPERLINK("Melting_Curves/meltCurve_P42771_CDKN2A.pdf", "Melting_Curves/meltCurve_P42771_CDKN2A.pdf")</f>
        <v>Melting_Curves/meltCurve_P42771_CDKN2A.pdf</v>
      </c>
    </row>
    <row r="2258" spans="1:28" x14ac:dyDescent="0.25">
      <c r="A2258" t="s">
        <v>2262</v>
      </c>
      <c r="B2258">
        <v>0.99796759195183404</v>
      </c>
      <c r="C2258">
        <v>1.03536895596653</v>
      </c>
      <c r="D2258">
        <v>0.99716943165779004</v>
      </c>
      <c r="E2258">
        <v>0.98318238077398101</v>
      </c>
      <c r="F2258">
        <v>0.77356818543709904</v>
      </c>
      <c r="G2258">
        <v>0.62615787013495305</v>
      </c>
      <c r="H2258">
        <v>0.49449647765039301</v>
      </c>
      <c r="I2258">
        <v>0.35592593579392301</v>
      </c>
      <c r="J2258">
        <v>0.24522215670991099</v>
      </c>
      <c r="K2258">
        <v>0.22205397801033899</v>
      </c>
      <c r="L2258">
        <v>716.14227260731002</v>
      </c>
      <c r="M2258">
        <v>12.9703361795669</v>
      </c>
      <c r="N2258">
        <v>56.700587278107299</v>
      </c>
      <c r="O2258">
        <v>53.950814451766703</v>
      </c>
      <c r="P2258">
        <v>-5.1448131947657197E-2</v>
      </c>
      <c r="Q2258">
        <v>0.14414771765875101</v>
      </c>
      <c r="R2258">
        <v>0.991158826090621</v>
      </c>
      <c r="S2258" t="s">
        <v>7841</v>
      </c>
      <c r="T2258" t="s">
        <v>11164</v>
      </c>
      <c r="U2258" t="s">
        <v>11164</v>
      </c>
      <c r="V2258" t="s">
        <v>11164</v>
      </c>
      <c r="W2258" t="s">
        <v>13386</v>
      </c>
      <c r="X2258">
        <v>7</v>
      </c>
      <c r="Y2258" t="s">
        <v>18897</v>
      </c>
      <c r="Z2258" t="s">
        <v>24408</v>
      </c>
      <c r="AA2258">
        <v>0.6754820585484802</v>
      </c>
      <c r="AB2258" t="str">
        <f>HYPERLINK("Melting_Curves/meltCurve_P42773_CDKN2C.pdf", "Melting_Curves/meltCurve_P42773_CDKN2C.pdf")</f>
        <v>Melting_Curves/meltCurve_P42773_CDKN2C.pdf</v>
      </c>
    </row>
    <row r="2259" spans="1:28" x14ac:dyDescent="0.25">
      <c r="A2259" t="s">
        <v>2263</v>
      </c>
      <c r="B2259">
        <v>0.99796759195183404</v>
      </c>
      <c r="C2259">
        <v>1.06295520967569</v>
      </c>
      <c r="D2259">
        <v>1.0089800140153999</v>
      </c>
      <c r="E2259">
        <v>1.0018806034471599</v>
      </c>
      <c r="F2259">
        <v>0.94299862681535196</v>
      </c>
      <c r="G2259">
        <v>0.98243063439491096</v>
      </c>
      <c r="H2259">
        <v>0.88029898910729698</v>
      </c>
      <c r="I2259">
        <v>0.77431607398528501</v>
      </c>
      <c r="J2259">
        <v>0.74283352540895198</v>
      </c>
      <c r="K2259">
        <v>0.23307850386757401</v>
      </c>
      <c r="L2259">
        <v>1775.8737391507</v>
      </c>
      <c r="M2259">
        <v>27.260181277365401</v>
      </c>
      <c r="N2259">
        <v>65.145338561418598</v>
      </c>
      <c r="O2259">
        <v>64.797792799746205</v>
      </c>
      <c r="P2259">
        <v>-0.10517503804146</v>
      </c>
      <c r="Q2259">
        <v>0</v>
      </c>
      <c r="R2259">
        <v>0.90726314792464802</v>
      </c>
      <c r="S2259" t="s">
        <v>7842</v>
      </c>
      <c r="T2259" t="s">
        <v>11164</v>
      </c>
      <c r="U2259" t="s">
        <v>11164</v>
      </c>
      <c r="V2259" t="s">
        <v>11164</v>
      </c>
      <c r="W2259" t="s">
        <v>13387</v>
      </c>
      <c r="X2259">
        <v>5</v>
      </c>
      <c r="Y2259" t="s">
        <v>18898</v>
      </c>
      <c r="Z2259" t="s">
        <v>24409</v>
      </c>
      <c r="AA2259">
        <v>0.9124258329692535</v>
      </c>
      <c r="AB2259" t="str">
        <f>HYPERLINK("Melting_Curves/meltCurve_P42785_PRCP.pdf", "Melting_Curves/meltCurve_P42785_PRCP.pdf")</f>
        <v>Melting_Curves/meltCurve_P42785_PRCP.pdf</v>
      </c>
    </row>
    <row r="2260" spans="1:28" x14ac:dyDescent="0.25">
      <c r="A2260" t="s">
        <v>2264</v>
      </c>
      <c r="B2260">
        <v>0.99796759195183404</v>
      </c>
      <c r="C2260">
        <v>0.88343821113710097</v>
      </c>
      <c r="D2260">
        <v>0.77147157380425002</v>
      </c>
      <c r="E2260">
        <v>0.84941310363194999</v>
      </c>
      <c r="F2260">
        <v>0.75809418843883003</v>
      </c>
      <c r="G2260">
        <v>0.84005729885890801</v>
      </c>
      <c r="H2260">
        <v>0.88865716494869695</v>
      </c>
      <c r="I2260">
        <v>0.74144032385672298</v>
      </c>
      <c r="J2260">
        <v>0.79661183069224395</v>
      </c>
      <c r="K2260">
        <v>0.77455080829482503</v>
      </c>
      <c r="L2260">
        <v>9960.4287916463109</v>
      </c>
      <c r="M2260">
        <v>250</v>
      </c>
      <c r="O2260">
        <v>39.839156655469701</v>
      </c>
      <c r="P2260">
        <v>-0.30978146891070102</v>
      </c>
      <c r="Q2260">
        <v>0.80253703643399099</v>
      </c>
      <c r="R2260">
        <v>0.66704673217477395</v>
      </c>
      <c r="S2260" t="s">
        <v>7843</v>
      </c>
      <c r="T2260" t="s">
        <v>11164</v>
      </c>
      <c r="U2260" t="s">
        <v>11164</v>
      </c>
      <c r="V2260" t="s">
        <v>11164</v>
      </c>
      <c r="W2260" t="s">
        <v>13388</v>
      </c>
      <c r="X2260">
        <v>2</v>
      </c>
      <c r="Y2260" t="s">
        <v>18899</v>
      </c>
      <c r="Z2260" t="s">
        <v>24410</v>
      </c>
      <c r="AA2260">
        <v>0.82125529330930769</v>
      </c>
      <c r="AB2260" t="str">
        <f>HYPERLINK("Melting_Curves/meltCurve_P43003_2_SLC1A3.pdf", "Melting_Curves/meltCurve_P43003_2_SLC1A3.pdf")</f>
        <v>Melting_Curves/meltCurve_P43003_2_SLC1A3.pdf</v>
      </c>
    </row>
    <row r="2261" spans="1:28" x14ac:dyDescent="0.25">
      <c r="A2261" t="s">
        <v>2265</v>
      </c>
      <c r="B2261">
        <v>0.99796759195183404</v>
      </c>
      <c r="C2261">
        <v>0.83410732765884998</v>
      </c>
      <c r="D2261">
        <v>0.64187536223608299</v>
      </c>
      <c r="E2261">
        <v>0.74596131308443003</v>
      </c>
      <c r="F2261">
        <v>0.70691746321641002</v>
      </c>
      <c r="G2261">
        <v>0.47636500893126998</v>
      </c>
      <c r="H2261">
        <v>0.39663083994817699</v>
      </c>
      <c r="I2261">
        <v>0.39232987660916202</v>
      </c>
      <c r="J2261">
        <v>0.62120534876875499</v>
      </c>
      <c r="K2261">
        <v>0.48078054779221302</v>
      </c>
      <c r="L2261">
        <v>414.02141340256799</v>
      </c>
      <c r="M2261">
        <v>9.3493269789018107</v>
      </c>
      <c r="N2261">
        <v>58.596673586335399</v>
      </c>
      <c r="O2261">
        <v>42.3992125734243</v>
      </c>
      <c r="P2261">
        <v>-3.03913228245795E-2</v>
      </c>
      <c r="Q2261">
        <v>0.44904748591491001</v>
      </c>
      <c r="R2261">
        <v>0.75143896344871797</v>
      </c>
      <c r="S2261" t="s">
        <v>7844</v>
      </c>
      <c r="T2261" t="s">
        <v>11164</v>
      </c>
      <c r="U2261" t="s">
        <v>11164</v>
      </c>
      <c r="V2261" t="s">
        <v>11164</v>
      </c>
      <c r="W2261" t="s">
        <v>13389</v>
      </c>
      <c r="X2261">
        <v>1</v>
      </c>
      <c r="Y2261" t="s">
        <v>18900</v>
      </c>
      <c r="Z2261" t="s">
        <v>24411</v>
      </c>
      <c r="AA2261">
        <v>0.6148582730688944</v>
      </c>
      <c r="AB2261" t="str">
        <f>HYPERLINK("Melting_Curves/meltCurve_P43007_SLC1A4.pdf", "Melting_Curves/meltCurve_P43007_SLC1A4.pdf")</f>
        <v>Melting_Curves/meltCurve_P43007_SLC1A4.pdf</v>
      </c>
    </row>
    <row r="2262" spans="1:28" x14ac:dyDescent="0.25">
      <c r="A2262" t="s">
        <v>2266</v>
      </c>
      <c r="B2262">
        <v>0.99796759195183404</v>
      </c>
      <c r="C2262">
        <v>1.0582887235985901</v>
      </c>
      <c r="D2262">
        <v>1.06404099077984</v>
      </c>
      <c r="E2262">
        <v>1.0002699087439999</v>
      </c>
      <c r="F2262">
        <v>0.945801076204142</v>
      </c>
      <c r="G2262">
        <v>0.59785923082410697</v>
      </c>
      <c r="H2262">
        <v>0.62148183327459205</v>
      </c>
      <c r="I2262">
        <v>0.703728734948872</v>
      </c>
      <c r="J2262">
        <v>0.66292929583355298</v>
      </c>
      <c r="K2262">
        <v>0.27903427826639998</v>
      </c>
      <c r="L2262">
        <v>461.84953492437899</v>
      </c>
      <c r="M2262">
        <v>7.2107175837826301</v>
      </c>
      <c r="N2262">
        <v>64.050426176439899</v>
      </c>
      <c r="O2262">
        <v>59.6740914805888</v>
      </c>
      <c r="P2262">
        <v>-3.0258972601704699E-2</v>
      </c>
      <c r="Q2262">
        <v>0</v>
      </c>
      <c r="R2262">
        <v>0.789463368656243</v>
      </c>
      <c r="S2262" t="s">
        <v>7845</v>
      </c>
      <c r="T2262" t="s">
        <v>11164</v>
      </c>
      <c r="U2262" t="s">
        <v>11164</v>
      </c>
      <c r="V2262" t="s">
        <v>11164</v>
      </c>
      <c r="W2262" t="s">
        <v>13390</v>
      </c>
      <c r="X2262">
        <v>13</v>
      </c>
      <c r="Y2262" t="s">
        <v>18901</v>
      </c>
      <c r="Z2262" t="s">
        <v>24412</v>
      </c>
      <c r="AA2262">
        <v>0.78964586516508362</v>
      </c>
      <c r="AB2262" t="str">
        <f>HYPERLINK("Melting_Curves/meltCurve_P43034_PAFAH1B1.pdf", "Melting_Curves/meltCurve_P43034_PAFAH1B1.pdf")</f>
        <v>Melting_Curves/meltCurve_P43034_PAFAH1B1.pdf</v>
      </c>
    </row>
    <row r="2263" spans="1:28" x14ac:dyDescent="0.25">
      <c r="A2263" t="s">
        <v>2267</v>
      </c>
      <c r="B2263">
        <v>0.99796759195183404</v>
      </c>
      <c r="C2263">
        <v>0.92858835322837296</v>
      </c>
      <c r="D2263">
        <v>0.91219837870120002</v>
      </c>
      <c r="E2263">
        <v>0.90544371959923498</v>
      </c>
      <c r="F2263">
        <v>0.928129509955262</v>
      </c>
      <c r="G2263">
        <v>0.54459496679595998</v>
      </c>
      <c r="H2263">
        <v>0.56448041528691995</v>
      </c>
      <c r="I2263">
        <v>0.51591560524236402</v>
      </c>
      <c r="J2263">
        <v>0.55958345041621205</v>
      </c>
      <c r="K2263">
        <v>0.437492525121844</v>
      </c>
      <c r="L2263">
        <v>3301.2844329039999</v>
      </c>
      <c r="M2263">
        <v>64.057215767649794</v>
      </c>
      <c r="O2263">
        <v>51.486339273555103</v>
      </c>
      <c r="P2263">
        <v>-0.149840367526408</v>
      </c>
      <c r="Q2263">
        <v>0.51826008291251402</v>
      </c>
      <c r="R2263">
        <v>0.92676014262631601</v>
      </c>
      <c r="S2263" t="s">
        <v>7846</v>
      </c>
      <c r="T2263" t="s">
        <v>11164</v>
      </c>
      <c r="U2263" t="s">
        <v>11164</v>
      </c>
      <c r="V2263" t="s">
        <v>11164</v>
      </c>
      <c r="W2263" t="s">
        <v>13391</v>
      </c>
      <c r="X2263">
        <v>11</v>
      </c>
      <c r="Y2263" t="s">
        <v>18902</v>
      </c>
      <c r="Z2263" t="s">
        <v>24413</v>
      </c>
      <c r="AA2263">
        <v>0.75235284734754126</v>
      </c>
      <c r="AB2263" t="str">
        <f>HYPERLINK("Melting_Curves/meltCurve_P43121_MCAM.pdf", "Melting_Curves/meltCurve_P43121_MCAM.pdf")</f>
        <v>Melting_Curves/meltCurve_P43121_MCAM.pdf</v>
      </c>
    </row>
    <row r="2264" spans="1:28" x14ac:dyDescent="0.25">
      <c r="A2264" t="s">
        <v>2268</v>
      </c>
      <c r="B2264">
        <v>0.99796759195183404</v>
      </c>
      <c r="C2264">
        <v>1.0329648375634299</v>
      </c>
      <c r="D2264">
        <v>0.90133371690781605</v>
      </c>
      <c r="E2264">
        <v>0.850052420410634</v>
      </c>
      <c r="F2264">
        <v>0.83139387763016703</v>
      </c>
      <c r="G2264">
        <v>0.49636134605009502</v>
      </c>
      <c r="H2264">
        <v>0.39845050780499902</v>
      </c>
      <c r="I2264">
        <v>0.23653899483547999</v>
      </c>
      <c r="J2264">
        <v>0.19921288236960799</v>
      </c>
      <c r="K2264">
        <v>0.102946349670428</v>
      </c>
      <c r="L2264">
        <v>623.76468545528098</v>
      </c>
      <c r="M2264">
        <v>11.367664097149</v>
      </c>
      <c r="N2264">
        <v>54.9468916274419</v>
      </c>
      <c r="O2264">
        <v>53.256067146038603</v>
      </c>
      <c r="P2264">
        <v>-5.2967803013578799E-2</v>
      </c>
      <c r="Q2264">
        <v>7.7051312958250602E-3</v>
      </c>
      <c r="R2264">
        <v>0.98269015048860597</v>
      </c>
      <c r="S2264" t="s">
        <v>7847</v>
      </c>
      <c r="T2264" t="s">
        <v>11164</v>
      </c>
      <c r="U2264" t="s">
        <v>11164</v>
      </c>
      <c r="V2264" t="s">
        <v>11164</v>
      </c>
      <c r="W2264" t="s">
        <v>13392</v>
      </c>
      <c r="X2264">
        <v>4</v>
      </c>
      <c r="Y2264" t="s">
        <v>18903</v>
      </c>
      <c r="Z2264" t="s">
        <v>24414</v>
      </c>
      <c r="AA2264">
        <v>0.61310902819167945</v>
      </c>
      <c r="AB2264" t="str">
        <f>HYPERLINK("Melting_Curves/meltCurve_P43155_2_CRAT.pdf", "Melting_Curves/meltCurve_P43155_2_CRAT.pdf")</f>
        <v>Melting_Curves/meltCurve_P43155_2_CRAT.pdf</v>
      </c>
    </row>
    <row r="2265" spans="1:28" x14ac:dyDescent="0.25">
      <c r="A2265" t="s">
        <v>2269</v>
      </c>
      <c r="B2265">
        <v>0.99796759195183404</v>
      </c>
      <c r="C2265">
        <v>1.04082206517748</v>
      </c>
      <c r="D2265">
        <v>1.0222304678474601</v>
      </c>
      <c r="E2265">
        <v>1.0019842613054</v>
      </c>
      <c r="F2265">
        <v>0.91546105193511496</v>
      </c>
      <c r="G2265">
        <v>0.50006179540521201</v>
      </c>
      <c r="H2265">
        <v>0.20287335803269599</v>
      </c>
      <c r="I2265">
        <v>0.176540101525445</v>
      </c>
      <c r="J2265">
        <v>0.14133592536505801</v>
      </c>
      <c r="K2265">
        <v>0.115991123234208</v>
      </c>
      <c r="L2265">
        <v>1874.7606676231701</v>
      </c>
      <c r="M2265">
        <v>35.163965831776103</v>
      </c>
      <c r="N2265">
        <v>53.8149451829551</v>
      </c>
      <c r="O2265">
        <v>53.143280315234797</v>
      </c>
      <c r="P2265">
        <v>-0.142364311501847</v>
      </c>
      <c r="Q2265">
        <v>0.139382605689259</v>
      </c>
      <c r="R2265">
        <v>0.99775618661855503</v>
      </c>
      <c r="S2265" t="s">
        <v>7848</v>
      </c>
      <c r="T2265" t="s">
        <v>11164</v>
      </c>
      <c r="U2265" t="s">
        <v>11164</v>
      </c>
      <c r="V2265" t="s">
        <v>11164</v>
      </c>
      <c r="W2265" t="s">
        <v>13393</v>
      </c>
      <c r="X2265">
        <v>20</v>
      </c>
      <c r="Y2265" t="s">
        <v>18904</v>
      </c>
      <c r="Z2265" t="s">
        <v>24415</v>
      </c>
      <c r="AA2265">
        <v>0.61146960851666188</v>
      </c>
      <c r="AB2265" t="str">
        <f>HYPERLINK("Melting_Curves/meltCurve_P43246_MSH2.pdf", "Melting_Curves/meltCurve_P43246_MSH2.pdf")</f>
        <v>Melting_Curves/meltCurve_P43246_MSH2.pdf</v>
      </c>
    </row>
    <row r="2266" spans="1:28" x14ac:dyDescent="0.25">
      <c r="A2266" t="s">
        <v>2270</v>
      </c>
      <c r="B2266">
        <v>0.99796759195183404</v>
      </c>
      <c r="C2266">
        <v>1.0298897061191701</v>
      </c>
      <c r="D2266">
        <v>1.0231256154467401</v>
      </c>
      <c r="E2266">
        <v>0.84578731270976204</v>
      </c>
      <c r="F2266">
        <v>0.51376006146661002</v>
      </c>
      <c r="G2266">
        <v>0.224311604944052</v>
      </c>
      <c r="H2266">
        <v>0.169570657529271</v>
      </c>
      <c r="I2266">
        <v>0.13752685199389</v>
      </c>
      <c r="J2266">
        <v>0.107906304319407</v>
      </c>
      <c r="K2266">
        <v>7.3533858813641606E-2</v>
      </c>
      <c r="L2266">
        <v>1195.90378877279</v>
      </c>
      <c r="M2266">
        <v>24.0103922510987</v>
      </c>
      <c r="N2266">
        <v>50.309440357880902</v>
      </c>
      <c r="O2266">
        <v>49.466115606844802</v>
      </c>
      <c r="P2266">
        <v>-0.108430565209722</v>
      </c>
      <c r="Q2266">
        <v>0.106461250778116</v>
      </c>
      <c r="R2266">
        <v>0.99652198643748102</v>
      </c>
      <c r="S2266" t="s">
        <v>7849</v>
      </c>
      <c r="T2266" t="s">
        <v>11164</v>
      </c>
      <c r="U2266" t="s">
        <v>11164</v>
      </c>
      <c r="V2266" t="s">
        <v>11164</v>
      </c>
      <c r="W2266" t="s">
        <v>13394</v>
      </c>
      <c r="X2266">
        <v>13</v>
      </c>
      <c r="Y2266" t="s">
        <v>18905</v>
      </c>
      <c r="Z2266" t="s">
        <v>24416</v>
      </c>
      <c r="AA2266">
        <v>0.49635647492200319</v>
      </c>
      <c r="AB2266" t="str">
        <f>HYPERLINK("Melting_Curves/meltCurve_P43250_2_GRK6.pdf", "Melting_Curves/meltCurve_P43250_2_GRK6.pdf")</f>
        <v>Melting_Curves/meltCurve_P43250_2_GRK6.pdf</v>
      </c>
    </row>
    <row r="2267" spans="1:28" x14ac:dyDescent="0.25">
      <c r="A2267" t="s">
        <v>2271</v>
      </c>
      <c r="B2267">
        <v>0.99796759195183404</v>
      </c>
      <c r="C2267">
        <v>1.0645128245986999</v>
      </c>
      <c r="D2267">
        <v>0.98281668281622303</v>
      </c>
      <c r="E2267">
        <v>0.94115501422319903</v>
      </c>
      <c r="F2267">
        <v>0.89820214490404904</v>
      </c>
      <c r="G2267">
        <v>0.89578638479235795</v>
      </c>
      <c r="H2267">
        <v>0.76255627520204905</v>
      </c>
      <c r="I2267">
        <v>0.71551466557082599</v>
      </c>
      <c r="J2267">
        <v>0.76172974334934396</v>
      </c>
      <c r="K2267">
        <v>0.42546649639133199</v>
      </c>
      <c r="L2267">
        <v>510.064658657824</v>
      </c>
      <c r="M2267">
        <v>7.47300545297258</v>
      </c>
      <c r="O2267">
        <v>63.8790874501546</v>
      </c>
      <c r="P2267">
        <v>-2.9289289870876301E-2</v>
      </c>
      <c r="Q2267">
        <v>0</v>
      </c>
      <c r="R2267">
        <v>0.86678846161302003</v>
      </c>
      <c r="S2267" t="s">
        <v>7850</v>
      </c>
      <c r="T2267" t="s">
        <v>11164</v>
      </c>
      <c r="U2267" t="s">
        <v>11164</v>
      </c>
      <c r="V2267" t="s">
        <v>11164</v>
      </c>
      <c r="W2267" t="s">
        <v>13395</v>
      </c>
      <c r="X2267">
        <v>23</v>
      </c>
      <c r="Y2267" t="s">
        <v>18906</v>
      </c>
      <c r="Z2267" t="s">
        <v>24417</v>
      </c>
      <c r="AA2267">
        <v>0.85693151679626844</v>
      </c>
      <c r="AB2267" t="str">
        <f>HYPERLINK("Melting_Curves/meltCurve_P43304_GPD2.pdf", "Melting_Curves/meltCurve_P43304_GPD2.pdf")</f>
        <v>Melting_Curves/meltCurve_P43304_GPD2.pdf</v>
      </c>
    </row>
    <row r="2268" spans="1:28" x14ac:dyDescent="0.25">
      <c r="A2268" t="s">
        <v>2272</v>
      </c>
      <c r="B2268">
        <v>0.99796759195183404</v>
      </c>
      <c r="C2268">
        <v>1.0105526908692699</v>
      </c>
      <c r="D2268">
        <v>0.99812818339701603</v>
      </c>
      <c r="E2268">
        <v>0.92548819579058705</v>
      </c>
      <c r="F2268">
        <v>0.50512902095939105</v>
      </c>
      <c r="G2268">
        <v>0.28723977558132602</v>
      </c>
      <c r="H2268">
        <v>0.24666610319525101</v>
      </c>
      <c r="I2268">
        <v>0.22844421856622801</v>
      </c>
      <c r="J2268">
        <v>0.140216525020639</v>
      </c>
      <c r="K2268">
        <v>0.12959362243348499</v>
      </c>
      <c r="L2268">
        <v>1441.4859073740799</v>
      </c>
      <c r="M2268">
        <v>29.0097402831408</v>
      </c>
      <c r="N2268">
        <v>50.483205367236003</v>
      </c>
      <c r="O2268">
        <v>49.455397476308796</v>
      </c>
      <c r="P2268">
        <v>-0.119798454165617</v>
      </c>
      <c r="Q2268">
        <v>0.183083197787094</v>
      </c>
      <c r="R2268">
        <v>0.99183018836523495</v>
      </c>
      <c r="S2268" t="s">
        <v>7851</v>
      </c>
      <c r="T2268" t="s">
        <v>11164</v>
      </c>
      <c r="U2268" t="s">
        <v>11164</v>
      </c>
      <c r="V2268" t="s">
        <v>11164</v>
      </c>
      <c r="W2268" t="s">
        <v>13396</v>
      </c>
      <c r="X2268">
        <v>5</v>
      </c>
      <c r="Y2268" t="s">
        <v>18907</v>
      </c>
      <c r="Z2268" t="s">
        <v>24418</v>
      </c>
      <c r="AA2268">
        <v>0.53396012933525605</v>
      </c>
      <c r="AB2268" t="str">
        <f>HYPERLINK("Melting_Curves/meltCurve_P43378_PTPN9.pdf", "Melting_Curves/meltCurve_P43378_PTPN9.pdf")</f>
        <v>Melting_Curves/meltCurve_P43378_PTPN9.pdf</v>
      </c>
    </row>
    <row r="2269" spans="1:28" x14ac:dyDescent="0.25">
      <c r="A2269" t="s">
        <v>2273</v>
      </c>
      <c r="B2269">
        <v>0.99796759195183404</v>
      </c>
      <c r="C2269">
        <v>0.98819734533033099</v>
      </c>
      <c r="D2269">
        <v>1.0140921012327899</v>
      </c>
      <c r="E2269">
        <v>0.79718258534064101</v>
      </c>
      <c r="F2269">
        <v>0.69314492890535495</v>
      </c>
      <c r="G2269">
        <v>0.43377022517423502</v>
      </c>
      <c r="H2269">
        <v>0.34776332301849699</v>
      </c>
      <c r="I2269">
        <v>0.20593704488814801</v>
      </c>
      <c r="J2269">
        <v>0.12503033630219201</v>
      </c>
      <c r="K2269">
        <v>9.0492781781984902E-2</v>
      </c>
      <c r="L2269">
        <v>629.89372801272896</v>
      </c>
      <c r="M2269">
        <v>11.8589867318179</v>
      </c>
      <c r="N2269">
        <v>53.322306417861299</v>
      </c>
      <c r="O2269">
        <v>51.672504231613999</v>
      </c>
      <c r="P2269">
        <v>-5.60991322320821E-2</v>
      </c>
      <c r="Q2269">
        <v>2.2496151702430099E-2</v>
      </c>
      <c r="R2269">
        <v>0.99109479103953502</v>
      </c>
      <c r="S2269" t="s">
        <v>7852</v>
      </c>
      <c r="T2269" t="s">
        <v>11164</v>
      </c>
      <c r="U2269" t="s">
        <v>11164</v>
      </c>
      <c r="V2269" t="s">
        <v>11164</v>
      </c>
      <c r="W2269" t="s">
        <v>13397</v>
      </c>
      <c r="X2269">
        <v>3</v>
      </c>
      <c r="Y2269" t="s">
        <v>18908</v>
      </c>
      <c r="Z2269" t="s">
        <v>24419</v>
      </c>
      <c r="AA2269">
        <v>0.56797625324580936</v>
      </c>
      <c r="AB2269" t="str">
        <f>HYPERLINK("Melting_Curves/meltCurve_P43405_2_SYK.pdf", "Melting_Curves/meltCurve_P43405_2_SYK.pdf")</f>
        <v>Melting_Curves/meltCurve_P43405_2_SYK.pdf</v>
      </c>
    </row>
    <row r="2270" spans="1:28" x14ac:dyDescent="0.25">
      <c r="A2270" t="s">
        <v>2274</v>
      </c>
      <c r="B2270">
        <v>0.99796759195183404</v>
      </c>
      <c r="C2270">
        <v>1.0552775758969</v>
      </c>
      <c r="D2270">
        <v>1.0231383025577701</v>
      </c>
      <c r="E2270">
        <v>0.97143190601174401</v>
      </c>
      <c r="F2270">
        <v>0.82575015130097096</v>
      </c>
      <c r="G2270">
        <v>0.54374565177672296</v>
      </c>
      <c r="H2270">
        <v>0.39858439533852302</v>
      </c>
      <c r="I2270">
        <v>0.37017811051835398</v>
      </c>
      <c r="J2270">
        <v>0.42193167395693298</v>
      </c>
      <c r="K2270">
        <v>0.31786551350215803</v>
      </c>
      <c r="L2270">
        <v>1446.03138918685</v>
      </c>
      <c r="M2270">
        <v>27.824456218530599</v>
      </c>
      <c r="N2270">
        <v>54.509800280930698</v>
      </c>
      <c r="O2270">
        <v>51.703579789222701</v>
      </c>
      <c r="P2270">
        <v>-8.5666447273275506E-2</v>
      </c>
      <c r="Q2270">
        <v>0.36326186746095601</v>
      </c>
      <c r="R2270">
        <v>0.98944509570974204</v>
      </c>
      <c r="S2270" t="s">
        <v>7853</v>
      </c>
      <c r="T2270" t="s">
        <v>11164</v>
      </c>
      <c r="U2270" t="s">
        <v>11164</v>
      </c>
      <c r="V2270" t="s">
        <v>11164</v>
      </c>
      <c r="W2270" t="s">
        <v>13398</v>
      </c>
      <c r="X2270">
        <v>15</v>
      </c>
      <c r="Y2270" t="s">
        <v>18909</v>
      </c>
      <c r="Z2270" t="s">
        <v>24420</v>
      </c>
      <c r="AA2270">
        <v>0.68562266418432272</v>
      </c>
      <c r="AB2270" t="str">
        <f>HYPERLINK("Melting_Curves/meltCurve_P43487_RANBP1.pdf", "Melting_Curves/meltCurve_P43487_RANBP1.pdf")</f>
        <v>Melting_Curves/meltCurve_P43487_RANBP1.pdf</v>
      </c>
    </row>
    <row r="2271" spans="1:28" x14ac:dyDescent="0.25">
      <c r="A2271" t="s">
        <v>2275</v>
      </c>
      <c r="B2271">
        <v>0.99796759195183404</v>
      </c>
      <c r="C2271">
        <v>1.07381095102252</v>
      </c>
      <c r="D2271">
        <v>0.973499263462548</v>
      </c>
      <c r="E2271">
        <v>0.96786896573047099</v>
      </c>
      <c r="F2271">
        <v>0.88650463677871805</v>
      </c>
      <c r="G2271">
        <v>0.93777754807568003</v>
      </c>
      <c r="H2271">
        <v>0.58991509925635799</v>
      </c>
      <c r="I2271">
        <v>0.41375802663316702</v>
      </c>
      <c r="J2271">
        <v>9.7564715039682795E-2</v>
      </c>
      <c r="K2271">
        <v>6.2421814930877798E-2</v>
      </c>
      <c r="L2271">
        <v>1233.86836005234</v>
      </c>
      <c r="M2271">
        <v>20.914476834702999</v>
      </c>
      <c r="N2271">
        <v>58.995910976122197</v>
      </c>
      <c r="O2271">
        <v>58.464484304979202</v>
      </c>
      <c r="P2271">
        <v>-8.9434840600996796E-2</v>
      </c>
      <c r="Q2271">
        <v>0</v>
      </c>
      <c r="R2271">
        <v>0.97694494054758396</v>
      </c>
      <c r="S2271" t="s">
        <v>7854</v>
      </c>
      <c r="T2271" t="s">
        <v>11164</v>
      </c>
      <c r="U2271" t="s">
        <v>11164</v>
      </c>
      <c r="V2271" t="s">
        <v>11164</v>
      </c>
      <c r="W2271" t="s">
        <v>13399</v>
      </c>
      <c r="X2271">
        <v>20</v>
      </c>
      <c r="Y2271" t="s">
        <v>18910</v>
      </c>
      <c r="Z2271" t="s">
        <v>24421</v>
      </c>
      <c r="AA2271">
        <v>0.73762277473631199</v>
      </c>
      <c r="AB2271" t="str">
        <f>HYPERLINK("Melting_Curves/meltCurve_P43490_NAMPT.pdf", "Melting_Curves/meltCurve_P43490_NAMPT.pdf")</f>
        <v>Melting_Curves/meltCurve_P43490_NAMPT.pdf</v>
      </c>
    </row>
    <row r="2272" spans="1:28" x14ac:dyDescent="0.25">
      <c r="A2272" t="s">
        <v>2276</v>
      </c>
      <c r="B2272">
        <v>0.99796759195183404</v>
      </c>
      <c r="C2272">
        <v>0.95918511786564498</v>
      </c>
      <c r="D2272">
        <v>0.86752942019138202</v>
      </c>
      <c r="E2272">
        <v>0.89472854699651705</v>
      </c>
      <c r="F2272">
        <v>0.72727604007698698</v>
      </c>
      <c r="G2272">
        <v>0.815839886629804</v>
      </c>
      <c r="H2272">
        <v>0.47560325962244598</v>
      </c>
      <c r="I2272">
        <v>0.29426261367673701</v>
      </c>
      <c r="J2272">
        <v>0.14013643405234499</v>
      </c>
      <c r="K2272">
        <v>0.110080290922595</v>
      </c>
      <c r="L2272">
        <v>710.10702770747696</v>
      </c>
      <c r="M2272">
        <v>12.483814476630901</v>
      </c>
      <c r="N2272">
        <v>56.882215844669297</v>
      </c>
      <c r="O2272">
        <v>55.481783127853099</v>
      </c>
      <c r="P2272">
        <v>-5.6263496443897901E-2</v>
      </c>
      <c r="Q2272">
        <v>0</v>
      </c>
      <c r="R2272">
        <v>0.94913658873284101</v>
      </c>
      <c r="S2272" t="s">
        <v>7855</v>
      </c>
      <c r="T2272" t="s">
        <v>11164</v>
      </c>
      <c r="U2272" t="s">
        <v>11164</v>
      </c>
      <c r="V2272" t="s">
        <v>11164</v>
      </c>
      <c r="W2272" t="s">
        <v>13400</v>
      </c>
      <c r="X2272">
        <v>14</v>
      </c>
      <c r="Y2272" t="s">
        <v>18911</v>
      </c>
      <c r="Z2272" t="s">
        <v>24422</v>
      </c>
      <c r="AA2272">
        <v>0.66886351418893852</v>
      </c>
      <c r="AB2272" t="str">
        <f>HYPERLINK("Melting_Curves/meltCurve_P43686_PSMC4.pdf", "Melting_Curves/meltCurve_P43686_PSMC4.pdf")</f>
        <v>Melting_Curves/meltCurve_P43686_PSMC4.pdf</v>
      </c>
    </row>
    <row r="2273" spans="1:28" x14ac:dyDescent="0.25">
      <c r="A2273" t="s">
        <v>2277</v>
      </c>
      <c r="B2273">
        <v>0.99796759195183404</v>
      </c>
      <c r="C2273">
        <v>0.97825831694491205</v>
      </c>
      <c r="D2273">
        <v>0.98010456735412999</v>
      </c>
      <c r="E2273">
        <v>0.88457116206140496</v>
      </c>
      <c r="F2273">
        <v>0.57668593120796297</v>
      </c>
      <c r="G2273">
        <v>0.257196576706817</v>
      </c>
      <c r="H2273">
        <v>0.201238803965507</v>
      </c>
      <c r="I2273">
        <v>0.15873066765528501</v>
      </c>
      <c r="J2273">
        <v>0.14194221174530799</v>
      </c>
      <c r="K2273">
        <v>0.1086485348656</v>
      </c>
      <c r="L2273">
        <v>1213.9540527357001</v>
      </c>
      <c r="M2273">
        <v>24.1718389423033</v>
      </c>
      <c r="N2273">
        <v>50.878645349578697</v>
      </c>
      <c r="O2273">
        <v>49.881883437786499</v>
      </c>
      <c r="P2273">
        <v>-0.104910650933718</v>
      </c>
      <c r="Q2273">
        <v>0.13402361641466901</v>
      </c>
      <c r="R2273">
        <v>0.998140160524989</v>
      </c>
      <c r="S2273" t="s">
        <v>7856</v>
      </c>
      <c r="T2273" t="s">
        <v>11164</v>
      </c>
      <c r="U2273" t="s">
        <v>11164</v>
      </c>
      <c r="V2273" t="s">
        <v>11164</v>
      </c>
      <c r="W2273" t="s">
        <v>13401</v>
      </c>
      <c r="X2273">
        <v>10</v>
      </c>
      <c r="Y2273" t="s">
        <v>18912</v>
      </c>
      <c r="Z2273" t="s">
        <v>24423</v>
      </c>
      <c r="AA2273">
        <v>0.52377188553113951</v>
      </c>
      <c r="AB2273" t="str">
        <f>HYPERLINK("Melting_Curves/meltCurve_P43897_TSFM.pdf", "Melting_Curves/meltCurve_P43897_TSFM.pdf")</f>
        <v>Melting_Curves/meltCurve_P43897_TSFM.pdf</v>
      </c>
    </row>
    <row r="2274" spans="1:28" x14ac:dyDescent="0.25">
      <c r="A2274" t="s">
        <v>2278</v>
      </c>
      <c r="B2274">
        <v>0.99796759195183404</v>
      </c>
      <c r="C2274">
        <v>0.88252067302930803</v>
      </c>
      <c r="D2274">
        <v>0.91933991613276</v>
      </c>
      <c r="E2274">
        <v>0.79948900397489697</v>
      </c>
      <c r="F2274">
        <v>0.68903752547937502</v>
      </c>
      <c r="G2274">
        <v>0.720372815373858</v>
      </c>
      <c r="H2274">
        <v>0.64061246319524701</v>
      </c>
      <c r="I2274">
        <v>0.62076186719811199</v>
      </c>
      <c r="J2274">
        <v>0.59396584545728204</v>
      </c>
      <c r="K2274">
        <v>0.67156923455833795</v>
      </c>
      <c r="L2274">
        <v>504.72520530841501</v>
      </c>
      <c r="M2274">
        <v>10.953320475160099</v>
      </c>
      <c r="O2274">
        <v>44.623599525766302</v>
      </c>
      <c r="P2274">
        <v>-2.3764030954747301E-2</v>
      </c>
      <c r="Q2274">
        <v>0.61287609504391904</v>
      </c>
      <c r="R2274">
        <v>0.92901372903789303</v>
      </c>
      <c r="S2274" t="s">
        <v>7857</v>
      </c>
      <c r="T2274" t="s">
        <v>11164</v>
      </c>
      <c r="U2274" t="s">
        <v>11164</v>
      </c>
      <c r="V2274" t="s">
        <v>11164</v>
      </c>
      <c r="W2274" t="s">
        <v>13402</v>
      </c>
      <c r="X2274">
        <v>17</v>
      </c>
      <c r="Y2274" t="s">
        <v>18913</v>
      </c>
      <c r="Z2274" t="s">
        <v>24424</v>
      </c>
      <c r="AA2274">
        <v>0.74550134035483262</v>
      </c>
      <c r="AB2274" t="str">
        <f>HYPERLINK("Melting_Curves/meltCurve_P45880_VDAC2.pdf", "Melting_Curves/meltCurve_P45880_VDAC2.pdf")</f>
        <v>Melting_Curves/meltCurve_P45880_VDAC2.pdf</v>
      </c>
    </row>
    <row r="2275" spans="1:28" x14ac:dyDescent="0.25">
      <c r="A2275" t="s">
        <v>2279</v>
      </c>
      <c r="B2275">
        <v>0.99796759195183404</v>
      </c>
      <c r="C2275">
        <v>0.84087180709654197</v>
      </c>
      <c r="D2275">
        <v>0.79978916783602505</v>
      </c>
      <c r="E2275">
        <v>0.71821535287626803</v>
      </c>
      <c r="F2275">
        <v>0.605003488150053</v>
      </c>
      <c r="G2275">
        <v>0.44551125031425998</v>
      </c>
      <c r="H2275">
        <v>0.46009159721228599</v>
      </c>
      <c r="I2275">
        <v>0.55333337135558003</v>
      </c>
      <c r="J2275">
        <v>0.40255316958482301</v>
      </c>
      <c r="K2275">
        <v>0.39765880076723398</v>
      </c>
      <c r="L2275">
        <v>447.11532872216202</v>
      </c>
      <c r="M2275">
        <v>9.6697917133208797</v>
      </c>
      <c r="N2275">
        <v>55.049885564459203</v>
      </c>
      <c r="O2275">
        <v>44.390729377007197</v>
      </c>
      <c r="P2275">
        <v>-3.3039601405336003E-2</v>
      </c>
      <c r="Q2275">
        <v>0.39364090407637498</v>
      </c>
      <c r="R2275">
        <v>0.937144357033449</v>
      </c>
      <c r="S2275" t="s">
        <v>7858</v>
      </c>
      <c r="T2275" t="s">
        <v>11164</v>
      </c>
      <c r="U2275" t="s">
        <v>11164</v>
      </c>
      <c r="V2275" t="s">
        <v>11164</v>
      </c>
      <c r="W2275" t="s">
        <v>13403</v>
      </c>
      <c r="X2275">
        <v>16</v>
      </c>
      <c r="Y2275" t="s">
        <v>18913</v>
      </c>
      <c r="Z2275" t="s">
        <v>24425</v>
      </c>
      <c r="AA2275">
        <v>0.60933972984601681</v>
      </c>
      <c r="AB2275" t="str">
        <f>HYPERLINK("Melting_Curves/meltCurve_P45880_2_VDAC2.pdf", "Melting_Curves/meltCurve_P45880_2_VDAC2.pdf")</f>
        <v>Melting_Curves/meltCurve_P45880_2_VDAC2.pdf</v>
      </c>
    </row>
    <row r="2276" spans="1:28" x14ac:dyDescent="0.25">
      <c r="A2276" t="s">
        <v>2280</v>
      </c>
      <c r="B2276">
        <v>0.99796759195183404</v>
      </c>
      <c r="C2276">
        <v>1.0307252626904</v>
      </c>
      <c r="D2276">
        <v>1.0178331814013499</v>
      </c>
      <c r="E2276">
        <v>0.99280265633240605</v>
      </c>
      <c r="F2276">
        <v>0.83156821346604304</v>
      </c>
      <c r="G2276">
        <v>0.89161281473813103</v>
      </c>
      <c r="H2276">
        <v>0.50587336157377805</v>
      </c>
      <c r="I2276">
        <v>0.29483900088363102</v>
      </c>
      <c r="J2276">
        <v>0.19733053309815601</v>
      </c>
      <c r="K2276">
        <v>0.103723277932112</v>
      </c>
      <c r="L2276">
        <v>1075.8681508060499</v>
      </c>
      <c r="M2276">
        <v>18.659739995091702</v>
      </c>
      <c r="N2276">
        <v>57.972678329320303</v>
      </c>
      <c r="O2276">
        <v>57.007225388618998</v>
      </c>
      <c r="P2276">
        <v>-7.7883099120881094E-2</v>
      </c>
      <c r="Q2276">
        <v>4.82805618430735E-2</v>
      </c>
      <c r="R2276">
        <v>0.98068291169184796</v>
      </c>
      <c r="S2276" t="s">
        <v>7859</v>
      </c>
      <c r="T2276" t="s">
        <v>11164</v>
      </c>
      <c r="U2276" t="s">
        <v>11164</v>
      </c>
      <c r="V2276" t="s">
        <v>11164</v>
      </c>
      <c r="W2276" t="s">
        <v>13404</v>
      </c>
      <c r="X2276">
        <v>9</v>
      </c>
      <c r="Y2276" t="s">
        <v>18914</v>
      </c>
      <c r="Z2276" t="s">
        <v>24426</v>
      </c>
      <c r="AA2276">
        <v>0.71067544924920201</v>
      </c>
      <c r="AB2276" t="str">
        <f>HYPERLINK("Melting_Curves/meltCurve_P45954_ACADSB.pdf", "Melting_Curves/meltCurve_P45954_ACADSB.pdf")</f>
        <v>Melting_Curves/meltCurve_P45954_ACADSB.pdf</v>
      </c>
    </row>
    <row r="2277" spans="1:28" x14ac:dyDescent="0.25">
      <c r="A2277" t="s">
        <v>2281</v>
      </c>
      <c r="B2277">
        <v>0.99796759195183404</v>
      </c>
      <c r="C2277">
        <v>1.0149790638313201</v>
      </c>
      <c r="D2277">
        <v>1.004136664075</v>
      </c>
      <c r="E2277">
        <v>0.99917999794307799</v>
      </c>
      <c r="F2277">
        <v>0.87658755499385299</v>
      </c>
      <c r="G2277">
        <v>0.45091535363782898</v>
      </c>
      <c r="H2277">
        <v>0.23282069403627501</v>
      </c>
      <c r="I2277">
        <v>0.16028925517859699</v>
      </c>
      <c r="J2277">
        <v>0.14423257528185399</v>
      </c>
      <c r="K2277">
        <v>0.12670657005889899</v>
      </c>
      <c r="L2277">
        <v>1663.5669669127501</v>
      </c>
      <c r="M2277">
        <v>31.434969413264501</v>
      </c>
      <c r="N2277">
        <v>53.491850087261398</v>
      </c>
      <c r="O2277">
        <v>52.7081167837067</v>
      </c>
      <c r="P2277">
        <v>-0.127850837437639</v>
      </c>
      <c r="Q2277">
        <v>0.14251669226654601</v>
      </c>
      <c r="R2277">
        <v>0.99906037370854694</v>
      </c>
      <c r="S2277" t="s">
        <v>7860</v>
      </c>
      <c r="T2277" t="s">
        <v>11164</v>
      </c>
      <c r="U2277" t="s">
        <v>11164</v>
      </c>
      <c r="V2277" t="s">
        <v>11164</v>
      </c>
      <c r="W2277" t="s">
        <v>13405</v>
      </c>
      <c r="X2277">
        <v>11</v>
      </c>
      <c r="Y2277" t="s">
        <v>18915</v>
      </c>
      <c r="Z2277" t="s">
        <v>24427</v>
      </c>
      <c r="AA2277">
        <v>0.60257521635815514</v>
      </c>
      <c r="AB2277" t="str">
        <f>HYPERLINK("Melting_Curves/meltCurve_P45973_CBX5.pdf", "Melting_Curves/meltCurve_P45973_CBX5.pdf")</f>
        <v>Melting_Curves/meltCurve_P45973_CBX5.pdf</v>
      </c>
    </row>
    <row r="2278" spans="1:28" x14ac:dyDescent="0.25">
      <c r="A2278" t="s">
        <v>2282</v>
      </c>
      <c r="B2278">
        <v>0.99796759195183404</v>
      </c>
      <c r="C2278">
        <v>0.97395854104609003</v>
      </c>
      <c r="D2278">
        <v>0.98182979982614804</v>
      </c>
      <c r="E2278">
        <v>0.930683521649322</v>
      </c>
      <c r="F2278">
        <v>0.80979527281322605</v>
      </c>
      <c r="G2278">
        <v>0.61246803893979196</v>
      </c>
      <c r="H2278">
        <v>0.39678821359324001</v>
      </c>
      <c r="I2278">
        <v>0.19476980916977199</v>
      </c>
      <c r="J2278">
        <v>0.13260666950510899</v>
      </c>
      <c r="K2278">
        <v>9.7887133870696405E-2</v>
      </c>
      <c r="L2278">
        <v>786.003215657189</v>
      </c>
      <c r="M2278">
        <v>14.1886200485265</v>
      </c>
      <c r="N2278">
        <v>55.455928874428899</v>
      </c>
      <c r="O2278">
        <v>54.331160618577798</v>
      </c>
      <c r="P2278">
        <v>-6.4805141983456493E-2</v>
      </c>
      <c r="Q2278">
        <v>7.5154760338963797E-3</v>
      </c>
      <c r="R2278">
        <v>0.99880954815307899</v>
      </c>
      <c r="S2278" t="s">
        <v>7861</v>
      </c>
      <c r="T2278" t="s">
        <v>11164</v>
      </c>
      <c r="U2278" t="s">
        <v>11164</v>
      </c>
      <c r="V2278" t="s">
        <v>11164</v>
      </c>
      <c r="W2278" t="s">
        <v>13406</v>
      </c>
      <c r="X2278">
        <v>35</v>
      </c>
      <c r="Y2278" t="s">
        <v>18916</v>
      </c>
      <c r="Z2278" t="s">
        <v>24428</v>
      </c>
      <c r="AA2278">
        <v>0.62924674639497791</v>
      </c>
      <c r="AB2278" t="str">
        <f>HYPERLINK("Melting_Curves/meltCurve_P45974_2_USP5.pdf", "Melting_Curves/meltCurve_P45974_2_USP5.pdf")</f>
        <v>Melting_Curves/meltCurve_P45974_2_USP5.pdf</v>
      </c>
    </row>
    <row r="2279" spans="1:28" x14ac:dyDescent="0.25">
      <c r="A2279" t="s">
        <v>2283</v>
      </c>
      <c r="B2279">
        <v>0.99796759195183404</v>
      </c>
      <c r="C2279">
        <v>1.3468851228685399</v>
      </c>
      <c r="D2279">
        <v>1.26204059104785</v>
      </c>
      <c r="E2279">
        <v>0.94251665932737505</v>
      </c>
      <c r="F2279">
        <v>0.88181168658998099</v>
      </c>
      <c r="G2279">
        <v>0.49853416328211803</v>
      </c>
      <c r="H2279">
        <v>0.26594604831832502</v>
      </c>
      <c r="I2279">
        <v>0.231033388538922</v>
      </c>
      <c r="J2279">
        <v>0.19291628091501301</v>
      </c>
      <c r="K2279">
        <v>0.112519153293341</v>
      </c>
      <c r="L2279">
        <v>1484.8861788940901</v>
      </c>
      <c r="M2279">
        <v>27.942188364948201</v>
      </c>
      <c r="N2279">
        <v>53.9285408197807</v>
      </c>
      <c r="O2279">
        <v>52.871419900087403</v>
      </c>
      <c r="P2279">
        <v>-0.109997910624223</v>
      </c>
      <c r="Q2279">
        <v>0.16746743349623799</v>
      </c>
      <c r="R2279">
        <v>0.89929988277456796</v>
      </c>
      <c r="S2279" t="s">
        <v>7862</v>
      </c>
      <c r="T2279" t="s">
        <v>11164</v>
      </c>
      <c r="U2279" t="s">
        <v>11164</v>
      </c>
      <c r="V2279" t="s">
        <v>11164</v>
      </c>
      <c r="W2279" t="s">
        <v>13407</v>
      </c>
      <c r="X2279">
        <v>4</v>
      </c>
      <c r="Y2279" t="s">
        <v>18917</v>
      </c>
      <c r="Z2279" t="s">
        <v>24429</v>
      </c>
      <c r="AA2279">
        <v>0.62145072974294668</v>
      </c>
      <c r="AB2279" t="str">
        <f>HYPERLINK("Melting_Curves/meltCurve_P45983_3_MAPK8.pdf", "Melting_Curves/meltCurve_P45983_3_MAPK8.pdf")</f>
        <v>Melting_Curves/meltCurve_P45983_3_MAPK8.pdf</v>
      </c>
    </row>
    <row r="2280" spans="1:28" x14ac:dyDescent="0.25">
      <c r="A2280" t="s">
        <v>2284</v>
      </c>
      <c r="B2280">
        <v>0.99796759195183404</v>
      </c>
      <c r="C2280">
        <v>1.0467718183691099</v>
      </c>
      <c r="D2280">
        <v>1.00478068556178</v>
      </c>
      <c r="E2280">
        <v>0.96273767555973</v>
      </c>
      <c r="F2280">
        <v>0.817882392317276</v>
      </c>
      <c r="G2280">
        <v>0.70168592510955596</v>
      </c>
      <c r="H2280">
        <v>0.33751698745786102</v>
      </c>
      <c r="I2280">
        <v>0.14609278963383901</v>
      </c>
      <c r="J2280">
        <v>8.2062969158613899E-2</v>
      </c>
      <c r="K2280">
        <v>7.9621547426644998E-2</v>
      </c>
      <c r="L2280">
        <v>1039.5982306352701</v>
      </c>
      <c r="M2280">
        <v>18.7563697942198</v>
      </c>
      <c r="N2280">
        <v>55.532593499097104</v>
      </c>
      <c r="O2280">
        <v>54.807895852225101</v>
      </c>
      <c r="P2280">
        <v>-8.4051656430237501E-2</v>
      </c>
      <c r="Q2280">
        <v>1.7613481084137999E-2</v>
      </c>
      <c r="R2280">
        <v>0.99291058464327198</v>
      </c>
      <c r="S2280" t="s">
        <v>7863</v>
      </c>
      <c r="T2280" t="s">
        <v>11164</v>
      </c>
      <c r="U2280" t="s">
        <v>11164</v>
      </c>
      <c r="V2280" t="s">
        <v>11164</v>
      </c>
      <c r="W2280" t="s">
        <v>13408</v>
      </c>
      <c r="X2280">
        <v>6</v>
      </c>
      <c r="Y2280" t="s">
        <v>18918</v>
      </c>
      <c r="Z2280" t="s">
        <v>24430</v>
      </c>
      <c r="AA2280">
        <v>0.6323921757164257</v>
      </c>
      <c r="AB2280" t="str">
        <f>HYPERLINK("Melting_Curves/meltCurve_P45984_3_MAPK9.pdf", "Melting_Curves/meltCurve_P45984_3_MAPK9.pdf")</f>
        <v>Melting_Curves/meltCurve_P45984_3_MAPK9.pdf</v>
      </c>
    </row>
    <row r="2281" spans="1:28" x14ac:dyDescent="0.25">
      <c r="A2281" t="s">
        <v>2285</v>
      </c>
      <c r="B2281">
        <v>0.99796759195183404</v>
      </c>
      <c r="C2281">
        <v>1.03570864067308</v>
      </c>
      <c r="D2281">
        <v>1.1009221071889199</v>
      </c>
      <c r="E2281">
        <v>1.03194230897775</v>
      </c>
      <c r="F2281">
        <v>0.852076540251543</v>
      </c>
      <c r="G2281">
        <v>0.57563359911431</v>
      </c>
      <c r="H2281">
        <v>0.325975979722328</v>
      </c>
      <c r="I2281">
        <v>0.29752873691395298</v>
      </c>
      <c r="J2281">
        <v>0.220476749093552</v>
      </c>
      <c r="K2281">
        <v>0.21440356554457601</v>
      </c>
      <c r="L2281">
        <v>1364.94331100621</v>
      </c>
      <c r="M2281">
        <v>25.587633783883501</v>
      </c>
      <c r="N2281">
        <v>54.631195919022602</v>
      </c>
      <c r="O2281">
        <v>53.021246225652803</v>
      </c>
      <c r="P2281">
        <v>-9.3334247705804799E-2</v>
      </c>
      <c r="Q2281">
        <v>0.226401707859787</v>
      </c>
      <c r="R2281">
        <v>0.98655771505483003</v>
      </c>
      <c r="S2281" t="s">
        <v>7864</v>
      </c>
      <c r="T2281" t="s">
        <v>11164</v>
      </c>
      <c r="U2281" t="s">
        <v>11164</v>
      </c>
      <c r="V2281" t="s">
        <v>11164</v>
      </c>
      <c r="W2281" t="s">
        <v>13409</v>
      </c>
      <c r="X2281">
        <v>7</v>
      </c>
      <c r="Y2281" t="s">
        <v>18919</v>
      </c>
      <c r="Z2281" t="s">
        <v>24431</v>
      </c>
      <c r="AA2281">
        <v>0.65440726085708067</v>
      </c>
      <c r="AB2281" t="str">
        <f>HYPERLINK("Melting_Curves/meltCurve_P45985_MAP2K4.pdf", "Melting_Curves/meltCurve_P45985_MAP2K4.pdf")</f>
        <v>Melting_Curves/meltCurve_P45985_MAP2K4.pdf</v>
      </c>
    </row>
    <row r="2282" spans="1:28" x14ac:dyDescent="0.25">
      <c r="A2282" t="s">
        <v>2286</v>
      </c>
      <c r="B2282">
        <v>0.99796759195183404</v>
      </c>
      <c r="C2282">
        <v>0.92259341244263005</v>
      </c>
      <c r="D2282">
        <v>0.92329787367514404</v>
      </c>
      <c r="E2282">
        <v>0.79117655634704398</v>
      </c>
      <c r="F2282">
        <v>0.456040379123338</v>
      </c>
      <c r="G2282">
        <v>0.264128227848552</v>
      </c>
      <c r="H2282">
        <v>0.17917215964984501</v>
      </c>
      <c r="I2282">
        <v>0.144004996522796</v>
      </c>
      <c r="J2282">
        <v>9.7759771828212702E-2</v>
      </c>
      <c r="K2282">
        <v>6.8494152914495607E-2</v>
      </c>
      <c r="L2282">
        <v>824.97714683933498</v>
      </c>
      <c r="M2282">
        <v>16.6900088335898</v>
      </c>
      <c r="N2282">
        <v>49.961228128142203</v>
      </c>
      <c r="O2282">
        <v>48.736139667418598</v>
      </c>
      <c r="P2282">
        <v>-7.8651475183409605E-2</v>
      </c>
      <c r="Q2282">
        <v>8.1387027556871605E-2</v>
      </c>
      <c r="R2282">
        <v>0.99455266832953204</v>
      </c>
      <c r="S2282" t="s">
        <v>7865</v>
      </c>
      <c r="T2282" t="s">
        <v>11164</v>
      </c>
      <c r="U2282" t="s">
        <v>11164</v>
      </c>
      <c r="V2282" t="s">
        <v>11164</v>
      </c>
      <c r="W2282" t="s">
        <v>13410</v>
      </c>
      <c r="X2282">
        <v>22</v>
      </c>
      <c r="Y2282" t="s">
        <v>18920</v>
      </c>
      <c r="Z2282" t="s">
        <v>24432</v>
      </c>
      <c r="AA2282">
        <v>0.47849275600558933</v>
      </c>
      <c r="AB2282" t="str">
        <f>HYPERLINK("Melting_Curves/meltCurve_P46013_MKI67.pdf", "Melting_Curves/meltCurve_P46013_MKI67.pdf")</f>
        <v>Melting_Curves/meltCurve_P46013_MKI67.pdf</v>
      </c>
    </row>
    <row r="2283" spans="1:28" x14ac:dyDescent="0.25">
      <c r="A2283" t="s">
        <v>2287</v>
      </c>
      <c r="B2283">
        <v>0.99796759195183404</v>
      </c>
      <c r="C2283">
        <v>1.0148048931019999</v>
      </c>
      <c r="D2283">
        <v>1.11699274897884</v>
      </c>
      <c r="E2283">
        <v>0.90796518780006297</v>
      </c>
      <c r="F2283">
        <v>0.67580041039257399</v>
      </c>
      <c r="G2283">
        <v>0.27842573829297501</v>
      </c>
      <c r="H2283">
        <v>0.21234230899557599</v>
      </c>
      <c r="I2283">
        <v>0.18367297767448101</v>
      </c>
      <c r="J2283">
        <v>0.197243543793924</v>
      </c>
      <c r="K2283">
        <v>9.4461944177797796E-2</v>
      </c>
      <c r="L2283">
        <v>1484.17025501129</v>
      </c>
      <c r="M2283">
        <v>29.177572885141998</v>
      </c>
      <c r="N2283">
        <v>51.540228595280098</v>
      </c>
      <c r="O2283">
        <v>50.629672510884397</v>
      </c>
      <c r="P2283">
        <v>-0.12124052338595501</v>
      </c>
      <c r="Q2283">
        <v>0.15848746419002999</v>
      </c>
      <c r="R2283">
        <v>0.98463818602925202</v>
      </c>
      <c r="S2283" t="s">
        <v>7866</v>
      </c>
      <c r="T2283" t="s">
        <v>11164</v>
      </c>
      <c r="U2283" t="s">
        <v>11164</v>
      </c>
      <c r="V2283" t="s">
        <v>11164</v>
      </c>
      <c r="W2283" t="s">
        <v>13411</v>
      </c>
      <c r="X2283">
        <v>18</v>
      </c>
      <c r="Y2283" t="s">
        <v>18920</v>
      </c>
      <c r="Z2283" t="s">
        <v>24433</v>
      </c>
      <c r="AA2283">
        <v>0.55298145881643868</v>
      </c>
      <c r="AB2283" t="str">
        <f>HYPERLINK("Melting_Curves/meltCurve_P46013_2_MKI67.pdf", "Melting_Curves/meltCurve_P46013_2_MKI67.pdf")</f>
        <v>Melting_Curves/meltCurve_P46013_2_MKI67.pdf</v>
      </c>
    </row>
    <row r="2284" spans="1:28" x14ac:dyDescent="0.25">
      <c r="A2284" t="s">
        <v>2288</v>
      </c>
      <c r="B2284">
        <v>0.99796759195183404</v>
      </c>
      <c r="C2284">
        <v>0.96915935262554198</v>
      </c>
      <c r="D2284">
        <v>0.91274149680948702</v>
      </c>
      <c r="E2284">
        <v>0.89297768046956405</v>
      </c>
      <c r="F2284">
        <v>0.68590030742918595</v>
      </c>
      <c r="G2284">
        <v>0.61223253784382803</v>
      </c>
      <c r="H2284">
        <v>0.38180931582548899</v>
      </c>
      <c r="I2284">
        <v>0.231932895841793</v>
      </c>
      <c r="J2284">
        <v>0.19651958736043099</v>
      </c>
      <c r="K2284">
        <v>0.158068256828342</v>
      </c>
      <c r="L2284">
        <v>564.54904477070102</v>
      </c>
      <c r="M2284">
        <v>10.278881070128</v>
      </c>
      <c r="N2284">
        <v>54.988876863094497</v>
      </c>
      <c r="O2284">
        <v>52.966213571993102</v>
      </c>
      <c r="P2284">
        <v>-4.8241322404499402E-2</v>
      </c>
      <c r="Q2284">
        <v>6.1010449849979902E-3</v>
      </c>
      <c r="R2284">
        <v>0.99152058199950999</v>
      </c>
      <c r="S2284" t="s">
        <v>7867</v>
      </c>
      <c r="T2284" t="s">
        <v>11164</v>
      </c>
      <c r="U2284" t="s">
        <v>11164</v>
      </c>
      <c r="V2284" t="s">
        <v>11164</v>
      </c>
      <c r="W2284" t="s">
        <v>13412</v>
      </c>
      <c r="X2284">
        <v>2</v>
      </c>
      <c r="Y2284" t="s">
        <v>18921</v>
      </c>
      <c r="Z2284" t="s">
        <v>24434</v>
      </c>
      <c r="AA2284">
        <v>0.61284487702112189</v>
      </c>
      <c r="AB2284" t="str">
        <f>HYPERLINK("Melting_Curves/meltCurve_P46019_PHKA2.pdf", "Melting_Curves/meltCurve_P46019_PHKA2.pdf")</f>
        <v>Melting_Curves/meltCurve_P46019_PHKA2.pdf</v>
      </c>
    </row>
    <row r="2285" spans="1:28" x14ac:dyDescent="0.25">
      <c r="A2285" t="s">
        <v>2289</v>
      </c>
      <c r="B2285">
        <v>0.99796759195183404</v>
      </c>
      <c r="C2285">
        <v>0.94993244888259798</v>
      </c>
      <c r="D2285">
        <v>0.95959136805667</v>
      </c>
      <c r="E2285">
        <v>0.89960528132975703</v>
      </c>
      <c r="F2285">
        <v>0.75664814513203904</v>
      </c>
      <c r="G2285">
        <v>0.34808163498310501</v>
      </c>
      <c r="H2285">
        <v>0.16839989351912801</v>
      </c>
      <c r="I2285">
        <v>0.12798400835447801</v>
      </c>
      <c r="J2285">
        <v>0.10066557724880699</v>
      </c>
      <c r="K2285">
        <v>7.2038500380489201E-2</v>
      </c>
      <c r="L2285">
        <v>1222.2934726358701</v>
      </c>
      <c r="M2285">
        <v>23.508895660712799</v>
      </c>
      <c r="N2285">
        <v>52.392571480382401</v>
      </c>
      <c r="O2285">
        <v>51.620980029820799</v>
      </c>
      <c r="P2285">
        <v>-0.104507339257747</v>
      </c>
      <c r="Q2285">
        <v>8.2104278672484404E-2</v>
      </c>
      <c r="R2285">
        <v>0.99484684522758104</v>
      </c>
      <c r="S2285" t="s">
        <v>7868</v>
      </c>
      <c r="T2285" t="s">
        <v>11164</v>
      </c>
      <c r="U2285" t="s">
        <v>11164</v>
      </c>
      <c r="V2285" t="s">
        <v>11164</v>
      </c>
      <c r="W2285" t="s">
        <v>13413</v>
      </c>
      <c r="X2285">
        <v>26</v>
      </c>
      <c r="Y2285" t="s">
        <v>18922</v>
      </c>
      <c r="Z2285" t="s">
        <v>24435</v>
      </c>
      <c r="AA2285">
        <v>0.54989949953701323</v>
      </c>
      <c r="AB2285" t="str">
        <f>HYPERLINK("Melting_Curves/meltCurve_P46060_RANGAP1.pdf", "Melting_Curves/meltCurve_P46060_RANGAP1.pdf")</f>
        <v>Melting_Curves/meltCurve_P46060_RANGAP1.pdf</v>
      </c>
    </row>
    <row r="2286" spans="1:28" x14ac:dyDescent="0.25">
      <c r="A2286" t="s">
        <v>2290</v>
      </c>
      <c r="B2286">
        <v>0.99796759195183404</v>
      </c>
      <c r="C2286">
        <v>1.0056298567745401</v>
      </c>
      <c r="D2286">
        <v>0.974957060812636</v>
      </c>
      <c r="E2286">
        <v>0.90976773576057801</v>
      </c>
      <c r="F2286">
        <v>0.84237373473700905</v>
      </c>
      <c r="G2286">
        <v>0.68253406145208495</v>
      </c>
      <c r="H2286">
        <v>0.45135874642910501</v>
      </c>
      <c r="I2286">
        <v>0.21448621591411099</v>
      </c>
      <c r="J2286">
        <v>0.14974797518796601</v>
      </c>
      <c r="K2286">
        <v>9.3253115639315598E-2</v>
      </c>
      <c r="L2286">
        <v>808.98937991908701</v>
      </c>
      <c r="M2286">
        <v>14.3667821536184</v>
      </c>
      <c r="N2286">
        <v>56.309713427335701</v>
      </c>
      <c r="O2286">
        <v>55.2524480398395</v>
      </c>
      <c r="P2286">
        <v>-6.5012959171507595E-2</v>
      </c>
      <c r="Q2286">
        <v>0</v>
      </c>
      <c r="R2286">
        <v>0.996672852866621</v>
      </c>
      <c r="S2286" t="s">
        <v>7869</v>
      </c>
      <c r="T2286" t="s">
        <v>11164</v>
      </c>
      <c r="U2286" t="s">
        <v>11164</v>
      </c>
      <c r="V2286" t="s">
        <v>11164</v>
      </c>
      <c r="W2286" t="s">
        <v>13414</v>
      </c>
      <c r="X2286">
        <v>10</v>
      </c>
      <c r="Y2286" t="s">
        <v>18923</v>
      </c>
      <c r="Z2286" t="s">
        <v>24436</v>
      </c>
      <c r="AA2286">
        <v>0.65397728542709055</v>
      </c>
      <c r="AB2286" t="str">
        <f>HYPERLINK("Melting_Curves/meltCurve_P46063_RECQL.pdf", "Melting_Curves/meltCurve_P46063_RECQL.pdf")</f>
        <v>Melting_Curves/meltCurve_P46063_RECQL.pdf</v>
      </c>
    </row>
    <row r="2287" spans="1:28" x14ac:dyDescent="0.25">
      <c r="A2287" t="s">
        <v>2291</v>
      </c>
      <c r="B2287">
        <v>0.99796759195183404</v>
      </c>
      <c r="C2287">
        <v>1.03986724114538</v>
      </c>
      <c r="D2287">
        <v>0.96571095636351101</v>
      </c>
      <c r="E2287">
        <v>0.84128918799318397</v>
      </c>
      <c r="F2287">
        <v>0.69980150803885399</v>
      </c>
      <c r="G2287">
        <v>0.57580620797039395</v>
      </c>
      <c r="H2287">
        <v>0.43913697207621</v>
      </c>
      <c r="I2287">
        <v>0.20366630097595401</v>
      </c>
      <c r="J2287">
        <v>0.13710809571879801</v>
      </c>
      <c r="K2287">
        <v>5.90287442100558E-2</v>
      </c>
      <c r="L2287">
        <v>632.64244273208499</v>
      </c>
      <c r="M2287">
        <v>11.561913064107999</v>
      </c>
      <c r="N2287">
        <v>54.717778037872598</v>
      </c>
      <c r="O2287">
        <v>53.1577311768512</v>
      </c>
      <c r="P2287">
        <v>-5.4390639382120097E-2</v>
      </c>
      <c r="Q2287">
        <v>0</v>
      </c>
      <c r="R2287">
        <v>0.98763180811200901</v>
      </c>
      <c r="S2287" t="s">
        <v>7870</v>
      </c>
      <c r="T2287" t="s">
        <v>11164</v>
      </c>
      <c r="U2287" t="s">
        <v>11164</v>
      </c>
      <c r="V2287" t="s">
        <v>11164</v>
      </c>
      <c r="W2287" t="s">
        <v>13415</v>
      </c>
      <c r="X2287">
        <v>1</v>
      </c>
      <c r="Y2287" t="s">
        <v>18924</v>
      </c>
      <c r="Z2287" t="s">
        <v>24437</v>
      </c>
      <c r="AA2287">
        <v>0.60574171031287805</v>
      </c>
      <c r="AB2287" t="str">
        <f>HYPERLINK("Melting_Curves/meltCurve_P46087_2_NOP2.pdf", "Melting_Curves/meltCurve_P46087_2_NOP2.pdf")</f>
        <v>Melting_Curves/meltCurve_P46087_2_NOP2.pdf</v>
      </c>
    </row>
    <row r="2288" spans="1:28" x14ac:dyDescent="0.25">
      <c r="A2288" t="s">
        <v>2292</v>
      </c>
      <c r="B2288">
        <v>0.99796759195183404</v>
      </c>
      <c r="C2288">
        <v>1.0123133214309199</v>
      </c>
      <c r="D2288">
        <v>1.02093131159447</v>
      </c>
      <c r="E2288">
        <v>0.95749304863377804</v>
      </c>
      <c r="F2288">
        <v>0.81139561267898397</v>
      </c>
      <c r="G2288">
        <v>0.37660569342098399</v>
      </c>
      <c r="H2288">
        <v>0.27675116482124901</v>
      </c>
      <c r="I2288">
        <v>0.180665009290779</v>
      </c>
      <c r="J2288">
        <v>0.12122982172532799</v>
      </c>
      <c r="K2288">
        <v>0.10275835121572301</v>
      </c>
      <c r="L2288">
        <v>1342.9317808672799</v>
      </c>
      <c r="M2288">
        <v>25.649349547102702</v>
      </c>
      <c r="N2288">
        <v>53.000681301000299</v>
      </c>
      <c r="O2288">
        <v>52.042195808371503</v>
      </c>
      <c r="P2288">
        <v>-0.1067335490609</v>
      </c>
      <c r="Q2288">
        <v>0.13376660206997101</v>
      </c>
      <c r="R2288">
        <v>0.99351097356059304</v>
      </c>
      <c r="S2288" t="s">
        <v>7871</v>
      </c>
      <c r="T2288" t="s">
        <v>11164</v>
      </c>
      <c r="U2288" t="s">
        <v>11164</v>
      </c>
      <c r="V2288" t="s">
        <v>11164</v>
      </c>
      <c r="W2288" t="s">
        <v>13416</v>
      </c>
      <c r="X2288">
        <v>15</v>
      </c>
      <c r="Y2288" t="s">
        <v>18925</v>
      </c>
      <c r="Z2288" t="s">
        <v>24438</v>
      </c>
      <c r="AA2288">
        <v>0.58453262829768726</v>
      </c>
      <c r="AB2288" t="str">
        <f>HYPERLINK("Melting_Curves/meltCurve_P46108_CRK.pdf", "Melting_Curves/meltCurve_P46108_CRK.pdf")</f>
        <v>Melting_Curves/meltCurve_P46108_CRK.pdf</v>
      </c>
    </row>
    <row r="2289" spans="1:28" x14ac:dyDescent="0.25">
      <c r="A2289" t="s">
        <v>2293</v>
      </c>
      <c r="B2289">
        <v>0.99796759195183404</v>
      </c>
      <c r="C2289">
        <v>1.0012260997659601</v>
      </c>
      <c r="D2289">
        <v>0.92776982641485795</v>
      </c>
      <c r="E2289">
        <v>0.79264420847707395</v>
      </c>
      <c r="F2289">
        <v>0.72494188844770002</v>
      </c>
      <c r="G2289">
        <v>0.42178297518875602</v>
      </c>
      <c r="H2289">
        <v>0.31856131529159398</v>
      </c>
      <c r="I2289">
        <v>0.26443226162650602</v>
      </c>
      <c r="J2289">
        <v>0.21132503525957799</v>
      </c>
      <c r="K2289">
        <v>0.16653927452113901</v>
      </c>
      <c r="L2289">
        <v>660.61791309558396</v>
      </c>
      <c r="M2289">
        <v>12.7421166908488</v>
      </c>
      <c r="N2289">
        <v>53.123700719017201</v>
      </c>
      <c r="O2289">
        <v>50.618006267115</v>
      </c>
      <c r="P2289">
        <v>-5.46331841110985E-2</v>
      </c>
      <c r="Q2289">
        <v>0.13204494000440301</v>
      </c>
      <c r="R2289">
        <v>0.99050363553377596</v>
      </c>
      <c r="S2289" t="s">
        <v>7872</v>
      </c>
      <c r="T2289" t="s">
        <v>11164</v>
      </c>
      <c r="U2289" t="s">
        <v>11164</v>
      </c>
      <c r="V2289" t="s">
        <v>11164</v>
      </c>
      <c r="W2289" t="s">
        <v>13417</v>
      </c>
      <c r="X2289">
        <v>13</v>
      </c>
      <c r="Y2289" t="s">
        <v>18926</v>
      </c>
      <c r="Z2289" t="s">
        <v>24439</v>
      </c>
      <c r="AA2289">
        <v>0.58142738310277942</v>
      </c>
      <c r="AB2289" t="str">
        <f>HYPERLINK("Melting_Curves/meltCurve_P46109_CRKL.pdf", "Melting_Curves/meltCurve_P46109_CRKL.pdf")</f>
        <v>Melting_Curves/meltCurve_P46109_CRKL.pdf</v>
      </c>
    </row>
    <row r="2290" spans="1:28" x14ac:dyDescent="0.25">
      <c r="A2290" t="s">
        <v>2294</v>
      </c>
      <c r="B2290">
        <v>0.99796759195183404</v>
      </c>
      <c r="C2290">
        <v>1.0855009766833199</v>
      </c>
      <c r="D2290">
        <v>1.0429786739726301</v>
      </c>
      <c r="E2290">
        <v>0.91392557609275804</v>
      </c>
      <c r="F2290">
        <v>0.71258079363023696</v>
      </c>
      <c r="G2290">
        <v>0.616224978483775</v>
      </c>
      <c r="H2290">
        <v>0.54648837685229301</v>
      </c>
      <c r="I2290">
        <v>0.47840048882617497</v>
      </c>
      <c r="J2290">
        <v>0.27681931212348199</v>
      </c>
      <c r="K2290">
        <v>0.19716922360216299</v>
      </c>
      <c r="L2290">
        <v>511.46545579166798</v>
      </c>
      <c r="M2290">
        <v>8.8300698219056493</v>
      </c>
      <c r="N2290">
        <v>57.923138634371</v>
      </c>
      <c r="O2290">
        <v>55.183027607602597</v>
      </c>
      <c r="P2290">
        <v>-4.0034786810635402E-2</v>
      </c>
      <c r="Q2290">
        <v>0</v>
      </c>
      <c r="R2290">
        <v>0.95826417736158698</v>
      </c>
      <c r="S2290" t="s">
        <v>7873</v>
      </c>
      <c r="T2290" t="s">
        <v>11164</v>
      </c>
      <c r="U2290" t="s">
        <v>11164</v>
      </c>
      <c r="V2290" t="s">
        <v>11164</v>
      </c>
      <c r="W2290" t="s">
        <v>13418</v>
      </c>
      <c r="X2290">
        <v>9</v>
      </c>
      <c r="Y2290" t="s">
        <v>18927</v>
      </c>
      <c r="Z2290" t="s">
        <v>24440</v>
      </c>
      <c r="AA2290">
        <v>0.68316816891326837</v>
      </c>
      <c r="AB2290" t="str">
        <f>HYPERLINK("Melting_Curves/meltCurve_P46199_MTIF2.pdf", "Melting_Curves/meltCurve_P46199_MTIF2.pdf")</f>
        <v>Melting_Curves/meltCurve_P46199_MTIF2.pdf</v>
      </c>
    </row>
    <row r="2291" spans="1:28" x14ac:dyDescent="0.25">
      <c r="A2291" t="s">
        <v>2295</v>
      </c>
      <c r="B2291">
        <v>0.99796759195183404</v>
      </c>
      <c r="C2291">
        <v>1.1570775363997301</v>
      </c>
      <c r="D2291">
        <v>0.92087363922973697</v>
      </c>
      <c r="E2291">
        <v>0.97241397192767598</v>
      </c>
      <c r="F2291">
        <v>0.71642346217244501</v>
      </c>
      <c r="G2291">
        <v>0.755002716761351</v>
      </c>
      <c r="H2291">
        <v>1.0265168323423799</v>
      </c>
      <c r="I2291">
        <v>0.68897075726469603</v>
      </c>
      <c r="J2291">
        <v>0.97203833145066298</v>
      </c>
      <c r="K2291">
        <v>0.78181728717443999</v>
      </c>
      <c r="L2291">
        <v>11728.5822738198</v>
      </c>
      <c r="M2291">
        <v>250</v>
      </c>
      <c r="O2291">
        <v>46.911335671007002</v>
      </c>
      <c r="P2291">
        <v>-0.23520230427844599</v>
      </c>
      <c r="Q2291">
        <v>0.82346156521213798</v>
      </c>
      <c r="R2291">
        <v>0.39654440087610499</v>
      </c>
      <c r="S2291" t="s">
        <v>7874</v>
      </c>
      <c r="T2291" t="s">
        <v>11164</v>
      </c>
      <c r="U2291" t="s">
        <v>11164</v>
      </c>
      <c r="V2291" t="s">
        <v>11164</v>
      </c>
      <c r="W2291" t="s">
        <v>13419</v>
      </c>
      <c r="X2291">
        <v>1</v>
      </c>
      <c r="Y2291" t="s">
        <v>18928</v>
      </c>
      <c r="Z2291" t="s">
        <v>24441</v>
      </c>
      <c r="AA2291">
        <v>0.88181810499479307</v>
      </c>
      <c r="AB2291" t="str">
        <f>HYPERLINK("Melting_Curves/meltCurve_P46531_NOTCH1.pdf", "Melting_Curves/meltCurve_P46531_NOTCH1.pdf")</f>
        <v>Melting_Curves/meltCurve_P46531_NOTCH1.pdf</v>
      </c>
    </row>
    <row r="2292" spans="1:28" x14ac:dyDescent="0.25">
      <c r="A2292" t="s">
        <v>2296</v>
      </c>
      <c r="B2292">
        <v>0.99796759195183404</v>
      </c>
      <c r="C2292">
        <v>1.0114007432023699</v>
      </c>
      <c r="D2292">
        <v>0.99134705635134301</v>
      </c>
      <c r="E2292">
        <v>0.94252299599804101</v>
      </c>
      <c r="F2292">
        <v>0.669390670264429</v>
      </c>
      <c r="G2292">
        <v>0.23235868171385299</v>
      </c>
      <c r="H2292">
        <v>0.166141185080417</v>
      </c>
      <c r="I2292">
        <v>0.12852512036393601</v>
      </c>
      <c r="J2292">
        <v>0.106553312754739</v>
      </c>
      <c r="K2292">
        <v>7.5010495671531105E-2</v>
      </c>
      <c r="L2292">
        <v>1596.2122809008299</v>
      </c>
      <c r="M2292">
        <v>31.312019866759801</v>
      </c>
      <c r="N2292">
        <v>51.373339835660602</v>
      </c>
      <c r="O2292">
        <v>50.771047015325202</v>
      </c>
      <c r="P2292">
        <v>-0.137661822714191</v>
      </c>
      <c r="Q2292">
        <v>0.107154838790895</v>
      </c>
      <c r="R2292">
        <v>0.99801214394316495</v>
      </c>
      <c r="S2292" t="s">
        <v>7875</v>
      </c>
      <c r="T2292" t="s">
        <v>11164</v>
      </c>
      <c r="U2292" t="s">
        <v>11164</v>
      </c>
      <c r="V2292" t="s">
        <v>11164</v>
      </c>
      <c r="W2292" t="s">
        <v>13420</v>
      </c>
      <c r="X2292">
        <v>8</v>
      </c>
      <c r="Y2292" t="s">
        <v>18929</v>
      </c>
      <c r="Z2292" t="s">
        <v>24442</v>
      </c>
      <c r="AA2292">
        <v>0.52826371616195933</v>
      </c>
      <c r="AB2292" t="str">
        <f>HYPERLINK("Melting_Curves/meltCurve_P46734_MAP2K3.pdf", "Melting_Curves/meltCurve_P46734_MAP2K3.pdf")</f>
        <v>Melting_Curves/meltCurve_P46734_MAP2K3.pdf</v>
      </c>
    </row>
    <row r="2293" spans="1:28" x14ac:dyDescent="0.25">
      <c r="A2293" t="s">
        <v>2297</v>
      </c>
      <c r="B2293">
        <v>0.99796759195183404</v>
      </c>
      <c r="C2293">
        <v>1.0168698240502101</v>
      </c>
      <c r="D2293">
        <v>0.94631155306327697</v>
      </c>
      <c r="E2293">
        <v>0.87398808537969097</v>
      </c>
      <c r="F2293">
        <v>0.83855826979150205</v>
      </c>
      <c r="G2293">
        <v>1.00330011845011</v>
      </c>
      <c r="H2293">
        <v>0.87198804937055996</v>
      </c>
      <c r="I2293">
        <v>1.03706598343809</v>
      </c>
      <c r="J2293">
        <v>0.83449221012724495</v>
      </c>
      <c r="K2293">
        <v>0.40831475939101303</v>
      </c>
      <c r="L2293">
        <v>15000</v>
      </c>
      <c r="M2293">
        <v>233.063375936608</v>
      </c>
      <c r="N2293">
        <v>64.831841782940401</v>
      </c>
      <c r="O2293">
        <v>64.3554373723438</v>
      </c>
      <c r="P2293">
        <v>-0.53575248963368505</v>
      </c>
      <c r="Q2293">
        <v>0.408253901764279</v>
      </c>
      <c r="R2293">
        <v>0.79260198997281195</v>
      </c>
      <c r="S2293" t="s">
        <v>7876</v>
      </c>
      <c r="T2293" t="s">
        <v>11164</v>
      </c>
      <c r="U2293" t="s">
        <v>11164</v>
      </c>
      <c r="V2293" t="s">
        <v>11164</v>
      </c>
      <c r="W2293" t="s">
        <v>13421</v>
      </c>
      <c r="X2293">
        <v>4</v>
      </c>
      <c r="Y2293" t="s">
        <v>18930</v>
      </c>
      <c r="Z2293" t="s">
        <v>24443</v>
      </c>
      <c r="AA2293">
        <v>0.94800611975071836</v>
      </c>
      <c r="AB2293" t="str">
        <f>HYPERLINK("Melting_Curves/meltCurve_P46736_2_BRCC3.pdf", "Melting_Curves/meltCurve_P46736_2_BRCC3.pdf")</f>
        <v>Melting_Curves/meltCurve_P46736_2_BRCC3.pdf</v>
      </c>
    </row>
    <row r="2294" spans="1:28" x14ac:dyDescent="0.25">
      <c r="A2294" t="s">
        <v>2298</v>
      </c>
      <c r="B2294">
        <v>0.99796759195183404</v>
      </c>
      <c r="C2294">
        <v>1.06772422299799</v>
      </c>
      <c r="D2294">
        <v>1.08132418152481</v>
      </c>
      <c r="E2294">
        <v>1.0539756300775001</v>
      </c>
      <c r="F2294">
        <v>0.965733382941521</v>
      </c>
      <c r="G2294">
        <v>0.91584265348218896</v>
      </c>
      <c r="H2294">
        <v>0.52442143496904303</v>
      </c>
      <c r="I2294">
        <v>0.30098836943762802</v>
      </c>
      <c r="J2294">
        <v>0.19116956135740601</v>
      </c>
      <c r="K2294">
        <v>0.11887062660075801</v>
      </c>
      <c r="L2294">
        <v>1608.65698964935</v>
      </c>
      <c r="M2294">
        <v>28.066328522839601</v>
      </c>
      <c r="N2294">
        <v>57.960143073972297</v>
      </c>
      <c r="O2294">
        <v>57.0276499619237</v>
      </c>
      <c r="P2294">
        <v>-0.10656037456864099</v>
      </c>
      <c r="Q2294">
        <v>0.13393215288712099</v>
      </c>
      <c r="R2294">
        <v>0.98624944529349901</v>
      </c>
      <c r="S2294" t="s">
        <v>7877</v>
      </c>
      <c r="T2294" t="s">
        <v>11164</v>
      </c>
      <c r="U2294" t="s">
        <v>11164</v>
      </c>
      <c r="V2294" t="s">
        <v>11164</v>
      </c>
      <c r="W2294" t="s">
        <v>13422</v>
      </c>
      <c r="X2294">
        <v>21</v>
      </c>
      <c r="Y2294" t="s">
        <v>18931</v>
      </c>
      <c r="Z2294" t="s">
        <v>24444</v>
      </c>
      <c r="AA2294">
        <v>0.72596211390985721</v>
      </c>
      <c r="AB2294" t="str">
        <f>HYPERLINK("Melting_Curves/meltCurve_P46777_RPL5.pdf", "Melting_Curves/meltCurve_P46777_RPL5.pdf")</f>
        <v>Melting_Curves/meltCurve_P46777_RPL5.pdf</v>
      </c>
    </row>
    <row r="2295" spans="1:28" x14ac:dyDescent="0.25">
      <c r="A2295" t="s">
        <v>2299</v>
      </c>
      <c r="B2295">
        <v>0.99796759195183404</v>
      </c>
      <c r="C2295">
        <v>0.96410513245645102</v>
      </c>
      <c r="D2295">
        <v>0.95196889723084799</v>
      </c>
      <c r="E2295">
        <v>0.90342286889759904</v>
      </c>
      <c r="F2295">
        <v>0.92881720863635697</v>
      </c>
      <c r="G2295">
        <v>0.82299961086777496</v>
      </c>
      <c r="H2295">
        <v>0.47076583467594302</v>
      </c>
      <c r="I2295">
        <v>0.42462112795150497</v>
      </c>
      <c r="J2295">
        <v>0.26260533944239201</v>
      </c>
      <c r="K2295">
        <v>0.21241449023629999</v>
      </c>
      <c r="L2295">
        <v>927.05644984541505</v>
      </c>
      <c r="M2295">
        <v>16.274209586606599</v>
      </c>
      <c r="N2295">
        <v>58.268677852725197</v>
      </c>
      <c r="O2295">
        <v>56.125472555456497</v>
      </c>
      <c r="P2295">
        <v>-6.1431626493843698E-2</v>
      </c>
      <c r="Q2295">
        <v>0.15261599211108601</v>
      </c>
      <c r="R2295">
        <v>0.97530488966620099</v>
      </c>
      <c r="S2295" t="s">
        <v>7878</v>
      </c>
      <c r="T2295" t="s">
        <v>11164</v>
      </c>
      <c r="U2295" t="s">
        <v>11164</v>
      </c>
      <c r="V2295" t="s">
        <v>11164</v>
      </c>
      <c r="W2295" t="s">
        <v>13423</v>
      </c>
      <c r="X2295">
        <v>4</v>
      </c>
      <c r="Y2295" t="s">
        <v>18932</v>
      </c>
      <c r="Z2295" t="s">
        <v>24445</v>
      </c>
      <c r="AA2295">
        <v>0.72403946396763219</v>
      </c>
      <c r="AB2295" t="str">
        <f>HYPERLINK("Melting_Curves/meltCurve_P46778_RPL21.pdf", "Melting_Curves/meltCurve_P46778_RPL21.pdf")</f>
        <v>Melting_Curves/meltCurve_P46778_RPL21.pdf</v>
      </c>
    </row>
    <row r="2296" spans="1:28" x14ac:dyDescent="0.25">
      <c r="A2296" t="s">
        <v>2300</v>
      </c>
      <c r="B2296">
        <v>0.99796759195183404</v>
      </c>
      <c r="C2296">
        <v>1.0207833053494699</v>
      </c>
      <c r="D2296">
        <v>0.837470229878026</v>
      </c>
      <c r="E2296">
        <v>0.69268432405045</v>
      </c>
      <c r="F2296">
        <v>0.541592107995857</v>
      </c>
      <c r="G2296">
        <v>0.44507924739430499</v>
      </c>
      <c r="H2296">
        <v>0.77697490488758203</v>
      </c>
      <c r="I2296">
        <v>0.58295041889188004</v>
      </c>
      <c r="J2296">
        <v>0.226958174136528</v>
      </c>
      <c r="K2296">
        <v>0.18087393135204</v>
      </c>
      <c r="L2296">
        <v>307.33914574410397</v>
      </c>
      <c r="M2296">
        <v>5.41761790831523</v>
      </c>
      <c r="N2296">
        <v>56.729587747558497</v>
      </c>
      <c r="O2296">
        <v>50.394575630326301</v>
      </c>
      <c r="P2296">
        <v>-2.7000803044868099E-2</v>
      </c>
      <c r="Q2296">
        <v>0</v>
      </c>
      <c r="R2296">
        <v>0.73821456278243702</v>
      </c>
      <c r="S2296" t="s">
        <v>7879</v>
      </c>
      <c r="T2296" t="s">
        <v>11164</v>
      </c>
      <c r="U2296" t="s">
        <v>11164</v>
      </c>
      <c r="V2296" t="s">
        <v>11164</v>
      </c>
      <c r="W2296" t="s">
        <v>13424</v>
      </c>
      <c r="X2296">
        <v>4</v>
      </c>
      <c r="Y2296" t="s">
        <v>18933</v>
      </c>
      <c r="Z2296" t="s">
        <v>24446</v>
      </c>
      <c r="AA2296">
        <v>0.62535566470123871</v>
      </c>
      <c r="AB2296" t="str">
        <f>HYPERLINK("Melting_Curves/meltCurve_P46781_RPS9.pdf", "Melting_Curves/meltCurve_P46781_RPS9.pdf")</f>
        <v>Melting_Curves/meltCurve_P46781_RPS9.pdf</v>
      </c>
    </row>
    <row r="2297" spans="1:28" x14ac:dyDescent="0.25">
      <c r="A2297" t="s">
        <v>2301</v>
      </c>
      <c r="B2297">
        <v>0.99796759195183404</v>
      </c>
      <c r="C2297">
        <v>1.21378324858528</v>
      </c>
      <c r="D2297">
        <v>1.1753240372231299</v>
      </c>
      <c r="E2297">
        <v>1.0108304344363099</v>
      </c>
      <c r="F2297">
        <v>0.61628798548986996</v>
      </c>
      <c r="G2297">
        <v>0.443353797682557</v>
      </c>
      <c r="H2297">
        <v>0.44868672066704401</v>
      </c>
      <c r="I2297">
        <v>0.40366217680824401</v>
      </c>
      <c r="J2297">
        <v>0.23207631951881599</v>
      </c>
      <c r="K2297">
        <v>0.17500039686381699</v>
      </c>
      <c r="L2297">
        <v>1329.18694525911</v>
      </c>
      <c r="M2297">
        <v>26.2832005411402</v>
      </c>
      <c r="N2297">
        <v>52.422895718066499</v>
      </c>
      <c r="O2297">
        <v>50.281709129282703</v>
      </c>
      <c r="P2297">
        <v>-9.1169622568594302E-2</v>
      </c>
      <c r="Q2297">
        <v>0.30235087556152201</v>
      </c>
      <c r="R2297">
        <v>0.90281697380001702</v>
      </c>
      <c r="S2297" t="s">
        <v>7880</v>
      </c>
      <c r="T2297" t="s">
        <v>11164</v>
      </c>
      <c r="U2297" t="s">
        <v>11164</v>
      </c>
      <c r="V2297" t="s">
        <v>11164</v>
      </c>
      <c r="W2297" t="s">
        <v>13425</v>
      </c>
      <c r="X2297">
        <v>9</v>
      </c>
      <c r="Y2297" t="s">
        <v>18934</v>
      </c>
      <c r="Z2297" t="s">
        <v>24447</v>
      </c>
      <c r="AA2297">
        <v>0.62354116102929258</v>
      </c>
      <c r="AB2297" t="str">
        <f>HYPERLINK("Melting_Curves/meltCurve_P46783_RPS10.pdf", "Melting_Curves/meltCurve_P46783_RPS10.pdf")</f>
        <v>Melting_Curves/meltCurve_P46783_RPS10.pdf</v>
      </c>
    </row>
    <row r="2298" spans="1:28" x14ac:dyDescent="0.25">
      <c r="A2298" t="s">
        <v>2302</v>
      </c>
      <c r="B2298">
        <v>0.99796759195183404</v>
      </c>
      <c r="C2298">
        <v>1.03366996096335</v>
      </c>
      <c r="D2298">
        <v>1.01012927684202</v>
      </c>
      <c r="E2298">
        <v>0.90573407903535896</v>
      </c>
      <c r="F2298">
        <v>0.754490873272188</v>
      </c>
      <c r="G2298">
        <v>0.65791279269276604</v>
      </c>
      <c r="H2298">
        <v>0.56897112525955096</v>
      </c>
      <c r="I2298">
        <v>0.44317754828474398</v>
      </c>
      <c r="J2298">
        <v>0.25099267465862302</v>
      </c>
      <c r="K2298">
        <v>0.123703602613726</v>
      </c>
      <c r="L2298">
        <v>578.58231362730498</v>
      </c>
      <c r="M2298">
        <v>10.0115876137141</v>
      </c>
      <c r="N2298">
        <v>57.7912650918827</v>
      </c>
      <c r="O2298">
        <v>55.6274936167774</v>
      </c>
      <c r="P2298">
        <v>-4.50156696128945E-2</v>
      </c>
      <c r="Q2298">
        <v>0</v>
      </c>
      <c r="R2298">
        <v>0.97606537485738498</v>
      </c>
      <c r="S2298" t="s">
        <v>7881</v>
      </c>
      <c r="T2298" t="s">
        <v>11164</v>
      </c>
      <c r="U2298" t="s">
        <v>11164</v>
      </c>
      <c r="V2298" t="s">
        <v>11164</v>
      </c>
      <c r="W2298" t="s">
        <v>13426</v>
      </c>
      <c r="X2298">
        <v>50</v>
      </c>
      <c r="Y2298" t="s">
        <v>18935</v>
      </c>
      <c r="Z2298" t="s">
        <v>24448</v>
      </c>
      <c r="AA2298">
        <v>0.68620686666112496</v>
      </c>
      <c r="AB2298" t="str">
        <f>HYPERLINK("Melting_Curves/meltCurve_P46821_MAP1B.pdf", "Melting_Curves/meltCurve_P46821_MAP1B.pdf")</f>
        <v>Melting_Curves/meltCurve_P46821_MAP1B.pdf</v>
      </c>
    </row>
    <row r="2299" spans="1:28" x14ac:dyDescent="0.25">
      <c r="A2299" t="s">
        <v>2303</v>
      </c>
      <c r="B2299">
        <v>0.99796759195183404</v>
      </c>
      <c r="C2299">
        <v>0.95512880667532496</v>
      </c>
      <c r="D2299">
        <v>0.98971755882797696</v>
      </c>
      <c r="E2299">
        <v>0.91213339477993804</v>
      </c>
      <c r="F2299">
        <v>0.91064323051339902</v>
      </c>
      <c r="G2299">
        <v>0.78890426223357901</v>
      </c>
      <c r="H2299">
        <v>0.75813173503882902</v>
      </c>
      <c r="I2299">
        <v>0.87743665633675605</v>
      </c>
      <c r="J2299">
        <v>1.03864173832996</v>
      </c>
      <c r="K2299">
        <v>0.75857331862188904</v>
      </c>
      <c r="L2299">
        <v>1124.1263449334999</v>
      </c>
      <c r="M2299">
        <v>24.2235578672103</v>
      </c>
      <c r="O2299">
        <v>46.093530736217097</v>
      </c>
      <c r="P2299">
        <v>-1.97690458348759E-2</v>
      </c>
      <c r="Q2299">
        <v>0.84953305160025105</v>
      </c>
      <c r="R2299">
        <v>0.34241577664749601</v>
      </c>
      <c r="S2299" t="s">
        <v>7882</v>
      </c>
      <c r="T2299" t="s">
        <v>11164</v>
      </c>
      <c r="U2299" t="s">
        <v>11164</v>
      </c>
      <c r="V2299" t="s">
        <v>11164</v>
      </c>
      <c r="W2299" t="s">
        <v>13427</v>
      </c>
      <c r="X2299">
        <v>13</v>
      </c>
      <c r="Y2299" t="s">
        <v>18936</v>
      </c>
      <c r="Z2299" t="s">
        <v>24449</v>
      </c>
      <c r="AA2299">
        <v>0.89804732561088607</v>
      </c>
      <c r="AB2299" t="str">
        <f>HYPERLINK("Melting_Curves/meltCurve_P46926_GNPDA1.pdf", "Melting_Curves/meltCurve_P46926_GNPDA1.pdf")</f>
        <v>Melting_Curves/meltCurve_P46926_GNPDA1.pdf</v>
      </c>
    </row>
    <row r="2300" spans="1:28" x14ac:dyDescent="0.25">
      <c r="A2300" t="s">
        <v>2304</v>
      </c>
      <c r="B2300">
        <v>0.99796759195183404</v>
      </c>
      <c r="C2300">
        <v>1.0069903367855</v>
      </c>
      <c r="D2300">
        <v>0.95114198479857903</v>
      </c>
      <c r="E2300">
        <v>0.99415832564054596</v>
      </c>
      <c r="F2300">
        <v>0.928937805654236</v>
      </c>
      <c r="G2300">
        <v>0.77192019891720698</v>
      </c>
      <c r="H2300">
        <v>0.787832286401146</v>
      </c>
      <c r="I2300">
        <v>0.67573357758764296</v>
      </c>
      <c r="J2300">
        <v>0.82839400607658897</v>
      </c>
      <c r="K2300">
        <v>0.91987253702670402</v>
      </c>
      <c r="L2300">
        <v>12581.157336542599</v>
      </c>
      <c r="M2300">
        <v>250</v>
      </c>
      <c r="O2300">
        <v>50.321408897763803</v>
      </c>
      <c r="P2300">
        <v>-0.25243912860005302</v>
      </c>
      <c r="Q2300">
        <v>0.79675051842105205</v>
      </c>
      <c r="R2300">
        <v>0.70783290775040297</v>
      </c>
      <c r="S2300" t="s">
        <v>7883</v>
      </c>
      <c r="T2300" t="s">
        <v>11164</v>
      </c>
      <c r="U2300" t="s">
        <v>11164</v>
      </c>
      <c r="V2300" t="s">
        <v>11164</v>
      </c>
      <c r="W2300" t="s">
        <v>13428</v>
      </c>
      <c r="X2300">
        <v>10</v>
      </c>
      <c r="Y2300" t="s">
        <v>18937</v>
      </c>
      <c r="Z2300" t="s">
        <v>24450</v>
      </c>
      <c r="AA2300">
        <v>0.88704260276143854</v>
      </c>
      <c r="AB2300" t="str">
        <f>HYPERLINK("Melting_Curves/meltCurve_P46937_YAP1.pdf", "Melting_Curves/meltCurve_P46937_YAP1.pdf")</f>
        <v>Melting_Curves/meltCurve_P46937_YAP1.pdf</v>
      </c>
    </row>
    <row r="2301" spans="1:28" x14ac:dyDescent="0.25">
      <c r="A2301" t="s">
        <v>2305</v>
      </c>
      <c r="B2301">
        <v>0.99796759195183404</v>
      </c>
      <c r="C2301">
        <v>1.0160003996148499</v>
      </c>
      <c r="D2301">
        <v>0.99962495991953804</v>
      </c>
      <c r="E2301">
        <v>0.90794672023967304</v>
      </c>
      <c r="F2301">
        <v>0.85788404799775497</v>
      </c>
      <c r="G2301">
        <v>0.75422555027821203</v>
      </c>
      <c r="H2301">
        <v>0.74070884104614199</v>
      </c>
      <c r="I2301">
        <v>0.49933067430119599</v>
      </c>
      <c r="J2301">
        <v>0.621580532843098</v>
      </c>
      <c r="K2301">
        <v>0.71311237599232602</v>
      </c>
      <c r="L2301">
        <v>827.78766036569505</v>
      </c>
      <c r="M2301">
        <v>16.0418490123621</v>
      </c>
      <c r="O2301">
        <v>50.819878073913003</v>
      </c>
      <c r="P2301">
        <v>-3.0410323685825701E-2</v>
      </c>
      <c r="Q2301">
        <v>0.61467571518789299</v>
      </c>
      <c r="R2301">
        <v>0.873117398897168</v>
      </c>
      <c r="S2301" t="s">
        <v>7884</v>
      </c>
      <c r="T2301" t="s">
        <v>11164</v>
      </c>
      <c r="U2301" t="s">
        <v>11164</v>
      </c>
      <c r="V2301" t="s">
        <v>11164</v>
      </c>
      <c r="W2301" t="s">
        <v>13429</v>
      </c>
      <c r="X2301">
        <v>8</v>
      </c>
      <c r="Y2301" t="s">
        <v>18937</v>
      </c>
      <c r="Z2301" t="s">
        <v>24451</v>
      </c>
      <c r="AA2301">
        <v>0.80914601478028392</v>
      </c>
      <c r="AB2301" t="str">
        <f>HYPERLINK("Melting_Curves/meltCurve_P46937_2_YAP1.pdf", "Melting_Curves/meltCurve_P46937_2_YAP1.pdf")</f>
        <v>Melting_Curves/meltCurve_P46937_2_YAP1.pdf</v>
      </c>
    </row>
    <row r="2302" spans="1:28" x14ac:dyDescent="0.25">
      <c r="A2302" t="s">
        <v>2306</v>
      </c>
      <c r="B2302">
        <v>0.99796759195183404</v>
      </c>
      <c r="C2302">
        <v>0.99659610832373902</v>
      </c>
      <c r="D2302">
        <v>0.961827446897492</v>
      </c>
      <c r="E2302">
        <v>0.86441595076695199</v>
      </c>
      <c r="F2302">
        <v>0.67026814058876005</v>
      </c>
      <c r="G2302">
        <v>0.29792793090661202</v>
      </c>
      <c r="H2302">
        <v>0.22988240682366601</v>
      </c>
      <c r="I2302">
        <v>0.16638610152936301</v>
      </c>
      <c r="J2302">
        <v>0.13821516161917199</v>
      </c>
      <c r="K2302">
        <v>9.8899844387604297E-2</v>
      </c>
      <c r="L2302">
        <v>1028.9285599549601</v>
      </c>
      <c r="M2302">
        <v>20.165597711399801</v>
      </c>
      <c r="N2302">
        <v>51.708920990263103</v>
      </c>
      <c r="O2302">
        <v>50.530135235040397</v>
      </c>
      <c r="P2302">
        <v>-8.8078866887513402E-2</v>
      </c>
      <c r="Q2302">
        <v>0.117209996415</v>
      </c>
      <c r="R2302">
        <v>0.99516623947564598</v>
      </c>
      <c r="S2302" t="s">
        <v>7885</v>
      </c>
      <c r="T2302" t="s">
        <v>11164</v>
      </c>
      <c r="U2302" t="s">
        <v>11164</v>
      </c>
      <c r="V2302" t="s">
        <v>11164</v>
      </c>
      <c r="W2302" t="s">
        <v>13430</v>
      </c>
      <c r="X2302">
        <v>20</v>
      </c>
      <c r="Y2302" t="s">
        <v>18938</v>
      </c>
      <c r="Z2302" t="s">
        <v>24452</v>
      </c>
      <c r="AA2302">
        <v>0.54128123234421943</v>
      </c>
      <c r="AB2302" t="str">
        <f>HYPERLINK("Melting_Curves/meltCurve_P46939_UTRN.pdf", "Melting_Curves/meltCurve_P46939_UTRN.pdf")</f>
        <v>Melting_Curves/meltCurve_P46939_UTRN.pdf</v>
      </c>
    </row>
    <row r="2303" spans="1:28" x14ac:dyDescent="0.25">
      <c r="A2303" t="s">
        <v>2307</v>
      </c>
      <c r="B2303">
        <v>0.99796759195183404</v>
      </c>
      <c r="C2303">
        <v>1.0301604670480899</v>
      </c>
      <c r="D2303">
        <v>0.98607224280238104</v>
      </c>
      <c r="E2303">
        <v>0.93386966113013303</v>
      </c>
      <c r="F2303">
        <v>0.80178167223180297</v>
      </c>
      <c r="G2303">
        <v>0.47033132045176401</v>
      </c>
      <c r="H2303">
        <v>0.23912633328310001</v>
      </c>
      <c r="I2303">
        <v>0.192369363718699</v>
      </c>
      <c r="J2303">
        <v>0.13475621616507999</v>
      </c>
      <c r="K2303">
        <v>0.104683327268043</v>
      </c>
      <c r="L2303">
        <v>1135.01576185816</v>
      </c>
      <c r="M2303">
        <v>21.462119841854101</v>
      </c>
      <c r="N2303">
        <v>53.526706451202898</v>
      </c>
      <c r="O2303">
        <v>52.431900152638498</v>
      </c>
      <c r="P2303">
        <v>-9.0721478309783402E-2</v>
      </c>
      <c r="Q2303">
        <v>0.113492540613795</v>
      </c>
      <c r="R2303">
        <v>0.99780040245532298</v>
      </c>
      <c r="S2303" t="s">
        <v>7886</v>
      </c>
      <c r="T2303" t="s">
        <v>11164</v>
      </c>
      <c r="U2303" t="s">
        <v>11164</v>
      </c>
      <c r="V2303" t="s">
        <v>11164</v>
      </c>
      <c r="W2303" t="s">
        <v>13431</v>
      </c>
      <c r="X2303">
        <v>22</v>
      </c>
      <c r="Y2303" t="s">
        <v>18939</v>
      </c>
      <c r="Z2303" t="s">
        <v>24453</v>
      </c>
      <c r="AA2303">
        <v>0.59296336952625084</v>
      </c>
      <c r="AB2303" t="str">
        <f>HYPERLINK("Melting_Curves/meltCurve_P46940_IQGAP1.pdf", "Melting_Curves/meltCurve_P46940_IQGAP1.pdf")</f>
        <v>Melting_Curves/meltCurve_P46940_IQGAP1.pdf</v>
      </c>
    </row>
    <row r="2304" spans="1:28" x14ac:dyDescent="0.25">
      <c r="A2304" t="s">
        <v>2308</v>
      </c>
      <c r="B2304">
        <v>0.99796759195183404</v>
      </c>
      <c r="C2304">
        <v>1.04599095355372</v>
      </c>
      <c r="D2304">
        <v>1.0614383253183199</v>
      </c>
      <c r="E2304">
        <v>1.038458663578</v>
      </c>
      <c r="F2304">
        <v>0.91304671381533498</v>
      </c>
      <c r="G2304">
        <v>0.89478352797881699</v>
      </c>
      <c r="H2304">
        <v>0.68659627182392502</v>
      </c>
      <c r="I2304">
        <v>0.73394146091494095</v>
      </c>
      <c r="J2304">
        <v>0.41273359767655798</v>
      </c>
      <c r="K2304">
        <v>0.21469717859075399</v>
      </c>
      <c r="L2304">
        <v>878.35654373513</v>
      </c>
      <c r="M2304">
        <v>14.029132299963701</v>
      </c>
      <c r="N2304">
        <v>62.6094704540659</v>
      </c>
      <c r="O2304">
        <v>61.378493569637598</v>
      </c>
      <c r="P2304">
        <v>-5.7149371123707299E-2</v>
      </c>
      <c r="Q2304">
        <v>0</v>
      </c>
      <c r="R2304">
        <v>0.93924848365802105</v>
      </c>
      <c r="S2304" t="s">
        <v>7887</v>
      </c>
      <c r="T2304" t="s">
        <v>11164</v>
      </c>
      <c r="U2304" t="s">
        <v>11164</v>
      </c>
      <c r="V2304" t="s">
        <v>11164</v>
      </c>
      <c r="W2304" t="s">
        <v>13432</v>
      </c>
      <c r="X2304">
        <v>6</v>
      </c>
      <c r="Y2304" t="s">
        <v>18940</v>
      </c>
      <c r="Z2304" t="s">
        <v>24454</v>
      </c>
      <c r="AA2304">
        <v>0.82136168960595557</v>
      </c>
      <c r="AB2304" t="str">
        <f>HYPERLINK("Melting_Curves/meltCurve_P46976_2_GYG1.pdf", "Melting_Curves/meltCurve_P46976_2_GYG1.pdf")</f>
        <v>Melting_Curves/meltCurve_P46976_2_GYG1.pdf</v>
      </c>
    </row>
    <row r="2305" spans="1:28" x14ac:dyDescent="0.25">
      <c r="A2305" t="s">
        <v>2309</v>
      </c>
      <c r="B2305">
        <v>0.99796759195183404</v>
      </c>
      <c r="C2305">
        <v>1.0118514108349901</v>
      </c>
      <c r="D2305">
        <v>0.98720501998222399</v>
      </c>
      <c r="E2305">
        <v>1.0197766178621499</v>
      </c>
      <c r="F2305">
        <v>0.95076409386407401</v>
      </c>
      <c r="G2305">
        <v>0.810350442077578</v>
      </c>
      <c r="H2305">
        <v>0.41355933114634402</v>
      </c>
      <c r="I2305">
        <v>0.33987691494810501</v>
      </c>
      <c r="J2305">
        <v>0.21329613382259399</v>
      </c>
      <c r="K2305">
        <v>0.14608387301850501</v>
      </c>
      <c r="L2305">
        <v>1403.21419249777</v>
      </c>
      <c r="M2305">
        <v>25.053060026828501</v>
      </c>
      <c r="N2305">
        <v>56.9869656679789</v>
      </c>
      <c r="O2305">
        <v>55.6564906427054</v>
      </c>
      <c r="P2305">
        <v>-9.2883998376671106E-2</v>
      </c>
      <c r="Q2305">
        <v>0.17462718528557999</v>
      </c>
      <c r="R2305">
        <v>0.990594817362071</v>
      </c>
      <c r="S2305" t="s">
        <v>7888</v>
      </c>
      <c r="T2305" t="s">
        <v>11164</v>
      </c>
      <c r="U2305" t="s">
        <v>11164</v>
      </c>
      <c r="V2305" t="s">
        <v>11164</v>
      </c>
      <c r="W2305" t="s">
        <v>13433</v>
      </c>
      <c r="X2305">
        <v>10</v>
      </c>
      <c r="Y2305" t="s">
        <v>18941</v>
      </c>
      <c r="Z2305" t="s">
        <v>24455</v>
      </c>
      <c r="AA2305">
        <v>0.70429939048505252</v>
      </c>
      <c r="AB2305" t="str">
        <f>HYPERLINK("Melting_Curves/meltCurve_P46977_STT3A.pdf", "Melting_Curves/meltCurve_P46977_STT3A.pdf")</f>
        <v>Melting_Curves/meltCurve_P46977_STT3A.pdf</v>
      </c>
    </row>
    <row r="2306" spans="1:28" x14ac:dyDescent="0.25">
      <c r="A2306" t="s">
        <v>2310</v>
      </c>
      <c r="B2306">
        <v>0.99796759195183404</v>
      </c>
      <c r="C2306">
        <v>1.27108663331208</v>
      </c>
      <c r="D2306">
        <v>1.03662594524025</v>
      </c>
      <c r="E2306">
        <v>1.2646020855501201</v>
      </c>
      <c r="F2306">
        <v>0.80498235131502704</v>
      </c>
      <c r="G2306">
        <v>0.61405182259173996</v>
      </c>
      <c r="H2306">
        <v>0.492173270423656</v>
      </c>
      <c r="I2306">
        <v>0.62541151248025795</v>
      </c>
      <c r="J2306">
        <v>0.34519498353310901</v>
      </c>
      <c r="K2306">
        <v>0.362845672003695</v>
      </c>
      <c r="L2306">
        <v>1615.1990045280399</v>
      </c>
      <c r="M2306">
        <v>30.981014241836402</v>
      </c>
      <c r="N2306">
        <v>56.190001707756998</v>
      </c>
      <c r="O2306">
        <v>51.919351069509702</v>
      </c>
      <c r="P2306">
        <v>-8.2564602275087495E-2</v>
      </c>
      <c r="Q2306">
        <v>0.44654155490511399</v>
      </c>
      <c r="R2306">
        <v>0.81171368965891699</v>
      </c>
      <c r="S2306" t="s">
        <v>7889</v>
      </c>
      <c r="T2306" t="s">
        <v>11164</v>
      </c>
      <c r="U2306" t="s">
        <v>11164</v>
      </c>
      <c r="V2306" t="s">
        <v>11164</v>
      </c>
      <c r="W2306" t="s">
        <v>13434</v>
      </c>
      <c r="X2306">
        <v>2</v>
      </c>
      <c r="Y2306" t="s">
        <v>18942</v>
      </c>
      <c r="Z2306" t="s">
        <v>24456</v>
      </c>
      <c r="AA2306">
        <v>0.72905139156805099</v>
      </c>
      <c r="AB2306" t="str">
        <f>HYPERLINK("Melting_Curves/meltCurve_P47224_RABIF.pdf", "Melting_Curves/meltCurve_P47224_RABIF.pdf")</f>
        <v>Melting_Curves/meltCurve_P47224_RABIF.pdf</v>
      </c>
    </row>
    <row r="2307" spans="1:28" x14ac:dyDescent="0.25">
      <c r="A2307" t="s">
        <v>2311</v>
      </c>
      <c r="B2307">
        <v>0.99796759195183404</v>
      </c>
      <c r="C2307">
        <v>0.999363258834567</v>
      </c>
      <c r="D2307">
        <v>1.0111112669179301</v>
      </c>
      <c r="E2307">
        <v>0.95080875422604405</v>
      </c>
      <c r="F2307">
        <v>0.86844639846744798</v>
      </c>
      <c r="G2307">
        <v>0.41670648097338098</v>
      </c>
      <c r="H2307">
        <v>0.27763656531436998</v>
      </c>
      <c r="I2307">
        <v>0.235576611578835</v>
      </c>
      <c r="J2307">
        <v>0.18613549469851901</v>
      </c>
      <c r="K2307">
        <v>0.14954574532050599</v>
      </c>
      <c r="L2307">
        <v>1697.43383312589</v>
      </c>
      <c r="M2307">
        <v>32.367673095842001</v>
      </c>
      <c r="N2307">
        <v>53.249337678586301</v>
      </c>
      <c r="O2307">
        <v>52.243298093932097</v>
      </c>
      <c r="P2307">
        <v>-0.12486191713514699</v>
      </c>
      <c r="Q2307">
        <v>0.193866451312591</v>
      </c>
      <c r="R2307">
        <v>0.99464106051776102</v>
      </c>
      <c r="S2307" t="s">
        <v>7890</v>
      </c>
      <c r="T2307" t="s">
        <v>11164</v>
      </c>
      <c r="U2307" t="s">
        <v>11164</v>
      </c>
      <c r="V2307" t="s">
        <v>11164</v>
      </c>
      <c r="W2307" t="s">
        <v>13435</v>
      </c>
      <c r="X2307">
        <v>4</v>
      </c>
      <c r="Y2307" t="s">
        <v>18943</v>
      </c>
      <c r="Z2307" t="s">
        <v>24457</v>
      </c>
      <c r="AA2307">
        <v>0.61323416342016823</v>
      </c>
      <c r="AB2307" t="str">
        <f>HYPERLINK("Melting_Curves/meltCurve_P47712_PLA2G4A.pdf", "Melting_Curves/meltCurve_P47712_PLA2G4A.pdf")</f>
        <v>Melting_Curves/meltCurve_P47712_PLA2G4A.pdf</v>
      </c>
    </row>
    <row r="2308" spans="1:28" x14ac:dyDescent="0.25">
      <c r="A2308" t="s">
        <v>2312</v>
      </c>
      <c r="B2308">
        <v>0.99796759195183404</v>
      </c>
      <c r="C2308">
        <v>0.91604153616115402</v>
      </c>
      <c r="D2308">
        <v>0.91791761495107305</v>
      </c>
      <c r="E2308">
        <v>0.87903114685894002</v>
      </c>
      <c r="F2308">
        <v>0.75893104084502905</v>
      </c>
      <c r="G2308">
        <v>0.70197726140435501</v>
      </c>
      <c r="H2308">
        <v>0.51657810979422003</v>
      </c>
      <c r="I2308">
        <v>0.287173755637329</v>
      </c>
      <c r="J2308">
        <v>0.21928013052793199</v>
      </c>
      <c r="K2308">
        <v>0.154145570515481</v>
      </c>
      <c r="L2308">
        <v>582.97637688057898</v>
      </c>
      <c r="M2308">
        <v>10.266237355854299</v>
      </c>
      <c r="N2308">
        <v>56.785790955436902</v>
      </c>
      <c r="O2308">
        <v>54.757744090697102</v>
      </c>
      <c r="P2308">
        <v>-4.6891783029596699E-2</v>
      </c>
      <c r="Q2308">
        <v>0</v>
      </c>
      <c r="R2308">
        <v>0.98081700153512497</v>
      </c>
      <c r="S2308" t="s">
        <v>7891</v>
      </c>
      <c r="T2308" t="s">
        <v>11164</v>
      </c>
      <c r="U2308" t="s">
        <v>11164</v>
      </c>
      <c r="V2308" t="s">
        <v>11164</v>
      </c>
      <c r="W2308" t="s">
        <v>13436</v>
      </c>
      <c r="X2308">
        <v>11</v>
      </c>
      <c r="Y2308" t="s">
        <v>18944</v>
      </c>
      <c r="Z2308" t="s">
        <v>24458</v>
      </c>
      <c r="AA2308">
        <v>0.66112314600822075</v>
      </c>
      <c r="AB2308" t="str">
        <f>HYPERLINK("Melting_Curves/meltCurve_P47755_CAPZA2.pdf", "Melting_Curves/meltCurve_P47755_CAPZA2.pdf")</f>
        <v>Melting_Curves/meltCurve_P47755_CAPZA2.pdf</v>
      </c>
    </row>
    <row r="2309" spans="1:28" x14ac:dyDescent="0.25">
      <c r="A2309" t="s">
        <v>2313</v>
      </c>
      <c r="B2309">
        <v>0.99796759195183404</v>
      </c>
      <c r="C2309">
        <v>0.99708148387975104</v>
      </c>
      <c r="D2309">
        <v>0.94088299643947404</v>
      </c>
      <c r="E2309">
        <v>0.89994308188562899</v>
      </c>
      <c r="F2309">
        <v>0.76281437688396103</v>
      </c>
      <c r="G2309">
        <v>0.79672126579282898</v>
      </c>
      <c r="H2309">
        <v>0.58648841193920997</v>
      </c>
      <c r="I2309">
        <v>0.32300027511852902</v>
      </c>
      <c r="J2309">
        <v>0.208849419266249</v>
      </c>
      <c r="K2309">
        <v>0.13988693841862199</v>
      </c>
      <c r="L2309">
        <v>701.717121146267</v>
      </c>
      <c r="M2309">
        <v>12.109467708119</v>
      </c>
      <c r="N2309">
        <v>57.947809043132999</v>
      </c>
      <c r="O2309">
        <v>56.4354166892211</v>
      </c>
      <c r="P2309">
        <v>-5.3655517624219697E-2</v>
      </c>
      <c r="Q2309">
        <v>0</v>
      </c>
      <c r="R2309">
        <v>0.97255211268757502</v>
      </c>
      <c r="S2309" t="s">
        <v>7892</v>
      </c>
      <c r="T2309" t="s">
        <v>11164</v>
      </c>
      <c r="U2309" t="s">
        <v>11164</v>
      </c>
      <c r="V2309" t="s">
        <v>11164</v>
      </c>
      <c r="W2309" t="s">
        <v>13437</v>
      </c>
      <c r="X2309">
        <v>18</v>
      </c>
      <c r="Y2309" t="s">
        <v>18945</v>
      </c>
      <c r="Z2309" t="s">
        <v>24459</v>
      </c>
      <c r="AA2309">
        <v>0.69754028696338266</v>
      </c>
      <c r="AB2309" t="str">
        <f>HYPERLINK("Melting_Curves/meltCurve_P47756_2_CAPZB.pdf", "Melting_Curves/meltCurve_P47756_2_CAPZB.pdf")</f>
        <v>Melting_Curves/meltCurve_P47756_2_CAPZB.pdf</v>
      </c>
    </row>
    <row r="2310" spans="1:28" x14ac:dyDescent="0.25">
      <c r="A2310" t="s">
        <v>2314</v>
      </c>
      <c r="B2310">
        <v>0.99796759195183404</v>
      </c>
      <c r="C2310">
        <v>1.00997511140833</v>
      </c>
      <c r="D2310">
        <v>1.0973319298309201</v>
      </c>
      <c r="E2310">
        <v>1.0417829661771201</v>
      </c>
      <c r="F2310">
        <v>0.84902834514861103</v>
      </c>
      <c r="G2310">
        <v>0.55762235453297404</v>
      </c>
      <c r="H2310">
        <v>0.40700170323732199</v>
      </c>
      <c r="I2310">
        <v>0.218151556672769</v>
      </c>
      <c r="J2310">
        <v>0.13947321667851401</v>
      </c>
      <c r="K2310">
        <v>9.7699142610043699E-2</v>
      </c>
      <c r="L2310">
        <v>999.20358345221996</v>
      </c>
      <c r="M2310">
        <v>18.258972441037599</v>
      </c>
      <c r="N2310">
        <v>55.291685964512901</v>
      </c>
      <c r="O2310">
        <v>54.0802356672664</v>
      </c>
      <c r="P2310">
        <v>-7.71958216815683E-2</v>
      </c>
      <c r="Q2310">
        <v>8.5474609807450294E-2</v>
      </c>
      <c r="R2310">
        <v>0.98431118334896694</v>
      </c>
      <c r="S2310" t="s">
        <v>7893</v>
      </c>
      <c r="T2310" t="s">
        <v>11164</v>
      </c>
      <c r="U2310" t="s">
        <v>11164</v>
      </c>
      <c r="V2310" t="s">
        <v>11164</v>
      </c>
      <c r="W2310" t="s">
        <v>13438</v>
      </c>
      <c r="X2310">
        <v>10</v>
      </c>
      <c r="Y2310" t="s">
        <v>18946</v>
      </c>
      <c r="Z2310" t="s">
        <v>24460</v>
      </c>
      <c r="AA2310">
        <v>0.63743411050714427</v>
      </c>
      <c r="AB2310" t="str">
        <f>HYPERLINK("Melting_Curves/meltCurve_P47813_EIF1AX.pdf", "Melting_Curves/meltCurve_P47813_EIF1AX.pdf")</f>
        <v>Melting_Curves/meltCurve_P47813_EIF1AX.pdf</v>
      </c>
    </row>
    <row r="2311" spans="1:28" x14ac:dyDescent="0.25">
      <c r="A2311" t="s">
        <v>2315</v>
      </c>
      <c r="B2311">
        <v>0.99796759195183404</v>
      </c>
      <c r="C2311">
        <v>1.09710268206395</v>
      </c>
      <c r="D2311">
        <v>1.16799030928967</v>
      </c>
      <c r="E2311">
        <v>1.2035228004165801</v>
      </c>
      <c r="F2311">
        <v>1.0213122963574699</v>
      </c>
      <c r="G2311">
        <v>1.50943287249352</v>
      </c>
      <c r="H2311">
        <v>1.4337659091493899</v>
      </c>
      <c r="I2311">
        <v>0.81025150033774296</v>
      </c>
      <c r="J2311">
        <v>0.492404268401825</v>
      </c>
      <c r="K2311">
        <v>0.46940676225629302</v>
      </c>
      <c r="L2311">
        <v>11854.7820497308</v>
      </c>
      <c r="M2311">
        <v>193.78905389321201</v>
      </c>
      <c r="N2311">
        <v>62.221351611371297</v>
      </c>
      <c r="O2311">
        <v>61.167119978659798</v>
      </c>
      <c r="P2311">
        <v>-0.41117929907913497</v>
      </c>
      <c r="Q2311">
        <v>0.48086528862426597</v>
      </c>
      <c r="R2311">
        <v>0.51972543007138206</v>
      </c>
      <c r="S2311" t="s">
        <v>7894</v>
      </c>
      <c r="T2311" t="s">
        <v>11164</v>
      </c>
      <c r="U2311" t="s">
        <v>11164</v>
      </c>
      <c r="V2311" t="s">
        <v>11164</v>
      </c>
      <c r="W2311" t="s">
        <v>13439</v>
      </c>
      <c r="X2311">
        <v>4</v>
      </c>
      <c r="Y2311" t="s">
        <v>18947</v>
      </c>
      <c r="Z2311" t="s">
        <v>24461</v>
      </c>
      <c r="AA2311">
        <v>0.89927059877337279</v>
      </c>
      <c r="AB2311" t="str">
        <f>HYPERLINK("Melting_Curves/meltCurve_P47914_RPL29.pdf", "Melting_Curves/meltCurve_P47914_RPL29.pdf")</f>
        <v>Melting_Curves/meltCurve_P47914_RPL29.pdf</v>
      </c>
    </row>
    <row r="2312" spans="1:28" x14ac:dyDescent="0.25">
      <c r="A2312" t="s">
        <v>2316</v>
      </c>
      <c r="B2312">
        <v>0.99796759195183404</v>
      </c>
      <c r="C2312">
        <v>1.10992015040396</v>
      </c>
      <c r="D2312">
        <v>1.136148182548</v>
      </c>
      <c r="E2312">
        <v>1.0365679138863599</v>
      </c>
      <c r="F2312">
        <v>1.00836145696903</v>
      </c>
      <c r="G2312">
        <v>0.64467972040756505</v>
      </c>
      <c r="H2312">
        <v>0.57699681286302196</v>
      </c>
      <c r="I2312">
        <v>0.38114226240855398</v>
      </c>
      <c r="J2312">
        <v>0.38024188213257898</v>
      </c>
      <c r="K2312">
        <v>0.32356556968523997</v>
      </c>
      <c r="L2312">
        <v>1311.4705332485501</v>
      </c>
      <c r="M2312">
        <v>24.0163105064644</v>
      </c>
      <c r="N2312">
        <v>57.447058330649398</v>
      </c>
      <c r="O2312">
        <v>54.233109598413499</v>
      </c>
      <c r="P2312">
        <v>-7.2244252671338799E-2</v>
      </c>
      <c r="Q2312">
        <v>0.34744869015676499</v>
      </c>
      <c r="R2312">
        <v>0.94511219231086196</v>
      </c>
      <c r="S2312" t="s">
        <v>7895</v>
      </c>
      <c r="T2312" t="s">
        <v>11164</v>
      </c>
      <c r="U2312" t="s">
        <v>11164</v>
      </c>
      <c r="V2312" t="s">
        <v>11164</v>
      </c>
      <c r="W2312" t="s">
        <v>13440</v>
      </c>
      <c r="X2312">
        <v>2</v>
      </c>
      <c r="Y2312" t="s">
        <v>18948</v>
      </c>
      <c r="Z2312" t="s">
        <v>24462</v>
      </c>
      <c r="AA2312">
        <v>0.73641106741373175</v>
      </c>
      <c r="AB2312" t="str">
        <f>HYPERLINK("Melting_Curves/meltCurve_P47928_ID4.pdf", "Melting_Curves/meltCurve_P47928_ID4.pdf")</f>
        <v>Melting_Curves/meltCurve_P47928_ID4.pdf</v>
      </c>
    </row>
    <row r="2313" spans="1:28" x14ac:dyDescent="0.25">
      <c r="A2313" t="s">
        <v>2317</v>
      </c>
      <c r="B2313">
        <v>0.99796759195183404</v>
      </c>
      <c r="C2313">
        <v>0.89643732533670195</v>
      </c>
      <c r="D2313">
        <v>0.85229135921356003</v>
      </c>
      <c r="E2313">
        <v>0.69009472273902095</v>
      </c>
      <c r="F2313">
        <v>0.46275724999874401</v>
      </c>
      <c r="G2313">
        <v>0.343918047011184</v>
      </c>
      <c r="H2313">
        <v>0.21475721484805299</v>
      </c>
      <c r="I2313">
        <v>0.32831153845816702</v>
      </c>
      <c r="J2313">
        <v>0</v>
      </c>
      <c r="K2313">
        <v>8.4581378401528504E-2</v>
      </c>
      <c r="L2313">
        <v>471.04822040820397</v>
      </c>
      <c r="M2313">
        <v>9.3712588078090704</v>
      </c>
      <c r="N2313">
        <v>50.265200868360502</v>
      </c>
      <c r="O2313">
        <v>48.135640501801703</v>
      </c>
      <c r="P2313">
        <v>-4.8701420212926602E-2</v>
      </c>
      <c r="Q2313">
        <v>0</v>
      </c>
      <c r="R2313">
        <v>0.95902848063500001</v>
      </c>
      <c r="S2313" t="s">
        <v>7896</v>
      </c>
      <c r="T2313" t="s">
        <v>11164</v>
      </c>
      <c r="U2313" t="s">
        <v>11164</v>
      </c>
      <c r="V2313" t="s">
        <v>11164</v>
      </c>
      <c r="W2313" t="s">
        <v>13441</v>
      </c>
      <c r="X2313">
        <v>5</v>
      </c>
      <c r="Y2313" t="s">
        <v>18949</v>
      </c>
      <c r="Z2313" t="s">
        <v>24463</v>
      </c>
      <c r="AA2313">
        <v>0.47711068144650942</v>
      </c>
      <c r="AB2313" t="str">
        <f>HYPERLINK("Melting_Curves/meltCurve_P47974_ZFP36L2.pdf", "Melting_Curves/meltCurve_P47974_ZFP36L2.pdf")</f>
        <v>Melting_Curves/meltCurve_P47974_ZFP36L2.pdf</v>
      </c>
    </row>
    <row r="2314" spans="1:28" x14ac:dyDescent="0.25">
      <c r="A2314" t="s">
        <v>2318</v>
      </c>
      <c r="B2314">
        <v>0.99796759195183404</v>
      </c>
      <c r="C2314">
        <v>1.0110906710846299</v>
      </c>
      <c r="D2314">
        <v>0.93474656562265701</v>
      </c>
      <c r="E2314">
        <v>0.92359277859701405</v>
      </c>
      <c r="F2314">
        <v>0.75293935146772994</v>
      </c>
      <c r="G2314">
        <v>0.69309181094305405</v>
      </c>
      <c r="H2314">
        <v>0.77609409971975396</v>
      </c>
      <c r="I2314">
        <v>0.65097684174578696</v>
      </c>
      <c r="J2314">
        <v>0.33027687592389299</v>
      </c>
      <c r="K2314">
        <v>0.28588518771710503</v>
      </c>
      <c r="L2314">
        <v>475.16057360221498</v>
      </c>
      <c r="M2314">
        <v>7.7031997162409303</v>
      </c>
      <c r="N2314">
        <v>61.683531252872598</v>
      </c>
      <c r="O2314">
        <v>57.9395160499448</v>
      </c>
      <c r="P2314">
        <v>-3.3281388089488502E-2</v>
      </c>
      <c r="Q2314">
        <v>0</v>
      </c>
      <c r="R2314">
        <v>0.89140975146331103</v>
      </c>
      <c r="S2314" t="s">
        <v>7897</v>
      </c>
      <c r="T2314" t="s">
        <v>11164</v>
      </c>
      <c r="U2314" t="s">
        <v>11164</v>
      </c>
      <c r="V2314" t="s">
        <v>11164</v>
      </c>
      <c r="W2314" t="s">
        <v>13442</v>
      </c>
      <c r="X2314">
        <v>10</v>
      </c>
      <c r="Y2314" t="s">
        <v>18950</v>
      </c>
      <c r="Z2314" t="s">
        <v>24464</v>
      </c>
      <c r="AA2314">
        <v>0.75402308238364435</v>
      </c>
      <c r="AB2314" t="str">
        <f>HYPERLINK("Melting_Curves/meltCurve_P47985_UQCRFS1.pdf", "Melting_Curves/meltCurve_P47985_UQCRFS1.pdf")</f>
        <v>Melting_Curves/meltCurve_P47985_UQCRFS1.pdf</v>
      </c>
    </row>
    <row r="2315" spans="1:28" x14ac:dyDescent="0.25">
      <c r="A2315" t="s">
        <v>2319</v>
      </c>
      <c r="B2315">
        <v>0.99796759195183404</v>
      </c>
      <c r="C2315">
        <v>0.95329463878080301</v>
      </c>
      <c r="D2315">
        <v>0.93036144407017596</v>
      </c>
      <c r="E2315">
        <v>0.96033822428561899</v>
      </c>
      <c r="F2315">
        <v>0.65421321254292797</v>
      </c>
      <c r="G2315">
        <v>0.67401934542965902</v>
      </c>
      <c r="H2315">
        <v>0.52339963169647996</v>
      </c>
      <c r="I2315">
        <v>0.58565958025626597</v>
      </c>
      <c r="J2315">
        <v>0.71224845566569295</v>
      </c>
      <c r="K2315">
        <v>0.54292537232716997</v>
      </c>
      <c r="L2315">
        <v>2537.8230410946198</v>
      </c>
      <c r="M2315">
        <v>52.394901136700902</v>
      </c>
      <c r="O2315">
        <v>48.366056027602703</v>
      </c>
      <c r="P2315">
        <v>-0.10665035958717201</v>
      </c>
      <c r="Q2315">
        <v>0.60620194366199998</v>
      </c>
      <c r="R2315">
        <v>0.89314104729685195</v>
      </c>
      <c r="S2315" t="s">
        <v>7898</v>
      </c>
      <c r="T2315" t="s">
        <v>11164</v>
      </c>
      <c r="U2315" t="s">
        <v>11164</v>
      </c>
      <c r="V2315" t="s">
        <v>11164</v>
      </c>
      <c r="W2315" t="s">
        <v>13443</v>
      </c>
      <c r="X2315">
        <v>1</v>
      </c>
      <c r="Y2315" t="s">
        <v>18951</v>
      </c>
      <c r="Z2315" t="s">
        <v>24465</v>
      </c>
      <c r="AA2315">
        <v>0.75708949332730979</v>
      </c>
      <c r="AB2315" t="str">
        <f>HYPERLINK("Melting_Curves/meltCurve_P48029_3_SLC6A8.pdf", "Melting_Curves/meltCurve_P48029_3_SLC6A8.pdf")</f>
        <v>Melting_Curves/meltCurve_P48029_3_SLC6A8.pdf</v>
      </c>
    </row>
    <row r="2316" spans="1:28" x14ac:dyDescent="0.25">
      <c r="A2316" t="s">
        <v>2320</v>
      </c>
      <c r="B2316">
        <v>0.99796759195183404</v>
      </c>
      <c r="C2316">
        <v>0.95003809057976996</v>
      </c>
      <c r="D2316">
        <v>0.87939999740602204</v>
      </c>
      <c r="E2316">
        <v>0.920872689707805</v>
      </c>
      <c r="F2316">
        <v>0.85523722357021204</v>
      </c>
      <c r="G2316">
        <v>1.52060102658205</v>
      </c>
      <c r="H2316">
        <v>1.24268908445584</v>
      </c>
      <c r="I2316">
        <v>1.82322918312643</v>
      </c>
      <c r="J2316">
        <v>0.89233058098074602</v>
      </c>
      <c r="K2316">
        <v>0.55125067927201898</v>
      </c>
      <c r="L2316">
        <v>15000</v>
      </c>
      <c r="M2316">
        <v>232.85602202885201</v>
      </c>
      <c r="O2316">
        <v>64.412736853225297</v>
      </c>
      <c r="P2316">
        <v>-0.40561593175319299</v>
      </c>
      <c r="Q2316">
        <v>0.55119336269630204</v>
      </c>
      <c r="R2316">
        <v>0.14111065047105101</v>
      </c>
      <c r="S2316" t="s">
        <v>7899</v>
      </c>
      <c r="T2316" t="s">
        <v>11164</v>
      </c>
      <c r="U2316" t="s">
        <v>11164</v>
      </c>
      <c r="V2316" t="s">
        <v>11164</v>
      </c>
      <c r="W2316" t="s">
        <v>13444</v>
      </c>
      <c r="X2316">
        <v>12</v>
      </c>
      <c r="Y2316" t="s">
        <v>18952</v>
      </c>
      <c r="Z2316" t="s">
        <v>24466</v>
      </c>
      <c r="AA2316">
        <v>0.9614229640123878</v>
      </c>
      <c r="AB2316" t="str">
        <f>HYPERLINK("Melting_Curves/meltCurve_P48047_ATP5O.pdf", "Melting_Curves/meltCurve_P48047_ATP5O.pdf")</f>
        <v>Melting_Curves/meltCurve_P48047_ATP5O.pdf</v>
      </c>
    </row>
    <row r="2317" spans="1:28" x14ac:dyDescent="0.25">
      <c r="A2317" t="s">
        <v>2321</v>
      </c>
      <c r="B2317">
        <v>0.99796759195183404</v>
      </c>
      <c r="C2317">
        <v>0.99416549341874305</v>
      </c>
      <c r="D2317">
        <v>0.98361842626665297</v>
      </c>
      <c r="E2317">
        <v>0.85602040353561504</v>
      </c>
      <c r="F2317">
        <v>0.69369019470909099</v>
      </c>
      <c r="G2317">
        <v>0.81629135876577896</v>
      </c>
      <c r="H2317">
        <v>0.60274485014137102</v>
      </c>
      <c r="I2317">
        <v>0.449278580737763</v>
      </c>
      <c r="J2317">
        <v>0.229748304177743</v>
      </c>
      <c r="K2317">
        <v>0.167330227554019</v>
      </c>
      <c r="L2317">
        <v>576.66094942734696</v>
      </c>
      <c r="M2317">
        <v>9.8512386368349905</v>
      </c>
      <c r="N2317">
        <v>58.5368984120514</v>
      </c>
      <c r="O2317">
        <v>56.277818551391903</v>
      </c>
      <c r="P2317">
        <v>-4.3784179743459398E-2</v>
      </c>
      <c r="Q2317">
        <v>0</v>
      </c>
      <c r="R2317">
        <v>0.94093650245492699</v>
      </c>
      <c r="S2317" t="s">
        <v>7900</v>
      </c>
      <c r="T2317" t="s">
        <v>11164</v>
      </c>
      <c r="U2317" t="s">
        <v>11164</v>
      </c>
      <c r="V2317" t="s">
        <v>11164</v>
      </c>
      <c r="W2317" t="s">
        <v>13445</v>
      </c>
      <c r="X2317">
        <v>8</v>
      </c>
      <c r="Y2317" t="s">
        <v>18953</v>
      </c>
      <c r="Z2317" t="s">
        <v>24467</v>
      </c>
      <c r="AA2317">
        <v>0.70400094158121262</v>
      </c>
      <c r="AB2317" t="str">
        <f>HYPERLINK("Melting_Curves/meltCurve_P48050_KCNJ4.pdf", "Melting_Curves/meltCurve_P48050_KCNJ4.pdf")</f>
        <v>Melting_Curves/meltCurve_P48050_KCNJ4.pdf</v>
      </c>
    </row>
    <row r="2318" spans="1:28" x14ac:dyDescent="0.25">
      <c r="A2318" t="s">
        <v>2322</v>
      </c>
      <c r="B2318">
        <v>0.99796759195183404</v>
      </c>
      <c r="C2318">
        <v>0.95987110431326295</v>
      </c>
      <c r="D2318">
        <v>1.0082290812908601</v>
      </c>
      <c r="E2318">
        <v>0.978870335739915</v>
      </c>
      <c r="F2318">
        <v>0.82550891650339397</v>
      </c>
      <c r="G2318">
        <v>0.68417415453160202</v>
      </c>
      <c r="H2318">
        <v>0.74243093746308497</v>
      </c>
      <c r="I2318">
        <v>0.58005906940407004</v>
      </c>
      <c r="J2318">
        <v>0.47507348459611098</v>
      </c>
      <c r="K2318">
        <v>0.26053247325904</v>
      </c>
      <c r="L2318">
        <v>513.61845703085601</v>
      </c>
      <c r="M2318">
        <v>8.2806070474160407</v>
      </c>
      <c r="N2318">
        <v>62.026663875172503</v>
      </c>
      <c r="O2318">
        <v>58.724883706154401</v>
      </c>
      <c r="P2318">
        <v>-3.5286738483062602E-2</v>
      </c>
      <c r="Q2318">
        <v>0</v>
      </c>
      <c r="R2318">
        <v>0.94145501756356698</v>
      </c>
      <c r="S2318" t="s">
        <v>7901</v>
      </c>
      <c r="T2318" t="s">
        <v>11164</v>
      </c>
      <c r="U2318" t="s">
        <v>11164</v>
      </c>
      <c r="V2318" t="s">
        <v>11164</v>
      </c>
      <c r="W2318" t="s">
        <v>13446</v>
      </c>
      <c r="X2318">
        <v>9</v>
      </c>
      <c r="Y2318" t="s">
        <v>18954</v>
      </c>
      <c r="Z2318" t="s">
        <v>24468</v>
      </c>
      <c r="AA2318">
        <v>0.76769995954809933</v>
      </c>
      <c r="AB2318" t="str">
        <f>HYPERLINK("Melting_Curves/meltCurve_P48059_LIMS1.pdf", "Melting_Curves/meltCurve_P48059_LIMS1.pdf")</f>
        <v>Melting_Curves/meltCurve_P48059_LIMS1.pdf</v>
      </c>
    </row>
    <row r="2319" spans="1:28" x14ac:dyDescent="0.25">
      <c r="A2319" t="s">
        <v>2323</v>
      </c>
      <c r="B2319">
        <v>0.99796759195183404</v>
      </c>
      <c r="C2319">
        <v>0.99437145674865002</v>
      </c>
      <c r="D2319">
        <v>0.99814656316313899</v>
      </c>
      <c r="E2319">
        <v>0.92668318941212702</v>
      </c>
      <c r="F2319">
        <v>0.74521924399971595</v>
      </c>
      <c r="G2319">
        <v>0.232022389558146</v>
      </c>
      <c r="H2319">
        <v>0.15940935925831601</v>
      </c>
      <c r="I2319">
        <v>0.105995963000502</v>
      </c>
      <c r="J2319">
        <v>8.7782702359309406E-2</v>
      </c>
      <c r="K2319">
        <v>6.7568291287950902E-2</v>
      </c>
      <c r="L2319">
        <v>1772.4911448493301</v>
      </c>
      <c r="M2319">
        <v>34.464970678730701</v>
      </c>
      <c r="N2319">
        <v>51.7395049774792</v>
      </c>
      <c r="O2319">
        <v>51.256552882372098</v>
      </c>
      <c r="P2319">
        <v>-0.15238567361090699</v>
      </c>
      <c r="Q2319">
        <v>9.3487098597586193E-2</v>
      </c>
      <c r="R2319">
        <v>0.996519050258728</v>
      </c>
      <c r="S2319" t="s">
        <v>7902</v>
      </c>
      <c r="T2319" t="s">
        <v>11164</v>
      </c>
      <c r="U2319" t="s">
        <v>11164</v>
      </c>
      <c r="V2319" t="s">
        <v>11164</v>
      </c>
      <c r="W2319" t="s">
        <v>13447</v>
      </c>
      <c r="X2319">
        <v>29</v>
      </c>
      <c r="Y2319" t="s">
        <v>18955</v>
      </c>
      <c r="Z2319" t="s">
        <v>24469</v>
      </c>
      <c r="AA2319">
        <v>0.53381070005115683</v>
      </c>
      <c r="AB2319" t="str">
        <f>HYPERLINK("Melting_Curves/meltCurve_P48147_PREP.pdf", "Melting_Curves/meltCurve_P48147_PREP.pdf")</f>
        <v>Melting_Curves/meltCurve_P48147_PREP.pdf</v>
      </c>
    </row>
    <row r="2320" spans="1:28" x14ac:dyDescent="0.25">
      <c r="A2320" t="s">
        <v>2324</v>
      </c>
      <c r="B2320">
        <v>0.99796759195183404</v>
      </c>
      <c r="C2320">
        <v>1.0299929275881099</v>
      </c>
      <c r="D2320">
        <v>0.95871946756797999</v>
      </c>
      <c r="E2320">
        <v>1.0092176877411401</v>
      </c>
      <c r="F2320">
        <v>0.88246695063972402</v>
      </c>
      <c r="G2320">
        <v>1.2150931904325799</v>
      </c>
      <c r="H2320">
        <v>1.29329094508763</v>
      </c>
      <c r="I2320">
        <v>0.98391141609361599</v>
      </c>
      <c r="J2320">
        <v>0.46463853057441601</v>
      </c>
      <c r="K2320">
        <v>0.31935231878675402</v>
      </c>
      <c r="L2320">
        <v>6404.0132987797297</v>
      </c>
      <c r="M2320">
        <v>101.194797348949</v>
      </c>
      <c r="N2320">
        <v>63.918584130117601</v>
      </c>
      <c r="O2320">
        <v>63.259313935672502</v>
      </c>
      <c r="P2320">
        <v>-0.27318138310350798</v>
      </c>
      <c r="Q2320">
        <v>0.316910890820288</v>
      </c>
      <c r="R2320">
        <v>0.82017139203660105</v>
      </c>
      <c r="S2320" t="s">
        <v>7903</v>
      </c>
      <c r="T2320" t="s">
        <v>11164</v>
      </c>
      <c r="U2320" t="s">
        <v>11164</v>
      </c>
      <c r="V2320" t="s">
        <v>11164</v>
      </c>
      <c r="W2320" t="s">
        <v>13448</v>
      </c>
      <c r="X2320">
        <v>9</v>
      </c>
      <c r="Y2320" t="s">
        <v>18956</v>
      </c>
      <c r="Z2320" t="s">
        <v>24470</v>
      </c>
      <c r="AA2320">
        <v>0.91579253527765048</v>
      </c>
      <c r="AB2320" t="str">
        <f>HYPERLINK("Melting_Curves/meltCurve_P48163_ME1.pdf", "Melting_Curves/meltCurve_P48163_ME1.pdf")</f>
        <v>Melting_Curves/meltCurve_P48163_ME1.pdf</v>
      </c>
    </row>
    <row r="2321" spans="1:28" x14ac:dyDescent="0.25">
      <c r="A2321" t="s">
        <v>2325</v>
      </c>
      <c r="B2321">
        <v>0.99796759195183404</v>
      </c>
      <c r="C2321">
        <v>0.815451167528221</v>
      </c>
      <c r="D2321">
        <v>0.90921740707548404</v>
      </c>
      <c r="E2321">
        <v>0.77521312531240605</v>
      </c>
      <c r="F2321">
        <v>0.59622275888729104</v>
      </c>
      <c r="G2321">
        <v>0.35996194960527</v>
      </c>
      <c r="H2321">
        <v>0.29684878503807999</v>
      </c>
      <c r="I2321">
        <v>0.227655357537801</v>
      </c>
      <c r="J2321">
        <v>0.13452304321870101</v>
      </c>
      <c r="K2321">
        <v>7.8703456463405499E-2</v>
      </c>
      <c r="L2321">
        <v>489.201644756946</v>
      </c>
      <c r="M2321">
        <v>9.4403824437596899</v>
      </c>
      <c r="N2321">
        <v>51.820108686440001</v>
      </c>
      <c r="O2321">
        <v>49.654523995319401</v>
      </c>
      <c r="P2321">
        <v>-4.75591191207618E-2</v>
      </c>
      <c r="Q2321">
        <v>0</v>
      </c>
      <c r="R2321">
        <v>0.97646651039135302</v>
      </c>
      <c r="S2321" t="s">
        <v>7904</v>
      </c>
      <c r="T2321" t="s">
        <v>11164</v>
      </c>
      <c r="U2321" t="s">
        <v>11164</v>
      </c>
      <c r="V2321" t="s">
        <v>11164</v>
      </c>
      <c r="W2321" t="s">
        <v>13449</v>
      </c>
      <c r="X2321">
        <v>4</v>
      </c>
      <c r="Y2321" t="s">
        <v>18957</v>
      </c>
      <c r="Z2321" t="s">
        <v>24471</v>
      </c>
      <c r="AA2321">
        <v>0.52216505845257888</v>
      </c>
      <c r="AB2321" t="str">
        <f>HYPERLINK("Melting_Curves/meltCurve_P48200_IREB2.pdf", "Melting_Curves/meltCurve_P48200_IREB2.pdf")</f>
        <v>Melting_Curves/meltCurve_P48200_IREB2.pdf</v>
      </c>
    </row>
    <row r="2322" spans="1:28" x14ac:dyDescent="0.25">
      <c r="A2322" t="s">
        <v>2326</v>
      </c>
      <c r="B2322">
        <v>0.99796759195183404</v>
      </c>
      <c r="C2322">
        <v>1.0231893920348401</v>
      </c>
      <c r="D2322">
        <v>1.0157321588216399</v>
      </c>
      <c r="E2322">
        <v>0.84871524425519296</v>
      </c>
      <c r="F2322">
        <v>0.67298697079970804</v>
      </c>
      <c r="G2322">
        <v>0.61648388862158199</v>
      </c>
      <c r="H2322">
        <v>0.32806166889157501</v>
      </c>
      <c r="I2322">
        <v>0.143187602628921</v>
      </c>
      <c r="J2322">
        <v>9.8127088050720901E-2</v>
      </c>
      <c r="K2322">
        <v>7.5913127792024707E-2</v>
      </c>
      <c r="L2322">
        <v>708.13970929425102</v>
      </c>
      <c r="M2322">
        <v>13.068953225405799</v>
      </c>
      <c r="N2322">
        <v>54.184887482784497</v>
      </c>
      <c r="O2322">
        <v>52.963305200849398</v>
      </c>
      <c r="P2322">
        <v>-6.1699392721357299E-2</v>
      </c>
      <c r="Q2322">
        <v>0</v>
      </c>
      <c r="R2322">
        <v>0.98502238946298704</v>
      </c>
      <c r="S2322" t="s">
        <v>7905</v>
      </c>
      <c r="T2322" t="s">
        <v>11164</v>
      </c>
      <c r="U2322" t="s">
        <v>11164</v>
      </c>
      <c r="V2322" t="s">
        <v>11164</v>
      </c>
      <c r="W2322" t="s">
        <v>13450</v>
      </c>
      <c r="X2322">
        <v>24</v>
      </c>
      <c r="Y2322" t="s">
        <v>18958</v>
      </c>
      <c r="Z2322" t="s">
        <v>24472</v>
      </c>
      <c r="AA2322">
        <v>0.58980104477261019</v>
      </c>
      <c r="AB2322" t="str">
        <f>HYPERLINK("Melting_Curves/meltCurve_P48444_ARCN1.pdf", "Melting_Curves/meltCurve_P48444_ARCN1.pdf")</f>
        <v>Melting_Curves/meltCurve_P48444_ARCN1.pdf</v>
      </c>
    </row>
    <row r="2323" spans="1:28" x14ac:dyDescent="0.25">
      <c r="A2323" t="s">
        <v>2327</v>
      </c>
      <c r="B2323">
        <v>0.99796759195183404</v>
      </c>
      <c r="C2323">
        <v>1.0080880092586999</v>
      </c>
      <c r="D2323">
        <v>0.98463631650550099</v>
      </c>
      <c r="E2323">
        <v>0.92126448742240796</v>
      </c>
      <c r="F2323">
        <v>0.77534761043945</v>
      </c>
      <c r="G2323">
        <v>0.457214445470223</v>
      </c>
      <c r="H2323">
        <v>0.24644589479118301</v>
      </c>
      <c r="I2323">
        <v>0.194816806523023</v>
      </c>
      <c r="J2323">
        <v>0.147222199060631</v>
      </c>
      <c r="K2323">
        <v>0.11363002580770901</v>
      </c>
      <c r="L2323">
        <v>1061.4200435443499</v>
      </c>
      <c r="M2323">
        <v>20.166623537273299</v>
      </c>
      <c r="N2323">
        <v>53.350480401488603</v>
      </c>
      <c r="O2323">
        <v>52.123174068954</v>
      </c>
      <c r="P2323">
        <v>-8.5233424085020104E-2</v>
      </c>
      <c r="Q2323">
        <v>0.118841714149515</v>
      </c>
      <c r="R2323">
        <v>0.99867936953014003</v>
      </c>
      <c r="S2323" t="s">
        <v>7906</v>
      </c>
      <c r="T2323" t="s">
        <v>11164</v>
      </c>
      <c r="U2323" t="s">
        <v>11164</v>
      </c>
      <c r="V2323" t="s">
        <v>11164</v>
      </c>
      <c r="W2323" t="s">
        <v>13451</v>
      </c>
      <c r="X2323">
        <v>20</v>
      </c>
      <c r="Y2323" t="s">
        <v>18959</v>
      </c>
      <c r="Z2323" t="s">
        <v>24473</v>
      </c>
      <c r="AA2323">
        <v>0.58907958505207014</v>
      </c>
      <c r="AB2323" t="str">
        <f>HYPERLINK("Melting_Curves/meltCurve_P48449_3_LSS.pdf", "Melting_Curves/meltCurve_P48449_3_LSS.pdf")</f>
        <v>Melting_Curves/meltCurve_P48449_3_LSS.pdf</v>
      </c>
    </row>
    <row r="2324" spans="1:28" x14ac:dyDescent="0.25">
      <c r="A2324" t="s">
        <v>2328</v>
      </c>
      <c r="B2324">
        <v>0.99796759195183404</v>
      </c>
      <c r="C2324">
        <v>1.4138686751718501</v>
      </c>
      <c r="D2324">
        <v>1.2262664963599801</v>
      </c>
      <c r="E2324">
        <v>1.1712975435064401</v>
      </c>
      <c r="F2324">
        <v>0.94166032151512902</v>
      </c>
      <c r="G2324">
        <v>1.04950174065746</v>
      </c>
      <c r="H2324">
        <v>0.929626570370373</v>
      </c>
      <c r="I2324">
        <v>0.737483209421818</v>
      </c>
      <c r="J2324">
        <v>0.54935175330119401</v>
      </c>
      <c r="K2324">
        <v>0.54460763187058203</v>
      </c>
      <c r="L2324">
        <v>2356.1714089840498</v>
      </c>
      <c r="M2324">
        <v>38.9216352595353</v>
      </c>
      <c r="O2324">
        <v>60.3771472801889</v>
      </c>
      <c r="P2324">
        <v>-7.7286536563943603E-2</v>
      </c>
      <c r="Q2324">
        <v>0.52043846241212299</v>
      </c>
      <c r="R2324">
        <v>0.64144582011600904</v>
      </c>
      <c r="S2324" t="s">
        <v>7907</v>
      </c>
      <c r="T2324" t="s">
        <v>11164</v>
      </c>
      <c r="U2324" t="s">
        <v>11164</v>
      </c>
      <c r="V2324" t="s">
        <v>11164</v>
      </c>
      <c r="W2324" t="s">
        <v>13452</v>
      </c>
      <c r="X2324">
        <v>5</v>
      </c>
      <c r="Y2324" t="s">
        <v>18960</v>
      </c>
      <c r="Z2324" t="s">
        <v>24474</v>
      </c>
      <c r="AA2324">
        <v>0.89804747872545809</v>
      </c>
      <c r="AB2324" t="str">
        <f>HYPERLINK("Melting_Curves/meltCurve_P48454_2_PPP3CC.pdf", "Melting_Curves/meltCurve_P48454_2_PPP3CC.pdf")</f>
        <v>Melting_Curves/meltCurve_P48454_2_PPP3CC.pdf</v>
      </c>
    </row>
    <row r="2325" spans="1:28" x14ac:dyDescent="0.25">
      <c r="A2325" t="s">
        <v>2329</v>
      </c>
      <c r="B2325">
        <v>0.99796759195183404</v>
      </c>
      <c r="C2325">
        <v>1.00237098923824</v>
      </c>
      <c r="D2325">
        <v>0.99813961089592496</v>
      </c>
      <c r="E2325">
        <v>0.93144186335780699</v>
      </c>
      <c r="F2325">
        <v>0.83791785036407695</v>
      </c>
      <c r="G2325">
        <v>0.55103787639791002</v>
      </c>
      <c r="H2325">
        <v>0.26146244734539298</v>
      </c>
      <c r="I2325">
        <v>0.203863607144259</v>
      </c>
      <c r="J2325">
        <v>0.18336310261509201</v>
      </c>
      <c r="K2325">
        <v>0.13019348473884201</v>
      </c>
      <c r="L2325">
        <v>1183.0796610679899</v>
      </c>
      <c r="M2325">
        <v>22.146580028888</v>
      </c>
      <c r="N2325">
        <v>54.218111147521697</v>
      </c>
      <c r="O2325">
        <v>52.990586637773099</v>
      </c>
      <c r="P2325">
        <v>-8.9958401707299601E-2</v>
      </c>
      <c r="Q2325">
        <v>0.13903730023472299</v>
      </c>
      <c r="R2325">
        <v>0.99729798192470498</v>
      </c>
      <c r="S2325" t="s">
        <v>7908</v>
      </c>
      <c r="T2325" t="s">
        <v>11164</v>
      </c>
      <c r="U2325" t="s">
        <v>11164</v>
      </c>
      <c r="V2325" t="s">
        <v>11164</v>
      </c>
      <c r="W2325" t="s">
        <v>13453</v>
      </c>
      <c r="X2325">
        <v>17</v>
      </c>
      <c r="Y2325" t="s">
        <v>18961</v>
      </c>
      <c r="Z2325" t="s">
        <v>24475</v>
      </c>
      <c r="AA2325">
        <v>0.61949279754928088</v>
      </c>
      <c r="AB2325" t="str">
        <f>HYPERLINK("Melting_Curves/meltCurve_P48506_GCLC.pdf", "Melting_Curves/meltCurve_P48506_GCLC.pdf")</f>
        <v>Melting_Curves/meltCurve_P48506_GCLC.pdf</v>
      </c>
    </row>
    <row r="2326" spans="1:28" x14ac:dyDescent="0.25">
      <c r="A2326" t="s">
        <v>2330</v>
      </c>
      <c r="B2326">
        <v>0.99796759195183404</v>
      </c>
      <c r="C2326">
        <v>1.0052090281122801</v>
      </c>
      <c r="D2326">
        <v>1.04373654592154</v>
      </c>
      <c r="E2326">
        <v>1.01290933608703</v>
      </c>
      <c r="F2326">
        <v>0.82464577539494099</v>
      </c>
      <c r="G2326">
        <v>0.38507978741964799</v>
      </c>
      <c r="H2326">
        <v>0.25966851493912202</v>
      </c>
      <c r="I2326">
        <v>0.18844560656821499</v>
      </c>
      <c r="J2326">
        <v>0.169364628745657</v>
      </c>
      <c r="K2326">
        <v>0.177316380836509</v>
      </c>
      <c r="L2326">
        <v>1756.22147056059</v>
      </c>
      <c r="M2326">
        <v>33.695473733478501</v>
      </c>
      <c r="N2326">
        <v>52.848003069271797</v>
      </c>
      <c r="O2326">
        <v>51.937862558883097</v>
      </c>
      <c r="P2326">
        <v>-0.13209040948852699</v>
      </c>
      <c r="Q2326">
        <v>0.18559231257581499</v>
      </c>
      <c r="R2326">
        <v>0.99664759498583899</v>
      </c>
      <c r="S2326" t="s">
        <v>7909</v>
      </c>
      <c r="T2326" t="s">
        <v>11164</v>
      </c>
      <c r="U2326" t="s">
        <v>11164</v>
      </c>
      <c r="V2326" t="s">
        <v>11164</v>
      </c>
      <c r="W2326" t="s">
        <v>13454</v>
      </c>
      <c r="X2326">
        <v>9</v>
      </c>
      <c r="Y2326" t="s">
        <v>18962</v>
      </c>
      <c r="Z2326" t="s">
        <v>24476</v>
      </c>
      <c r="AA2326">
        <v>0.60017333773334269</v>
      </c>
      <c r="AB2326" t="str">
        <f>HYPERLINK("Melting_Curves/meltCurve_P48507_GCLM.pdf", "Melting_Curves/meltCurve_P48507_GCLM.pdf")</f>
        <v>Melting_Curves/meltCurve_P48507_GCLM.pdf</v>
      </c>
    </row>
    <row r="2327" spans="1:28" x14ac:dyDescent="0.25">
      <c r="A2327" t="s">
        <v>2331</v>
      </c>
      <c r="B2327">
        <v>0.99796759195183404</v>
      </c>
      <c r="C2327">
        <v>0.99528167986582805</v>
      </c>
      <c r="D2327">
        <v>0.95627287492006596</v>
      </c>
      <c r="E2327">
        <v>0.94575693390730597</v>
      </c>
      <c r="F2327">
        <v>0.951088762174924</v>
      </c>
      <c r="G2327">
        <v>1.1094532746763399</v>
      </c>
      <c r="H2327">
        <v>0.75518681218349104</v>
      </c>
      <c r="I2327">
        <v>0.60361864362455697</v>
      </c>
      <c r="J2327">
        <v>0.461094498403537</v>
      </c>
      <c r="K2327">
        <v>0.32843677397387799</v>
      </c>
      <c r="L2327">
        <v>1466.3702553163901</v>
      </c>
      <c r="M2327">
        <v>24.4121650327621</v>
      </c>
      <c r="N2327">
        <v>62.473625173471703</v>
      </c>
      <c r="O2327">
        <v>59.6684799482057</v>
      </c>
      <c r="P2327">
        <v>-7.1112788008978994E-2</v>
      </c>
      <c r="Q2327">
        <v>0.30475166643729601</v>
      </c>
      <c r="R2327">
        <v>0.94125217995505595</v>
      </c>
      <c r="S2327" t="s">
        <v>7910</v>
      </c>
      <c r="T2327" t="s">
        <v>11164</v>
      </c>
      <c r="U2327" t="s">
        <v>11164</v>
      </c>
      <c r="V2327" t="s">
        <v>11164</v>
      </c>
      <c r="W2327" t="s">
        <v>13455</v>
      </c>
      <c r="X2327">
        <v>48</v>
      </c>
      <c r="Y2327" t="s">
        <v>18963</v>
      </c>
      <c r="Z2327" t="s">
        <v>24477</v>
      </c>
      <c r="AA2327">
        <v>0.84115142046080682</v>
      </c>
      <c r="AB2327" t="str">
        <f>HYPERLINK("Melting_Curves/meltCurve_P48634_PRRC2A.pdf", "Melting_Curves/meltCurve_P48634_PRRC2A.pdf")</f>
        <v>Melting_Curves/meltCurve_P48634_PRRC2A.pdf</v>
      </c>
    </row>
    <row r="2328" spans="1:28" x14ac:dyDescent="0.25">
      <c r="A2328" t="s">
        <v>2332</v>
      </c>
      <c r="B2328">
        <v>0.99796759195183404</v>
      </c>
      <c r="C2328">
        <v>0.890266866486912</v>
      </c>
      <c r="D2328">
        <v>0.88224706416421395</v>
      </c>
      <c r="E2328">
        <v>0.78733871754391105</v>
      </c>
      <c r="F2328">
        <v>0.76309554306416305</v>
      </c>
      <c r="G2328">
        <v>0.63699506003192696</v>
      </c>
      <c r="H2328">
        <v>0.55915870958154301</v>
      </c>
      <c r="I2328">
        <v>0.48190239744047297</v>
      </c>
      <c r="J2328">
        <v>0.37256812550855301</v>
      </c>
      <c r="K2328">
        <v>0.156019886026423</v>
      </c>
      <c r="L2328">
        <v>386.05721750845203</v>
      </c>
      <c r="M2328">
        <v>6.6565774940395501</v>
      </c>
      <c r="N2328">
        <v>57.996352908016</v>
      </c>
      <c r="O2328">
        <v>53.433252514862701</v>
      </c>
      <c r="P2328">
        <v>-3.1213739185134599E-2</v>
      </c>
      <c r="Q2328">
        <v>0</v>
      </c>
      <c r="R2328">
        <v>0.94739210909851002</v>
      </c>
      <c r="S2328" t="s">
        <v>7911</v>
      </c>
      <c r="T2328" t="s">
        <v>11164</v>
      </c>
      <c r="U2328" t="s">
        <v>11164</v>
      </c>
      <c r="V2328" t="s">
        <v>11164</v>
      </c>
      <c r="W2328" t="s">
        <v>13456</v>
      </c>
      <c r="X2328">
        <v>13</v>
      </c>
      <c r="Y2328" t="s">
        <v>18964</v>
      </c>
      <c r="Z2328" t="s">
        <v>24478</v>
      </c>
      <c r="AA2328">
        <v>0.66625264533238371</v>
      </c>
      <c r="AB2328" t="str">
        <f>HYPERLINK("Melting_Curves/meltCurve_P48637_GSS.pdf", "Melting_Curves/meltCurve_P48637_GSS.pdf")</f>
        <v>Melting_Curves/meltCurve_P48637_GSS.pdf</v>
      </c>
    </row>
    <row r="2329" spans="1:28" x14ac:dyDescent="0.25">
      <c r="A2329" t="s">
        <v>2333</v>
      </c>
      <c r="B2329">
        <v>0.99796759195183404</v>
      </c>
      <c r="C2329">
        <v>0.930716928519423</v>
      </c>
      <c r="D2329">
        <v>0.87058799984584601</v>
      </c>
      <c r="E2329">
        <v>0.81603643755389998</v>
      </c>
      <c r="F2329">
        <v>0.684415286351301</v>
      </c>
      <c r="G2329">
        <v>0.563174211801443</v>
      </c>
      <c r="H2329">
        <v>0.60003301813938303</v>
      </c>
      <c r="I2329">
        <v>0.67970077654781402</v>
      </c>
      <c r="J2329">
        <v>0.93906838515393198</v>
      </c>
      <c r="K2329">
        <v>0.39485653123159398</v>
      </c>
      <c r="L2329">
        <v>721.39387378320396</v>
      </c>
      <c r="M2329">
        <v>16.009763693077499</v>
      </c>
      <c r="O2329">
        <v>44.374193457531803</v>
      </c>
      <c r="P2329">
        <v>-3.3314130960031399E-2</v>
      </c>
      <c r="Q2329">
        <v>0.63068246171299203</v>
      </c>
      <c r="R2329">
        <v>0.51563254437158101</v>
      </c>
      <c r="S2329" t="s">
        <v>7912</v>
      </c>
      <c r="T2329" t="s">
        <v>11164</v>
      </c>
      <c r="U2329" t="s">
        <v>11164</v>
      </c>
      <c r="V2329" t="s">
        <v>11164</v>
      </c>
      <c r="W2329" t="s">
        <v>13457</v>
      </c>
      <c r="X2329">
        <v>31</v>
      </c>
      <c r="Y2329" t="s">
        <v>18965</v>
      </c>
      <c r="Z2329" t="s">
        <v>24479</v>
      </c>
      <c r="AA2329">
        <v>0.73759247688973817</v>
      </c>
      <c r="AB2329" t="str">
        <f>HYPERLINK("Melting_Curves/meltCurve_P48643_CCT5.pdf", "Melting_Curves/meltCurve_P48643_CCT5.pdf")</f>
        <v>Melting_Curves/meltCurve_P48643_CCT5.pdf</v>
      </c>
    </row>
    <row r="2330" spans="1:28" x14ac:dyDescent="0.25">
      <c r="A2330" t="s">
        <v>2334</v>
      </c>
      <c r="B2330">
        <v>0.99796759195183404</v>
      </c>
      <c r="C2330">
        <v>1.0452514025639801</v>
      </c>
      <c r="D2330">
        <v>1.00264068582265</v>
      </c>
      <c r="E2330">
        <v>0.78765207242783797</v>
      </c>
      <c r="F2330">
        <v>0.79222880574037102</v>
      </c>
      <c r="G2330">
        <v>0.52647092262370299</v>
      </c>
      <c r="H2330">
        <v>0.54540132229460103</v>
      </c>
      <c r="I2330">
        <v>0.38677223025557</v>
      </c>
      <c r="J2330">
        <v>0.29990763868801301</v>
      </c>
      <c r="K2330">
        <v>0.121512139100153</v>
      </c>
      <c r="L2330">
        <v>497.656006860697</v>
      </c>
      <c r="M2330">
        <v>8.7770224537255004</v>
      </c>
      <c r="N2330">
        <v>56.699863868505297</v>
      </c>
      <c r="O2330">
        <v>53.987640348111697</v>
      </c>
      <c r="P2330">
        <v>-4.0676136512677298E-2</v>
      </c>
      <c r="Q2330">
        <v>0</v>
      </c>
      <c r="R2330">
        <v>0.95801073487452104</v>
      </c>
      <c r="S2330" t="s">
        <v>7913</v>
      </c>
      <c r="T2330" t="s">
        <v>11164</v>
      </c>
      <c r="U2330" t="s">
        <v>11164</v>
      </c>
      <c r="V2330" t="s">
        <v>11164</v>
      </c>
      <c r="W2330" t="s">
        <v>13458</v>
      </c>
      <c r="X2330">
        <v>2</v>
      </c>
      <c r="Y2330" t="s">
        <v>18966</v>
      </c>
      <c r="Z2330" t="s">
        <v>24480</v>
      </c>
      <c r="AA2330">
        <v>0.65292250337004798</v>
      </c>
      <c r="AB2330" t="str">
        <f>HYPERLINK("Melting_Curves/meltCurve_P48681_NES.pdf", "Melting_Curves/meltCurve_P48681_NES.pdf")</f>
        <v>Melting_Curves/meltCurve_P48681_NES.pdf</v>
      </c>
    </row>
    <row r="2331" spans="1:28" x14ac:dyDescent="0.25">
      <c r="A2331" t="s">
        <v>2335</v>
      </c>
      <c r="B2331">
        <v>0.99796759195183404</v>
      </c>
      <c r="C2331">
        <v>0.995954903461025</v>
      </c>
      <c r="D2331">
        <v>0.97840957008031204</v>
      </c>
      <c r="E2331">
        <v>0.88847436149294401</v>
      </c>
      <c r="F2331">
        <v>0.80388778827511498</v>
      </c>
      <c r="G2331">
        <v>0.52801789014182299</v>
      </c>
      <c r="H2331">
        <v>0.29605539751882498</v>
      </c>
      <c r="I2331">
        <v>0.21524538553653799</v>
      </c>
      <c r="J2331">
        <v>0.170218249898058</v>
      </c>
      <c r="K2331">
        <v>0.104283455817793</v>
      </c>
      <c r="L2331">
        <v>869.19778465172101</v>
      </c>
      <c r="M2331">
        <v>16.217863560764499</v>
      </c>
      <c r="N2331">
        <v>54.250573909055703</v>
      </c>
      <c r="O2331">
        <v>52.800064314314099</v>
      </c>
      <c r="P2331">
        <v>-6.9961947536850297E-2</v>
      </c>
      <c r="Q2331">
        <v>8.8974443288510105E-2</v>
      </c>
      <c r="R2331">
        <v>0.99670043144848997</v>
      </c>
      <c r="S2331" t="s">
        <v>7914</v>
      </c>
      <c r="T2331" t="s">
        <v>11164</v>
      </c>
      <c r="U2331" t="s">
        <v>11164</v>
      </c>
      <c r="V2331" t="s">
        <v>11164</v>
      </c>
      <c r="W2331" t="s">
        <v>13459</v>
      </c>
      <c r="X2331">
        <v>6</v>
      </c>
      <c r="Y2331" t="s">
        <v>18967</v>
      </c>
      <c r="Z2331" t="s">
        <v>24481</v>
      </c>
      <c r="AA2331">
        <v>0.60728554613882191</v>
      </c>
      <c r="AB2331" t="str">
        <f>HYPERLINK("Melting_Curves/meltCurve_P48723_HSPA13.pdf", "Melting_Curves/meltCurve_P48723_HSPA13.pdf")</f>
        <v>Melting_Curves/meltCurve_P48723_HSPA13.pdf</v>
      </c>
    </row>
    <row r="2332" spans="1:28" x14ac:dyDescent="0.25">
      <c r="A2332" t="s">
        <v>2336</v>
      </c>
      <c r="B2332">
        <v>0.99796759195183404</v>
      </c>
      <c r="C2332">
        <v>1.1339285390418801</v>
      </c>
      <c r="D2332">
        <v>1.0152431262243</v>
      </c>
      <c r="E2332">
        <v>0.99211507865783799</v>
      </c>
      <c r="F2332">
        <v>0.72875267699592705</v>
      </c>
      <c r="G2332">
        <v>0.52477604120339005</v>
      </c>
      <c r="H2332">
        <v>0.26613593808991098</v>
      </c>
      <c r="I2332">
        <v>0.25985923766847402</v>
      </c>
      <c r="J2332">
        <v>0.343579829855097</v>
      </c>
      <c r="K2332">
        <v>0.36572682000399798</v>
      </c>
      <c r="L2332">
        <v>1415.37306714597</v>
      </c>
      <c r="M2332">
        <v>27.531629313253202</v>
      </c>
      <c r="N2332">
        <v>53.245675994419699</v>
      </c>
      <c r="O2332">
        <v>51.140055566082502</v>
      </c>
      <c r="P2332">
        <v>-9.3328988477683103E-2</v>
      </c>
      <c r="Q2332">
        <v>0.30657125383435502</v>
      </c>
      <c r="R2332">
        <v>0.96561276370734095</v>
      </c>
      <c r="S2332" t="s">
        <v>7915</v>
      </c>
      <c r="T2332" t="s">
        <v>11164</v>
      </c>
      <c r="U2332" t="s">
        <v>11164</v>
      </c>
      <c r="V2332" t="s">
        <v>11164</v>
      </c>
      <c r="W2332" t="s">
        <v>13460</v>
      </c>
      <c r="X2332">
        <v>3</v>
      </c>
      <c r="Y2332" t="s">
        <v>18968</v>
      </c>
      <c r="Z2332" t="s">
        <v>24482</v>
      </c>
      <c r="AA2332">
        <v>0.64474643015126454</v>
      </c>
      <c r="AB2332" t="str">
        <f>HYPERLINK("Melting_Curves/meltCurve_P48729_CSNK1A1.pdf", "Melting_Curves/meltCurve_P48729_CSNK1A1.pdf")</f>
        <v>Melting_Curves/meltCurve_P48729_CSNK1A1.pdf</v>
      </c>
    </row>
    <row r="2333" spans="1:28" x14ac:dyDescent="0.25">
      <c r="A2333" t="s">
        <v>2337</v>
      </c>
      <c r="B2333">
        <v>0.99796759195183404</v>
      </c>
      <c r="C2333">
        <v>0.94926319441574303</v>
      </c>
      <c r="D2333">
        <v>0.94293916231446795</v>
      </c>
      <c r="E2333">
        <v>0.926266983140831</v>
      </c>
      <c r="F2333">
        <v>0.77479838086378505</v>
      </c>
      <c r="G2333">
        <v>0.73188959437579104</v>
      </c>
      <c r="H2333">
        <v>0.29628125653602599</v>
      </c>
      <c r="I2333">
        <v>0.19581175626691499</v>
      </c>
      <c r="J2333">
        <v>0.102568518469106</v>
      </c>
      <c r="K2333">
        <v>8.6655644719276906E-2</v>
      </c>
      <c r="L2333">
        <v>862.31465330168305</v>
      </c>
      <c r="M2333">
        <v>15.549019970534101</v>
      </c>
      <c r="N2333">
        <v>55.457814507170198</v>
      </c>
      <c r="O2333">
        <v>54.564793562472502</v>
      </c>
      <c r="P2333">
        <v>-7.1247307777099797E-2</v>
      </c>
      <c r="Q2333">
        <v>0</v>
      </c>
      <c r="R2333">
        <v>0.97871325923196395</v>
      </c>
      <c r="S2333" t="s">
        <v>7916</v>
      </c>
      <c r="T2333" t="s">
        <v>11164</v>
      </c>
      <c r="U2333" t="s">
        <v>11164</v>
      </c>
      <c r="V2333" t="s">
        <v>11164</v>
      </c>
      <c r="W2333" t="s">
        <v>13461</v>
      </c>
      <c r="X2333">
        <v>21</v>
      </c>
      <c r="Y2333" t="s">
        <v>18969</v>
      </c>
      <c r="Z2333" t="s">
        <v>24483</v>
      </c>
      <c r="AA2333">
        <v>0.62811547117434452</v>
      </c>
      <c r="AB2333" t="str">
        <f>HYPERLINK("Melting_Curves/meltCurve_P48735_IDH2.pdf", "Melting_Curves/meltCurve_P48735_IDH2.pdf")</f>
        <v>Melting_Curves/meltCurve_P48735_IDH2.pdf</v>
      </c>
    </row>
    <row r="2334" spans="1:28" x14ac:dyDescent="0.25">
      <c r="A2334" t="s">
        <v>2338</v>
      </c>
      <c r="B2334">
        <v>0.99796759195183404</v>
      </c>
      <c r="C2334">
        <v>1.00608960120147</v>
      </c>
      <c r="D2334">
        <v>1.01185663673968</v>
      </c>
      <c r="E2334">
        <v>0.97199071291123296</v>
      </c>
      <c r="F2334">
        <v>0.82673645266752105</v>
      </c>
      <c r="G2334">
        <v>0.572572200336811</v>
      </c>
      <c r="H2334">
        <v>0.41299838485336798</v>
      </c>
      <c r="I2334">
        <v>0.17824680713454899</v>
      </c>
      <c r="J2334">
        <v>0.12048548620037</v>
      </c>
      <c r="K2334">
        <v>9.1192392791760502E-2</v>
      </c>
      <c r="L2334">
        <v>867.86950197879901</v>
      </c>
      <c r="M2334">
        <v>15.748217653858401</v>
      </c>
      <c r="N2334">
        <v>55.316500069936303</v>
      </c>
      <c r="O2334">
        <v>54.243405443082501</v>
      </c>
      <c r="P2334">
        <v>-7.0506020672998201E-2</v>
      </c>
      <c r="Q2334">
        <v>2.8672949327412101E-2</v>
      </c>
      <c r="R2334">
        <v>0.99627421150862205</v>
      </c>
      <c r="S2334" t="s">
        <v>7917</v>
      </c>
      <c r="T2334" t="s">
        <v>11164</v>
      </c>
      <c r="U2334" t="s">
        <v>11164</v>
      </c>
      <c r="V2334" t="s">
        <v>11164</v>
      </c>
      <c r="W2334" t="s">
        <v>13462</v>
      </c>
      <c r="X2334">
        <v>19</v>
      </c>
      <c r="Y2334" t="s">
        <v>18970</v>
      </c>
      <c r="Z2334" t="s">
        <v>24484</v>
      </c>
      <c r="AA2334">
        <v>0.62817736152403358</v>
      </c>
      <c r="AB2334" t="str">
        <f>HYPERLINK("Melting_Curves/meltCurve_P48739_PITPNB.pdf", "Melting_Curves/meltCurve_P48739_PITPNB.pdf")</f>
        <v>Melting_Curves/meltCurve_P48739_PITPNB.pdf</v>
      </c>
    </row>
    <row r="2335" spans="1:28" x14ac:dyDescent="0.25">
      <c r="A2335" t="s">
        <v>2339</v>
      </c>
      <c r="B2335">
        <v>0.99796759195183404</v>
      </c>
      <c r="C2335">
        <v>1.0405004084998</v>
      </c>
      <c r="D2335">
        <v>1.0108062779918501</v>
      </c>
      <c r="E2335">
        <v>0.98051020153647195</v>
      </c>
      <c r="F2335">
        <v>0.923237991680673</v>
      </c>
      <c r="G2335">
        <v>0.70890273618796595</v>
      </c>
      <c r="H2335">
        <v>0.621349304900918</v>
      </c>
      <c r="I2335">
        <v>0.53426064781326799</v>
      </c>
      <c r="J2335">
        <v>0.57603597073096302</v>
      </c>
      <c r="K2335">
        <v>0.52457041494534196</v>
      </c>
      <c r="L2335">
        <v>1383.77033174603</v>
      </c>
      <c r="M2335">
        <v>26.1375449435936</v>
      </c>
      <c r="O2335">
        <v>52.634877313880303</v>
      </c>
      <c r="P2335">
        <v>-5.6714031060158598E-2</v>
      </c>
      <c r="Q2335">
        <v>0.54317018761538705</v>
      </c>
      <c r="R2335">
        <v>0.98921234498444499</v>
      </c>
      <c r="S2335" t="s">
        <v>7918</v>
      </c>
      <c r="T2335" t="s">
        <v>11164</v>
      </c>
      <c r="U2335" t="s">
        <v>11164</v>
      </c>
      <c r="V2335" t="s">
        <v>11164</v>
      </c>
      <c r="W2335" t="s">
        <v>13463</v>
      </c>
      <c r="X2335">
        <v>16</v>
      </c>
      <c r="Y2335" t="s">
        <v>18971</v>
      </c>
      <c r="Z2335" t="s">
        <v>24485</v>
      </c>
      <c r="AA2335">
        <v>0.78966419798412191</v>
      </c>
      <c r="AB2335" t="str">
        <f>HYPERLINK("Melting_Curves/meltCurve_P48745_NOV.pdf", "Melting_Curves/meltCurve_P48745_NOV.pdf")</f>
        <v>Melting_Curves/meltCurve_P48745_NOV.pdf</v>
      </c>
    </row>
    <row r="2336" spans="1:28" x14ac:dyDescent="0.25">
      <c r="A2336" t="s">
        <v>2340</v>
      </c>
      <c r="B2336">
        <v>0.99796759195183404</v>
      </c>
      <c r="C2336">
        <v>0.96000532197867505</v>
      </c>
      <c r="D2336">
        <v>1.0688603704378199</v>
      </c>
      <c r="E2336">
        <v>0.901290685110537</v>
      </c>
      <c r="F2336">
        <v>0.82935862944887095</v>
      </c>
      <c r="G2336">
        <v>0.63959329251875197</v>
      </c>
      <c r="H2336">
        <v>0.64611492405654203</v>
      </c>
      <c r="I2336">
        <v>0.56548799877605305</v>
      </c>
      <c r="J2336">
        <v>0.69192120132450796</v>
      </c>
      <c r="K2336">
        <v>0.53750111117002597</v>
      </c>
      <c r="L2336">
        <v>1155.98036361199</v>
      </c>
      <c r="M2336">
        <v>23.0048670902776</v>
      </c>
      <c r="O2336">
        <v>49.874301059016901</v>
      </c>
      <c r="P2336">
        <v>-4.6367591891720801E-2</v>
      </c>
      <c r="Q2336">
        <v>0.59790978092337799</v>
      </c>
      <c r="R2336">
        <v>0.92346922914771001</v>
      </c>
      <c r="S2336" t="s">
        <v>7919</v>
      </c>
      <c r="T2336" t="s">
        <v>11164</v>
      </c>
      <c r="U2336" t="s">
        <v>11164</v>
      </c>
      <c r="V2336" t="s">
        <v>11164</v>
      </c>
      <c r="W2336" t="s">
        <v>13464</v>
      </c>
      <c r="X2336">
        <v>4</v>
      </c>
      <c r="Y2336" t="s">
        <v>18972</v>
      </c>
      <c r="Z2336" t="s">
        <v>24486</v>
      </c>
      <c r="AA2336">
        <v>0.77960982567350701</v>
      </c>
      <c r="AB2336" t="str">
        <f>HYPERLINK("Melting_Curves/meltCurve_P48960_2_CD97.pdf", "Melting_Curves/meltCurve_P48960_2_CD97.pdf")</f>
        <v>Melting_Curves/meltCurve_P48960_2_CD97.pdf</v>
      </c>
    </row>
    <row r="2337" spans="1:28" x14ac:dyDescent="0.25">
      <c r="A2337" t="s">
        <v>2341</v>
      </c>
      <c r="B2337">
        <v>0.99796759195183404</v>
      </c>
      <c r="C2337">
        <v>0.97504264603752799</v>
      </c>
      <c r="D2337">
        <v>0.89034095275049097</v>
      </c>
      <c r="E2337">
        <v>1.02352525411077</v>
      </c>
      <c r="F2337">
        <v>0.976460790737402</v>
      </c>
      <c r="G2337">
        <v>0.534383162714552</v>
      </c>
      <c r="H2337">
        <v>0.73248819305709101</v>
      </c>
      <c r="I2337">
        <v>0.76168946434561902</v>
      </c>
      <c r="J2337">
        <v>0.88131078315001798</v>
      </c>
      <c r="K2337">
        <v>0.78256828803240297</v>
      </c>
      <c r="L2337">
        <v>12666.134578954699</v>
      </c>
      <c r="M2337">
        <v>250</v>
      </c>
      <c r="O2337">
        <v>50.6612714595867</v>
      </c>
      <c r="P2337">
        <v>-0.32262302174829399</v>
      </c>
      <c r="Q2337">
        <v>0.73848799229130901</v>
      </c>
      <c r="R2337">
        <v>0.63259083121943604</v>
      </c>
      <c r="S2337" t="s">
        <v>7920</v>
      </c>
      <c r="T2337" t="s">
        <v>11164</v>
      </c>
      <c r="U2337" t="s">
        <v>11164</v>
      </c>
      <c r="V2337" t="s">
        <v>11164</v>
      </c>
      <c r="W2337" t="s">
        <v>13465</v>
      </c>
      <c r="X2337">
        <v>13</v>
      </c>
      <c r="Y2337" t="s">
        <v>18973</v>
      </c>
      <c r="Z2337" t="s">
        <v>24487</v>
      </c>
      <c r="AA2337">
        <v>0.85762593973541768</v>
      </c>
      <c r="AB2337" t="str">
        <f>HYPERLINK("Melting_Curves/meltCurve_P49006_MARCKSL1.pdf", "Melting_Curves/meltCurve_P49006_MARCKSL1.pdf")</f>
        <v>Melting_Curves/meltCurve_P49006_MARCKSL1.pdf</v>
      </c>
    </row>
    <row r="2338" spans="1:28" x14ac:dyDescent="0.25">
      <c r="A2338" t="s">
        <v>2342</v>
      </c>
      <c r="B2338">
        <v>0.99796759195183404</v>
      </c>
      <c r="C2338">
        <v>1.0291826015782399</v>
      </c>
      <c r="D2338">
        <v>0.98272521571926597</v>
      </c>
      <c r="E2338">
        <v>1.0518133066422799</v>
      </c>
      <c r="F2338">
        <v>0.92984528886789597</v>
      </c>
      <c r="G2338">
        <v>0.70481406616589803</v>
      </c>
      <c r="H2338">
        <v>0.74089706664190202</v>
      </c>
      <c r="I2338">
        <v>0.71533142650964798</v>
      </c>
      <c r="J2338">
        <v>0.82918350768596505</v>
      </c>
      <c r="K2338">
        <v>0.75453922548291297</v>
      </c>
      <c r="L2338">
        <v>12597.549338491401</v>
      </c>
      <c r="M2338">
        <v>250</v>
      </c>
      <c r="O2338">
        <v>50.3869914165738</v>
      </c>
      <c r="P2338">
        <v>-0.31139862610529301</v>
      </c>
      <c r="Q2338">
        <v>0.74895305451869998</v>
      </c>
      <c r="R2338">
        <v>0.92260985607212798</v>
      </c>
      <c r="S2338" t="s">
        <v>7921</v>
      </c>
      <c r="T2338" t="s">
        <v>11164</v>
      </c>
      <c r="U2338" t="s">
        <v>11164</v>
      </c>
      <c r="V2338" t="s">
        <v>11164</v>
      </c>
      <c r="W2338" t="s">
        <v>13466</v>
      </c>
      <c r="X2338">
        <v>7</v>
      </c>
      <c r="Y2338" t="s">
        <v>18974</v>
      </c>
      <c r="Z2338" t="s">
        <v>24488</v>
      </c>
      <c r="AA2338">
        <v>0.86102752711081199</v>
      </c>
      <c r="AB2338" t="str">
        <f>HYPERLINK("Melting_Curves/meltCurve_P49069_CAMLG.pdf", "Melting_Curves/meltCurve_P49069_CAMLG.pdf")</f>
        <v>Melting_Curves/meltCurve_P49069_CAMLG.pdf</v>
      </c>
    </row>
    <row r="2339" spans="1:28" x14ac:dyDescent="0.25">
      <c r="A2339" t="s">
        <v>2343</v>
      </c>
      <c r="B2339">
        <v>0.99796759195183404</v>
      </c>
      <c r="C2339">
        <v>1.0756130067457901</v>
      </c>
      <c r="D2339">
        <v>1.0385694842992601</v>
      </c>
      <c r="E2339">
        <v>1.0377433263621001</v>
      </c>
      <c r="F2339">
        <v>0.84782450087172101</v>
      </c>
      <c r="G2339">
        <v>0.52013562998845198</v>
      </c>
      <c r="H2339">
        <v>0.27096200932223602</v>
      </c>
      <c r="I2339">
        <v>0.230775126769387</v>
      </c>
      <c r="J2339">
        <v>0.16732833297291699</v>
      </c>
      <c r="K2339">
        <v>0.141650216871052</v>
      </c>
      <c r="L2339">
        <v>1409.10418915992</v>
      </c>
      <c r="M2339">
        <v>26.477607609002199</v>
      </c>
      <c r="N2339">
        <v>54.0376847564551</v>
      </c>
      <c r="O2339">
        <v>52.917923306428399</v>
      </c>
      <c r="P2339">
        <v>-0.104415448588992</v>
      </c>
      <c r="Q2339">
        <v>0.16527359553172499</v>
      </c>
      <c r="R2339">
        <v>0.99118833733210299</v>
      </c>
      <c r="S2339" t="s">
        <v>7922</v>
      </c>
      <c r="T2339" t="s">
        <v>11164</v>
      </c>
      <c r="U2339" t="s">
        <v>11164</v>
      </c>
      <c r="V2339" t="s">
        <v>11164</v>
      </c>
      <c r="W2339" t="s">
        <v>13467</v>
      </c>
      <c r="X2339">
        <v>9</v>
      </c>
      <c r="Y2339" t="s">
        <v>18975</v>
      </c>
      <c r="Z2339" t="s">
        <v>24489</v>
      </c>
      <c r="AA2339">
        <v>0.62321488004266545</v>
      </c>
      <c r="AB2339" t="str">
        <f>HYPERLINK("Melting_Curves/meltCurve_P49137_MAPKAPK2.pdf", "Melting_Curves/meltCurve_P49137_MAPKAPK2.pdf")</f>
        <v>Melting_Curves/meltCurve_P49137_MAPKAPK2.pdf</v>
      </c>
    </row>
    <row r="2340" spans="1:28" x14ac:dyDescent="0.25">
      <c r="A2340" t="s">
        <v>2344</v>
      </c>
      <c r="B2340">
        <v>0.99796759195183404</v>
      </c>
      <c r="C2340">
        <v>0.98930291588089703</v>
      </c>
      <c r="D2340">
        <v>0.96658018825524505</v>
      </c>
      <c r="E2340">
        <v>0.94298770212369498</v>
      </c>
      <c r="F2340">
        <v>0.86225220433056804</v>
      </c>
      <c r="G2340">
        <v>0.86419874685800202</v>
      </c>
      <c r="H2340">
        <v>0.70951444519665696</v>
      </c>
      <c r="I2340">
        <v>0.53437165070056503</v>
      </c>
      <c r="J2340">
        <v>0.29591971598104799</v>
      </c>
      <c r="K2340">
        <v>0.14849352736562901</v>
      </c>
      <c r="L2340">
        <v>888.13399226386002</v>
      </c>
      <c r="M2340">
        <v>14.643234105686</v>
      </c>
      <c r="N2340">
        <v>60.651491775744901</v>
      </c>
      <c r="O2340">
        <v>59.554026445761799</v>
      </c>
      <c r="P2340">
        <v>-6.14772027028508E-2</v>
      </c>
      <c r="Q2340">
        <v>0</v>
      </c>
      <c r="R2340">
        <v>0.97884214631587996</v>
      </c>
      <c r="S2340" t="s">
        <v>7923</v>
      </c>
      <c r="T2340" t="s">
        <v>11164</v>
      </c>
      <c r="U2340" t="s">
        <v>11164</v>
      </c>
      <c r="V2340" t="s">
        <v>11164</v>
      </c>
      <c r="W2340" t="s">
        <v>13468</v>
      </c>
      <c r="X2340">
        <v>24</v>
      </c>
      <c r="Y2340" t="s">
        <v>18976</v>
      </c>
      <c r="Z2340" t="s">
        <v>24490</v>
      </c>
      <c r="AA2340">
        <v>0.77612062273034044</v>
      </c>
      <c r="AB2340" t="str">
        <f>HYPERLINK("Melting_Curves/meltCurve_P49189_ALDH9A1.pdf", "Melting_Curves/meltCurve_P49189_ALDH9A1.pdf")</f>
        <v>Melting_Curves/meltCurve_P49189_ALDH9A1.pdf</v>
      </c>
    </row>
    <row r="2341" spans="1:28" x14ac:dyDescent="0.25">
      <c r="A2341" t="s">
        <v>2345</v>
      </c>
      <c r="B2341">
        <v>0.99796759195183404</v>
      </c>
      <c r="C2341">
        <v>0.95844020561745802</v>
      </c>
      <c r="D2341">
        <v>0.923561861145904</v>
      </c>
      <c r="E2341">
        <v>1.2321624164068301</v>
      </c>
      <c r="F2341">
        <v>1.4006650717078499</v>
      </c>
      <c r="G2341">
        <v>5.5060161371262799</v>
      </c>
      <c r="H2341">
        <v>1.0720825480451199</v>
      </c>
      <c r="I2341">
        <v>1.4969099474240199</v>
      </c>
      <c r="J2341">
        <v>1.35136822946719</v>
      </c>
      <c r="K2341">
        <v>1.5013244853341601</v>
      </c>
      <c r="L2341">
        <v>3512.4719913505601</v>
      </c>
      <c r="M2341">
        <v>75.218125542736502</v>
      </c>
      <c r="O2341">
        <v>46.664173266387202</v>
      </c>
      <c r="P2341">
        <v>0.20148792226124801</v>
      </c>
      <c r="Q2341">
        <v>1.5</v>
      </c>
      <c r="R2341">
        <v>4.3190566701262E-2</v>
      </c>
      <c r="S2341" t="s">
        <v>7924</v>
      </c>
      <c r="T2341" t="s">
        <v>11164</v>
      </c>
      <c r="U2341" t="s">
        <v>11164</v>
      </c>
      <c r="V2341" t="s">
        <v>11164</v>
      </c>
      <c r="W2341" t="s">
        <v>13469</v>
      </c>
      <c r="X2341">
        <v>1</v>
      </c>
      <c r="Y2341" t="s">
        <v>18977</v>
      </c>
      <c r="Z2341" t="s">
        <v>24491</v>
      </c>
      <c r="AA2341">
        <v>1.33792718776812</v>
      </c>
      <c r="AB2341" t="str">
        <f>HYPERLINK("Melting_Curves/meltCurve_P49207_RPL34.pdf", "Melting_Curves/meltCurve_P49207_RPL34.pdf")</f>
        <v>Melting_Curves/meltCurve_P49207_RPL34.pdf</v>
      </c>
    </row>
    <row r="2342" spans="1:28" x14ac:dyDescent="0.25">
      <c r="A2342" t="s">
        <v>2346</v>
      </c>
      <c r="B2342">
        <v>0.99796759195183404</v>
      </c>
      <c r="C2342">
        <v>0.94871971551039502</v>
      </c>
      <c r="D2342">
        <v>0.82925167613847905</v>
      </c>
      <c r="E2342">
        <v>0.96916431083003196</v>
      </c>
      <c r="F2342">
        <v>0.93105419176676396</v>
      </c>
      <c r="G2342">
        <v>1.31031478192372</v>
      </c>
      <c r="H2342">
        <v>1.17612060440463</v>
      </c>
      <c r="I2342">
        <v>1.1921369162425799</v>
      </c>
      <c r="J2342">
        <v>0.82761478641259401</v>
      </c>
      <c r="K2342">
        <v>1.0166998677048</v>
      </c>
      <c r="L2342">
        <v>1624.7889350082701</v>
      </c>
      <c r="M2342">
        <v>21.1127434929152</v>
      </c>
      <c r="Q2342">
        <v>0.62058608634018697</v>
      </c>
      <c r="R2342">
        <v>-1.58423446674749E-2</v>
      </c>
      <c r="S2342" t="s">
        <v>7925</v>
      </c>
      <c r="T2342" t="s">
        <v>11164</v>
      </c>
      <c r="U2342" t="s">
        <v>11164</v>
      </c>
      <c r="V2342" t="s">
        <v>11164</v>
      </c>
      <c r="W2342" t="s">
        <v>13470</v>
      </c>
      <c r="X2342">
        <v>4</v>
      </c>
      <c r="Y2342" t="s">
        <v>18978</v>
      </c>
      <c r="Z2342" t="s">
        <v>24492</v>
      </c>
      <c r="AA2342">
        <v>0.99862670918408925</v>
      </c>
      <c r="AB2342" t="str">
        <f>HYPERLINK("Melting_Curves/meltCurve_P49247_RPIA.pdf", "Melting_Curves/meltCurve_P49247_RPIA.pdf")</f>
        <v>Melting_Curves/meltCurve_P49247_RPIA.pdf</v>
      </c>
    </row>
    <row r="2343" spans="1:28" x14ac:dyDescent="0.25">
      <c r="A2343" t="s">
        <v>2347</v>
      </c>
      <c r="B2343">
        <v>0.99796759195183404</v>
      </c>
      <c r="C2343">
        <v>0.94344130114133895</v>
      </c>
      <c r="D2343">
        <v>0.98347360674881601</v>
      </c>
      <c r="E2343">
        <v>0.92486827079719502</v>
      </c>
      <c r="F2343">
        <v>0.72406240151806101</v>
      </c>
      <c r="G2343">
        <v>0.3886311147407</v>
      </c>
      <c r="H2343">
        <v>0.214175922697944</v>
      </c>
      <c r="I2343">
        <v>0.176754756215704</v>
      </c>
      <c r="J2343">
        <v>0.13142421281573899</v>
      </c>
      <c r="K2343">
        <v>9.9596136809088701E-2</v>
      </c>
      <c r="L2343">
        <v>1105.2117926640999</v>
      </c>
      <c r="M2343">
        <v>21.279484517917201</v>
      </c>
      <c r="N2343">
        <v>52.574398999459397</v>
      </c>
      <c r="O2343">
        <v>51.485744683143601</v>
      </c>
      <c r="P2343">
        <v>-9.1596358932266198E-2</v>
      </c>
      <c r="Q2343">
        <v>0.113552443995597</v>
      </c>
      <c r="R2343">
        <v>0.99666877638415197</v>
      </c>
      <c r="S2343" t="s">
        <v>7926</v>
      </c>
      <c r="T2343" t="s">
        <v>11164</v>
      </c>
      <c r="U2343" t="s">
        <v>11164</v>
      </c>
      <c r="V2343" t="s">
        <v>11164</v>
      </c>
      <c r="W2343" t="s">
        <v>13471</v>
      </c>
      <c r="X2343">
        <v>14</v>
      </c>
      <c r="Y2343" t="s">
        <v>18979</v>
      </c>
      <c r="Z2343" t="s">
        <v>24493</v>
      </c>
      <c r="AA2343">
        <v>0.56531381436195582</v>
      </c>
      <c r="AB2343" t="str">
        <f>HYPERLINK("Melting_Curves/meltCurve_P49257_LMAN1.pdf", "Melting_Curves/meltCurve_P49257_LMAN1.pdf")</f>
        <v>Melting_Curves/meltCurve_P49257_LMAN1.pdf</v>
      </c>
    </row>
    <row r="2344" spans="1:28" x14ac:dyDescent="0.25">
      <c r="A2344" t="s">
        <v>2348</v>
      </c>
      <c r="B2344">
        <v>0.99796759195183404</v>
      </c>
      <c r="C2344">
        <v>1.01455107681236</v>
      </c>
      <c r="D2344">
        <v>1.0180415194459</v>
      </c>
      <c r="E2344">
        <v>0.98572935895631497</v>
      </c>
      <c r="F2344">
        <v>0.865151262951106</v>
      </c>
      <c r="G2344">
        <v>0.51244619382745504</v>
      </c>
      <c r="H2344">
        <v>0.328644734563525</v>
      </c>
      <c r="I2344">
        <v>0.246492772022921</v>
      </c>
      <c r="J2344">
        <v>0.28866938516629498</v>
      </c>
      <c r="K2344">
        <v>0.29967632420698198</v>
      </c>
      <c r="L2344">
        <v>1672.16502113814</v>
      </c>
      <c r="M2344">
        <v>31.818040531979001</v>
      </c>
      <c r="N2344">
        <v>53.919085237085802</v>
      </c>
      <c r="O2344">
        <v>52.3477075498906</v>
      </c>
      <c r="P2344">
        <v>-0.10992817107531</v>
      </c>
      <c r="Q2344">
        <v>0.27657924163348002</v>
      </c>
      <c r="R2344">
        <v>0.99750399986517402</v>
      </c>
      <c r="S2344" t="s">
        <v>7927</v>
      </c>
      <c r="T2344" t="s">
        <v>11164</v>
      </c>
      <c r="U2344" t="s">
        <v>11164</v>
      </c>
      <c r="V2344" t="s">
        <v>11164</v>
      </c>
      <c r="W2344" t="s">
        <v>13472</v>
      </c>
      <c r="X2344">
        <v>42</v>
      </c>
      <c r="Y2344" t="s">
        <v>18980</v>
      </c>
      <c r="Z2344" t="s">
        <v>24494</v>
      </c>
      <c r="AA2344">
        <v>0.65575078375593265</v>
      </c>
      <c r="AB2344" t="str">
        <f>HYPERLINK("Melting_Curves/meltCurve_P49321_NASP.pdf", "Melting_Curves/meltCurve_P49321_NASP.pdf")</f>
        <v>Melting_Curves/meltCurve_P49321_NASP.pdf</v>
      </c>
    </row>
    <row r="2345" spans="1:28" x14ac:dyDescent="0.25">
      <c r="A2345" t="s">
        <v>2349</v>
      </c>
      <c r="B2345">
        <v>0.99796759195183404</v>
      </c>
      <c r="C2345">
        <v>1.01644530432347</v>
      </c>
      <c r="D2345">
        <v>0.94326670630988696</v>
      </c>
      <c r="E2345">
        <v>1.04643605423273</v>
      </c>
      <c r="F2345">
        <v>0.85818425837774304</v>
      </c>
      <c r="G2345">
        <v>4.1592977972075298</v>
      </c>
      <c r="H2345">
        <v>0.57452342280618696</v>
      </c>
      <c r="I2345">
        <v>0.33511986035115099</v>
      </c>
      <c r="J2345">
        <v>0.20863687066262199</v>
      </c>
      <c r="K2345">
        <v>0.160216767719673</v>
      </c>
      <c r="L2345">
        <v>14337.104894681201</v>
      </c>
      <c r="M2345">
        <v>250</v>
      </c>
      <c r="N2345">
        <v>57.494129685234299</v>
      </c>
      <c r="O2345">
        <v>57.3447405900204</v>
      </c>
      <c r="P2345">
        <v>-0.83414610080264995</v>
      </c>
      <c r="Q2345">
        <v>0.234657611307442</v>
      </c>
      <c r="R2345">
        <v>0.16141136637193201</v>
      </c>
      <c r="S2345" t="s">
        <v>7928</v>
      </c>
      <c r="T2345" t="s">
        <v>11164</v>
      </c>
      <c r="U2345" t="s">
        <v>11164</v>
      </c>
      <c r="V2345" t="s">
        <v>11164</v>
      </c>
      <c r="W2345" t="s">
        <v>13473</v>
      </c>
      <c r="X2345">
        <v>50</v>
      </c>
      <c r="Y2345" t="s">
        <v>18981</v>
      </c>
      <c r="Z2345" t="s">
        <v>24495</v>
      </c>
      <c r="AA2345">
        <v>0.75385157452229679</v>
      </c>
      <c r="AB2345" t="str">
        <f>HYPERLINK("Melting_Curves/meltCurve_P49327_FASN.pdf", "Melting_Curves/meltCurve_P49327_FASN.pdf")</f>
        <v>Melting_Curves/meltCurve_P49327_FASN.pdf</v>
      </c>
    </row>
    <row r="2346" spans="1:28" x14ac:dyDescent="0.25">
      <c r="A2346" t="s">
        <v>2350</v>
      </c>
      <c r="B2346">
        <v>0.99796759195183404</v>
      </c>
      <c r="C2346">
        <v>1.0379167953805</v>
      </c>
      <c r="D2346">
        <v>0.97195990039802205</v>
      </c>
      <c r="E2346">
        <v>0.86120376455630598</v>
      </c>
      <c r="F2346">
        <v>0.86616717038956803</v>
      </c>
      <c r="G2346">
        <v>0.59273680113944505</v>
      </c>
      <c r="H2346">
        <v>0.35498979664145902</v>
      </c>
      <c r="I2346">
        <v>0.22394769230784101</v>
      </c>
      <c r="J2346">
        <v>0.14624443540332899</v>
      </c>
      <c r="K2346">
        <v>0.12657981721711001</v>
      </c>
      <c r="L2346">
        <v>851.16133326080399</v>
      </c>
      <c r="M2346">
        <v>15.556440083945899</v>
      </c>
      <c r="N2346">
        <v>55.212534058477601</v>
      </c>
      <c r="O2346">
        <v>53.834191815698802</v>
      </c>
      <c r="P2346">
        <v>-6.7518331651024999E-2</v>
      </c>
      <c r="Q2346">
        <v>6.5473469020536607E-2</v>
      </c>
      <c r="R2346">
        <v>0.99097106495829901</v>
      </c>
      <c r="S2346" t="s">
        <v>7929</v>
      </c>
      <c r="T2346" t="s">
        <v>11164</v>
      </c>
      <c r="U2346" t="s">
        <v>11164</v>
      </c>
      <c r="V2346" t="s">
        <v>11164</v>
      </c>
      <c r="W2346" t="s">
        <v>13474</v>
      </c>
      <c r="X2346">
        <v>5</v>
      </c>
      <c r="Y2346" t="s">
        <v>18982</v>
      </c>
      <c r="Z2346" t="s">
        <v>24496</v>
      </c>
      <c r="AA2346">
        <v>0.63080783577815969</v>
      </c>
      <c r="AB2346" t="str">
        <f>HYPERLINK("Melting_Curves/meltCurve_P49354_FNTA.pdf", "Melting_Curves/meltCurve_P49354_FNTA.pdf")</f>
        <v>Melting_Curves/meltCurve_P49354_FNTA.pdf</v>
      </c>
    </row>
    <row r="2347" spans="1:28" x14ac:dyDescent="0.25">
      <c r="A2347" t="s">
        <v>2351</v>
      </c>
      <c r="B2347">
        <v>0.99796759195183404</v>
      </c>
      <c r="C2347">
        <v>1.0018444711011101</v>
      </c>
      <c r="D2347">
        <v>1.0182394866969899</v>
      </c>
      <c r="E2347">
        <v>1.0137468101766001</v>
      </c>
      <c r="F2347">
        <v>1.07011853541664</v>
      </c>
      <c r="G2347">
        <v>0.62974335838506401</v>
      </c>
      <c r="H2347">
        <v>0.53456475958799299</v>
      </c>
      <c r="I2347">
        <v>0.30826328325388003</v>
      </c>
      <c r="J2347">
        <v>0.223320156305713</v>
      </c>
      <c r="K2347">
        <v>0.12727092412524099</v>
      </c>
      <c r="L2347">
        <v>1075.6188382624</v>
      </c>
      <c r="M2347">
        <v>19.0550053994797</v>
      </c>
      <c r="N2347">
        <v>57.284372696424001</v>
      </c>
      <c r="O2347">
        <v>55.837415278725302</v>
      </c>
      <c r="P2347">
        <v>-7.4958650539200603E-2</v>
      </c>
      <c r="Q2347">
        <v>0.12142078172632299</v>
      </c>
      <c r="R2347">
        <v>0.96718657803482599</v>
      </c>
      <c r="S2347" t="s">
        <v>7930</v>
      </c>
      <c r="T2347" t="s">
        <v>11164</v>
      </c>
      <c r="U2347" t="s">
        <v>11164</v>
      </c>
      <c r="V2347" t="s">
        <v>11164</v>
      </c>
      <c r="W2347" t="s">
        <v>13475</v>
      </c>
      <c r="X2347">
        <v>2</v>
      </c>
      <c r="Y2347" t="s">
        <v>18983</v>
      </c>
      <c r="Z2347" t="s">
        <v>24497</v>
      </c>
      <c r="AA2347">
        <v>0.69971147401965561</v>
      </c>
      <c r="AB2347" t="str">
        <f>HYPERLINK("Melting_Curves/meltCurve_P49356_FNTB.pdf", "Melting_Curves/meltCurve_P49356_FNTB.pdf")</f>
        <v>Melting_Curves/meltCurve_P49356_FNTB.pdf</v>
      </c>
    </row>
    <row r="2348" spans="1:28" x14ac:dyDescent="0.25">
      <c r="A2348" t="s">
        <v>2352</v>
      </c>
      <c r="B2348">
        <v>0.99796759195183404</v>
      </c>
      <c r="C2348">
        <v>1.02435710391181</v>
      </c>
      <c r="D2348">
        <v>1.00569300437842</v>
      </c>
      <c r="E2348">
        <v>0.92891841899639604</v>
      </c>
      <c r="F2348">
        <v>0.74549590400999699</v>
      </c>
      <c r="G2348">
        <v>0.86742322149606699</v>
      </c>
      <c r="H2348">
        <v>0.87529141893774498</v>
      </c>
      <c r="I2348">
        <v>0.78355588041350399</v>
      </c>
      <c r="J2348">
        <v>0.81612075626288205</v>
      </c>
      <c r="K2348">
        <v>0.38161812142690399</v>
      </c>
      <c r="L2348">
        <v>471.49730437738901</v>
      </c>
      <c r="M2348">
        <v>6.7546750853123099</v>
      </c>
      <c r="O2348">
        <v>64.449959372803306</v>
      </c>
      <c r="P2348">
        <v>-2.62565777677643E-2</v>
      </c>
      <c r="Q2348">
        <v>0</v>
      </c>
      <c r="R2348">
        <v>0.65476374115606895</v>
      </c>
      <c r="S2348" t="s">
        <v>7931</v>
      </c>
      <c r="T2348" t="s">
        <v>11164</v>
      </c>
      <c r="U2348" t="s">
        <v>11164</v>
      </c>
      <c r="V2348" t="s">
        <v>11164</v>
      </c>
      <c r="W2348" t="s">
        <v>13476</v>
      </c>
      <c r="X2348">
        <v>8</v>
      </c>
      <c r="Y2348" t="s">
        <v>18984</v>
      </c>
      <c r="Z2348" t="s">
        <v>24498</v>
      </c>
      <c r="AA2348">
        <v>0.86286840461246461</v>
      </c>
      <c r="AB2348" t="str">
        <f>HYPERLINK("Melting_Curves/meltCurve_P49366_DHPS.pdf", "Melting_Curves/meltCurve_P49366_DHPS.pdf")</f>
        <v>Melting_Curves/meltCurve_P49366_DHPS.pdf</v>
      </c>
    </row>
    <row r="2349" spans="1:28" x14ac:dyDescent="0.25">
      <c r="A2349" t="s">
        <v>2353</v>
      </c>
      <c r="B2349">
        <v>0.99796759195183404</v>
      </c>
      <c r="C2349">
        <v>0.93856097045511599</v>
      </c>
      <c r="D2349">
        <v>0.84196130849893502</v>
      </c>
      <c r="E2349">
        <v>0.79439932227137999</v>
      </c>
      <c r="F2349">
        <v>0.62698288169868999</v>
      </c>
      <c r="G2349">
        <v>0.55763709805281503</v>
      </c>
      <c r="H2349">
        <v>0.52902591797870802</v>
      </c>
      <c r="I2349">
        <v>0.48892092106224799</v>
      </c>
      <c r="J2349">
        <v>0.250451132744058</v>
      </c>
      <c r="K2349">
        <v>0.10745831124756999</v>
      </c>
      <c r="L2349">
        <v>380.41945203548602</v>
      </c>
      <c r="M2349">
        <v>6.8206384332312204</v>
      </c>
      <c r="N2349">
        <v>55.774762527819</v>
      </c>
      <c r="O2349">
        <v>51.569820417255798</v>
      </c>
      <c r="P2349">
        <v>-3.3132476265149001E-2</v>
      </c>
      <c r="Q2349">
        <v>0</v>
      </c>
      <c r="R2349">
        <v>0.93574266699462205</v>
      </c>
      <c r="S2349" t="s">
        <v>7932</v>
      </c>
      <c r="T2349" t="s">
        <v>11164</v>
      </c>
      <c r="U2349" t="s">
        <v>11164</v>
      </c>
      <c r="V2349" t="s">
        <v>11164</v>
      </c>
      <c r="W2349" t="s">
        <v>13477</v>
      </c>
      <c r="X2349">
        <v>31</v>
      </c>
      <c r="Y2349" t="s">
        <v>18985</v>
      </c>
      <c r="Z2349" t="s">
        <v>24499</v>
      </c>
      <c r="AA2349">
        <v>0.61891971102043086</v>
      </c>
      <c r="AB2349" t="str">
        <f>HYPERLINK("Melting_Curves/meltCurve_P49368_CCT3.pdf", "Melting_Curves/meltCurve_P49368_CCT3.pdf")</f>
        <v>Melting_Curves/meltCurve_P49368_CCT3.pdf</v>
      </c>
    </row>
    <row r="2350" spans="1:28" x14ac:dyDescent="0.25">
      <c r="A2350" t="s">
        <v>2354</v>
      </c>
      <c r="B2350">
        <v>0.99796759195183404</v>
      </c>
      <c r="C2350">
        <v>1.08637587370271</v>
      </c>
      <c r="D2350">
        <v>1.0411324591426201</v>
      </c>
      <c r="E2350">
        <v>1.02689410060896</v>
      </c>
      <c r="F2350">
        <v>0.88873313872790805</v>
      </c>
      <c r="G2350">
        <v>0.52279084289493305</v>
      </c>
      <c r="H2350">
        <v>0.17451958066694101</v>
      </c>
      <c r="I2350">
        <v>0.117082081991845</v>
      </c>
      <c r="J2350">
        <v>9.5059196805792306E-2</v>
      </c>
      <c r="K2350">
        <v>7.7600550868807405E-2</v>
      </c>
      <c r="L2350">
        <v>1684.6452208430901</v>
      </c>
      <c r="M2350">
        <v>31.432458209372701</v>
      </c>
      <c r="N2350">
        <v>53.915476207773203</v>
      </c>
      <c r="O2350">
        <v>53.380187776430702</v>
      </c>
      <c r="P2350">
        <v>-0.134692852998547</v>
      </c>
      <c r="Q2350">
        <v>8.5036167399624094E-2</v>
      </c>
      <c r="R2350">
        <v>0.99386567317972296</v>
      </c>
      <c r="S2350" t="s">
        <v>7933</v>
      </c>
      <c r="T2350" t="s">
        <v>11164</v>
      </c>
      <c r="U2350" t="s">
        <v>11164</v>
      </c>
      <c r="V2350" t="s">
        <v>11164</v>
      </c>
      <c r="W2350" t="s">
        <v>13478</v>
      </c>
      <c r="X2350">
        <v>38</v>
      </c>
      <c r="Y2350" t="s">
        <v>18986</v>
      </c>
      <c r="Z2350" t="s">
        <v>24500</v>
      </c>
      <c r="AA2350">
        <v>0.59654271839348383</v>
      </c>
      <c r="AB2350" t="str">
        <f>HYPERLINK("Melting_Curves/meltCurve_P49411_TUFM.pdf", "Melting_Curves/meltCurve_P49411_TUFM.pdf")</f>
        <v>Melting_Curves/meltCurve_P49411_TUFM.pdf</v>
      </c>
    </row>
    <row r="2351" spans="1:28" x14ac:dyDescent="0.25">
      <c r="A2351" t="s">
        <v>2355</v>
      </c>
      <c r="B2351">
        <v>0.99796759195183404</v>
      </c>
      <c r="C2351">
        <v>1.0624107279261099</v>
      </c>
      <c r="D2351">
        <v>1.0486563936980999</v>
      </c>
      <c r="E2351">
        <v>1.0795052181187701</v>
      </c>
      <c r="F2351">
        <v>1.0215488649380999</v>
      </c>
      <c r="G2351">
        <v>1.4859452950316701</v>
      </c>
      <c r="H2351">
        <v>0.783937631810675</v>
      </c>
      <c r="I2351">
        <v>0.23872236959556201</v>
      </c>
      <c r="J2351">
        <v>0.144488190657896</v>
      </c>
      <c r="K2351">
        <v>0.1044676449555</v>
      </c>
      <c r="L2351">
        <v>3558.2722019855601</v>
      </c>
      <c r="M2351">
        <v>60.717165673217103</v>
      </c>
      <c r="N2351">
        <v>58.907764276656998</v>
      </c>
      <c r="O2351">
        <v>58.540586279859703</v>
      </c>
      <c r="P2351">
        <v>-0.22444923263740699</v>
      </c>
      <c r="Q2351">
        <v>0.13438751475181501</v>
      </c>
      <c r="R2351">
        <v>0.87197878466906897</v>
      </c>
      <c r="S2351" t="s">
        <v>7934</v>
      </c>
      <c r="T2351" t="s">
        <v>11164</v>
      </c>
      <c r="U2351" t="s">
        <v>11164</v>
      </c>
      <c r="V2351" t="s">
        <v>11164</v>
      </c>
      <c r="W2351" t="s">
        <v>13479</v>
      </c>
      <c r="X2351">
        <v>21</v>
      </c>
      <c r="Y2351" t="s">
        <v>18987</v>
      </c>
      <c r="Z2351" t="s">
        <v>24501</v>
      </c>
      <c r="AA2351">
        <v>0.75924146025392014</v>
      </c>
      <c r="AB2351" t="str">
        <f>HYPERLINK("Melting_Curves/meltCurve_P49419_2_ALDH7A1.pdf", "Melting_Curves/meltCurve_P49419_2_ALDH7A1.pdf")</f>
        <v>Melting_Curves/meltCurve_P49419_2_ALDH7A1.pdf</v>
      </c>
    </row>
    <row r="2352" spans="1:28" x14ac:dyDescent="0.25">
      <c r="A2352" t="s">
        <v>2356</v>
      </c>
      <c r="B2352">
        <v>0.99796759195183404</v>
      </c>
      <c r="C2352">
        <v>0.923287198345219</v>
      </c>
      <c r="D2352">
        <v>0.84022876499115595</v>
      </c>
      <c r="E2352">
        <v>0.696045613273784</v>
      </c>
      <c r="F2352">
        <v>0.51887182288752398</v>
      </c>
      <c r="G2352">
        <v>0.305619164295023</v>
      </c>
      <c r="H2352">
        <v>0.260541917079051</v>
      </c>
      <c r="I2352">
        <v>0.26823950555936898</v>
      </c>
      <c r="J2352">
        <v>0.16797162205562999</v>
      </c>
      <c r="K2352">
        <v>0.107500852857422</v>
      </c>
      <c r="L2352">
        <v>537.74901422949495</v>
      </c>
      <c r="M2352">
        <v>10.9243297267641</v>
      </c>
      <c r="N2352">
        <v>50.2713058183149</v>
      </c>
      <c r="O2352">
        <v>47.661623316378702</v>
      </c>
      <c r="P2352">
        <v>-5.1492010683470799E-2</v>
      </c>
      <c r="Q2352">
        <v>0.101695805965274</v>
      </c>
      <c r="R2352">
        <v>0.98988188375008701</v>
      </c>
      <c r="S2352" t="s">
        <v>7935</v>
      </c>
      <c r="T2352" t="s">
        <v>11164</v>
      </c>
      <c r="U2352" t="s">
        <v>11164</v>
      </c>
      <c r="V2352" t="s">
        <v>11164</v>
      </c>
      <c r="W2352" t="s">
        <v>13480</v>
      </c>
      <c r="X2352">
        <v>6</v>
      </c>
      <c r="Y2352" t="s">
        <v>18988</v>
      </c>
      <c r="Z2352" t="s">
        <v>24502</v>
      </c>
      <c r="AA2352">
        <v>0.49735975293590579</v>
      </c>
      <c r="AB2352" t="str">
        <f>HYPERLINK("Melting_Curves/meltCurve_P49427_CDC34.pdf", "Melting_Curves/meltCurve_P49427_CDC34.pdf")</f>
        <v>Melting_Curves/meltCurve_P49427_CDC34.pdf</v>
      </c>
    </row>
    <row r="2353" spans="1:28" x14ac:dyDescent="0.25">
      <c r="A2353" t="s">
        <v>2357</v>
      </c>
      <c r="B2353">
        <v>0.99796759195183404</v>
      </c>
      <c r="C2353">
        <v>0.93660467946040105</v>
      </c>
      <c r="D2353">
        <v>0.94043950248446495</v>
      </c>
      <c r="E2353">
        <v>0.89388328158141295</v>
      </c>
      <c r="F2353">
        <v>0.70092392866491005</v>
      </c>
      <c r="G2353">
        <v>0.60674244700858604</v>
      </c>
      <c r="H2353">
        <v>0.46600053934907698</v>
      </c>
      <c r="I2353">
        <v>0.39959424510644598</v>
      </c>
      <c r="J2353">
        <v>0.33845968669561799</v>
      </c>
      <c r="K2353">
        <v>0.257335627992264</v>
      </c>
      <c r="L2353">
        <v>500.81493395376998</v>
      </c>
      <c r="M2353">
        <v>9.1775981388306107</v>
      </c>
      <c r="N2353">
        <v>56.719730300234097</v>
      </c>
      <c r="O2353">
        <v>52.165857618780002</v>
      </c>
      <c r="P2353">
        <v>-3.7545477906712303E-2</v>
      </c>
      <c r="Q2353">
        <v>0.14693494537368701</v>
      </c>
      <c r="R2353">
        <v>0.99216420567517305</v>
      </c>
      <c r="S2353" t="s">
        <v>7936</v>
      </c>
      <c r="T2353" t="s">
        <v>11164</v>
      </c>
      <c r="U2353" t="s">
        <v>11164</v>
      </c>
      <c r="V2353" t="s">
        <v>11164</v>
      </c>
      <c r="W2353" t="s">
        <v>13481</v>
      </c>
      <c r="X2353">
        <v>12</v>
      </c>
      <c r="Y2353" t="s">
        <v>18989</v>
      </c>
      <c r="Z2353" t="s">
        <v>24503</v>
      </c>
      <c r="AA2353">
        <v>0.65785160305022938</v>
      </c>
      <c r="AB2353" t="str">
        <f>HYPERLINK("Melting_Curves/meltCurve_P49454_CENPF.pdf", "Melting_Curves/meltCurve_P49454_CENPF.pdf")</f>
        <v>Melting_Curves/meltCurve_P49454_CENPF.pdf</v>
      </c>
    </row>
    <row r="2354" spans="1:28" x14ac:dyDescent="0.25">
      <c r="A2354" t="s">
        <v>2358</v>
      </c>
      <c r="B2354">
        <v>0.99796759195183404</v>
      </c>
      <c r="C2354">
        <v>1.0367034908978201</v>
      </c>
      <c r="D2354">
        <v>1.14833904558274</v>
      </c>
      <c r="E2354">
        <v>1.01658736956558</v>
      </c>
      <c r="F2354">
        <v>0.86601246557345901</v>
      </c>
      <c r="G2354">
        <v>0.89348385272356801</v>
      </c>
      <c r="H2354">
        <v>0.66935943305458501</v>
      </c>
      <c r="I2354">
        <v>0.57335753008269796</v>
      </c>
      <c r="J2354">
        <v>0.62273172732443705</v>
      </c>
      <c r="K2354">
        <v>0.40115690855008801</v>
      </c>
      <c r="L2354">
        <v>786.43408463606397</v>
      </c>
      <c r="M2354">
        <v>13.5384904004089</v>
      </c>
      <c r="N2354">
        <v>64.940990824755104</v>
      </c>
      <c r="O2354">
        <v>56.865351957803099</v>
      </c>
      <c r="P2354">
        <v>-3.68979949766386E-2</v>
      </c>
      <c r="Q2354">
        <v>0.38016715112709898</v>
      </c>
      <c r="R2354">
        <v>0.90191504766452302</v>
      </c>
      <c r="S2354" t="s">
        <v>7937</v>
      </c>
      <c r="T2354" t="s">
        <v>11164</v>
      </c>
      <c r="U2354" t="s">
        <v>11164</v>
      </c>
      <c r="V2354" t="s">
        <v>11164</v>
      </c>
      <c r="W2354" t="s">
        <v>13482</v>
      </c>
      <c r="X2354">
        <v>7</v>
      </c>
      <c r="Y2354" t="s">
        <v>18990</v>
      </c>
      <c r="Z2354" t="s">
        <v>24504</v>
      </c>
      <c r="AA2354">
        <v>0.81686390325903102</v>
      </c>
      <c r="AB2354" t="str">
        <f>HYPERLINK("Melting_Curves/meltCurve_P49458_SRP9.pdf", "Melting_Curves/meltCurve_P49458_SRP9.pdf")</f>
        <v>Melting_Curves/meltCurve_P49458_SRP9.pdf</v>
      </c>
    </row>
    <row r="2355" spans="1:28" x14ac:dyDescent="0.25">
      <c r="A2355" t="s">
        <v>2359</v>
      </c>
      <c r="B2355">
        <v>0.99796759195183404</v>
      </c>
      <c r="C2355">
        <v>0.87212828544034804</v>
      </c>
      <c r="D2355">
        <v>0.80312459987142404</v>
      </c>
      <c r="E2355">
        <v>0.76571113093517196</v>
      </c>
      <c r="F2355">
        <v>0.92113786302488398</v>
      </c>
      <c r="G2355">
        <v>0.82119014621631004</v>
      </c>
      <c r="H2355">
        <v>0.54850763918461998</v>
      </c>
      <c r="I2355">
        <v>0.24651265061684499</v>
      </c>
      <c r="J2355">
        <v>0.302898844013611</v>
      </c>
      <c r="K2355">
        <v>0.16535861290812801</v>
      </c>
      <c r="L2355">
        <v>666.26117949245895</v>
      </c>
      <c r="M2355">
        <v>11.4725621365239</v>
      </c>
      <c r="N2355">
        <v>58.0743143814896</v>
      </c>
      <c r="O2355">
        <v>56.393885591759599</v>
      </c>
      <c r="P2355">
        <v>-5.0873658366505703E-2</v>
      </c>
      <c r="Q2355">
        <v>0</v>
      </c>
      <c r="R2355">
        <v>0.86688305552620804</v>
      </c>
      <c r="S2355" t="s">
        <v>7938</v>
      </c>
      <c r="T2355" t="s">
        <v>11164</v>
      </c>
      <c r="U2355" t="s">
        <v>11164</v>
      </c>
      <c r="V2355" t="s">
        <v>11164</v>
      </c>
      <c r="W2355" t="s">
        <v>13483</v>
      </c>
      <c r="X2355">
        <v>1</v>
      </c>
      <c r="Y2355" t="s">
        <v>18991</v>
      </c>
      <c r="Z2355" t="s">
        <v>24505</v>
      </c>
      <c r="AA2355">
        <v>0.69907448655149729</v>
      </c>
      <c r="AB2355" t="str">
        <f>HYPERLINK("Melting_Curves/meltCurve_P49459_UBE2A.pdf", "Melting_Curves/meltCurve_P49459_UBE2A.pdf")</f>
        <v>Melting_Curves/meltCurve_P49459_UBE2A.pdf</v>
      </c>
    </row>
    <row r="2356" spans="1:28" x14ac:dyDescent="0.25">
      <c r="A2356" t="s">
        <v>2360</v>
      </c>
      <c r="B2356">
        <v>0.99796759195183404</v>
      </c>
      <c r="C2356">
        <v>1.0608515037421999</v>
      </c>
      <c r="D2356">
        <v>1.00739692351411</v>
      </c>
      <c r="E2356">
        <v>0.99343227826075398</v>
      </c>
      <c r="F2356">
        <v>0.84705066708477905</v>
      </c>
      <c r="G2356">
        <v>0.61614035805547196</v>
      </c>
      <c r="H2356">
        <v>0.340603954763322</v>
      </c>
      <c r="I2356">
        <v>0.18903246992111999</v>
      </c>
      <c r="J2356">
        <v>0.14025005253870701</v>
      </c>
      <c r="K2356">
        <v>9.9825936331410098E-2</v>
      </c>
      <c r="L2356">
        <v>1066.46118218637</v>
      </c>
      <c r="M2356">
        <v>19.513461932898402</v>
      </c>
      <c r="N2356">
        <v>55.165315392645901</v>
      </c>
      <c r="O2356">
        <v>54.088325179352999</v>
      </c>
      <c r="P2356">
        <v>-8.2715409445870594E-2</v>
      </c>
      <c r="Q2356">
        <v>8.2935225650761502E-2</v>
      </c>
      <c r="R2356">
        <v>0.996619883672337</v>
      </c>
      <c r="S2356" t="s">
        <v>7939</v>
      </c>
      <c r="T2356" t="s">
        <v>11164</v>
      </c>
      <c r="U2356" t="s">
        <v>11164</v>
      </c>
      <c r="V2356" t="s">
        <v>11164</v>
      </c>
      <c r="W2356" t="s">
        <v>13484</v>
      </c>
      <c r="X2356">
        <v>21</v>
      </c>
      <c r="Y2356" t="s">
        <v>18992</v>
      </c>
      <c r="Z2356" t="s">
        <v>24506</v>
      </c>
      <c r="AA2356">
        <v>0.63352924268364841</v>
      </c>
      <c r="AB2356" t="str">
        <f>HYPERLINK("Melting_Curves/meltCurve_P49585_PCYT1A.pdf", "Melting_Curves/meltCurve_P49585_PCYT1A.pdf")</f>
        <v>Melting_Curves/meltCurve_P49585_PCYT1A.pdf</v>
      </c>
    </row>
    <row r="2357" spans="1:28" x14ac:dyDescent="0.25">
      <c r="A2357" t="s">
        <v>2361</v>
      </c>
      <c r="B2357">
        <v>0.99796759195183404</v>
      </c>
      <c r="C2357">
        <v>0.93980785799133704</v>
      </c>
      <c r="D2357">
        <v>0.92428714040766602</v>
      </c>
      <c r="E2357">
        <v>0.87279850350295396</v>
      </c>
      <c r="F2357">
        <v>0.78360571918103805</v>
      </c>
      <c r="G2357">
        <v>0.57550285651959598</v>
      </c>
      <c r="H2357">
        <v>0.25837141572243999</v>
      </c>
      <c r="I2357">
        <v>0.189167709825321</v>
      </c>
      <c r="J2357">
        <v>0.13123720313361401</v>
      </c>
      <c r="K2357">
        <v>9.9458191786668398E-2</v>
      </c>
      <c r="L2357">
        <v>777.31372763929505</v>
      </c>
      <c r="M2357">
        <v>14.3901791889148</v>
      </c>
      <c r="N2357">
        <v>54.260340713543997</v>
      </c>
      <c r="O2357">
        <v>53.005935834219201</v>
      </c>
      <c r="P2357">
        <v>-6.5757215920129605E-2</v>
      </c>
      <c r="Q2357">
        <v>3.1253591066791597E-2</v>
      </c>
      <c r="R2357">
        <v>0.98857085740540995</v>
      </c>
      <c r="S2357" t="s">
        <v>7940</v>
      </c>
      <c r="T2357" t="s">
        <v>11164</v>
      </c>
      <c r="U2357" t="s">
        <v>11164</v>
      </c>
      <c r="V2357" t="s">
        <v>11164</v>
      </c>
      <c r="W2357" t="s">
        <v>13485</v>
      </c>
      <c r="X2357">
        <v>36</v>
      </c>
      <c r="Y2357" t="s">
        <v>18993</v>
      </c>
      <c r="Z2357" t="s">
        <v>24507</v>
      </c>
      <c r="AA2357">
        <v>0.59685746036067999</v>
      </c>
      <c r="AB2357" t="str">
        <f>HYPERLINK("Melting_Curves/meltCurve_P49588_AARS.pdf", "Melting_Curves/meltCurve_P49588_AARS.pdf")</f>
        <v>Melting_Curves/meltCurve_P49588_AARS.pdf</v>
      </c>
    </row>
    <row r="2358" spans="1:28" x14ac:dyDescent="0.25">
      <c r="A2358" t="s">
        <v>2362</v>
      </c>
      <c r="B2358">
        <v>0.99796759195183404</v>
      </c>
      <c r="C2358">
        <v>1.0278591353245301</v>
      </c>
      <c r="D2358">
        <v>1.0078739677165001</v>
      </c>
      <c r="E2358">
        <v>0.91618561900617701</v>
      </c>
      <c r="F2358">
        <v>0.90408119380213003</v>
      </c>
      <c r="G2358">
        <v>0.87686917308814505</v>
      </c>
      <c r="H2358">
        <v>0.42999273843277802</v>
      </c>
      <c r="I2358">
        <v>0.17649872194125901</v>
      </c>
      <c r="J2358">
        <v>0.119479014580198</v>
      </c>
      <c r="K2358">
        <v>0.11398919706597301</v>
      </c>
      <c r="L2358">
        <v>1860.1938380689601</v>
      </c>
      <c r="M2358">
        <v>32.933974213231998</v>
      </c>
      <c r="N2358">
        <v>56.8872407829964</v>
      </c>
      <c r="O2358">
        <v>56.275495585329601</v>
      </c>
      <c r="P2358">
        <v>-0.13102757444032201</v>
      </c>
      <c r="Q2358">
        <v>0.104437492300422</v>
      </c>
      <c r="R2358">
        <v>0.98946470585384605</v>
      </c>
      <c r="S2358" t="s">
        <v>7941</v>
      </c>
      <c r="T2358" t="s">
        <v>11164</v>
      </c>
      <c r="U2358" t="s">
        <v>11164</v>
      </c>
      <c r="V2358" t="s">
        <v>11164</v>
      </c>
      <c r="W2358" t="s">
        <v>13486</v>
      </c>
      <c r="X2358">
        <v>10</v>
      </c>
      <c r="Y2358" t="s">
        <v>18994</v>
      </c>
      <c r="Z2358" t="s">
        <v>24508</v>
      </c>
      <c r="AA2358">
        <v>0.69077103052158761</v>
      </c>
      <c r="AB2358" t="str">
        <f>HYPERLINK("Melting_Curves/meltCurve_P49589_3_CARS.pdf", "Melting_Curves/meltCurve_P49589_3_CARS.pdf")</f>
        <v>Melting_Curves/meltCurve_P49589_3_CARS.pdf</v>
      </c>
    </row>
    <row r="2359" spans="1:28" x14ac:dyDescent="0.25">
      <c r="A2359" t="s">
        <v>2363</v>
      </c>
      <c r="B2359">
        <v>0.99796759195183404</v>
      </c>
      <c r="C2359">
        <v>0.99558775358015195</v>
      </c>
      <c r="D2359">
        <v>0.98742659707408498</v>
      </c>
      <c r="E2359">
        <v>0.90349320019049895</v>
      </c>
      <c r="F2359">
        <v>0.81267374733416697</v>
      </c>
      <c r="G2359">
        <v>0.57070458264384305</v>
      </c>
      <c r="H2359">
        <v>0.27930764952512999</v>
      </c>
      <c r="I2359">
        <v>0.221870935683528</v>
      </c>
      <c r="J2359">
        <v>0.17957725139009301</v>
      </c>
      <c r="K2359">
        <v>0.114324270543636</v>
      </c>
      <c r="L2359">
        <v>950.19192317832994</v>
      </c>
      <c r="M2359">
        <v>17.689007236773602</v>
      </c>
      <c r="N2359">
        <v>54.457335292527098</v>
      </c>
      <c r="O2359">
        <v>53.044104032835797</v>
      </c>
      <c r="P2359">
        <v>-7.4458224869759407E-2</v>
      </c>
      <c r="Q2359">
        <v>0.106934250507599</v>
      </c>
      <c r="R2359">
        <v>0.99551028958957599</v>
      </c>
      <c r="S2359" t="s">
        <v>7942</v>
      </c>
      <c r="T2359" t="s">
        <v>11164</v>
      </c>
      <c r="U2359" t="s">
        <v>11164</v>
      </c>
      <c r="V2359" t="s">
        <v>11164</v>
      </c>
      <c r="W2359" t="s">
        <v>13487</v>
      </c>
      <c r="X2359">
        <v>17</v>
      </c>
      <c r="Y2359" t="s">
        <v>18995</v>
      </c>
      <c r="Z2359" t="s">
        <v>24509</v>
      </c>
      <c r="AA2359">
        <v>0.61729846566718005</v>
      </c>
      <c r="AB2359" t="str">
        <f>HYPERLINK("Melting_Curves/meltCurve_P49593_PPM1F.pdf", "Melting_Curves/meltCurve_P49593_PPM1F.pdf")</f>
        <v>Melting_Curves/meltCurve_P49593_PPM1F.pdf</v>
      </c>
    </row>
    <row r="2360" spans="1:28" x14ac:dyDescent="0.25">
      <c r="A2360" t="s">
        <v>2364</v>
      </c>
      <c r="B2360">
        <v>0.99796759195183404</v>
      </c>
      <c r="C2360">
        <v>0.97540255240406304</v>
      </c>
      <c r="D2360">
        <v>0.96984983292647897</v>
      </c>
      <c r="E2360">
        <v>0.75671568274159395</v>
      </c>
      <c r="F2360">
        <v>0.35072720394864598</v>
      </c>
      <c r="G2360">
        <v>0.249052023487142</v>
      </c>
      <c r="H2360">
        <v>0.16058294562063</v>
      </c>
      <c r="I2360">
        <v>0.133553165262074</v>
      </c>
      <c r="J2360">
        <v>0.115972783648539</v>
      </c>
      <c r="K2360">
        <v>9.5308177259486204E-2</v>
      </c>
      <c r="L2360">
        <v>1129.8069388714</v>
      </c>
      <c r="M2360">
        <v>23.359625838305298</v>
      </c>
      <c r="N2360">
        <v>48.964746667747498</v>
      </c>
      <c r="O2360">
        <v>48.015534993026598</v>
      </c>
      <c r="P2360">
        <v>-0.10651270114033599</v>
      </c>
      <c r="Q2360">
        <v>0.124271318852038</v>
      </c>
      <c r="R2360">
        <v>0.99598146675364396</v>
      </c>
      <c r="S2360" t="s">
        <v>7943</v>
      </c>
      <c r="T2360" t="s">
        <v>11164</v>
      </c>
      <c r="U2360" t="s">
        <v>11164</v>
      </c>
      <c r="V2360" t="s">
        <v>11164</v>
      </c>
      <c r="W2360" t="s">
        <v>13488</v>
      </c>
      <c r="X2360">
        <v>11</v>
      </c>
      <c r="Y2360" t="s">
        <v>18996</v>
      </c>
      <c r="Z2360" t="s">
        <v>24510</v>
      </c>
      <c r="AA2360">
        <v>0.46461619892227268</v>
      </c>
      <c r="AB2360" t="str">
        <f>HYPERLINK("Melting_Curves/meltCurve_P49642_PRIM1.pdf", "Melting_Curves/meltCurve_P49642_PRIM1.pdf")</f>
        <v>Melting_Curves/meltCurve_P49642_PRIM1.pdf</v>
      </c>
    </row>
    <row r="2361" spans="1:28" x14ac:dyDescent="0.25">
      <c r="A2361" t="s">
        <v>2365</v>
      </c>
      <c r="B2361">
        <v>0.99796759195183404</v>
      </c>
      <c r="C2361">
        <v>1.1416960412118999</v>
      </c>
      <c r="D2361">
        <v>1.0400198901953099</v>
      </c>
      <c r="E2361">
        <v>1.0087894408989799</v>
      </c>
      <c r="F2361">
        <v>0.79602540047341197</v>
      </c>
      <c r="G2361">
        <v>0.57032411467885702</v>
      </c>
      <c r="H2361">
        <v>0.47287586206857701</v>
      </c>
      <c r="I2361">
        <v>0.57602892070992595</v>
      </c>
      <c r="J2361">
        <v>0.493325077925584</v>
      </c>
      <c r="K2361">
        <v>0.32918818779254699</v>
      </c>
      <c r="L2361">
        <v>1529.1842929771699</v>
      </c>
      <c r="M2361">
        <v>29.855760477703299</v>
      </c>
      <c r="N2361">
        <v>56.018651057156603</v>
      </c>
      <c r="O2361">
        <v>50.990931724276997</v>
      </c>
      <c r="P2361">
        <v>-7.8858590045865498E-2</v>
      </c>
      <c r="Q2361">
        <v>0.46127031676175201</v>
      </c>
      <c r="R2361">
        <v>0.92786032881474401</v>
      </c>
      <c r="S2361" t="s">
        <v>7944</v>
      </c>
      <c r="T2361" t="s">
        <v>11164</v>
      </c>
      <c r="U2361" t="s">
        <v>11164</v>
      </c>
      <c r="V2361" t="s">
        <v>11164</v>
      </c>
      <c r="W2361" t="s">
        <v>13489</v>
      </c>
      <c r="X2361">
        <v>4</v>
      </c>
      <c r="Y2361" t="s">
        <v>18997</v>
      </c>
      <c r="Z2361" t="s">
        <v>24511</v>
      </c>
      <c r="AA2361">
        <v>0.72000969630441747</v>
      </c>
      <c r="AB2361" t="str">
        <f>HYPERLINK("Melting_Curves/meltCurve_P49643_PRIM2.pdf", "Melting_Curves/meltCurve_P49643_PRIM2.pdf")</f>
        <v>Melting_Curves/meltCurve_P49643_PRIM2.pdf</v>
      </c>
    </row>
    <row r="2362" spans="1:28" x14ac:dyDescent="0.25">
      <c r="A2362" t="s">
        <v>2366</v>
      </c>
      <c r="B2362">
        <v>0.99796759195183404</v>
      </c>
      <c r="C2362">
        <v>0.96889765750671497</v>
      </c>
      <c r="D2362">
        <v>0.94761304392166401</v>
      </c>
      <c r="E2362">
        <v>0.80548991040946305</v>
      </c>
      <c r="F2362">
        <v>0.63054119709632495</v>
      </c>
      <c r="G2362">
        <v>0.38438411811655698</v>
      </c>
      <c r="H2362">
        <v>0.22762481087438499</v>
      </c>
      <c r="I2362">
        <v>0.199775562499235</v>
      </c>
      <c r="J2362">
        <v>0.160500683038964</v>
      </c>
      <c r="K2362">
        <v>9.9393082553941595E-2</v>
      </c>
      <c r="L2362">
        <v>726.45704443559396</v>
      </c>
      <c r="M2362">
        <v>14.1954208553498</v>
      </c>
      <c r="N2362">
        <v>51.912831301077198</v>
      </c>
      <c r="O2362">
        <v>50.1919879654778</v>
      </c>
      <c r="P2362">
        <v>-6.4257856754767598E-2</v>
      </c>
      <c r="Q2362">
        <v>9.1305488373816704E-2</v>
      </c>
      <c r="R2362">
        <v>0.99739732127181002</v>
      </c>
      <c r="S2362" t="s">
        <v>7945</v>
      </c>
      <c r="T2362" t="s">
        <v>11164</v>
      </c>
      <c r="U2362" t="s">
        <v>11164</v>
      </c>
      <c r="V2362" t="s">
        <v>11164</v>
      </c>
      <c r="W2362" t="s">
        <v>13490</v>
      </c>
      <c r="X2362">
        <v>6</v>
      </c>
      <c r="Y2362" t="s">
        <v>18998</v>
      </c>
      <c r="Z2362" t="s">
        <v>24512</v>
      </c>
      <c r="AA2362">
        <v>0.5401172560716242</v>
      </c>
      <c r="AB2362" t="str">
        <f>HYPERLINK("Melting_Curves/meltCurve_P49674_CSNK1E.pdf", "Melting_Curves/meltCurve_P49674_CSNK1E.pdf")</f>
        <v>Melting_Curves/meltCurve_P49674_CSNK1E.pdf</v>
      </c>
    </row>
    <row r="2363" spans="1:28" x14ac:dyDescent="0.25">
      <c r="A2363" t="s">
        <v>2367</v>
      </c>
      <c r="B2363">
        <v>0.99796759195183404</v>
      </c>
      <c r="C2363">
        <v>0.93558512025045004</v>
      </c>
      <c r="D2363">
        <v>0.92185561217173895</v>
      </c>
      <c r="E2363">
        <v>0.955161431984899</v>
      </c>
      <c r="F2363">
        <v>0.51959636454763602</v>
      </c>
      <c r="G2363">
        <v>0.49434912215360699</v>
      </c>
      <c r="H2363">
        <v>0.42304779724518099</v>
      </c>
      <c r="I2363">
        <v>0.73073242501405899</v>
      </c>
      <c r="J2363">
        <v>0.42606683072395701</v>
      </c>
      <c r="K2363">
        <v>0.38019927076391202</v>
      </c>
      <c r="L2363">
        <v>3327.0484761651501</v>
      </c>
      <c r="M2363">
        <v>69.070930386543495</v>
      </c>
      <c r="N2363">
        <v>51.119403169525398</v>
      </c>
      <c r="O2363">
        <v>48.128247853513997</v>
      </c>
      <c r="P2363">
        <v>-0.182721438054363</v>
      </c>
      <c r="Q2363">
        <v>0.49072291076235602</v>
      </c>
      <c r="R2363">
        <v>0.84782885255837903</v>
      </c>
      <c r="S2363" t="s">
        <v>7946</v>
      </c>
      <c r="T2363" t="s">
        <v>11164</v>
      </c>
      <c r="U2363" t="s">
        <v>11164</v>
      </c>
      <c r="V2363" t="s">
        <v>11164</v>
      </c>
      <c r="W2363" t="s">
        <v>13491</v>
      </c>
      <c r="X2363">
        <v>3</v>
      </c>
      <c r="Y2363" t="s">
        <v>18999</v>
      </c>
      <c r="Z2363" t="s">
        <v>24513</v>
      </c>
      <c r="AA2363">
        <v>0.68088512305752857</v>
      </c>
      <c r="AB2363" t="str">
        <f>HYPERLINK("Melting_Curves/meltCurve_P49721_PSMB2.pdf", "Melting_Curves/meltCurve_P49721_PSMB2.pdf")</f>
        <v>Melting_Curves/meltCurve_P49721_PSMB2.pdf</v>
      </c>
    </row>
    <row r="2364" spans="1:28" x14ac:dyDescent="0.25">
      <c r="A2364" t="s">
        <v>2368</v>
      </c>
      <c r="B2364">
        <v>0.99796759195183404</v>
      </c>
      <c r="C2364">
        <v>0.98603117680483598</v>
      </c>
      <c r="D2364">
        <v>0.99819062811646198</v>
      </c>
      <c r="E2364">
        <v>1.0889865713973199</v>
      </c>
      <c r="F2364">
        <v>1.0315330240499401</v>
      </c>
      <c r="G2364">
        <v>1.23984449274284</v>
      </c>
      <c r="H2364">
        <v>0.33232616642826102</v>
      </c>
      <c r="I2364">
        <v>0.257368090230984</v>
      </c>
      <c r="J2364">
        <v>0.17435836348308301</v>
      </c>
      <c r="K2364">
        <v>0.141078294208797</v>
      </c>
      <c r="L2364">
        <v>14260.9000950134</v>
      </c>
      <c r="M2364">
        <v>250</v>
      </c>
      <c r="N2364">
        <v>57.153585048099004</v>
      </c>
      <c r="O2364">
        <v>57.0399500775316</v>
      </c>
      <c r="P2364">
        <v>-0.88651160250501904</v>
      </c>
      <c r="Q2364">
        <v>0.19093476170142001</v>
      </c>
      <c r="R2364">
        <v>0.95722959319370204</v>
      </c>
      <c r="S2364" t="s">
        <v>7947</v>
      </c>
      <c r="T2364" t="s">
        <v>11164</v>
      </c>
      <c r="U2364" t="s">
        <v>11164</v>
      </c>
      <c r="V2364" t="s">
        <v>11164</v>
      </c>
      <c r="W2364" t="s">
        <v>13492</v>
      </c>
      <c r="X2364">
        <v>22</v>
      </c>
      <c r="Y2364" t="s">
        <v>19000</v>
      </c>
      <c r="Z2364" t="s">
        <v>24514</v>
      </c>
      <c r="AA2364">
        <v>0.73156843499449609</v>
      </c>
      <c r="AB2364" t="str">
        <f>HYPERLINK("Melting_Curves/meltCurve_P49736_MCM2.pdf", "Melting_Curves/meltCurve_P49736_MCM2.pdf")</f>
        <v>Melting_Curves/meltCurve_P49736_MCM2.pdf</v>
      </c>
    </row>
    <row r="2365" spans="1:28" x14ac:dyDescent="0.25">
      <c r="A2365" t="s">
        <v>2369</v>
      </c>
      <c r="B2365">
        <v>0.99796759195183404</v>
      </c>
      <c r="C2365">
        <v>0.89093492666808005</v>
      </c>
      <c r="D2365">
        <v>0.89458136611696104</v>
      </c>
      <c r="E2365">
        <v>0.81635284808176001</v>
      </c>
      <c r="F2365">
        <v>0.67615616740777296</v>
      </c>
      <c r="G2365">
        <v>0.58995185545629902</v>
      </c>
      <c r="H2365">
        <v>0.44703941985203099</v>
      </c>
      <c r="I2365">
        <v>0.270452928930909</v>
      </c>
      <c r="J2365">
        <v>0.143780414189976</v>
      </c>
      <c r="K2365">
        <v>9.8050835004187403E-2</v>
      </c>
      <c r="L2365">
        <v>511.69516208277503</v>
      </c>
      <c r="M2365">
        <v>9.3669123004327606</v>
      </c>
      <c r="N2365">
        <v>54.6279441536932</v>
      </c>
      <c r="O2365">
        <v>52.311555920340602</v>
      </c>
      <c r="P2365">
        <v>-4.4792964493639502E-2</v>
      </c>
      <c r="Q2365">
        <v>0</v>
      </c>
      <c r="R2365">
        <v>0.97917881716065003</v>
      </c>
      <c r="S2365" t="s">
        <v>7948</v>
      </c>
      <c r="T2365" t="s">
        <v>11164</v>
      </c>
      <c r="U2365" t="s">
        <v>11164</v>
      </c>
      <c r="V2365" t="s">
        <v>11164</v>
      </c>
      <c r="W2365" t="s">
        <v>13493</v>
      </c>
      <c r="X2365">
        <v>16</v>
      </c>
      <c r="Y2365" t="s">
        <v>19001</v>
      </c>
      <c r="Z2365" t="s">
        <v>24515</v>
      </c>
      <c r="AA2365">
        <v>0.60086686375008114</v>
      </c>
      <c r="AB2365" t="str">
        <f>HYPERLINK("Melting_Curves/meltCurve_P49748_2_ACADVL.pdf", "Melting_Curves/meltCurve_P49748_2_ACADVL.pdf")</f>
        <v>Melting_Curves/meltCurve_P49748_2_ACADVL.pdf</v>
      </c>
    </row>
    <row r="2366" spans="1:28" x14ac:dyDescent="0.25">
      <c r="A2366" t="s">
        <v>2370</v>
      </c>
      <c r="B2366">
        <v>0.99796759195183404</v>
      </c>
      <c r="C2366">
        <v>1.0002443842762001</v>
      </c>
      <c r="D2366">
        <v>0.963814616780166</v>
      </c>
      <c r="E2366">
        <v>0.89930909689065597</v>
      </c>
      <c r="F2366">
        <v>0.70536782266383502</v>
      </c>
      <c r="G2366">
        <v>0.38950947015094201</v>
      </c>
      <c r="H2366">
        <v>0.32870226668084102</v>
      </c>
      <c r="I2366">
        <v>0.235386487491616</v>
      </c>
      <c r="J2366">
        <v>0.22092327399141401</v>
      </c>
      <c r="K2366">
        <v>0.14889933188604201</v>
      </c>
      <c r="L2366">
        <v>941.47238022397698</v>
      </c>
      <c r="M2366">
        <v>18.281255906533602</v>
      </c>
      <c r="N2366">
        <v>52.778863509077901</v>
      </c>
      <c r="O2366">
        <v>50.894965668442602</v>
      </c>
      <c r="P2366">
        <v>-7.3727454030417694E-2</v>
      </c>
      <c r="Q2366">
        <v>0.179009998054356</v>
      </c>
      <c r="R2366">
        <v>0.99402545145702903</v>
      </c>
      <c r="S2366" t="s">
        <v>7949</v>
      </c>
      <c r="T2366" t="s">
        <v>11164</v>
      </c>
      <c r="U2366" t="s">
        <v>11164</v>
      </c>
      <c r="V2366" t="s">
        <v>11164</v>
      </c>
      <c r="W2366" t="s">
        <v>13494</v>
      </c>
      <c r="X2366">
        <v>9</v>
      </c>
      <c r="Y2366" t="s">
        <v>19002</v>
      </c>
      <c r="Z2366" t="s">
        <v>24516</v>
      </c>
      <c r="AA2366">
        <v>0.58810472454026896</v>
      </c>
      <c r="AB2366" t="str">
        <f>HYPERLINK("Melting_Curves/meltCurve_P49750_3_YLPM1.pdf", "Melting_Curves/meltCurve_P49750_3_YLPM1.pdf")</f>
        <v>Melting_Curves/meltCurve_P49750_3_YLPM1.pdf</v>
      </c>
    </row>
    <row r="2367" spans="1:28" x14ac:dyDescent="0.25">
      <c r="A2367" t="s">
        <v>2371</v>
      </c>
      <c r="B2367">
        <v>0.99796759195183404</v>
      </c>
      <c r="C2367">
        <v>0.95665154242714601</v>
      </c>
      <c r="D2367">
        <v>0.99156499497444195</v>
      </c>
      <c r="E2367">
        <v>0.94165474869358301</v>
      </c>
      <c r="F2367">
        <v>0.81404038894387398</v>
      </c>
      <c r="G2367">
        <v>0.75880555048245502</v>
      </c>
      <c r="H2367">
        <v>0.57920133556515196</v>
      </c>
      <c r="I2367">
        <v>0.34473704897429103</v>
      </c>
      <c r="J2367">
        <v>0.13551189120166299</v>
      </c>
      <c r="K2367">
        <v>0.108149418639866</v>
      </c>
      <c r="L2367">
        <v>817.37063059838499</v>
      </c>
      <c r="M2367">
        <v>14.1349218451568</v>
      </c>
      <c r="N2367">
        <v>57.826328354673699</v>
      </c>
      <c r="O2367">
        <v>56.705824182257103</v>
      </c>
      <c r="P2367">
        <v>-6.2324830569128603E-2</v>
      </c>
      <c r="Q2367">
        <v>0</v>
      </c>
      <c r="R2367">
        <v>0.98460381098716498</v>
      </c>
      <c r="S2367" t="s">
        <v>7950</v>
      </c>
      <c r="T2367" t="s">
        <v>11164</v>
      </c>
      <c r="U2367" t="s">
        <v>11164</v>
      </c>
      <c r="V2367" t="s">
        <v>11164</v>
      </c>
      <c r="W2367" t="s">
        <v>13495</v>
      </c>
      <c r="X2367">
        <v>9</v>
      </c>
      <c r="Y2367" t="s">
        <v>19003</v>
      </c>
      <c r="Z2367" t="s">
        <v>24517</v>
      </c>
      <c r="AA2367">
        <v>0.69808555956339446</v>
      </c>
      <c r="AB2367" t="str">
        <f>HYPERLINK("Melting_Curves/meltCurve_P49755_TMED10.pdf", "Melting_Curves/meltCurve_P49755_TMED10.pdf")</f>
        <v>Melting_Curves/meltCurve_P49755_TMED10.pdf</v>
      </c>
    </row>
    <row r="2368" spans="1:28" x14ac:dyDescent="0.25">
      <c r="A2368" t="s">
        <v>2372</v>
      </c>
      <c r="B2368">
        <v>0.99796759195183404</v>
      </c>
      <c r="C2368">
        <v>0.87893927649470904</v>
      </c>
      <c r="D2368">
        <v>0.88046451563229</v>
      </c>
      <c r="E2368">
        <v>0.80565296955184995</v>
      </c>
      <c r="F2368">
        <v>0.65984464529153597</v>
      </c>
      <c r="G2368">
        <v>0.73214294229499899</v>
      </c>
      <c r="H2368">
        <v>0.330719837206642</v>
      </c>
      <c r="I2368">
        <v>0.22138680584602899</v>
      </c>
      <c r="J2368">
        <v>0.15575110946808099</v>
      </c>
      <c r="K2368">
        <v>0.132818856875702</v>
      </c>
      <c r="L2368">
        <v>530.15429750340104</v>
      </c>
      <c r="M2368">
        <v>9.7023881358738002</v>
      </c>
      <c r="N2368">
        <v>54.641629381389002</v>
      </c>
      <c r="O2368">
        <v>52.471913384838103</v>
      </c>
      <c r="P2368">
        <v>-4.6251816080029803E-2</v>
      </c>
      <c r="Q2368">
        <v>0</v>
      </c>
      <c r="R2368">
        <v>0.94128380005841195</v>
      </c>
      <c r="S2368" t="s">
        <v>7951</v>
      </c>
      <c r="T2368" t="s">
        <v>11164</v>
      </c>
      <c r="U2368" t="s">
        <v>11164</v>
      </c>
      <c r="V2368" t="s">
        <v>11164</v>
      </c>
      <c r="W2368" t="s">
        <v>13496</v>
      </c>
      <c r="X2368">
        <v>6</v>
      </c>
      <c r="Y2368" t="s">
        <v>19004</v>
      </c>
      <c r="Z2368" t="s">
        <v>24518</v>
      </c>
      <c r="AA2368">
        <v>0.60181253755415198</v>
      </c>
      <c r="AB2368" t="str">
        <f>HYPERLINK("Melting_Curves/meltCurve_P49756_RBM25.pdf", "Melting_Curves/meltCurve_P49756_RBM25.pdf")</f>
        <v>Melting_Curves/meltCurve_P49756_RBM25.pdf</v>
      </c>
    </row>
    <row r="2369" spans="1:28" x14ac:dyDescent="0.25">
      <c r="A2369" t="s">
        <v>2373</v>
      </c>
      <c r="B2369">
        <v>0.99796759195183404</v>
      </c>
      <c r="C2369">
        <v>1.0386864927586901</v>
      </c>
      <c r="D2369">
        <v>0.98275960178716504</v>
      </c>
      <c r="E2369">
        <v>0.81309392643856604</v>
      </c>
      <c r="F2369">
        <v>0.74607253002928897</v>
      </c>
      <c r="G2369">
        <v>0.56506912276964405</v>
      </c>
      <c r="H2369">
        <v>0.29736191649196603</v>
      </c>
      <c r="I2369">
        <v>0.179247698413146</v>
      </c>
      <c r="J2369">
        <v>0.147629052996396</v>
      </c>
      <c r="K2369">
        <v>0.102339023449469</v>
      </c>
      <c r="L2369">
        <v>682.54424885039998</v>
      </c>
      <c r="M2369">
        <v>12.632580351464201</v>
      </c>
      <c r="N2369">
        <v>54.1497982012962</v>
      </c>
      <c r="O2369">
        <v>52.730164975327497</v>
      </c>
      <c r="P2369">
        <v>-5.9082020869155497E-2</v>
      </c>
      <c r="Q2369">
        <v>1.37283112263801E-2</v>
      </c>
      <c r="R2369">
        <v>0.990441024325173</v>
      </c>
      <c r="S2369" t="s">
        <v>7952</v>
      </c>
      <c r="T2369" t="s">
        <v>11164</v>
      </c>
      <c r="U2369" t="s">
        <v>11164</v>
      </c>
      <c r="V2369" t="s">
        <v>11164</v>
      </c>
      <c r="W2369" t="s">
        <v>13497</v>
      </c>
      <c r="X2369">
        <v>6</v>
      </c>
      <c r="Y2369" t="s">
        <v>19005</v>
      </c>
      <c r="Z2369" t="s">
        <v>24519</v>
      </c>
      <c r="AA2369">
        <v>0.59098343789263086</v>
      </c>
      <c r="AB2369" t="str">
        <f>HYPERLINK("Melting_Curves/meltCurve_P49757_4_NUMB.pdf", "Melting_Curves/meltCurve_P49757_4_NUMB.pdf")</f>
        <v>Melting_Curves/meltCurve_P49757_4_NUMB.pdf</v>
      </c>
    </row>
    <row r="2370" spans="1:28" x14ac:dyDescent="0.25">
      <c r="A2370" t="s">
        <v>2374</v>
      </c>
      <c r="B2370">
        <v>0.99796759195183404</v>
      </c>
      <c r="C2370">
        <v>0.918373250571485</v>
      </c>
      <c r="D2370">
        <v>0.89853857885335298</v>
      </c>
      <c r="E2370">
        <v>0.84606921140315305</v>
      </c>
      <c r="F2370">
        <v>0.74949061571314901</v>
      </c>
      <c r="G2370">
        <v>0.668383922380413</v>
      </c>
      <c r="H2370">
        <v>0.47078874726166903</v>
      </c>
      <c r="I2370">
        <v>0.185459475600709</v>
      </c>
      <c r="J2370">
        <v>0.14538045445746101</v>
      </c>
      <c r="K2370">
        <v>9.4376649906788193E-2</v>
      </c>
      <c r="L2370">
        <v>648.74379659938597</v>
      </c>
      <c r="M2370">
        <v>11.6803758296924</v>
      </c>
      <c r="N2370">
        <v>55.541346133850503</v>
      </c>
      <c r="O2370">
        <v>53.988281361269003</v>
      </c>
      <c r="P2370">
        <v>-5.4102022216595401E-2</v>
      </c>
      <c r="Q2370">
        <v>0</v>
      </c>
      <c r="R2370">
        <v>0.97174034234069495</v>
      </c>
      <c r="S2370" t="s">
        <v>7953</v>
      </c>
      <c r="T2370" t="s">
        <v>11164</v>
      </c>
      <c r="U2370" t="s">
        <v>11164</v>
      </c>
      <c r="V2370" t="s">
        <v>11164</v>
      </c>
      <c r="W2370" t="s">
        <v>13498</v>
      </c>
      <c r="X2370">
        <v>12</v>
      </c>
      <c r="Y2370" t="s">
        <v>19006</v>
      </c>
      <c r="Z2370" t="s">
        <v>24520</v>
      </c>
      <c r="AA2370">
        <v>0.6296414444379177</v>
      </c>
      <c r="AB2370" t="str">
        <f>HYPERLINK("Melting_Curves/meltCurve_P49770_EIF2B2.pdf", "Melting_Curves/meltCurve_P49770_EIF2B2.pdf")</f>
        <v>Melting_Curves/meltCurve_P49770_EIF2B2.pdf</v>
      </c>
    </row>
    <row r="2371" spans="1:28" x14ac:dyDescent="0.25">
      <c r="A2371" t="s">
        <v>2375</v>
      </c>
      <c r="B2371">
        <v>0.99796759195183404</v>
      </c>
      <c r="C2371">
        <v>1.02514239282035</v>
      </c>
      <c r="D2371">
        <v>1.0559706800466599</v>
      </c>
      <c r="E2371">
        <v>1.0375104196576199</v>
      </c>
      <c r="F2371">
        <v>0.85258321926140102</v>
      </c>
      <c r="G2371">
        <v>0.64836966149854203</v>
      </c>
      <c r="H2371">
        <v>0.69344591061587302</v>
      </c>
      <c r="I2371">
        <v>0.58491741047579504</v>
      </c>
      <c r="J2371">
        <v>0.598072994455496</v>
      </c>
      <c r="K2371">
        <v>0.407864366495643</v>
      </c>
      <c r="L2371">
        <v>861.33909789602001</v>
      </c>
      <c r="M2371">
        <v>16.118671407652801</v>
      </c>
      <c r="O2371">
        <v>52.635122127065301</v>
      </c>
      <c r="P2371">
        <v>-3.8554871129489902E-2</v>
      </c>
      <c r="Q2371">
        <v>0.49643822286331801</v>
      </c>
      <c r="R2371">
        <v>0.914836694269058</v>
      </c>
      <c r="S2371" t="s">
        <v>7954</v>
      </c>
      <c r="T2371" t="s">
        <v>11164</v>
      </c>
      <c r="U2371" t="s">
        <v>11164</v>
      </c>
      <c r="V2371" t="s">
        <v>11164</v>
      </c>
      <c r="W2371" t="s">
        <v>13499</v>
      </c>
      <c r="X2371">
        <v>11</v>
      </c>
      <c r="Y2371" t="s">
        <v>19007</v>
      </c>
      <c r="Z2371" t="s">
        <v>24521</v>
      </c>
      <c r="AA2371">
        <v>0.78043252576634048</v>
      </c>
      <c r="AB2371" t="str">
        <f>HYPERLINK("Melting_Curves/meltCurve_P49773_HINT1.pdf", "Melting_Curves/meltCurve_P49773_HINT1.pdf")</f>
        <v>Melting_Curves/meltCurve_P49773_HINT1.pdf</v>
      </c>
    </row>
    <row r="2372" spans="1:28" x14ac:dyDescent="0.25">
      <c r="A2372" t="s">
        <v>2376</v>
      </c>
      <c r="B2372">
        <v>0.99796759195183404</v>
      </c>
      <c r="C2372">
        <v>1.0441232706565899</v>
      </c>
      <c r="D2372">
        <v>0.98866336852596004</v>
      </c>
      <c r="E2372">
        <v>0.89192060824224995</v>
      </c>
      <c r="F2372">
        <v>0.84508484055155397</v>
      </c>
      <c r="G2372">
        <v>1.0162138859554399</v>
      </c>
      <c r="H2372">
        <v>0.87883446688452804</v>
      </c>
      <c r="I2372">
        <v>0.74126931282437203</v>
      </c>
      <c r="J2372">
        <v>0.59663363683556703</v>
      </c>
      <c r="K2372">
        <v>0.29340331910433598</v>
      </c>
      <c r="L2372">
        <v>1201.4790999700101</v>
      </c>
      <c r="M2372">
        <v>18.594957523126201</v>
      </c>
      <c r="N2372">
        <v>64.613168336300703</v>
      </c>
      <c r="O2372">
        <v>63.8798013893418</v>
      </c>
      <c r="P2372">
        <v>-7.2776386903174201E-2</v>
      </c>
      <c r="Q2372">
        <v>0</v>
      </c>
      <c r="R2372">
        <v>0.90909215852740999</v>
      </c>
      <c r="S2372" t="s">
        <v>7955</v>
      </c>
      <c r="T2372" t="s">
        <v>11164</v>
      </c>
      <c r="U2372" t="s">
        <v>11164</v>
      </c>
      <c r="V2372" t="s">
        <v>11164</v>
      </c>
      <c r="W2372" t="s">
        <v>13500</v>
      </c>
      <c r="X2372">
        <v>14</v>
      </c>
      <c r="Y2372" t="s">
        <v>19008</v>
      </c>
      <c r="Z2372" t="s">
        <v>24522</v>
      </c>
      <c r="AA2372">
        <v>0.88214485783894026</v>
      </c>
      <c r="AB2372" t="str">
        <f>HYPERLINK("Melting_Curves/meltCurve_P49790_NUP153.pdf", "Melting_Curves/meltCurve_P49790_NUP153.pdf")</f>
        <v>Melting_Curves/meltCurve_P49790_NUP153.pdf</v>
      </c>
    </row>
    <row r="2373" spans="1:28" x14ac:dyDescent="0.25">
      <c r="A2373" t="s">
        <v>2377</v>
      </c>
      <c r="B2373">
        <v>0.99796759195183404</v>
      </c>
      <c r="C2373">
        <v>0.99294825102855799</v>
      </c>
      <c r="D2373">
        <v>0.98779633270161904</v>
      </c>
      <c r="E2373">
        <v>0.92045273388586601</v>
      </c>
      <c r="F2373">
        <v>0.70836084510015396</v>
      </c>
      <c r="G2373">
        <v>0.44265365162082898</v>
      </c>
      <c r="H2373">
        <v>0.37147213618018998</v>
      </c>
      <c r="I2373">
        <v>0.32997491414132901</v>
      </c>
      <c r="J2373">
        <v>0.40477955289649697</v>
      </c>
      <c r="K2373">
        <v>0.40539672067298399</v>
      </c>
      <c r="L2373">
        <v>1471.8280442995101</v>
      </c>
      <c r="M2373">
        <v>29.2695701532698</v>
      </c>
      <c r="N2373">
        <v>52.7370576433431</v>
      </c>
      <c r="O2373">
        <v>50.052276413539701</v>
      </c>
      <c r="P2373">
        <v>-9.1844987964309205E-2</v>
      </c>
      <c r="Q2373">
        <v>0.37176816000100199</v>
      </c>
      <c r="R2373">
        <v>0.99298441648665503</v>
      </c>
      <c r="S2373" t="s">
        <v>7956</v>
      </c>
      <c r="T2373" t="s">
        <v>11164</v>
      </c>
      <c r="U2373" t="s">
        <v>11164</v>
      </c>
      <c r="V2373" t="s">
        <v>11164</v>
      </c>
      <c r="W2373" t="s">
        <v>13501</v>
      </c>
      <c r="X2373">
        <v>13</v>
      </c>
      <c r="Y2373" t="s">
        <v>19009</v>
      </c>
      <c r="Z2373" t="s">
        <v>24523</v>
      </c>
      <c r="AA2373">
        <v>0.65404008400612124</v>
      </c>
      <c r="AB2373" t="str">
        <f>HYPERLINK("Melting_Curves/meltCurve_P49792_RANBP2.pdf", "Melting_Curves/meltCurve_P49792_RANBP2.pdf")</f>
        <v>Melting_Curves/meltCurve_P49792_RANBP2.pdf</v>
      </c>
    </row>
    <row r="2374" spans="1:28" x14ac:dyDescent="0.25">
      <c r="A2374" t="s">
        <v>2378</v>
      </c>
      <c r="B2374">
        <v>0.99796759195183404</v>
      </c>
      <c r="C2374">
        <v>0.989399246687381</v>
      </c>
      <c r="D2374">
        <v>0.980691892977409</v>
      </c>
      <c r="E2374">
        <v>0.97160978198908998</v>
      </c>
      <c r="F2374">
        <v>0.81208352015926599</v>
      </c>
      <c r="G2374">
        <v>0.61540329194594801</v>
      </c>
      <c r="H2374">
        <v>0.38914442962461099</v>
      </c>
      <c r="I2374">
        <v>0.221744348115617</v>
      </c>
      <c r="J2374">
        <v>0.17677504932377</v>
      </c>
      <c r="K2374">
        <v>0.12848443417371899</v>
      </c>
      <c r="L2374">
        <v>877.42514027221296</v>
      </c>
      <c r="M2374">
        <v>16.009153510770101</v>
      </c>
      <c r="N2374">
        <v>55.446844544138102</v>
      </c>
      <c r="O2374">
        <v>53.973926921640597</v>
      </c>
      <c r="P2374">
        <v>-6.7909890549451901E-2</v>
      </c>
      <c r="Q2374">
        <v>8.4254697543515403E-2</v>
      </c>
      <c r="R2374">
        <v>0.99893066274792397</v>
      </c>
      <c r="S2374" t="s">
        <v>7957</v>
      </c>
      <c r="T2374" t="s">
        <v>11164</v>
      </c>
      <c r="U2374" t="s">
        <v>11164</v>
      </c>
      <c r="V2374" t="s">
        <v>11164</v>
      </c>
      <c r="W2374" t="s">
        <v>13502</v>
      </c>
      <c r="X2374">
        <v>13</v>
      </c>
      <c r="Y2374" t="s">
        <v>19010</v>
      </c>
      <c r="Z2374" t="s">
        <v>24524</v>
      </c>
      <c r="AA2374">
        <v>0.64068386531154264</v>
      </c>
      <c r="AB2374" t="str">
        <f>HYPERLINK("Melting_Curves/meltCurve_P49840_GSK3A.pdf", "Melting_Curves/meltCurve_P49840_GSK3A.pdf")</f>
        <v>Melting_Curves/meltCurve_P49840_GSK3A.pdf</v>
      </c>
    </row>
    <row r="2375" spans="1:28" x14ac:dyDescent="0.25">
      <c r="A2375" t="s">
        <v>2379</v>
      </c>
      <c r="B2375">
        <v>0.99796759195183404</v>
      </c>
      <c r="C2375">
        <v>0.98044903467760502</v>
      </c>
      <c r="D2375">
        <v>1.0200615605682899</v>
      </c>
      <c r="E2375">
        <v>0.99437458186624805</v>
      </c>
      <c r="F2375">
        <v>0.79806764286548204</v>
      </c>
      <c r="G2375">
        <v>0.45186005550805602</v>
      </c>
      <c r="H2375">
        <v>0.28810116449983297</v>
      </c>
      <c r="I2375">
        <v>0.142907793492869</v>
      </c>
      <c r="J2375">
        <v>0.10036036202455401</v>
      </c>
      <c r="K2375">
        <v>8.5554950850339498E-2</v>
      </c>
      <c r="L2375">
        <v>1126.6661143050901</v>
      </c>
      <c r="M2375">
        <v>21.195466077876102</v>
      </c>
      <c r="N2375">
        <v>53.633712289674499</v>
      </c>
      <c r="O2375">
        <v>52.68960768478</v>
      </c>
      <c r="P2375">
        <v>-9.1919587992963597E-2</v>
      </c>
      <c r="Q2375">
        <v>8.6015436822718505E-2</v>
      </c>
      <c r="R2375">
        <v>0.99614676701830995</v>
      </c>
      <c r="S2375" t="s">
        <v>7958</v>
      </c>
      <c r="T2375" t="s">
        <v>11164</v>
      </c>
      <c r="U2375" t="s">
        <v>11164</v>
      </c>
      <c r="V2375" t="s">
        <v>11164</v>
      </c>
      <c r="W2375" t="s">
        <v>13503</v>
      </c>
      <c r="X2375">
        <v>12</v>
      </c>
      <c r="Y2375" t="s">
        <v>19011</v>
      </c>
      <c r="Z2375" t="s">
        <v>24525</v>
      </c>
      <c r="AA2375">
        <v>0.58874775485584507</v>
      </c>
      <c r="AB2375" t="str">
        <f>HYPERLINK("Melting_Curves/meltCurve_P49841_GSK3B.pdf", "Melting_Curves/meltCurve_P49841_GSK3B.pdf")</f>
        <v>Melting_Curves/meltCurve_P49841_GSK3B.pdf</v>
      </c>
    </row>
    <row r="2376" spans="1:28" x14ac:dyDescent="0.25">
      <c r="A2376" t="s">
        <v>2380</v>
      </c>
      <c r="B2376">
        <v>0.99796759195183404</v>
      </c>
      <c r="C2376">
        <v>0.97839614579469103</v>
      </c>
      <c r="D2376">
        <v>0.98767394018630605</v>
      </c>
      <c r="E2376">
        <v>0.95239959449130196</v>
      </c>
      <c r="F2376">
        <v>0.85012360629787298</v>
      </c>
      <c r="G2376">
        <v>0.76063094555909805</v>
      </c>
      <c r="H2376">
        <v>0.77980314674090201</v>
      </c>
      <c r="I2376">
        <v>0.74506470456326301</v>
      </c>
      <c r="J2376">
        <v>0.85721117865819096</v>
      </c>
      <c r="K2376">
        <v>0.74935707724938905</v>
      </c>
      <c r="L2376">
        <v>1546.70311973966</v>
      </c>
      <c r="M2376">
        <v>31.758553273392099</v>
      </c>
      <c r="O2376">
        <v>48.510066770928297</v>
      </c>
      <c r="P2376">
        <v>-3.6429219670185503E-2</v>
      </c>
      <c r="Q2376">
        <v>0.77742380781351805</v>
      </c>
      <c r="R2376">
        <v>0.903125688726238</v>
      </c>
      <c r="S2376" t="s">
        <v>7959</v>
      </c>
      <c r="T2376" t="s">
        <v>11164</v>
      </c>
      <c r="U2376" t="s">
        <v>11164</v>
      </c>
      <c r="V2376" t="s">
        <v>11164</v>
      </c>
      <c r="W2376" t="s">
        <v>13504</v>
      </c>
      <c r="X2376">
        <v>10</v>
      </c>
      <c r="Y2376" t="s">
        <v>19012</v>
      </c>
      <c r="Z2376" t="s">
        <v>24526</v>
      </c>
      <c r="AA2376">
        <v>0.86543438824086272</v>
      </c>
      <c r="AB2376" t="str">
        <f>HYPERLINK("Melting_Curves/meltCurve_P49903_SEPHS1.pdf", "Melting_Curves/meltCurve_P49903_SEPHS1.pdf")</f>
        <v>Melting_Curves/meltCurve_P49903_SEPHS1.pdf</v>
      </c>
    </row>
    <row r="2377" spans="1:28" x14ac:dyDescent="0.25">
      <c r="A2377" t="s">
        <v>2381</v>
      </c>
      <c r="B2377">
        <v>0.99796759195183404</v>
      </c>
      <c r="C2377">
        <v>0.98512248457011797</v>
      </c>
      <c r="D2377">
        <v>0.91948605413794804</v>
      </c>
      <c r="E2377">
        <v>0.75522814469743105</v>
      </c>
      <c r="F2377">
        <v>0.83239455251363903</v>
      </c>
      <c r="G2377">
        <v>0.40822461984694403</v>
      </c>
      <c r="H2377">
        <v>0.178641101562275</v>
      </c>
      <c r="I2377">
        <v>0.18462355652186699</v>
      </c>
      <c r="J2377">
        <v>0.106009769279152</v>
      </c>
      <c r="K2377">
        <v>0.11200315664303399</v>
      </c>
      <c r="L2377">
        <v>828.93943247105801</v>
      </c>
      <c r="M2377">
        <v>15.8012631108158</v>
      </c>
      <c r="N2377">
        <v>52.886070496596801</v>
      </c>
      <c r="O2377">
        <v>51.641658103534397</v>
      </c>
      <c r="P2377">
        <v>-7.1932329309527199E-2</v>
      </c>
      <c r="Q2377">
        <v>5.9721050252004602E-2</v>
      </c>
      <c r="R2377">
        <v>0.96381762618731304</v>
      </c>
      <c r="S2377" t="s">
        <v>7960</v>
      </c>
      <c r="T2377" t="s">
        <v>11164</v>
      </c>
      <c r="U2377" t="s">
        <v>11164</v>
      </c>
      <c r="V2377" t="s">
        <v>11164</v>
      </c>
      <c r="W2377" t="s">
        <v>13505</v>
      </c>
      <c r="X2377">
        <v>2</v>
      </c>
      <c r="Y2377" t="s">
        <v>19013</v>
      </c>
      <c r="Z2377" t="s">
        <v>24527</v>
      </c>
      <c r="AA2377">
        <v>0.56077878872131093</v>
      </c>
      <c r="AB2377" t="str">
        <f>HYPERLINK("Melting_Curves/meltCurve_P49914_MTHFS.pdf", "Melting_Curves/meltCurve_P49914_MTHFS.pdf")</f>
        <v>Melting_Curves/meltCurve_P49914_MTHFS.pdf</v>
      </c>
    </row>
    <row r="2378" spans="1:28" x14ac:dyDescent="0.25">
      <c r="A2378" t="s">
        <v>2382</v>
      </c>
      <c r="B2378">
        <v>0.99796759195183404</v>
      </c>
      <c r="C2378">
        <v>0.98679149793570398</v>
      </c>
      <c r="D2378">
        <v>0.98831290195265997</v>
      </c>
      <c r="E2378">
        <v>0.939965369721388</v>
      </c>
      <c r="F2378">
        <v>0.79555895856524805</v>
      </c>
      <c r="G2378">
        <v>0.55331970419521204</v>
      </c>
      <c r="H2378">
        <v>0.17459955511817499</v>
      </c>
      <c r="I2378">
        <v>0.13186705083875599</v>
      </c>
      <c r="J2378">
        <v>9.6656284252606306E-2</v>
      </c>
      <c r="K2378">
        <v>7.5966697867946201E-2</v>
      </c>
      <c r="L2378">
        <v>1168.8664530946201</v>
      </c>
      <c r="M2378">
        <v>21.843075499461101</v>
      </c>
      <c r="N2378">
        <v>53.826139959616697</v>
      </c>
      <c r="O2378">
        <v>53.069534814266497</v>
      </c>
      <c r="P2378">
        <v>-9.67425000593468E-2</v>
      </c>
      <c r="Q2378">
        <v>5.9846387595532E-2</v>
      </c>
      <c r="R2378">
        <v>0.99487695979328505</v>
      </c>
      <c r="S2378" t="s">
        <v>7961</v>
      </c>
      <c r="T2378" t="s">
        <v>11164</v>
      </c>
      <c r="U2378" t="s">
        <v>11164</v>
      </c>
      <c r="V2378" t="s">
        <v>11164</v>
      </c>
      <c r="W2378" t="s">
        <v>13506</v>
      </c>
      <c r="X2378">
        <v>42</v>
      </c>
      <c r="Y2378" t="s">
        <v>19014</v>
      </c>
      <c r="Z2378" t="s">
        <v>24528</v>
      </c>
      <c r="AA2378">
        <v>0.58755112715020019</v>
      </c>
      <c r="AB2378" t="str">
        <f>HYPERLINK("Melting_Curves/meltCurve_P49915_GMPS.pdf", "Melting_Curves/meltCurve_P49915_GMPS.pdf")</f>
        <v>Melting_Curves/meltCurve_P49915_GMPS.pdf</v>
      </c>
    </row>
    <row r="2379" spans="1:28" x14ac:dyDescent="0.25">
      <c r="A2379" t="s">
        <v>2383</v>
      </c>
      <c r="B2379">
        <v>0.99796759195183404</v>
      </c>
      <c r="C2379">
        <v>1.2814953498607899</v>
      </c>
      <c r="D2379">
        <v>1.0646641229515501</v>
      </c>
      <c r="E2379">
        <v>1.1415464505706101</v>
      </c>
      <c r="F2379">
        <v>0.47636370688649898</v>
      </c>
      <c r="G2379">
        <v>0.27409005007395398</v>
      </c>
      <c r="H2379">
        <v>0.197769003120595</v>
      </c>
      <c r="I2379">
        <v>0.25607491435596902</v>
      </c>
      <c r="J2379">
        <v>0.22120804293886301</v>
      </c>
      <c r="K2379">
        <v>0.197928097815111</v>
      </c>
      <c r="L2379">
        <v>12512.269045441901</v>
      </c>
      <c r="M2379">
        <v>250</v>
      </c>
      <c r="N2379">
        <v>50.172302825698402</v>
      </c>
      <c r="O2379">
        <v>50.045873406264803</v>
      </c>
      <c r="P2379">
        <v>-0.962349557084897</v>
      </c>
      <c r="Q2379">
        <v>0.229414015714449</v>
      </c>
      <c r="R2379">
        <v>0.94110171050471902</v>
      </c>
      <c r="S2379" t="s">
        <v>7962</v>
      </c>
      <c r="T2379" t="s">
        <v>11164</v>
      </c>
      <c r="U2379" t="s">
        <v>11164</v>
      </c>
      <c r="V2379" t="s">
        <v>11164</v>
      </c>
      <c r="W2379" t="s">
        <v>13507</v>
      </c>
      <c r="X2379">
        <v>3</v>
      </c>
      <c r="Y2379" t="s">
        <v>19015</v>
      </c>
      <c r="Z2379" t="s">
        <v>24529</v>
      </c>
      <c r="AA2379">
        <v>0.56466287418871819</v>
      </c>
      <c r="AB2379" t="str">
        <f>HYPERLINK("Melting_Curves/meltCurve_P49916_LIG3.pdf", "Melting_Curves/meltCurve_P49916_LIG3.pdf")</f>
        <v>Melting_Curves/meltCurve_P49916_LIG3.pdf</v>
      </c>
    </row>
    <row r="2380" spans="1:28" x14ac:dyDescent="0.25">
      <c r="A2380" t="s">
        <v>2384</v>
      </c>
      <c r="B2380">
        <v>0.99796759195183404</v>
      </c>
      <c r="C2380">
        <v>0.98856987511651295</v>
      </c>
      <c r="D2380">
        <v>0.93223425632067103</v>
      </c>
      <c r="E2380">
        <v>0.92801954454850599</v>
      </c>
      <c r="F2380">
        <v>0.78718699720996299</v>
      </c>
      <c r="G2380">
        <v>0.95731598170773102</v>
      </c>
      <c r="H2380">
        <v>0.93279311807944998</v>
      </c>
      <c r="I2380">
        <v>0.75045823361603503</v>
      </c>
      <c r="J2380">
        <v>0.68383719885959504</v>
      </c>
      <c r="K2380">
        <v>0.25484088030663599</v>
      </c>
      <c r="L2380">
        <v>1481.27705029752</v>
      </c>
      <c r="M2380">
        <v>22.8187814777536</v>
      </c>
      <c r="N2380">
        <v>64.914812903072601</v>
      </c>
      <c r="O2380">
        <v>64.422427782240106</v>
      </c>
      <c r="P2380">
        <v>-8.8553089828778297E-2</v>
      </c>
      <c r="Q2380">
        <v>0</v>
      </c>
      <c r="R2380">
        <v>0.83021293964212795</v>
      </c>
      <c r="S2380" t="s">
        <v>7963</v>
      </c>
      <c r="T2380" t="s">
        <v>11164</v>
      </c>
      <c r="U2380" t="s">
        <v>11164</v>
      </c>
      <c r="V2380" t="s">
        <v>11164</v>
      </c>
      <c r="W2380" t="s">
        <v>13508</v>
      </c>
      <c r="X2380">
        <v>24</v>
      </c>
      <c r="Y2380" t="s">
        <v>19016</v>
      </c>
      <c r="Z2380" t="s">
        <v>24530</v>
      </c>
      <c r="AA2380">
        <v>0.89941048207470375</v>
      </c>
      <c r="AB2380" t="str">
        <f>HYPERLINK("Melting_Curves/meltCurve_P49959_MRE11A.pdf", "Melting_Curves/meltCurve_P49959_MRE11A.pdf")</f>
        <v>Melting_Curves/meltCurve_P49959_MRE11A.pdf</v>
      </c>
    </row>
    <row r="2381" spans="1:28" x14ac:dyDescent="0.25">
      <c r="A2381" t="s">
        <v>2385</v>
      </c>
      <c r="B2381">
        <v>0.99796759195183404</v>
      </c>
      <c r="C2381">
        <v>1.3281295481811799</v>
      </c>
      <c r="D2381">
        <v>0.81377970927537702</v>
      </c>
      <c r="E2381">
        <v>0.89699358858945299</v>
      </c>
      <c r="F2381">
        <v>0.24967171232254201</v>
      </c>
      <c r="G2381">
        <v>0.47074134526563</v>
      </c>
      <c r="H2381">
        <v>0.15473994165102101</v>
      </c>
      <c r="I2381">
        <v>0</v>
      </c>
      <c r="J2381">
        <v>0.329208759800942</v>
      </c>
      <c r="K2381">
        <v>0</v>
      </c>
      <c r="L2381">
        <v>1170.1358664321001</v>
      </c>
      <c r="M2381">
        <v>24.055633441477401</v>
      </c>
      <c r="N2381">
        <v>49.356275569962499</v>
      </c>
      <c r="O2381">
        <v>48.3104896057418</v>
      </c>
      <c r="P2381">
        <v>-0.106206794725153</v>
      </c>
      <c r="Q2381">
        <v>0.14684069652902301</v>
      </c>
      <c r="R2381">
        <v>0.83363311354581904</v>
      </c>
      <c r="S2381" t="s">
        <v>7964</v>
      </c>
      <c r="T2381" t="s">
        <v>11164</v>
      </c>
      <c r="U2381" t="s">
        <v>11164</v>
      </c>
      <c r="V2381" t="s">
        <v>11164</v>
      </c>
      <c r="W2381" t="s">
        <v>13509</v>
      </c>
      <c r="X2381">
        <v>1</v>
      </c>
      <c r="Y2381" t="s">
        <v>19017</v>
      </c>
      <c r="Z2381" t="s">
        <v>24531</v>
      </c>
      <c r="AA2381">
        <v>0.48585816838192558</v>
      </c>
      <c r="AB2381" t="str">
        <f>HYPERLINK("Melting_Curves/meltCurve_P50053_KHK.pdf", "Melting_Curves/meltCurve_P50053_KHK.pdf")</f>
        <v>Melting_Curves/meltCurve_P50053_KHK.pdf</v>
      </c>
    </row>
    <row r="2382" spans="1:28" x14ac:dyDescent="0.25">
      <c r="A2382" t="s">
        <v>2386</v>
      </c>
      <c r="B2382">
        <v>0.99796759195183404</v>
      </c>
      <c r="C2382">
        <v>0.96413745704925302</v>
      </c>
      <c r="D2382">
        <v>0.95492741793285396</v>
      </c>
      <c r="E2382">
        <v>0.97098470239657997</v>
      </c>
      <c r="F2382">
        <v>0.86652852857504903</v>
      </c>
      <c r="G2382">
        <v>0.70566466504261505</v>
      </c>
      <c r="H2382">
        <v>0.63587046871641495</v>
      </c>
      <c r="I2382">
        <v>0.33717710394426398</v>
      </c>
      <c r="J2382">
        <v>0.197547211094077</v>
      </c>
      <c r="K2382">
        <v>0.14586001922278299</v>
      </c>
      <c r="L2382">
        <v>767.434268386192</v>
      </c>
      <c r="M2382">
        <v>13.175007588834999</v>
      </c>
      <c r="N2382">
        <v>58.249246869793097</v>
      </c>
      <c r="O2382">
        <v>56.956329330397701</v>
      </c>
      <c r="P2382">
        <v>-5.7839129729210702E-2</v>
      </c>
      <c r="Q2382">
        <v>0</v>
      </c>
      <c r="R2382">
        <v>0.98616253713302005</v>
      </c>
      <c r="S2382" t="s">
        <v>7965</v>
      </c>
      <c r="T2382" t="s">
        <v>11164</v>
      </c>
      <c r="U2382" t="s">
        <v>11164</v>
      </c>
      <c r="V2382" t="s">
        <v>11164</v>
      </c>
      <c r="W2382" t="s">
        <v>13510</v>
      </c>
      <c r="X2382">
        <v>11</v>
      </c>
      <c r="Y2382" t="s">
        <v>19018</v>
      </c>
      <c r="Z2382" t="s">
        <v>24532</v>
      </c>
      <c r="AA2382">
        <v>0.70826807708921657</v>
      </c>
      <c r="AB2382" t="str">
        <f>HYPERLINK("Melting_Curves/meltCurve_P50148_GNAQ.pdf", "Melting_Curves/meltCurve_P50148_GNAQ.pdf")</f>
        <v>Melting_Curves/meltCurve_P50148_GNAQ.pdf</v>
      </c>
    </row>
    <row r="2383" spans="1:28" x14ac:dyDescent="0.25">
      <c r="A2383" t="s">
        <v>2387</v>
      </c>
      <c r="B2383">
        <v>0.99796759195183404</v>
      </c>
      <c r="C2383">
        <v>1.0257370362435201</v>
      </c>
      <c r="D2383">
        <v>0.96981786432596695</v>
      </c>
      <c r="E2383">
        <v>0.92512680680252901</v>
      </c>
      <c r="F2383">
        <v>0.83628791951752901</v>
      </c>
      <c r="G2383">
        <v>0.79977530495721305</v>
      </c>
      <c r="H2383">
        <v>0.63092957861223398</v>
      </c>
      <c r="I2383">
        <v>0.58398104938850304</v>
      </c>
      <c r="J2383">
        <v>0.85202188922095901</v>
      </c>
      <c r="K2383">
        <v>0.79392213766681896</v>
      </c>
      <c r="L2383">
        <v>1121.17287057775</v>
      </c>
      <c r="M2383">
        <v>22.849629432636899</v>
      </c>
      <c r="O2383">
        <v>48.696253716234303</v>
      </c>
      <c r="P2383">
        <v>-3.24884789664013E-2</v>
      </c>
      <c r="Q2383">
        <v>0.72305252434357403</v>
      </c>
      <c r="R2383">
        <v>0.71981478719172698</v>
      </c>
      <c r="S2383" t="s">
        <v>7966</v>
      </c>
      <c r="T2383" t="s">
        <v>11164</v>
      </c>
      <c r="U2383" t="s">
        <v>11164</v>
      </c>
      <c r="V2383" t="s">
        <v>11164</v>
      </c>
      <c r="W2383" t="s">
        <v>13511</v>
      </c>
      <c r="X2383">
        <v>3</v>
      </c>
      <c r="Y2383" t="s">
        <v>19019</v>
      </c>
      <c r="Z2383" t="s">
        <v>24533</v>
      </c>
      <c r="AA2383">
        <v>0.8373015111476555</v>
      </c>
      <c r="AB2383" t="str">
        <f>HYPERLINK("Melting_Curves/meltCurve_P50151_GNG10.pdf", "Melting_Curves/meltCurve_P50151_GNG10.pdf")</f>
        <v>Melting_Curves/meltCurve_P50151_GNG10.pdf</v>
      </c>
    </row>
    <row r="2384" spans="1:28" x14ac:dyDescent="0.25">
      <c r="A2384" t="s">
        <v>2388</v>
      </c>
      <c r="B2384">
        <v>0.99796759195183404</v>
      </c>
      <c r="C2384">
        <v>1.07551612286989</v>
      </c>
      <c r="D2384">
        <v>0.87734992499685105</v>
      </c>
      <c r="E2384">
        <v>0.61616538086713601</v>
      </c>
      <c r="F2384">
        <v>0.38210673445850002</v>
      </c>
      <c r="G2384">
        <v>0.206203714323245</v>
      </c>
      <c r="H2384">
        <v>0.16525900921039399</v>
      </c>
      <c r="I2384">
        <v>0.121975147731163</v>
      </c>
      <c r="J2384">
        <v>0.15687914114011101</v>
      </c>
      <c r="K2384">
        <v>0.171946742325117</v>
      </c>
      <c r="L2384">
        <v>938.44949769433697</v>
      </c>
      <c r="M2384">
        <v>19.840976447228801</v>
      </c>
      <c r="N2384">
        <v>48.129689403506703</v>
      </c>
      <c r="O2384">
        <v>46.825939121736802</v>
      </c>
      <c r="P2384">
        <v>-9.0567276951774398E-2</v>
      </c>
      <c r="Q2384">
        <v>0.14505107379037199</v>
      </c>
      <c r="R2384">
        <v>0.99016346699374502</v>
      </c>
      <c r="S2384" t="s">
        <v>7967</v>
      </c>
      <c r="T2384" t="s">
        <v>11164</v>
      </c>
      <c r="U2384" t="s">
        <v>11164</v>
      </c>
      <c r="V2384" t="s">
        <v>11164</v>
      </c>
      <c r="W2384" t="s">
        <v>13512</v>
      </c>
      <c r="X2384">
        <v>3</v>
      </c>
      <c r="Y2384" t="s">
        <v>19020</v>
      </c>
      <c r="Z2384" t="s">
        <v>24534</v>
      </c>
      <c r="AA2384">
        <v>0.44992072878413192</v>
      </c>
      <c r="AB2384" t="str">
        <f>HYPERLINK("Melting_Curves/meltCurve_P50219_MNX1.pdf", "Melting_Curves/meltCurve_P50219_MNX1.pdf")</f>
        <v>Melting_Curves/meltCurve_P50219_MNX1.pdf</v>
      </c>
    </row>
    <row r="2385" spans="1:28" x14ac:dyDescent="0.25">
      <c r="A2385" t="s">
        <v>2389</v>
      </c>
      <c r="B2385">
        <v>0.99796759195183404</v>
      </c>
      <c r="C2385">
        <v>0.99392473002708104</v>
      </c>
      <c r="D2385">
        <v>1.01863963145014</v>
      </c>
      <c r="E2385">
        <v>0.89025092542459505</v>
      </c>
      <c r="F2385">
        <v>0.709690512642977</v>
      </c>
      <c r="G2385">
        <v>0.240126356389738</v>
      </c>
      <c r="H2385">
        <v>0.142899229969253</v>
      </c>
      <c r="I2385">
        <v>0.100636273789452</v>
      </c>
      <c r="J2385">
        <v>7.1153659394906393E-2</v>
      </c>
      <c r="K2385">
        <v>4.0913284099414901E-2</v>
      </c>
      <c r="L2385">
        <v>1402.6796284941699</v>
      </c>
      <c r="M2385">
        <v>27.310807363005502</v>
      </c>
      <c r="N2385">
        <v>51.630373064876501</v>
      </c>
      <c r="O2385">
        <v>51.086878925790899</v>
      </c>
      <c r="P2385">
        <v>-0.124740996866154</v>
      </c>
      <c r="Q2385">
        <v>6.6659910727532801E-2</v>
      </c>
      <c r="R2385">
        <v>0.99527187251378002</v>
      </c>
      <c r="S2385" t="s">
        <v>7968</v>
      </c>
      <c r="T2385" t="s">
        <v>11164</v>
      </c>
      <c r="U2385" t="s">
        <v>11164</v>
      </c>
      <c r="V2385" t="s">
        <v>11164</v>
      </c>
      <c r="W2385" t="s">
        <v>13513</v>
      </c>
      <c r="X2385">
        <v>10</v>
      </c>
      <c r="Y2385" t="s">
        <v>19021</v>
      </c>
      <c r="Z2385" t="s">
        <v>24535</v>
      </c>
      <c r="AA2385">
        <v>0.52041124175113862</v>
      </c>
      <c r="AB2385" t="str">
        <f>HYPERLINK("Melting_Curves/meltCurve_P50224_SULT1A3.pdf", "Melting_Curves/meltCurve_P50224_SULT1A3.pdf")</f>
        <v>Melting_Curves/meltCurve_P50224_SULT1A3.pdf</v>
      </c>
    </row>
    <row r="2386" spans="1:28" x14ac:dyDescent="0.25">
      <c r="A2386" t="s">
        <v>2390</v>
      </c>
      <c r="B2386">
        <v>0.99796759195183404</v>
      </c>
      <c r="C2386">
        <v>0.99575266621403302</v>
      </c>
      <c r="D2386">
        <v>0.93413530822231705</v>
      </c>
      <c r="E2386">
        <v>0.845785942894556</v>
      </c>
      <c r="F2386">
        <v>0.72430671228337395</v>
      </c>
      <c r="G2386">
        <v>0.47580223592038901</v>
      </c>
      <c r="H2386">
        <v>0.16727717743321999</v>
      </c>
      <c r="I2386">
        <v>0.13528416388778999</v>
      </c>
      <c r="J2386">
        <v>7.9396160546107902E-2</v>
      </c>
      <c r="K2386">
        <v>0</v>
      </c>
      <c r="L2386">
        <v>820.18642840536495</v>
      </c>
      <c r="M2386">
        <v>15.4963514150318</v>
      </c>
      <c r="N2386">
        <v>52.9277305252186</v>
      </c>
      <c r="O2386">
        <v>52.0698187108799</v>
      </c>
      <c r="P2386">
        <v>-7.4408427847146894E-2</v>
      </c>
      <c r="Q2386">
        <v>0</v>
      </c>
      <c r="R2386">
        <v>0.992224397247356</v>
      </c>
      <c r="S2386" t="s">
        <v>7969</v>
      </c>
      <c r="T2386" t="s">
        <v>11164</v>
      </c>
      <c r="U2386" t="s">
        <v>11164</v>
      </c>
      <c r="V2386" t="s">
        <v>11164</v>
      </c>
      <c r="W2386" t="s">
        <v>13514</v>
      </c>
      <c r="X2386">
        <v>7</v>
      </c>
      <c r="Y2386" t="s">
        <v>19022</v>
      </c>
      <c r="Z2386" t="s">
        <v>24536</v>
      </c>
      <c r="AA2386">
        <v>0.54829786572048134</v>
      </c>
      <c r="AB2386" t="str">
        <f>HYPERLINK("Melting_Curves/meltCurve_P50225_SULT1A1.pdf", "Melting_Curves/meltCurve_P50225_SULT1A1.pdf")</f>
        <v>Melting_Curves/meltCurve_P50225_SULT1A1.pdf</v>
      </c>
    </row>
    <row r="2387" spans="1:28" x14ac:dyDescent="0.25">
      <c r="A2387" t="s">
        <v>2391</v>
      </c>
      <c r="B2387">
        <v>0.99796759195183404</v>
      </c>
      <c r="C2387">
        <v>0.96149034168729697</v>
      </c>
      <c r="D2387">
        <v>0.97797913441106399</v>
      </c>
      <c r="E2387">
        <v>0.90550219077425598</v>
      </c>
      <c r="F2387">
        <v>0.78623253129832005</v>
      </c>
      <c r="G2387">
        <v>0.47358721996025999</v>
      </c>
      <c r="H2387">
        <v>0.186228030971167</v>
      </c>
      <c r="I2387">
        <v>0.124946041316628</v>
      </c>
      <c r="J2387">
        <v>8.6391920082913395E-2</v>
      </c>
      <c r="K2387">
        <v>5.81919742983679E-2</v>
      </c>
      <c r="L2387">
        <v>1064.1081744360799</v>
      </c>
      <c r="M2387">
        <v>20.047309002505202</v>
      </c>
      <c r="N2387">
        <v>53.341575278235801</v>
      </c>
      <c r="O2387">
        <v>52.5601547044295</v>
      </c>
      <c r="P2387">
        <v>-9.0890632371827595E-2</v>
      </c>
      <c r="Q2387">
        <v>4.6840334252578997E-2</v>
      </c>
      <c r="R2387">
        <v>0.99675167208108595</v>
      </c>
      <c r="S2387" t="s">
        <v>7970</v>
      </c>
      <c r="T2387" t="s">
        <v>11164</v>
      </c>
      <c r="U2387" t="s">
        <v>11164</v>
      </c>
      <c r="V2387" t="s">
        <v>11164</v>
      </c>
      <c r="W2387" t="s">
        <v>13515</v>
      </c>
      <c r="X2387">
        <v>10</v>
      </c>
      <c r="Y2387" t="s">
        <v>19023</v>
      </c>
      <c r="Z2387" t="s">
        <v>24537</v>
      </c>
      <c r="AA2387">
        <v>0.56966403758479311</v>
      </c>
      <c r="AB2387" t="str">
        <f>HYPERLINK("Melting_Curves/meltCurve_P50336_PPOX.pdf", "Melting_Curves/meltCurve_P50336_PPOX.pdf")</f>
        <v>Melting_Curves/meltCurve_P50336_PPOX.pdf</v>
      </c>
    </row>
    <row r="2388" spans="1:28" x14ac:dyDescent="0.25">
      <c r="A2388" t="s">
        <v>2392</v>
      </c>
      <c r="B2388">
        <v>0.99796759195183404</v>
      </c>
      <c r="C2388">
        <v>0.97115618147777405</v>
      </c>
      <c r="D2388">
        <v>0.97532776726194803</v>
      </c>
      <c r="E2388">
        <v>0.86176640428635398</v>
      </c>
      <c r="F2388">
        <v>0.81556690051880498</v>
      </c>
      <c r="G2388">
        <v>0.55431939662237295</v>
      </c>
      <c r="H2388">
        <v>0.355532813131403</v>
      </c>
      <c r="I2388">
        <v>0.26184358084819997</v>
      </c>
      <c r="J2388">
        <v>0.28461523447805798</v>
      </c>
      <c r="K2388">
        <v>0.25823129971130898</v>
      </c>
      <c r="L2388">
        <v>910.05916269209104</v>
      </c>
      <c r="M2388">
        <v>17.253875390242701</v>
      </c>
      <c r="N2388">
        <v>54.6400406119933</v>
      </c>
      <c r="O2388">
        <v>52.0519847949762</v>
      </c>
      <c r="P2388">
        <v>-6.4215404982317897E-2</v>
      </c>
      <c r="Q2388">
        <v>0.22513800004166901</v>
      </c>
      <c r="R2388">
        <v>0.989931442810847</v>
      </c>
      <c r="S2388" t="s">
        <v>7971</v>
      </c>
      <c r="T2388" t="s">
        <v>11164</v>
      </c>
      <c r="U2388" t="s">
        <v>11164</v>
      </c>
      <c r="V2388" t="s">
        <v>11164</v>
      </c>
      <c r="W2388" t="s">
        <v>13516</v>
      </c>
      <c r="X2388">
        <v>10</v>
      </c>
      <c r="Y2388" t="s">
        <v>19024</v>
      </c>
      <c r="Z2388" t="s">
        <v>24538</v>
      </c>
      <c r="AA2388">
        <v>0.64385270260798044</v>
      </c>
      <c r="AB2388" t="str">
        <f>HYPERLINK("Melting_Curves/meltCurve_P50402_EMD.pdf", "Melting_Curves/meltCurve_P50402_EMD.pdf")</f>
        <v>Melting_Curves/meltCurve_P50402_EMD.pdf</v>
      </c>
    </row>
    <row r="2389" spans="1:28" x14ac:dyDescent="0.25">
      <c r="A2389" t="s">
        <v>2393</v>
      </c>
      <c r="B2389">
        <v>0.99796759195183404</v>
      </c>
      <c r="C2389">
        <v>1.0143499263004001</v>
      </c>
      <c r="D2389">
        <v>1.01716626702825</v>
      </c>
      <c r="E2389">
        <v>0.96314461086439895</v>
      </c>
      <c r="F2389">
        <v>0.83267448266158095</v>
      </c>
      <c r="G2389">
        <v>0.32247872633345898</v>
      </c>
      <c r="H2389">
        <v>0.26807615018334702</v>
      </c>
      <c r="I2389">
        <v>0.24259795832845699</v>
      </c>
      <c r="J2389">
        <v>0.16897155471337699</v>
      </c>
      <c r="K2389">
        <v>0.11713080664857201</v>
      </c>
      <c r="L2389">
        <v>2052.80260341557</v>
      </c>
      <c r="M2389">
        <v>39.629026072427799</v>
      </c>
      <c r="N2389">
        <v>52.435987214541299</v>
      </c>
      <c r="O2389">
        <v>51.669104015775602</v>
      </c>
      <c r="P2389">
        <v>-0.15517936320056699</v>
      </c>
      <c r="Q2389">
        <v>0.190698156885968</v>
      </c>
      <c r="R2389">
        <v>0.99027822601739401</v>
      </c>
      <c r="S2389" t="s">
        <v>7972</v>
      </c>
      <c r="T2389" t="s">
        <v>11164</v>
      </c>
      <c r="U2389" t="s">
        <v>11164</v>
      </c>
      <c r="V2389" t="s">
        <v>11164</v>
      </c>
      <c r="W2389" t="s">
        <v>13517</v>
      </c>
      <c r="X2389">
        <v>5</v>
      </c>
      <c r="Y2389" t="s">
        <v>19025</v>
      </c>
      <c r="Z2389" t="s">
        <v>24539</v>
      </c>
      <c r="AA2389">
        <v>0.5929124573456297</v>
      </c>
      <c r="AB2389" t="str">
        <f>HYPERLINK("Melting_Curves/meltCurve_P50416_2_CPT1A.pdf", "Melting_Curves/meltCurve_P50416_2_CPT1A.pdf")</f>
        <v>Melting_Curves/meltCurve_P50416_2_CPT1A.pdf</v>
      </c>
    </row>
    <row r="2390" spans="1:28" x14ac:dyDescent="0.25">
      <c r="A2390" t="s">
        <v>2394</v>
      </c>
      <c r="B2390">
        <v>0.99796759195183404</v>
      </c>
      <c r="C2390">
        <v>1.0419783700766401</v>
      </c>
      <c r="D2390">
        <v>1.01000825614103</v>
      </c>
      <c r="E2390">
        <v>0.86544916189214205</v>
      </c>
      <c r="F2390">
        <v>0.88251809977023499</v>
      </c>
      <c r="G2390">
        <v>0.91961540424562704</v>
      </c>
      <c r="H2390">
        <v>0.80107820066872204</v>
      </c>
      <c r="I2390">
        <v>0.74261910042979795</v>
      </c>
      <c r="J2390">
        <v>0.43521774464176399</v>
      </c>
      <c r="K2390">
        <v>0.44027483072850998</v>
      </c>
      <c r="L2390">
        <v>656.38655808751002</v>
      </c>
      <c r="M2390">
        <v>10.1144850976676</v>
      </c>
      <c r="N2390">
        <v>64.895697393860502</v>
      </c>
      <c r="O2390">
        <v>62.512183230875301</v>
      </c>
      <c r="P2390">
        <v>-4.0468907162805899E-2</v>
      </c>
      <c r="Q2390">
        <v>0</v>
      </c>
      <c r="R2390">
        <v>0.91088006350931305</v>
      </c>
      <c r="S2390" t="s">
        <v>7973</v>
      </c>
      <c r="T2390" t="s">
        <v>11164</v>
      </c>
      <c r="U2390" t="s">
        <v>11164</v>
      </c>
      <c r="V2390" t="s">
        <v>11164</v>
      </c>
      <c r="W2390" t="s">
        <v>13518</v>
      </c>
      <c r="X2390">
        <v>1</v>
      </c>
      <c r="Y2390" t="s">
        <v>19026</v>
      </c>
      <c r="Z2390" t="s">
        <v>24540</v>
      </c>
      <c r="AA2390">
        <v>0.84056343256389465</v>
      </c>
      <c r="AB2390" t="str">
        <f>HYPERLINK("Melting_Curves/meltCurve_P50452_SERPINB8.pdf", "Melting_Curves/meltCurve_P50452_SERPINB8.pdf")</f>
        <v>Melting_Curves/meltCurve_P50452_SERPINB8.pdf</v>
      </c>
    </row>
    <row r="2391" spans="1:28" x14ac:dyDescent="0.25">
      <c r="A2391" t="s">
        <v>2395</v>
      </c>
      <c r="B2391">
        <v>0.99796759195183404</v>
      </c>
      <c r="C2391">
        <v>0.97266174916412496</v>
      </c>
      <c r="D2391">
        <v>0.96129840451345905</v>
      </c>
      <c r="E2391">
        <v>0.93801262454149603</v>
      </c>
      <c r="F2391">
        <v>0.80752647498489605</v>
      </c>
      <c r="G2391">
        <v>0.65255409613173099</v>
      </c>
      <c r="H2391">
        <v>0.368370262165368</v>
      </c>
      <c r="I2391">
        <v>0.21367657355602401</v>
      </c>
      <c r="J2391">
        <v>0.119314537289281</v>
      </c>
      <c r="K2391">
        <v>7.5363004985618806E-2</v>
      </c>
      <c r="L2391">
        <v>813.15033327962396</v>
      </c>
      <c r="M2391">
        <v>14.6333761816879</v>
      </c>
      <c r="N2391">
        <v>55.568197673872803</v>
      </c>
      <c r="O2391">
        <v>54.561419916618398</v>
      </c>
      <c r="P2391">
        <v>-6.7057506548620999E-2</v>
      </c>
      <c r="Q2391">
        <v>0</v>
      </c>
      <c r="R2391">
        <v>0.99757963301817898</v>
      </c>
      <c r="S2391" t="s">
        <v>7974</v>
      </c>
      <c r="T2391" t="s">
        <v>11164</v>
      </c>
      <c r="U2391" t="s">
        <v>11164</v>
      </c>
      <c r="V2391" t="s">
        <v>11164</v>
      </c>
      <c r="W2391" t="s">
        <v>13519</v>
      </c>
      <c r="X2391">
        <v>15</v>
      </c>
      <c r="Y2391" t="s">
        <v>19027</v>
      </c>
      <c r="Z2391" t="s">
        <v>24541</v>
      </c>
      <c r="AA2391">
        <v>0.6316442165430759</v>
      </c>
      <c r="AB2391" t="str">
        <f>HYPERLINK("Melting_Curves/meltCurve_P50454_SERPINH1.pdf", "Melting_Curves/meltCurve_P50454_SERPINH1.pdf")</f>
        <v>Melting_Curves/meltCurve_P50454_SERPINH1.pdf</v>
      </c>
    </row>
    <row r="2392" spans="1:28" x14ac:dyDescent="0.25">
      <c r="A2392" t="s">
        <v>2396</v>
      </c>
      <c r="B2392">
        <v>0.99796759195183404</v>
      </c>
      <c r="C2392">
        <v>0.99368974649113495</v>
      </c>
      <c r="D2392">
        <v>0.97137309372907799</v>
      </c>
      <c r="E2392">
        <v>0.91475062239793203</v>
      </c>
      <c r="F2392">
        <v>0.78325956340854597</v>
      </c>
      <c r="G2392">
        <v>0.78012997012313801</v>
      </c>
      <c r="H2392">
        <v>0.30241438937994303</v>
      </c>
      <c r="I2392">
        <v>0.24629090493014699</v>
      </c>
      <c r="J2392">
        <v>0.203756788792683</v>
      </c>
      <c r="K2392">
        <v>0.15986014686161901</v>
      </c>
      <c r="L2392">
        <v>970.17964178469799</v>
      </c>
      <c r="M2392">
        <v>17.635115587782</v>
      </c>
      <c r="N2392">
        <v>55.839871276258201</v>
      </c>
      <c r="O2392">
        <v>54.3212993718817</v>
      </c>
      <c r="P2392">
        <v>-7.1849176039936805E-2</v>
      </c>
      <c r="Q2392">
        <v>0.114781679802457</v>
      </c>
      <c r="R2392">
        <v>0.96730214740105003</v>
      </c>
      <c r="S2392" t="s">
        <v>7975</v>
      </c>
      <c r="T2392" t="s">
        <v>11164</v>
      </c>
      <c r="U2392" t="s">
        <v>11164</v>
      </c>
      <c r="V2392" t="s">
        <v>11164</v>
      </c>
      <c r="W2392" t="s">
        <v>13520</v>
      </c>
      <c r="X2392">
        <v>17</v>
      </c>
      <c r="Y2392" t="s">
        <v>19028</v>
      </c>
      <c r="Z2392" t="s">
        <v>24542</v>
      </c>
      <c r="AA2392">
        <v>0.65762856737650732</v>
      </c>
      <c r="AB2392" t="str">
        <f>HYPERLINK("Melting_Curves/meltCurve_P50502_ST13.pdf", "Melting_Curves/meltCurve_P50502_ST13.pdf")</f>
        <v>Melting_Curves/meltCurve_P50502_ST13.pdf</v>
      </c>
    </row>
    <row r="2393" spans="1:28" x14ac:dyDescent="0.25">
      <c r="A2393" t="s">
        <v>2397</v>
      </c>
      <c r="B2393">
        <v>0.99796759195183404</v>
      </c>
      <c r="C2393">
        <v>1.06906340371774</v>
      </c>
      <c r="D2393">
        <v>0.99843080242508397</v>
      </c>
      <c r="E2393">
        <v>0.97293126487538095</v>
      </c>
      <c r="F2393">
        <v>0.79872823939492499</v>
      </c>
      <c r="G2393">
        <v>0.55588104203803201</v>
      </c>
      <c r="H2393">
        <v>0.26852494080661199</v>
      </c>
      <c r="I2393">
        <v>0.16153064776217399</v>
      </c>
      <c r="J2393">
        <v>0.11882522092444001</v>
      </c>
      <c r="K2393">
        <v>9.0710543183940104E-2</v>
      </c>
      <c r="L2393">
        <v>1062.9801471344699</v>
      </c>
      <c r="M2393">
        <v>19.760207323664801</v>
      </c>
      <c r="N2393">
        <v>54.246818981849202</v>
      </c>
      <c r="O2393">
        <v>53.252130101193899</v>
      </c>
      <c r="P2393">
        <v>-8.5716701701416695E-2</v>
      </c>
      <c r="Q2393">
        <v>7.6033759196278305E-2</v>
      </c>
      <c r="R2393">
        <v>0.99590488009372002</v>
      </c>
      <c r="S2393" t="s">
        <v>7976</v>
      </c>
      <c r="T2393" t="s">
        <v>11164</v>
      </c>
      <c r="U2393" t="s">
        <v>11164</v>
      </c>
      <c r="V2393" t="s">
        <v>11164</v>
      </c>
      <c r="W2393" t="s">
        <v>13521</v>
      </c>
      <c r="X2393">
        <v>8</v>
      </c>
      <c r="Y2393" t="s">
        <v>19029</v>
      </c>
      <c r="Z2393" t="s">
        <v>24543</v>
      </c>
      <c r="AA2393">
        <v>0.60473536128597338</v>
      </c>
      <c r="AB2393" t="str">
        <f>HYPERLINK("Melting_Curves/meltCurve_P50552_VASP.pdf", "Melting_Curves/meltCurve_P50552_VASP.pdf")</f>
        <v>Melting_Curves/meltCurve_P50552_VASP.pdf</v>
      </c>
    </row>
    <row r="2394" spans="1:28" x14ac:dyDescent="0.25">
      <c r="A2394" t="s">
        <v>2398</v>
      </c>
      <c r="B2394">
        <v>0.99796759195183404</v>
      </c>
      <c r="C2394">
        <v>0.96013724415429202</v>
      </c>
      <c r="D2394">
        <v>0.96722493012534505</v>
      </c>
      <c r="E2394">
        <v>0.93039491968523602</v>
      </c>
      <c r="F2394">
        <v>0.79307794373523699</v>
      </c>
      <c r="G2394">
        <v>0.55977441337231204</v>
      </c>
      <c r="H2394">
        <v>0.54927543333046602</v>
      </c>
      <c r="I2394">
        <v>0.46752878060369502</v>
      </c>
      <c r="J2394">
        <v>0.49570766958735402</v>
      </c>
      <c r="K2394">
        <v>0.38424320643278997</v>
      </c>
      <c r="L2394">
        <v>906.42711545612997</v>
      </c>
      <c r="M2394">
        <v>17.646664991295101</v>
      </c>
      <c r="N2394">
        <v>57.944925838812601</v>
      </c>
      <c r="O2394">
        <v>50.719345611720698</v>
      </c>
      <c r="P2394">
        <v>-4.93573815293376E-2</v>
      </c>
      <c r="Q2394">
        <v>0.43258613957106701</v>
      </c>
      <c r="R2394">
        <v>0.97815770181334405</v>
      </c>
      <c r="S2394" t="s">
        <v>7977</v>
      </c>
      <c r="T2394" t="s">
        <v>11164</v>
      </c>
      <c r="U2394" t="s">
        <v>11164</v>
      </c>
      <c r="V2394" t="s">
        <v>11164</v>
      </c>
      <c r="W2394" t="s">
        <v>13522</v>
      </c>
      <c r="X2394">
        <v>18</v>
      </c>
      <c r="Y2394" t="s">
        <v>17362</v>
      </c>
      <c r="Z2394" t="s">
        <v>24544</v>
      </c>
      <c r="AA2394">
        <v>0.71328186990352693</v>
      </c>
      <c r="AB2394" t="str">
        <f>HYPERLINK("Melting_Curves/meltCurve_P50579_METAP2.pdf", "Melting_Curves/meltCurve_P50579_METAP2.pdf")</f>
        <v>Melting_Curves/meltCurve_P50579_METAP2.pdf</v>
      </c>
    </row>
    <row r="2395" spans="1:28" x14ac:dyDescent="0.25">
      <c r="A2395" t="s">
        <v>2399</v>
      </c>
      <c r="B2395">
        <v>0.99796759195183404</v>
      </c>
      <c r="C2395">
        <v>0.959928633236381</v>
      </c>
      <c r="D2395">
        <v>0.90393903000290698</v>
      </c>
      <c r="E2395">
        <v>0.91919645933529903</v>
      </c>
      <c r="F2395">
        <v>0.72683059441198505</v>
      </c>
      <c r="G2395">
        <v>0.39247653368763602</v>
      </c>
      <c r="H2395">
        <v>0.21522485598473301</v>
      </c>
      <c r="I2395">
        <v>0.182757670487941</v>
      </c>
      <c r="J2395">
        <v>0.16589268002091201</v>
      </c>
      <c r="K2395">
        <v>0.150337720508506</v>
      </c>
      <c r="L2395">
        <v>1126.7337325503199</v>
      </c>
      <c r="M2395">
        <v>21.796430618395402</v>
      </c>
      <c r="N2395">
        <v>52.517883756704499</v>
      </c>
      <c r="O2395">
        <v>51.264273542058298</v>
      </c>
      <c r="P2395">
        <v>-9.08969328996517E-2</v>
      </c>
      <c r="Q2395">
        <v>0.144877027202541</v>
      </c>
      <c r="R2395">
        <v>0.992046546220688</v>
      </c>
      <c r="S2395" t="s">
        <v>7978</v>
      </c>
      <c r="T2395" t="s">
        <v>11164</v>
      </c>
      <c r="U2395" t="s">
        <v>11164</v>
      </c>
      <c r="V2395" t="s">
        <v>11164</v>
      </c>
      <c r="W2395" t="s">
        <v>13523</v>
      </c>
      <c r="X2395">
        <v>5</v>
      </c>
      <c r="Y2395" t="s">
        <v>19030</v>
      </c>
      <c r="Z2395" t="s">
        <v>24545</v>
      </c>
      <c r="AA2395">
        <v>0.57333685466428619</v>
      </c>
      <c r="AB2395" t="str">
        <f>HYPERLINK("Melting_Curves/meltCurve_P50583_NUDT2.pdf", "Melting_Curves/meltCurve_P50583_NUDT2.pdf")</f>
        <v>Melting_Curves/meltCurve_P50583_NUDT2.pdf</v>
      </c>
    </row>
    <row r="2396" spans="1:28" x14ac:dyDescent="0.25">
      <c r="A2396" t="s">
        <v>2400</v>
      </c>
      <c r="B2396">
        <v>0.99796759195183404</v>
      </c>
      <c r="C2396">
        <v>1.01318076237392</v>
      </c>
      <c r="D2396">
        <v>0.96604517035486503</v>
      </c>
      <c r="E2396">
        <v>0.89592520455799995</v>
      </c>
      <c r="F2396">
        <v>0.83486587155846204</v>
      </c>
      <c r="G2396">
        <v>0.38998944426898702</v>
      </c>
      <c r="H2396">
        <v>0.20596267336269</v>
      </c>
      <c r="I2396">
        <v>0.165026954146828</v>
      </c>
      <c r="J2396">
        <v>0.120838948586057</v>
      </c>
      <c r="K2396">
        <v>7.9662970405857E-2</v>
      </c>
      <c r="L2396">
        <v>1366.5637054951301</v>
      </c>
      <c r="M2396">
        <v>26.029991212406699</v>
      </c>
      <c r="N2396">
        <v>53.001307688465197</v>
      </c>
      <c r="O2396">
        <v>52.192649296889499</v>
      </c>
      <c r="P2396">
        <v>-0.11106854082984099</v>
      </c>
      <c r="Q2396">
        <v>0.109197260249859</v>
      </c>
      <c r="R2396">
        <v>0.99241988631939304</v>
      </c>
      <c r="S2396" t="s">
        <v>7979</v>
      </c>
      <c r="T2396" t="s">
        <v>11164</v>
      </c>
      <c r="U2396" t="s">
        <v>11164</v>
      </c>
      <c r="V2396" t="s">
        <v>11164</v>
      </c>
      <c r="W2396" t="s">
        <v>13524</v>
      </c>
      <c r="X2396">
        <v>6</v>
      </c>
      <c r="Y2396" t="s">
        <v>19031</v>
      </c>
      <c r="Z2396" t="s">
        <v>24546</v>
      </c>
      <c r="AA2396">
        <v>0.57677609186908063</v>
      </c>
      <c r="AB2396" t="str">
        <f>HYPERLINK("Melting_Curves/meltCurve_P50747_HLCS.pdf", "Melting_Curves/meltCurve_P50747_HLCS.pdf")</f>
        <v>Melting_Curves/meltCurve_P50747_HLCS.pdf</v>
      </c>
    </row>
    <row r="2397" spans="1:28" x14ac:dyDescent="0.25">
      <c r="A2397" t="s">
        <v>2401</v>
      </c>
      <c r="B2397">
        <v>0.99796759195183404</v>
      </c>
      <c r="C2397">
        <v>1.0130288198832</v>
      </c>
      <c r="D2397">
        <v>0.90243228844346401</v>
      </c>
      <c r="E2397">
        <v>0.90891794817932003</v>
      </c>
      <c r="F2397">
        <v>0.74935803407571999</v>
      </c>
      <c r="G2397">
        <v>0.43231090183170301</v>
      </c>
      <c r="H2397">
        <v>0.24394194449810699</v>
      </c>
      <c r="I2397">
        <v>0.20663101225289901</v>
      </c>
      <c r="J2397">
        <v>0.12662156435278499</v>
      </c>
      <c r="K2397">
        <v>0.119114400775368</v>
      </c>
      <c r="L2397">
        <v>936.71670915482798</v>
      </c>
      <c r="M2397">
        <v>17.878085005868801</v>
      </c>
      <c r="N2397">
        <v>53.096953100052701</v>
      </c>
      <c r="O2397">
        <v>51.752351157556397</v>
      </c>
      <c r="P2397">
        <v>-7.7274354869534698E-2</v>
      </c>
      <c r="Q2397">
        <v>0.105289762629587</v>
      </c>
      <c r="R2397">
        <v>0.99262177897348003</v>
      </c>
      <c r="S2397" t="s">
        <v>7980</v>
      </c>
      <c r="T2397" t="s">
        <v>11164</v>
      </c>
      <c r="U2397" t="s">
        <v>11164</v>
      </c>
      <c r="V2397" t="s">
        <v>11164</v>
      </c>
      <c r="W2397" t="s">
        <v>13525</v>
      </c>
      <c r="X2397">
        <v>6</v>
      </c>
      <c r="Y2397" t="s">
        <v>19032</v>
      </c>
      <c r="Z2397" t="s">
        <v>24547</v>
      </c>
      <c r="AA2397">
        <v>0.57788742155349049</v>
      </c>
      <c r="AB2397" t="str">
        <f>HYPERLINK("Melting_Curves/meltCurve_P50748_KNTC1.pdf", "Melting_Curves/meltCurve_P50748_KNTC1.pdf")</f>
        <v>Melting_Curves/meltCurve_P50748_KNTC1.pdf</v>
      </c>
    </row>
    <row r="2398" spans="1:28" x14ac:dyDescent="0.25">
      <c r="A2398" t="s">
        <v>2402</v>
      </c>
      <c r="B2398">
        <v>0.99796759195183404</v>
      </c>
      <c r="C2398">
        <v>0.989118103012257</v>
      </c>
      <c r="D2398">
        <v>1.07277381378143</v>
      </c>
      <c r="E2398">
        <v>0.95670549857654397</v>
      </c>
      <c r="F2398">
        <v>0.63330268264107703</v>
      </c>
      <c r="G2398">
        <v>0.414880344236079</v>
      </c>
      <c r="H2398">
        <v>0.27816084370078897</v>
      </c>
      <c r="I2398">
        <v>0.13019544615592499</v>
      </c>
      <c r="J2398">
        <v>6.1259696411799298E-2</v>
      </c>
      <c r="K2398">
        <v>3.45414167318552E-2</v>
      </c>
      <c r="L2398">
        <v>875.45514303504501</v>
      </c>
      <c r="M2398">
        <v>16.6499834860833</v>
      </c>
      <c r="N2398">
        <v>52.781323808893902</v>
      </c>
      <c r="O2398">
        <v>51.839046824971099</v>
      </c>
      <c r="P2398">
        <v>-7.7830621357801902E-2</v>
      </c>
      <c r="Q2398">
        <v>3.0775508971219199E-2</v>
      </c>
      <c r="R2398">
        <v>0.98705214582192602</v>
      </c>
      <c r="S2398" t="s">
        <v>7981</v>
      </c>
      <c r="T2398" t="s">
        <v>11164</v>
      </c>
      <c r="U2398" t="s">
        <v>11164</v>
      </c>
      <c r="V2398" t="s">
        <v>11164</v>
      </c>
      <c r="W2398" t="s">
        <v>13526</v>
      </c>
      <c r="X2398">
        <v>1</v>
      </c>
      <c r="Y2398" t="s">
        <v>19033</v>
      </c>
      <c r="Z2398" t="s">
        <v>24548</v>
      </c>
      <c r="AA2398">
        <v>0.54999096690192184</v>
      </c>
      <c r="AB2398" t="str">
        <f>HYPERLINK("Melting_Curves/meltCurve_P50749_RASSF2.pdf", "Melting_Curves/meltCurve_P50749_RASSF2.pdf")</f>
        <v>Melting_Curves/meltCurve_P50749_RASSF2.pdf</v>
      </c>
    </row>
    <row r="2399" spans="1:28" x14ac:dyDescent="0.25">
      <c r="A2399" t="s">
        <v>2403</v>
      </c>
      <c r="B2399">
        <v>0.99796759195183404</v>
      </c>
      <c r="C2399">
        <v>1.0821971503602501</v>
      </c>
      <c r="D2399">
        <v>1.0079139259930201</v>
      </c>
      <c r="E2399">
        <v>0.99786996675676298</v>
      </c>
      <c r="F2399">
        <v>0.85585670483910203</v>
      </c>
      <c r="G2399">
        <v>0.74566226907618804</v>
      </c>
      <c r="H2399">
        <v>0.69398996316223105</v>
      </c>
      <c r="I2399">
        <v>0.39856556258730202</v>
      </c>
      <c r="J2399">
        <v>0.18401502585219001</v>
      </c>
      <c r="K2399">
        <v>0.17292734353484701</v>
      </c>
      <c r="L2399">
        <v>821.54678240853195</v>
      </c>
      <c r="M2399">
        <v>13.903889035615199</v>
      </c>
      <c r="N2399">
        <v>59.087558137717501</v>
      </c>
      <c r="O2399">
        <v>57.905518872753902</v>
      </c>
      <c r="P2399">
        <v>-6.0036509946443599E-2</v>
      </c>
      <c r="Q2399">
        <v>0</v>
      </c>
      <c r="R2399">
        <v>0.97402990873968098</v>
      </c>
      <c r="S2399" t="s">
        <v>7982</v>
      </c>
      <c r="T2399" t="s">
        <v>11164</v>
      </c>
      <c r="U2399" t="s">
        <v>11164</v>
      </c>
      <c r="V2399" t="s">
        <v>11164</v>
      </c>
      <c r="W2399" t="s">
        <v>13527</v>
      </c>
      <c r="X2399">
        <v>13</v>
      </c>
      <c r="Y2399" t="s">
        <v>19034</v>
      </c>
      <c r="Z2399" t="s">
        <v>24549</v>
      </c>
      <c r="AA2399">
        <v>0.73278731468670166</v>
      </c>
      <c r="AB2399" t="str">
        <f>HYPERLINK("Melting_Curves/meltCurve_P50897_PPT1.pdf", "Melting_Curves/meltCurve_P50897_PPT1.pdf")</f>
        <v>Melting_Curves/meltCurve_P50897_PPT1.pdf</v>
      </c>
    </row>
    <row r="2400" spans="1:28" x14ac:dyDescent="0.25">
      <c r="A2400" t="s">
        <v>2404</v>
      </c>
      <c r="B2400">
        <v>0.99796759195183404</v>
      </c>
      <c r="C2400">
        <v>0.95639689055921595</v>
      </c>
      <c r="D2400">
        <v>0.903283415840057</v>
      </c>
      <c r="E2400">
        <v>0.82804877676324595</v>
      </c>
      <c r="F2400">
        <v>0.70476996712391005</v>
      </c>
      <c r="G2400">
        <v>0.4904086259189</v>
      </c>
      <c r="H2400">
        <v>0.47276218916391999</v>
      </c>
      <c r="I2400">
        <v>0.53586652490304798</v>
      </c>
      <c r="J2400">
        <v>0.634990474903385</v>
      </c>
      <c r="K2400">
        <v>0.19090196384580799</v>
      </c>
      <c r="L2400">
        <v>518.02585934810202</v>
      </c>
      <c r="M2400">
        <v>10.291444880023599</v>
      </c>
      <c r="N2400">
        <v>57.459271894671502</v>
      </c>
      <c r="O2400">
        <v>48.5461807316603</v>
      </c>
      <c r="P2400">
        <v>-3.3911788982676203E-2</v>
      </c>
      <c r="Q2400">
        <v>0.36041210804785101</v>
      </c>
      <c r="R2400">
        <v>0.81726985356730197</v>
      </c>
      <c r="S2400" t="s">
        <v>7983</v>
      </c>
      <c r="T2400" t="s">
        <v>11164</v>
      </c>
      <c r="U2400" t="s">
        <v>11164</v>
      </c>
      <c r="V2400" t="s">
        <v>11164</v>
      </c>
      <c r="W2400" t="s">
        <v>13528</v>
      </c>
      <c r="X2400">
        <v>43</v>
      </c>
      <c r="Y2400" t="s">
        <v>19035</v>
      </c>
      <c r="Z2400" t="s">
        <v>24550</v>
      </c>
      <c r="AA2400">
        <v>0.66517192360179278</v>
      </c>
      <c r="AB2400" t="str">
        <f>HYPERLINK("Melting_Curves/meltCurve_P50990_CCT8.pdf", "Melting_Curves/meltCurve_P50990_CCT8.pdf")</f>
        <v>Melting_Curves/meltCurve_P50990_CCT8.pdf</v>
      </c>
    </row>
    <row r="2401" spans="1:28" x14ac:dyDescent="0.25">
      <c r="A2401" t="s">
        <v>2405</v>
      </c>
      <c r="B2401">
        <v>0.99796759195183404</v>
      </c>
      <c r="C2401">
        <v>0.95335805379793304</v>
      </c>
      <c r="D2401">
        <v>0.84450884341941002</v>
      </c>
      <c r="E2401">
        <v>0.75507646878256396</v>
      </c>
      <c r="F2401">
        <v>0.57131464210877902</v>
      </c>
      <c r="G2401">
        <v>0.56691462641530899</v>
      </c>
      <c r="H2401">
        <v>0.59306877742959296</v>
      </c>
      <c r="I2401">
        <v>0.47514712185163199</v>
      </c>
      <c r="J2401">
        <v>0.189665251731957</v>
      </c>
      <c r="K2401">
        <v>9.0856020008723795E-2</v>
      </c>
      <c r="L2401">
        <v>377.59717037742502</v>
      </c>
      <c r="M2401">
        <v>6.8237265773214597</v>
      </c>
      <c r="N2401">
        <v>55.3359308410107</v>
      </c>
      <c r="O2401">
        <v>51.167398164466498</v>
      </c>
      <c r="P2401">
        <v>-3.3408073082279402E-2</v>
      </c>
      <c r="Q2401">
        <v>0</v>
      </c>
      <c r="R2401">
        <v>0.89907355069469097</v>
      </c>
      <c r="S2401" t="s">
        <v>7984</v>
      </c>
      <c r="T2401" t="s">
        <v>11164</v>
      </c>
      <c r="U2401" t="s">
        <v>11164</v>
      </c>
      <c r="V2401" t="s">
        <v>11164</v>
      </c>
      <c r="W2401" t="s">
        <v>13529</v>
      </c>
      <c r="X2401">
        <v>29</v>
      </c>
      <c r="Y2401" t="s">
        <v>19036</v>
      </c>
      <c r="Z2401" t="s">
        <v>24551</v>
      </c>
      <c r="AA2401">
        <v>0.60885109756248978</v>
      </c>
      <c r="AB2401" t="str">
        <f>HYPERLINK("Melting_Curves/meltCurve_P50991_CCT4.pdf", "Melting_Curves/meltCurve_P50991_CCT4.pdf")</f>
        <v>Melting_Curves/meltCurve_P50991_CCT4.pdf</v>
      </c>
    </row>
    <row r="2402" spans="1:28" x14ac:dyDescent="0.25">
      <c r="A2402" t="s">
        <v>2406</v>
      </c>
      <c r="B2402">
        <v>0.99796759195183404</v>
      </c>
      <c r="C2402">
        <v>0.969131735455526</v>
      </c>
      <c r="D2402">
        <v>0.94131197386068999</v>
      </c>
      <c r="E2402">
        <v>0.90118016162609305</v>
      </c>
      <c r="F2402">
        <v>0.78532293045384305</v>
      </c>
      <c r="G2402">
        <v>0.44447089859714201</v>
      </c>
      <c r="H2402">
        <v>0.125546935912597</v>
      </c>
      <c r="I2402">
        <v>0.104367043780475</v>
      </c>
      <c r="J2402">
        <v>7.4392297731031801E-2</v>
      </c>
      <c r="K2402">
        <v>6.1149781527761002E-2</v>
      </c>
      <c r="L2402">
        <v>1195.9029798051499</v>
      </c>
      <c r="M2402">
        <v>22.667722761020801</v>
      </c>
      <c r="N2402">
        <v>52.989030145940802</v>
      </c>
      <c r="O2402">
        <v>52.352518898911299</v>
      </c>
      <c r="P2402">
        <v>-0.103153911260563</v>
      </c>
      <c r="Q2402">
        <v>4.7057490528704601E-2</v>
      </c>
      <c r="R2402">
        <v>0.99326791714664098</v>
      </c>
      <c r="S2402" t="s">
        <v>7985</v>
      </c>
      <c r="T2402" t="s">
        <v>11164</v>
      </c>
      <c r="U2402" t="s">
        <v>11164</v>
      </c>
      <c r="V2402" t="s">
        <v>11164</v>
      </c>
      <c r="W2402" t="s">
        <v>13530</v>
      </c>
      <c r="X2402">
        <v>7</v>
      </c>
      <c r="Y2402" t="s">
        <v>19037</v>
      </c>
      <c r="Z2402" t="s">
        <v>24552</v>
      </c>
      <c r="AA2402">
        <v>0.55755477819668386</v>
      </c>
      <c r="AB2402" t="str">
        <f>HYPERLINK("Melting_Curves/meltCurve_P51003_PAPOLA.pdf", "Melting_Curves/meltCurve_P51003_PAPOLA.pdf")</f>
        <v>Melting_Curves/meltCurve_P51003_PAPOLA.pdf</v>
      </c>
    </row>
    <row r="2403" spans="1:28" x14ac:dyDescent="0.25">
      <c r="A2403" t="s">
        <v>2407</v>
      </c>
      <c r="B2403">
        <v>0.99796759195183404</v>
      </c>
      <c r="C2403">
        <v>0.80733785537689196</v>
      </c>
      <c r="D2403">
        <v>0.76038491807492203</v>
      </c>
      <c r="E2403">
        <v>0.85727339008903003</v>
      </c>
      <c r="F2403">
        <v>0.69996788655101805</v>
      </c>
      <c r="G2403">
        <v>0.306245620951623</v>
      </c>
      <c r="H2403">
        <v>0.21402413238118301</v>
      </c>
      <c r="I2403">
        <v>0.15504236422166601</v>
      </c>
      <c r="J2403">
        <v>0.15065947546970401</v>
      </c>
      <c r="K2403">
        <v>8.4222850338008401E-2</v>
      </c>
      <c r="L2403">
        <v>538.64334489373698</v>
      </c>
      <c r="M2403">
        <v>10.422289970262799</v>
      </c>
      <c r="N2403">
        <v>51.6818612595399</v>
      </c>
      <c r="O2403">
        <v>49.8878381826596</v>
      </c>
      <c r="P2403">
        <v>-5.22502907191724E-2</v>
      </c>
      <c r="Q2403">
        <v>0</v>
      </c>
      <c r="R2403">
        <v>0.93078546029270504</v>
      </c>
      <c r="S2403" t="s">
        <v>7986</v>
      </c>
      <c r="T2403" t="s">
        <v>11164</v>
      </c>
      <c r="U2403" t="s">
        <v>11164</v>
      </c>
      <c r="V2403" t="s">
        <v>11164</v>
      </c>
      <c r="W2403" t="s">
        <v>13531</v>
      </c>
      <c r="X2403">
        <v>3</v>
      </c>
      <c r="Y2403" t="s">
        <v>19038</v>
      </c>
      <c r="Z2403" t="s">
        <v>24553</v>
      </c>
      <c r="AA2403">
        <v>0.51662781294451243</v>
      </c>
      <c r="AB2403" t="str">
        <f>HYPERLINK("Melting_Curves/meltCurve_P51116_FXR2.pdf", "Melting_Curves/meltCurve_P51116_FXR2.pdf")</f>
        <v>Melting_Curves/meltCurve_P51116_FXR2.pdf</v>
      </c>
    </row>
    <row r="2404" spans="1:28" x14ac:dyDescent="0.25">
      <c r="A2404" t="s">
        <v>2408</v>
      </c>
      <c r="B2404">
        <v>0.99796759195183404</v>
      </c>
      <c r="C2404">
        <v>0.95205342917931401</v>
      </c>
      <c r="D2404">
        <v>0.94851580005250402</v>
      </c>
      <c r="E2404">
        <v>0.89241318244540202</v>
      </c>
      <c r="F2404">
        <v>0.84823790540372201</v>
      </c>
      <c r="G2404">
        <v>0.67543282718896902</v>
      </c>
      <c r="H2404">
        <v>0.609597502428884</v>
      </c>
      <c r="I2404">
        <v>0.56342812220247396</v>
      </c>
      <c r="J2404">
        <v>0.61957638941315096</v>
      </c>
      <c r="K2404">
        <v>0.40805826518421201</v>
      </c>
      <c r="L2404">
        <v>447.052705806294</v>
      </c>
      <c r="M2404">
        <v>8.0174532511337695</v>
      </c>
      <c r="N2404">
        <v>65.234897350944095</v>
      </c>
      <c r="O2404">
        <v>52.611817405140997</v>
      </c>
      <c r="P2404">
        <v>-2.5021393788744802E-2</v>
      </c>
      <c r="Q2404">
        <v>0.343958245127227</v>
      </c>
      <c r="R2404">
        <v>0.943104141376086</v>
      </c>
      <c r="S2404" t="s">
        <v>7987</v>
      </c>
      <c r="T2404" t="s">
        <v>11164</v>
      </c>
      <c r="U2404" t="s">
        <v>11164</v>
      </c>
      <c r="V2404" t="s">
        <v>11164</v>
      </c>
      <c r="W2404" t="s">
        <v>13532</v>
      </c>
      <c r="X2404">
        <v>15</v>
      </c>
      <c r="Y2404" t="s">
        <v>19039</v>
      </c>
      <c r="Z2404" t="s">
        <v>24554</v>
      </c>
      <c r="AA2404">
        <v>0.75451073296495619</v>
      </c>
      <c r="AB2404" t="str">
        <f>HYPERLINK("Melting_Curves/meltCurve_P51148_RAB5C.pdf", "Melting_Curves/meltCurve_P51148_RAB5C.pdf")</f>
        <v>Melting_Curves/meltCurve_P51148_RAB5C.pdf</v>
      </c>
    </row>
    <row r="2405" spans="1:28" x14ac:dyDescent="0.25">
      <c r="A2405" t="s">
        <v>2409</v>
      </c>
      <c r="B2405">
        <v>0.99796759195183404</v>
      </c>
      <c r="C2405">
        <v>0.98762879718963803</v>
      </c>
      <c r="D2405">
        <v>1.02832044614879</v>
      </c>
      <c r="E2405">
        <v>0.98478484894075202</v>
      </c>
      <c r="F2405">
        <v>0.86760235359715798</v>
      </c>
      <c r="G2405">
        <v>0.66068255534892495</v>
      </c>
      <c r="H2405">
        <v>0.61761239804246904</v>
      </c>
      <c r="I2405">
        <v>0.51409485475065997</v>
      </c>
      <c r="J2405">
        <v>0.45673240195014903</v>
      </c>
      <c r="K2405">
        <v>0.33159565754077303</v>
      </c>
      <c r="L2405">
        <v>674.71874502560001</v>
      </c>
      <c r="M2405">
        <v>12.0502588584667</v>
      </c>
      <c r="N2405">
        <v>60.446284449843702</v>
      </c>
      <c r="O2405">
        <v>54.516947292322399</v>
      </c>
      <c r="P2405">
        <v>-3.9008167676984298E-2</v>
      </c>
      <c r="Q2405">
        <v>0.294255369657554</v>
      </c>
      <c r="R2405">
        <v>0.97678028566123498</v>
      </c>
      <c r="S2405" t="s">
        <v>7988</v>
      </c>
      <c r="T2405" t="s">
        <v>11164</v>
      </c>
      <c r="U2405" t="s">
        <v>11164</v>
      </c>
      <c r="V2405" t="s">
        <v>11164</v>
      </c>
      <c r="W2405" t="s">
        <v>13533</v>
      </c>
      <c r="X2405">
        <v>17</v>
      </c>
      <c r="Y2405" t="s">
        <v>19040</v>
      </c>
      <c r="Z2405" t="s">
        <v>24555</v>
      </c>
      <c r="AA2405">
        <v>0.74801918758441299</v>
      </c>
      <c r="AB2405" t="str">
        <f>HYPERLINK("Melting_Curves/meltCurve_P51149_RAB7A.pdf", "Melting_Curves/meltCurve_P51149_RAB7A.pdf")</f>
        <v>Melting_Curves/meltCurve_P51149_RAB7A.pdf</v>
      </c>
    </row>
    <row r="2406" spans="1:28" x14ac:dyDescent="0.25">
      <c r="A2406" t="s">
        <v>2410</v>
      </c>
      <c r="B2406">
        <v>0.99796759195183404</v>
      </c>
      <c r="C2406">
        <v>0.99604970410853499</v>
      </c>
      <c r="D2406">
        <v>1.0437600646752001</v>
      </c>
      <c r="E2406">
        <v>0.97961460531377198</v>
      </c>
      <c r="F2406">
        <v>0.85925136131022195</v>
      </c>
      <c r="G2406">
        <v>0.58748479023585498</v>
      </c>
      <c r="H2406">
        <v>0.44600381767846198</v>
      </c>
      <c r="I2406">
        <v>0.239424637636096</v>
      </c>
      <c r="J2406">
        <v>0.12970774319886599</v>
      </c>
      <c r="K2406">
        <v>0.103289763584265</v>
      </c>
      <c r="L2406">
        <v>856.28376657531805</v>
      </c>
      <c r="M2406">
        <v>15.3949930948567</v>
      </c>
      <c r="N2406">
        <v>55.8923534390714</v>
      </c>
      <c r="O2406">
        <v>54.707759748531601</v>
      </c>
      <c r="P2406">
        <v>-6.7823331777368906E-2</v>
      </c>
      <c r="Q2406">
        <v>3.60177056293981E-2</v>
      </c>
      <c r="R2406">
        <v>0.99349529386016</v>
      </c>
      <c r="S2406" t="s">
        <v>7989</v>
      </c>
      <c r="T2406" t="s">
        <v>11164</v>
      </c>
      <c r="U2406" t="s">
        <v>11164</v>
      </c>
      <c r="V2406" t="s">
        <v>11164</v>
      </c>
      <c r="W2406" t="s">
        <v>13534</v>
      </c>
      <c r="X2406">
        <v>5</v>
      </c>
      <c r="Y2406" t="s">
        <v>19041</v>
      </c>
      <c r="Z2406" t="s">
        <v>24556</v>
      </c>
      <c r="AA2406">
        <v>0.64639712259215143</v>
      </c>
      <c r="AB2406" t="str">
        <f>HYPERLINK("Melting_Curves/meltCurve_P51151_RAB9A.pdf", "Melting_Curves/meltCurve_P51151_RAB9A.pdf")</f>
        <v>Melting_Curves/meltCurve_P51151_RAB9A.pdf</v>
      </c>
    </row>
    <row r="2407" spans="1:28" x14ac:dyDescent="0.25">
      <c r="A2407" t="s">
        <v>2411</v>
      </c>
      <c r="B2407">
        <v>0.99796759195183404</v>
      </c>
      <c r="C2407">
        <v>0.93373366019897197</v>
      </c>
      <c r="D2407">
        <v>0.96388194535607297</v>
      </c>
      <c r="E2407">
        <v>0.88816238054781504</v>
      </c>
      <c r="F2407">
        <v>0.73878843193777699</v>
      </c>
      <c r="G2407">
        <v>0.59232691953599803</v>
      </c>
      <c r="H2407">
        <v>0.394051850798323</v>
      </c>
      <c r="I2407">
        <v>0.22835937548667101</v>
      </c>
      <c r="J2407">
        <v>0.23894193610928799</v>
      </c>
      <c r="K2407">
        <v>0.204244725093015</v>
      </c>
      <c r="L2407">
        <v>680.08485202473605</v>
      </c>
      <c r="M2407">
        <v>12.634839411594299</v>
      </c>
      <c r="N2407">
        <v>55.007989521547401</v>
      </c>
      <c r="O2407">
        <v>52.531207101475196</v>
      </c>
      <c r="P2407">
        <v>-5.2993175766109901E-2</v>
      </c>
      <c r="Q2407">
        <v>0.118866151927613</v>
      </c>
      <c r="R2407">
        <v>0.99214134592645298</v>
      </c>
      <c r="S2407" t="s">
        <v>7990</v>
      </c>
      <c r="T2407" t="s">
        <v>11164</v>
      </c>
      <c r="U2407" t="s">
        <v>11164</v>
      </c>
      <c r="V2407" t="s">
        <v>11164</v>
      </c>
      <c r="W2407" t="s">
        <v>13535</v>
      </c>
      <c r="X2407">
        <v>9</v>
      </c>
      <c r="Y2407" t="s">
        <v>19042</v>
      </c>
      <c r="Z2407" t="s">
        <v>24557</v>
      </c>
      <c r="AA2407">
        <v>0.62912042169167681</v>
      </c>
      <c r="AB2407" t="str">
        <f>HYPERLINK("Melting_Curves/meltCurve_P51153_RAB13.pdf", "Melting_Curves/meltCurve_P51153_RAB13.pdf")</f>
        <v>Melting_Curves/meltCurve_P51153_RAB13.pdf</v>
      </c>
    </row>
    <row r="2408" spans="1:28" x14ac:dyDescent="0.25">
      <c r="A2408" t="s">
        <v>2412</v>
      </c>
      <c r="B2408">
        <v>0.99796759195183404</v>
      </c>
      <c r="C2408">
        <v>0.99614339221285297</v>
      </c>
      <c r="D2408">
        <v>1.03631685811246</v>
      </c>
      <c r="E2408">
        <v>0.84801783548593701</v>
      </c>
      <c r="F2408">
        <v>0.70945092443048996</v>
      </c>
      <c r="G2408">
        <v>0.45755152556546502</v>
      </c>
      <c r="H2408">
        <v>0.31366259740795199</v>
      </c>
      <c r="I2408">
        <v>0.55528538539151595</v>
      </c>
      <c r="J2408">
        <v>0.28350728198244302</v>
      </c>
      <c r="K2408">
        <v>0.24304972592421001</v>
      </c>
      <c r="L2408">
        <v>968.55911623335601</v>
      </c>
      <c r="M2408">
        <v>19.184860419390901</v>
      </c>
      <c r="N2408">
        <v>53.348449219005602</v>
      </c>
      <c r="O2408">
        <v>49.9466594441053</v>
      </c>
      <c r="P2408">
        <v>-6.5165170486739504E-2</v>
      </c>
      <c r="Q2408">
        <v>0.32141118666228502</v>
      </c>
      <c r="R2408">
        <v>0.92733912741959401</v>
      </c>
      <c r="S2408" t="s">
        <v>7991</v>
      </c>
      <c r="T2408" t="s">
        <v>11164</v>
      </c>
      <c r="U2408" t="s">
        <v>11164</v>
      </c>
      <c r="V2408" t="s">
        <v>11164</v>
      </c>
      <c r="W2408" t="s">
        <v>13536</v>
      </c>
      <c r="X2408">
        <v>4</v>
      </c>
      <c r="Y2408" t="s">
        <v>19043</v>
      </c>
      <c r="Z2408" t="s">
        <v>24558</v>
      </c>
      <c r="AA2408">
        <v>0.63601869419560475</v>
      </c>
      <c r="AB2408" t="str">
        <f>HYPERLINK("Melting_Curves/meltCurve_P51157_RAB28.pdf", "Melting_Curves/meltCurve_P51157_RAB28.pdf")</f>
        <v>Melting_Curves/meltCurve_P51157_RAB28.pdf</v>
      </c>
    </row>
    <row r="2409" spans="1:28" x14ac:dyDescent="0.25">
      <c r="A2409" t="s">
        <v>2413</v>
      </c>
      <c r="B2409">
        <v>0.99796759195183404</v>
      </c>
      <c r="C2409">
        <v>1.0262695301231199</v>
      </c>
      <c r="D2409">
        <v>0.85664858287327394</v>
      </c>
      <c r="E2409">
        <v>0.671739301497005</v>
      </c>
      <c r="F2409">
        <v>0.46863105648768599</v>
      </c>
      <c r="G2409">
        <v>0.36682778459465798</v>
      </c>
      <c r="H2409">
        <v>0.20840127714248399</v>
      </c>
      <c r="I2409">
        <v>0.134408621435614</v>
      </c>
      <c r="J2409">
        <v>0.121936955122691</v>
      </c>
      <c r="K2409">
        <v>8.3981375526477095E-2</v>
      </c>
      <c r="L2409">
        <v>593.32017590686303</v>
      </c>
      <c r="M2409">
        <v>11.981999254969301</v>
      </c>
      <c r="N2409">
        <v>50.022116279556599</v>
      </c>
      <c r="O2409">
        <v>48.198823559805597</v>
      </c>
      <c r="P2409">
        <v>-5.86259455661583E-2</v>
      </c>
      <c r="Q2409">
        <v>5.6913108020537402E-2</v>
      </c>
      <c r="R2409">
        <v>0.99202212432667103</v>
      </c>
      <c r="S2409" t="s">
        <v>7992</v>
      </c>
      <c r="T2409" t="s">
        <v>11164</v>
      </c>
      <c r="U2409" t="s">
        <v>11164</v>
      </c>
      <c r="V2409" t="s">
        <v>11164</v>
      </c>
      <c r="W2409" t="s">
        <v>13537</v>
      </c>
      <c r="X2409">
        <v>1</v>
      </c>
      <c r="Y2409" t="s">
        <v>19044</v>
      </c>
      <c r="Z2409" t="s">
        <v>24559</v>
      </c>
      <c r="AA2409">
        <v>0.47767807816916708</v>
      </c>
      <c r="AB2409" t="str">
        <f>HYPERLINK("Melting_Curves/meltCurve_P51159_2_RAB27A.pdf", "Melting_Curves/meltCurve_P51159_2_RAB27A.pdf")</f>
        <v>Melting_Curves/meltCurve_P51159_2_RAB27A.pdf</v>
      </c>
    </row>
    <row r="2410" spans="1:28" x14ac:dyDescent="0.25">
      <c r="A2410" t="s">
        <v>2414</v>
      </c>
      <c r="B2410">
        <v>0.99796759195183404</v>
      </c>
      <c r="C2410">
        <v>1.85145191945705</v>
      </c>
      <c r="D2410">
        <v>1.5609330194794799</v>
      </c>
      <c r="E2410">
        <v>1.4606542369107001</v>
      </c>
      <c r="F2410">
        <v>1.9536555275840299</v>
      </c>
      <c r="G2410">
        <v>1.30748471396761</v>
      </c>
      <c r="H2410">
        <v>1.60161266213302</v>
      </c>
      <c r="I2410">
        <v>1.3582901604516699</v>
      </c>
      <c r="J2410">
        <v>1.88361087484944</v>
      </c>
      <c r="K2410">
        <v>1.7386257372335501</v>
      </c>
      <c r="L2410">
        <v>9505.9553424278802</v>
      </c>
      <c r="M2410">
        <v>250</v>
      </c>
      <c r="O2410">
        <v>38.021383417152698</v>
      </c>
      <c r="P2410">
        <v>0.82190581651553296</v>
      </c>
      <c r="Q2410">
        <v>1.5</v>
      </c>
      <c r="R2410">
        <v>0.24902755672015101</v>
      </c>
      <c r="S2410" t="s">
        <v>7993</v>
      </c>
      <c r="T2410" t="s">
        <v>11164</v>
      </c>
      <c r="U2410" t="s">
        <v>11164</v>
      </c>
      <c r="V2410" t="s">
        <v>11164</v>
      </c>
      <c r="W2410" t="s">
        <v>13538</v>
      </c>
      <c r="X2410">
        <v>3</v>
      </c>
      <c r="Y2410" t="s">
        <v>19045</v>
      </c>
      <c r="Z2410" t="s">
        <v>24560</v>
      </c>
      <c r="AA2410">
        <v>1.4829005878859249</v>
      </c>
      <c r="AB2410" t="str">
        <f>HYPERLINK("Melting_Curves/meltCurve_P51397_DAP.pdf", "Melting_Curves/meltCurve_P51397_DAP.pdf")</f>
        <v>Melting_Curves/meltCurve_P51397_DAP.pdf</v>
      </c>
    </row>
    <row r="2411" spans="1:28" x14ac:dyDescent="0.25">
      <c r="A2411" t="s">
        <v>2415</v>
      </c>
      <c r="B2411">
        <v>0.99796759195183404</v>
      </c>
      <c r="C2411">
        <v>1.00978030952686</v>
      </c>
      <c r="D2411">
        <v>0.978184484258241</v>
      </c>
      <c r="E2411">
        <v>0.96174169486912697</v>
      </c>
      <c r="F2411">
        <v>0.868256758770381</v>
      </c>
      <c r="G2411">
        <v>0.57670838727146001</v>
      </c>
      <c r="H2411">
        <v>0.34293564933935999</v>
      </c>
      <c r="I2411">
        <v>0.173299364908131</v>
      </c>
      <c r="J2411">
        <v>0.15821539738229901</v>
      </c>
      <c r="K2411">
        <v>0.12494961869255</v>
      </c>
      <c r="L2411">
        <v>1110.57589681744</v>
      </c>
      <c r="M2411">
        <v>20.484448167838799</v>
      </c>
      <c r="N2411">
        <v>54.880371172841102</v>
      </c>
      <c r="O2411">
        <v>53.706818282408598</v>
      </c>
      <c r="P2411">
        <v>-8.4878599945694799E-2</v>
      </c>
      <c r="Q2411">
        <v>0.109876145967787</v>
      </c>
      <c r="R2411">
        <v>0.99877505350482298</v>
      </c>
      <c r="S2411" t="s">
        <v>7994</v>
      </c>
      <c r="T2411" t="s">
        <v>11164</v>
      </c>
      <c r="U2411" t="s">
        <v>11164</v>
      </c>
      <c r="V2411" t="s">
        <v>11164</v>
      </c>
      <c r="W2411" t="s">
        <v>13539</v>
      </c>
      <c r="X2411">
        <v>3</v>
      </c>
      <c r="Y2411" t="s">
        <v>19046</v>
      </c>
      <c r="Z2411" t="s">
        <v>24561</v>
      </c>
      <c r="AA2411">
        <v>0.63099852540123003</v>
      </c>
      <c r="AB2411" t="str">
        <f>HYPERLINK("Melting_Curves/meltCurve_P51398_2_DAP3.pdf", "Melting_Curves/meltCurve_P51398_2_DAP3.pdf")</f>
        <v>Melting_Curves/meltCurve_P51398_2_DAP3.pdf</v>
      </c>
    </row>
    <row r="2412" spans="1:28" x14ac:dyDescent="0.25">
      <c r="A2412" t="s">
        <v>2416</v>
      </c>
      <c r="B2412">
        <v>0.99796759195183404</v>
      </c>
      <c r="C2412">
        <v>0.92337410333651204</v>
      </c>
      <c r="D2412">
        <v>0.916448044891086</v>
      </c>
      <c r="E2412">
        <v>0.82465061789829297</v>
      </c>
      <c r="F2412">
        <v>0.76923763785590504</v>
      </c>
      <c r="G2412">
        <v>0.484052034177055</v>
      </c>
      <c r="H2412">
        <v>0.30413890177834901</v>
      </c>
      <c r="I2412">
        <v>0.26084045384360599</v>
      </c>
      <c r="J2412">
        <v>0.20314133101634699</v>
      </c>
      <c r="K2412">
        <v>0.13075028182866</v>
      </c>
      <c r="L2412">
        <v>601.80072610404898</v>
      </c>
      <c r="M2412">
        <v>11.2636736267513</v>
      </c>
      <c r="N2412">
        <v>53.975284875234301</v>
      </c>
      <c r="O2412">
        <v>51.827435868387496</v>
      </c>
      <c r="P2412">
        <v>-5.14188294405677E-2</v>
      </c>
      <c r="Q2412">
        <v>5.39194255706094E-2</v>
      </c>
      <c r="R2412">
        <v>0.98609429346743505</v>
      </c>
      <c r="S2412" t="s">
        <v>7995</v>
      </c>
      <c r="T2412" t="s">
        <v>11164</v>
      </c>
      <c r="U2412" t="s">
        <v>11164</v>
      </c>
      <c r="V2412" t="s">
        <v>11164</v>
      </c>
      <c r="W2412" t="s">
        <v>13540</v>
      </c>
      <c r="X2412">
        <v>7</v>
      </c>
      <c r="Y2412" t="s">
        <v>19047</v>
      </c>
      <c r="Z2412" t="s">
        <v>24562</v>
      </c>
      <c r="AA2412">
        <v>0.59110204398247601</v>
      </c>
      <c r="AB2412" t="str">
        <f>HYPERLINK("Melting_Curves/meltCurve_P51452_DUSP3.pdf", "Melting_Curves/meltCurve_P51452_DUSP3.pdf")</f>
        <v>Melting_Curves/meltCurve_P51452_DUSP3.pdf</v>
      </c>
    </row>
    <row r="2413" spans="1:28" x14ac:dyDescent="0.25">
      <c r="A2413" t="s">
        <v>2417</v>
      </c>
      <c r="B2413">
        <v>0.99796759195183404</v>
      </c>
      <c r="C2413">
        <v>0.92465048515220505</v>
      </c>
      <c r="D2413">
        <v>0.832486310729732</v>
      </c>
      <c r="E2413">
        <v>0.83379074672995102</v>
      </c>
      <c r="F2413">
        <v>1.05494875275454</v>
      </c>
      <c r="G2413">
        <v>0.77494135273345899</v>
      </c>
      <c r="H2413">
        <v>0.683720427541887</v>
      </c>
      <c r="I2413">
        <v>0.56976901372483102</v>
      </c>
      <c r="J2413">
        <v>0.67713535589998197</v>
      </c>
      <c r="K2413">
        <v>0.59148555253526403</v>
      </c>
      <c r="L2413">
        <v>267.497878830574</v>
      </c>
      <c r="M2413">
        <v>3.67500687307954</v>
      </c>
      <c r="O2413">
        <v>58.084467676473899</v>
      </c>
      <c r="P2413">
        <v>-1.60833263627061E-2</v>
      </c>
      <c r="Q2413">
        <v>0</v>
      </c>
      <c r="R2413">
        <v>0.69560903488572301</v>
      </c>
      <c r="S2413" t="s">
        <v>7996</v>
      </c>
      <c r="T2413" t="s">
        <v>11164</v>
      </c>
      <c r="U2413" t="s">
        <v>11164</v>
      </c>
      <c r="V2413" t="s">
        <v>11164</v>
      </c>
      <c r="W2413" t="s">
        <v>13541</v>
      </c>
      <c r="X2413">
        <v>1</v>
      </c>
      <c r="Y2413" t="s">
        <v>19048</v>
      </c>
      <c r="Z2413" t="s">
        <v>24563</v>
      </c>
      <c r="AA2413">
        <v>0.80010722380520782</v>
      </c>
      <c r="AB2413" t="str">
        <f>HYPERLINK("Melting_Curves/meltCurve_P51511_MMP15.pdf", "Melting_Curves/meltCurve_P51511_MMP15.pdf")</f>
        <v>Melting_Curves/meltCurve_P51511_MMP15.pdf</v>
      </c>
    </row>
    <row r="2414" spans="1:28" x14ac:dyDescent="0.25">
      <c r="A2414" t="s">
        <v>2418</v>
      </c>
      <c r="B2414">
        <v>0.99796759195183404</v>
      </c>
      <c r="C2414">
        <v>1.0583948439231301</v>
      </c>
      <c r="D2414">
        <v>1.0129154608633</v>
      </c>
      <c r="E2414">
        <v>0.93037332270502804</v>
      </c>
      <c r="F2414">
        <v>0.76985787180031295</v>
      </c>
      <c r="G2414">
        <v>0.54215486975555005</v>
      </c>
      <c r="H2414">
        <v>0.4007742758335</v>
      </c>
      <c r="I2414">
        <v>0.34578950341911702</v>
      </c>
      <c r="J2414">
        <v>0.30136311200569499</v>
      </c>
      <c r="K2414">
        <v>0.20413831591782999</v>
      </c>
      <c r="L2414">
        <v>865.45819196829098</v>
      </c>
      <c r="M2414">
        <v>16.375898000249801</v>
      </c>
      <c r="N2414">
        <v>54.953352292091402</v>
      </c>
      <c r="O2414">
        <v>52.080243837975203</v>
      </c>
      <c r="P2414">
        <v>-6.03062534549616E-2</v>
      </c>
      <c r="Q2414">
        <v>0.23288706912096299</v>
      </c>
      <c r="R2414">
        <v>0.99001387411751196</v>
      </c>
      <c r="S2414" t="s">
        <v>7997</v>
      </c>
      <c r="T2414" t="s">
        <v>11164</v>
      </c>
      <c r="U2414" t="s">
        <v>11164</v>
      </c>
      <c r="V2414" t="s">
        <v>11164</v>
      </c>
      <c r="W2414" t="s">
        <v>13542</v>
      </c>
      <c r="X2414">
        <v>3</v>
      </c>
      <c r="Y2414" t="s">
        <v>19049</v>
      </c>
      <c r="Z2414" t="s">
        <v>24564</v>
      </c>
      <c r="AA2414">
        <v>0.65077984164171265</v>
      </c>
      <c r="AB2414" t="str">
        <f>HYPERLINK("Melting_Curves/meltCurve_P51513_4_NOVA1.pdf", "Melting_Curves/meltCurve_P51513_4_NOVA1.pdf")</f>
        <v>Melting_Curves/meltCurve_P51513_4_NOVA1.pdf</v>
      </c>
    </row>
    <row r="2415" spans="1:28" x14ac:dyDescent="0.25">
      <c r="A2415" t="s">
        <v>2419</v>
      </c>
      <c r="B2415">
        <v>0.99796759195183404</v>
      </c>
      <c r="C2415">
        <v>0.71354394002432098</v>
      </c>
      <c r="D2415">
        <v>0.66326897096633497</v>
      </c>
      <c r="E2415">
        <v>0.67509828911942404</v>
      </c>
      <c r="F2415">
        <v>0.62676067283876602</v>
      </c>
      <c r="G2415">
        <v>0.59353996413257504</v>
      </c>
      <c r="H2415">
        <v>0.46658071710676002</v>
      </c>
      <c r="I2415">
        <v>0.35984043790129799</v>
      </c>
      <c r="J2415">
        <v>0.38696628515276998</v>
      </c>
      <c r="K2415">
        <v>0.28140021310430402</v>
      </c>
      <c r="L2415">
        <v>217.30252762100901</v>
      </c>
      <c r="M2415">
        <v>3.9618589831488</v>
      </c>
      <c r="N2415">
        <v>54.848627510992102</v>
      </c>
      <c r="O2415">
        <v>44.8907352516934</v>
      </c>
      <c r="P2415">
        <v>-2.23563492857498E-2</v>
      </c>
      <c r="Q2415">
        <v>0</v>
      </c>
      <c r="R2415">
        <v>0.88646850140258204</v>
      </c>
      <c r="S2415" t="s">
        <v>7998</v>
      </c>
      <c r="T2415" t="s">
        <v>11164</v>
      </c>
      <c r="U2415" t="s">
        <v>11164</v>
      </c>
      <c r="V2415" t="s">
        <v>11164</v>
      </c>
      <c r="W2415" t="s">
        <v>13543</v>
      </c>
      <c r="X2415">
        <v>2</v>
      </c>
      <c r="Y2415" t="s">
        <v>19050</v>
      </c>
      <c r="Z2415" t="s">
        <v>24565</v>
      </c>
      <c r="AA2415">
        <v>0.57185645954029973</v>
      </c>
      <c r="AB2415" t="str">
        <f>HYPERLINK("Melting_Curves/meltCurve_P51531_2_SMARCA2.pdf", "Melting_Curves/meltCurve_P51531_2_SMARCA2.pdf")</f>
        <v>Melting_Curves/meltCurve_P51531_2_SMARCA2.pdf</v>
      </c>
    </row>
    <row r="2416" spans="1:28" x14ac:dyDescent="0.25">
      <c r="A2416" t="s">
        <v>2420</v>
      </c>
      <c r="B2416">
        <v>0.99796759195183404</v>
      </c>
      <c r="C2416">
        <v>0.95802611076548005</v>
      </c>
      <c r="D2416">
        <v>0.88934423946499197</v>
      </c>
      <c r="E2416">
        <v>0.90982942766514296</v>
      </c>
      <c r="F2416">
        <v>0.69300238269640502</v>
      </c>
      <c r="G2416">
        <v>1.16673727942691</v>
      </c>
      <c r="H2416">
        <v>0.79962538359289503</v>
      </c>
      <c r="I2416">
        <v>0.48152730116474901</v>
      </c>
      <c r="J2416">
        <v>0.17877002025231101</v>
      </c>
      <c r="K2416">
        <v>0.12081603612066601</v>
      </c>
      <c r="L2416">
        <v>1957.5507372360701</v>
      </c>
      <c r="M2416">
        <v>32.449687544609198</v>
      </c>
      <c r="N2416">
        <v>60.644361002509697</v>
      </c>
      <c r="O2416">
        <v>60.098005326470499</v>
      </c>
      <c r="P2416">
        <v>-0.124407145083236</v>
      </c>
      <c r="Q2416">
        <v>7.8378215732341397E-2</v>
      </c>
      <c r="R2416">
        <v>0.86241249830755895</v>
      </c>
      <c r="S2416" t="s">
        <v>7999</v>
      </c>
      <c r="T2416" t="s">
        <v>11164</v>
      </c>
      <c r="U2416" t="s">
        <v>11164</v>
      </c>
      <c r="V2416" t="s">
        <v>11164</v>
      </c>
      <c r="W2416" t="s">
        <v>13544</v>
      </c>
      <c r="X2416">
        <v>5</v>
      </c>
      <c r="Y2416" t="s">
        <v>19051</v>
      </c>
      <c r="Z2416" t="s">
        <v>24566</v>
      </c>
      <c r="AA2416">
        <v>0.79789234258868202</v>
      </c>
      <c r="AB2416" t="str">
        <f>HYPERLINK("Melting_Curves/meltCurve_P51553_IDH3G.pdf", "Melting_Curves/meltCurve_P51553_IDH3G.pdf")</f>
        <v>Melting_Curves/meltCurve_P51553_IDH3G.pdf</v>
      </c>
    </row>
    <row r="2417" spans="1:28" x14ac:dyDescent="0.25">
      <c r="A2417" t="s">
        <v>2421</v>
      </c>
      <c r="B2417">
        <v>0.99796759195183404</v>
      </c>
      <c r="C2417">
        <v>1.00020771854781</v>
      </c>
      <c r="D2417">
        <v>0.99818486706757004</v>
      </c>
      <c r="E2417">
        <v>0.94043059159497</v>
      </c>
      <c r="F2417">
        <v>0.85089026542066803</v>
      </c>
      <c r="G2417">
        <v>0.56245365098227196</v>
      </c>
      <c r="H2417">
        <v>0.25461938182549498</v>
      </c>
      <c r="I2417">
        <v>0.17085339887107701</v>
      </c>
      <c r="J2417">
        <v>0.13107950972448801</v>
      </c>
      <c r="K2417">
        <v>0.10635789698942</v>
      </c>
      <c r="L2417">
        <v>1204.91025621116</v>
      </c>
      <c r="M2417">
        <v>22.402528658276701</v>
      </c>
      <c r="N2417">
        <v>54.329405191658303</v>
      </c>
      <c r="O2417">
        <v>53.361512707892302</v>
      </c>
      <c r="P2417">
        <v>-9.4398999319183399E-2</v>
      </c>
      <c r="Q2417">
        <v>0.10060727468967499</v>
      </c>
      <c r="R2417">
        <v>0.99866212867218196</v>
      </c>
      <c r="S2417" t="s">
        <v>8000</v>
      </c>
      <c r="T2417" t="s">
        <v>11164</v>
      </c>
      <c r="U2417" t="s">
        <v>11164</v>
      </c>
      <c r="V2417" t="s">
        <v>11164</v>
      </c>
      <c r="W2417" t="s">
        <v>13545</v>
      </c>
      <c r="X2417">
        <v>29</v>
      </c>
      <c r="Y2417" t="s">
        <v>19052</v>
      </c>
      <c r="Z2417" t="s">
        <v>24567</v>
      </c>
      <c r="AA2417">
        <v>0.61316740011561821</v>
      </c>
      <c r="AB2417" t="str">
        <f>HYPERLINK("Melting_Curves/meltCurve_P51570_GALK1.pdf", "Melting_Curves/meltCurve_P51570_GALK1.pdf")</f>
        <v>Melting_Curves/meltCurve_P51570_GALK1.pdf</v>
      </c>
    </row>
    <row r="2418" spans="1:28" x14ac:dyDescent="0.25">
      <c r="A2418" t="s">
        <v>2422</v>
      </c>
      <c r="B2418">
        <v>0.99796759195183404</v>
      </c>
      <c r="C2418">
        <v>1.00144461284397</v>
      </c>
      <c r="D2418">
        <v>0.94441852843555896</v>
      </c>
      <c r="E2418">
        <v>0.85241240312494404</v>
      </c>
      <c r="F2418">
        <v>0.75232087452618801</v>
      </c>
      <c r="G2418">
        <v>0.757717687644062</v>
      </c>
      <c r="H2418">
        <v>0.560813325494394</v>
      </c>
      <c r="I2418">
        <v>0.498072125565104</v>
      </c>
      <c r="J2418">
        <v>0.26401119647570898</v>
      </c>
      <c r="K2418">
        <v>0.14542054477084601</v>
      </c>
      <c r="L2418">
        <v>546.99302163229697</v>
      </c>
      <c r="M2418">
        <v>9.3530344248540302</v>
      </c>
      <c r="N2418">
        <v>58.482969386740997</v>
      </c>
      <c r="O2418">
        <v>55.996238299400801</v>
      </c>
      <c r="P2418">
        <v>-4.1783630507122603E-2</v>
      </c>
      <c r="Q2418">
        <v>0</v>
      </c>
      <c r="R2418">
        <v>0.96040723594935196</v>
      </c>
      <c r="S2418" t="s">
        <v>8001</v>
      </c>
      <c r="T2418" t="s">
        <v>11164</v>
      </c>
      <c r="U2418" t="s">
        <v>11164</v>
      </c>
      <c r="V2418" t="s">
        <v>11164</v>
      </c>
      <c r="W2418" t="s">
        <v>13546</v>
      </c>
      <c r="X2418">
        <v>5</v>
      </c>
      <c r="Y2418" t="s">
        <v>19053</v>
      </c>
      <c r="Z2418" t="s">
        <v>24568</v>
      </c>
      <c r="AA2418">
        <v>0.6998448945439778</v>
      </c>
      <c r="AB2418" t="str">
        <f>HYPERLINK("Melting_Curves/meltCurve_P51571_SSR4.pdf", "Melting_Curves/meltCurve_P51571_SSR4.pdf")</f>
        <v>Melting_Curves/meltCurve_P51571_SSR4.pdf</v>
      </c>
    </row>
    <row r="2419" spans="1:28" x14ac:dyDescent="0.25">
      <c r="A2419" t="s">
        <v>2423</v>
      </c>
      <c r="B2419">
        <v>0.99796759195183404</v>
      </c>
      <c r="C2419">
        <v>1.1055399825864201</v>
      </c>
      <c r="D2419">
        <v>1.0216628246414501</v>
      </c>
      <c r="E2419">
        <v>1.0153716080530399</v>
      </c>
      <c r="F2419">
        <v>0.947187820692726</v>
      </c>
      <c r="G2419">
        <v>0.81406101462264402</v>
      </c>
      <c r="H2419">
        <v>1.06681474800563</v>
      </c>
      <c r="I2419">
        <v>1.02350669367606</v>
      </c>
      <c r="J2419">
        <v>1.2558891558526499</v>
      </c>
      <c r="K2419">
        <v>0.92031783532731704</v>
      </c>
      <c r="L2419">
        <v>14053.708517643099</v>
      </c>
      <c r="M2419">
        <v>250</v>
      </c>
      <c r="O2419">
        <v>56.211236887229198</v>
      </c>
      <c r="P2419">
        <v>7.4190986684776694E-2</v>
      </c>
      <c r="Q2419">
        <v>1.06672587373146</v>
      </c>
      <c r="R2419">
        <v>0.121127053392227</v>
      </c>
      <c r="S2419" t="s">
        <v>8002</v>
      </c>
      <c r="T2419" t="s">
        <v>11164</v>
      </c>
      <c r="U2419" t="s">
        <v>11164</v>
      </c>
      <c r="V2419" t="s">
        <v>11164</v>
      </c>
      <c r="W2419" t="s">
        <v>13547</v>
      </c>
      <c r="X2419">
        <v>18</v>
      </c>
      <c r="Y2419" t="s">
        <v>19054</v>
      </c>
      <c r="Z2419" t="s">
        <v>24569</v>
      </c>
      <c r="AA2419">
        <v>1.023981737747593</v>
      </c>
      <c r="AB2419" t="str">
        <f>HYPERLINK("Melting_Curves/meltCurve_P51572_BCAP31.pdf", "Melting_Curves/meltCurve_P51572_BCAP31.pdf")</f>
        <v>Melting_Curves/meltCurve_P51572_BCAP31.pdf</v>
      </c>
    </row>
    <row r="2420" spans="1:28" x14ac:dyDescent="0.25">
      <c r="A2420" t="s">
        <v>2424</v>
      </c>
      <c r="B2420">
        <v>0.99796759195183404</v>
      </c>
      <c r="C2420">
        <v>0.962964910662643</v>
      </c>
      <c r="D2420">
        <v>0.94900861977184803</v>
      </c>
      <c r="E2420">
        <v>0.93231349556280796</v>
      </c>
      <c r="F2420">
        <v>0.76984371875117097</v>
      </c>
      <c r="G2420">
        <v>0.46444163728136201</v>
      </c>
      <c r="H2420">
        <v>0.37650981395204602</v>
      </c>
      <c r="I2420">
        <v>0.223042151864076</v>
      </c>
      <c r="J2420">
        <v>0.139615289919826</v>
      </c>
      <c r="K2420">
        <v>9.2754119761076295E-2</v>
      </c>
      <c r="L2420">
        <v>738.10340415748101</v>
      </c>
      <c r="M2420">
        <v>13.691790877719701</v>
      </c>
      <c r="N2420">
        <v>54.295918265210602</v>
      </c>
      <c r="O2420">
        <v>52.797502485126998</v>
      </c>
      <c r="P2420">
        <v>-6.1823126823478201E-2</v>
      </c>
      <c r="Q2420">
        <v>4.6542380832001601E-2</v>
      </c>
      <c r="R2420">
        <v>0.99235277445673098</v>
      </c>
      <c r="S2420" t="s">
        <v>8003</v>
      </c>
      <c r="T2420" t="s">
        <v>11164</v>
      </c>
      <c r="U2420" t="s">
        <v>11164</v>
      </c>
      <c r="V2420" t="s">
        <v>11164</v>
      </c>
      <c r="W2420" t="s">
        <v>13548</v>
      </c>
      <c r="X2420">
        <v>8</v>
      </c>
      <c r="Y2420" t="s">
        <v>19055</v>
      </c>
      <c r="Z2420" t="s">
        <v>24570</v>
      </c>
      <c r="AA2420">
        <v>0.60046974224585403</v>
      </c>
      <c r="AB2420" t="str">
        <f>HYPERLINK("Melting_Curves/meltCurve_P51580_TPMT.pdf", "Melting_Curves/meltCurve_P51580_TPMT.pdf")</f>
        <v>Melting_Curves/meltCurve_P51580_TPMT.pdf</v>
      </c>
    </row>
    <row r="2421" spans="1:28" x14ac:dyDescent="0.25">
      <c r="A2421" t="s">
        <v>2425</v>
      </c>
      <c r="B2421">
        <v>0.99796759195183404</v>
      </c>
      <c r="C2421">
        <v>0.99785657770994796</v>
      </c>
      <c r="D2421">
        <v>0.99584866288787499</v>
      </c>
      <c r="E2421">
        <v>0.94316691730024504</v>
      </c>
      <c r="F2421">
        <v>0.84780202149482997</v>
      </c>
      <c r="G2421">
        <v>0.73417837596128499</v>
      </c>
      <c r="H2421">
        <v>0.51095261369514</v>
      </c>
      <c r="I2421">
        <v>0.24800475460296201</v>
      </c>
      <c r="J2421">
        <v>0.154822308267448</v>
      </c>
      <c r="K2421">
        <v>0.117902842491657</v>
      </c>
      <c r="L2421">
        <v>839.92354092231506</v>
      </c>
      <c r="M2421">
        <v>14.7045072078455</v>
      </c>
      <c r="N2421">
        <v>57.120142295862898</v>
      </c>
      <c r="O2421">
        <v>56.094914261552397</v>
      </c>
      <c r="P2421">
        <v>-6.5541203546337898E-2</v>
      </c>
      <c r="Q2421">
        <v>0</v>
      </c>
      <c r="R2421">
        <v>0.99614883521930497</v>
      </c>
      <c r="S2421" t="s">
        <v>8004</v>
      </c>
      <c r="T2421" t="s">
        <v>11164</v>
      </c>
      <c r="U2421" t="s">
        <v>11164</v>
      </c>
      <c r="V2421" t="s">
        <v>11164</v>
      </c>
      <c r="W2421" t="s">
        <v>13549</v>
      </c>
      <c r="X2421">
        <v>28</v>
      </c>
      <c r="Y2421" t="s">
        <v>19056</v>
      </c>
      <c r="Z2421" t="s">
        <v>24571</v>
      </c>
      <c r="AA2421">
        <v>0.67821194483809111</v>
      </c>
      <c r="AB2421" t="str">
        <f>HYPERLINK("Melting_Curves/meltCurve_P51659_HSD17B4.pdf", "Melting_Curves/meltCurve_P51659_HSD17B4.pdf")</f>
        <v>Melting_Curves/meltCurve_P51659_HSD17B4.pdf</v>
      </c>
    </row>
    <row r="2422" spans="1:28" x14ac:dyDescent="0.25">
      <c r="A2422" t="s">
        <v>2426</v>
      </c>
      <c r="B2422">
        <v>0.99796759195183404</v>
      </c>
      <c r="C2422">
        <v>1.00204606432254</v>
      </c>
      <c r="D2422">
        <v>0.90675197536537999</v>
      </c>
      <c r="E2422">
        <v>0.89946940781512297</v>
      </c>
      <c r="F2422">
        <v>0.82017529546447698</v>
      </c>
      <c r="G2422">
        <v>1.0977929931710699</v>
      </c>
      <c r="H2422">
        <v>0.66448594021126905</v>
      </c>
      <c r="I2422">
        <v>0.51569472488887202</v>
      </c>
      <c r="J2422">
        <v>0.27718939554650102</v>
      </c>
      <c r="K2422">
        <v>0.20105042046560501</v>
      </c>
      <c r="L2422">
        <v>1331.40478609007</v>
      </c>
      <c r="M2422">
        <v>22.2727009648593</v>
      </c>
      <c r="N2422">
        <v>60.6082486396893</v>
      </c>
      <c r="O2422">
        <v>59.301783214908902</v>
      </c>
      <c r="P2422">
        <v>-8.1544905396421702E-2</v>
      </c>
      <c r="Q2422">
        <v>0.13155444119881701</v>
      </c>
      <c r="R2422">
        <v>0.90504088803221305</v>
      </c>
      <c r="S2422" t="s">
        <v>8005</v>
      </c>
      <c r="T2422" t="s">
        <v>11164</v>
      </c>
      <c r="U2422" t="s">
        <v>11164</v>
      </c>
      <c r="V2422" t="s">
        <v>11164</v>
      </c>
      <c r="W2422" t="s">
        <v>13550</v>
      </c>
      <c r="X2422">
        <v>3</v>
      </c>
      <c r="Y2422" t="s">
        <v>19057</v>
      </c>
      <c r="Z2422" t="s">
        <v>24572</v>
      </c>
      <c r="AA2422">
        <v>0.79323011951205047</v>
      </c>
      <c r="AB2422" t="str">
        <f>HYPERLINK("Melting_Curves/meltCurve_P51665_PSMD7.pdf", "Melting_Curves/meltCurve_P51665_PSMD7.pdf")</f>
        <v>Melting_Curves/meltCurve_P51665_PSMD7.pdf</v>
      </c>
    </row>
    <row r="2423" spans="1:28" x14ac:dyDescent="0.25">
      <c r="A2423" t="s">
        <v>2427</v>
      </c>
      <c r="B2423">
        <v>0.99796759195183404</v>
      </c>
      <c r="C2423">
        <v>0.77400242430688304</v>
      </c>
      <c r="D2423">
        <v>0.84914125610115498</v>
      </c>
      <c r="E2423">
        <v>0.72138889787372296</v>
      </c>
      <c r="F2423">
        <v>0.644121143823284</v>
      </c>
      <c r="G2423">
        <v>0.30734853936006801</v>
      </c>
      <c r="H2423">
        <v>0.22974050452324499</v>
      </c>
      <c r="I2423">
        <v>0.15104597305047099</v>
      </c>
      <c r="J2423">
        <v>8.2786377506776407E-2</v>
      </c>
      <c r="K2423">
        <v>9.0979417912372504E-2</v>
      </c>
      <c r="L2423">
        <v>497.39501452857399</v>
      </c>
      <c r="M2423">
        <v>9.7896194264273095</v>
      </c>
      <c r="N2423">
        <v>50.808411152804403</v>
      </c>
      <c r="O2423">
        <v>48.824411542303203</v>
      </c>
      <c r="P2423">
        <v>-5.0153107046515703E-2</v>
      </c>
      <c r="Q2423">
        <v>0</v>
      </c>
      <c r="R2423">
        <v>0.95846516858661301</v>
      </c>
      <c r="S2423" t="s">
        <v>8006</v>
      </c>
      <c r="T2423" t="s">
        <v>11164</v>
      </c>
      <c r="U2423" t="s">
        <v>11164</v>
      </c>
      <c r="V2423" t="s">
        <v>11164</v>
      </c>
      <c r="W2423" t="s">
        <v>13551</v>
      </c>
      <c r="X2423">
        <v>2</v>
      </c>
      <c r="Y2423" t="s">
        <v>19058</v>
      </c>
      <c r="Z2423" t="s">
        <v>24573</v>
      </c>
      <c r="AA2423">
        <v>0.49196019051278522</v>
      </c>
      <c r="AB2423" t="str">
        <f>HYPERLINK("Melting_Curves/meltCurve_P51668_UBE2D1.pdf", "Melting_Curves/meltCurve_P51668_UBE2D1.pdf")</f>
        <v>Melting_Curves/meltCurve_P51668_UBE2D1.pdf</v>
      </c>
    </row>
    <row r="2424" spans="1:28" x14ac:dyDescent="0.25">
      <c r="A2424" t="s">
        <v>2428</v>
      </c>
      <c r="B2424">
        <v>0.99796759195183404</v>
      </c>
      <c r="C2424">
        <v>0.97372142080550705</v>
      </c>
      <c r="D2424">
        <v>1.0207599313371301</v>
      </c>
      <c r="E2424">
        <v>0.91662692237298604</v>
      </c>
      <c r="F2424">
        <v>0.89225402656369501</v>
      </c>
      <c r="G2424">
        <v>0.61642641490541195</v>
      </c>
      <c r="H2424">
        <v>0.50405126278336998</v>
      </c>
      <c r="I2424">
        <v>0.40978271244143999</v>
      </c>
      <c r="J2424">
        <v>0.34785937109132598</v>
      </c>
      <c r="K2424">
        <v>0.23696727018421401</v>
      </c>
      <c r="L2424">
        <v>753.73844534625403</v>
      </c>
      <c r="M2424">
        <v>13.677088018660999</v>
      </c>
      <c r="N2424">
        <v>57.476032802220502</v>
      </c>
      <c r="O2424">
        <v>53.971494871260099</v>
      </c>
      <c r="P2424">
        <v>-4.9721310789187602E-2</v>
      </c>
      <c r="Q2424">
        <v>0.21528774656799901</v>
      </c>
      <c r="R2424">
        <v>0.98500407810892399</v>
      </c>
      <c r="S2424" t="s">
        <v>8007</v>
      </c>
      <c r="T2424" t="s">
        <v>11164</v>
      </c>
      <c r="U2424" t="s">
        <v>11164</v>
      </c>
      <c r="V2424" t="s">
        <v>11164</v>
      </c>
      <c r="W2424" t="s">
        <v>13552</v>
      </c>
      <c r="X2424">
        <v>6</v>
      </c>
      <c r="Y2424" t="s">
        <v>19059</v>
      </c>
      <c r="Z2424" t="s">
        <v>24574</v>
      </c>
      <c r="AA2424">
        <v>0.70004315559816122</v>
      </c>
      <c r="AB2424" t="str">
        <f>HYPERLINK("Melting_Curves/meltCurve_P51687_SUOX.pdf", "Melting_Curves/meltCurve_P51687_SUOX.pdf")</f>
        <v>Melting_Curves/meltCurve_P51687_SUOX.pdf</v>
      </c>
    </row>
    <row r="2425" spans="1:28" x14ac:dyDescent="0.25">
      <c r="A2425" t="s">
        <v>2429</v>
      </c>
      <c r="B2425">
        <v>0.99796759195183404</v>
      </c>
      <c r="C2425">
        <v>1.00419590351543</v>
      </c>
      <c r="D2425">
        <v>1.0130829916225701</v>
      </c>
      <c r="E2425">
        <v>1.0096202696779899</v>
      </c>
      <c r="F2425">
        <v>0.60016720246858601</v>
      </c>
      <c r="G2425">
        <v>0.16662979868949099</v>
      </c>
      <c r="H2425">
        <v>0.117686177956879</v>
      </c>
      <c r="I2425">
        <v>8.9427237422791794E-2</v>
      </c>
      <c r="J2425">
        <v>7.9177954182760205E-2</v>
      </c>
      <c r="K2425">
        <v>5.7833258201495298E-2</v>
      </c>
      <c r="L2425">
        <v>2107.18337050019</v>
      </c>
      <c r="M2425">
        <v>41.6885091220623</v>
      </c>
      <c r="N2425">
        <v>50.777035594824902</v>
      </c>
      <c r="O2425">
        <v>50.430001329181401</v>
      </c>
      <c r="P2425">
        <v>-0.18880534829491</v>
      </c>
      <c r="Q2425">
        <v>8.6420740923826594E-2</v>
      </c>
      <c r="R2425">
        <v>0.99825240964657902</v>
      </c>
      <c r="S2425" t="s">
        <v>8008</v>
      </c>
      <c r="T2425" t="s">
        <v>11164</v>
      </c>
      <c r="U2425" t="s">
        <v>11164</v>
      </c>
      <c r="V2425" t="s">
        <v>11164</v>
      </c>
      <c r="W2425" t="s">
        <v>13553</v>
      </c>
      <c r="X2425">
        <v>9</v>
      </c>
      <c r="Y2425" t="s">
        <v>19060</v>
      </c>
      <c r="Z2425" t="s">
        <v>24575</v>
      </c>
      <c r="AA2425">
        <v>0.50186419404499294</v>
      </c>
      <c r="AB2425" t="str">
        <f>HYPERLINK("Melting_Curves/meltCurve_P51692_STAT5B.pdf", "Melting_Curves/meltCurve_P51692_STAT5B.pdf")</f>
        <v>Melting_Curves/meltCurve_P51692_STAT5B.pdf</v>
      </c>
    </row>
    <row r="2426" spans="1:28" x14ac:dyDescent="0.25">
      <c r="A2426" t="s">
        <v>2430</v>
      </c>
      <c r="B2426">
        <v>0.99796759195183404</v>
      </c>
      <c r="C2426">
        <v>1.0125451991272301</v>
      </c>
      <c r="D2426">
        <v>1.0531515445458799</v>
      </c>
      <c r="E2426">
        <v>0.96008642466971195</v>
      </c>
      <c r="F2426">
        <v>0.92043299490479003</v>
      </c>
      <c r="G2426">
        <v>0.87593490818818698</v>
      </c>
      <c r="H2426">
        <v>0.58057144553191598</v>
      </c>
      <c r="I2426">
        <v>0.42199820669806298</v>
      </c>
      <c r="J2426">
        <v>0.30968650332571102</v>
      </c>
      <c r="K2426">
        <v>0.204460241205457</v>
      </c>
      <c r="L2426">
        <v>983.79793347166503</v>
      </c>
      <c r="M2426">
        <v>16.893468399339199</v>
      </c>
      <c r="N2426">
        <v>59.354110832144102</v>
      </c>
      <c r="O2426">
        <v>57.437751832314703</v>
      </c>
      <c r="P2426">
        <v>-6.3508046151142902E-2</v>
      </c>
      <c r="Q2426">
        <v>0.13634597316441299</v>
      </c>
      <c r="R2426">
        <v>0.98992210829063199</v>
      </c>
      <c r="S2426" t="s">
        <v>8009</v>
      </c>
      <c r="T2426" t="s">
        <v>11164</v>
      </c>
      <c r="U2426" t="s">
        <v>11164</v>
      </c>
      <c r="V2426" t="s">
        <v>11164</v>
      </c>
      <c r="W2426" t="s">
        <v>13554</v>
      </c>
      <c r="X2426">
        <v>4</v>
      </c>
      <c r="Y2426" t="s">
        <v>19061</v>
      </c>
      <c r="Z2426" t="s">
        <v>24576</v>
      </c>
      <c r="AA2426">
        <v>0.75191857430724129</v>
      </c>
      <c r="AB2426" t="str">
        <f>HYPERLINK("Melting_Curves/meltCurve_P51790_4_CLCN3.pdf", "Melting_Curves/meltCurve_P51790_4_CLCN3.pdf")</f>
        <v>Melting_Curves/meltCurve_P51790_4_CLCN3.pdf</v>
      </c>
    </row>
    <row r="2427" spans="1:28" x14ac:dyDescent="0.25">
      <c r="A2427" t="s">
        <v>2431</v>
      </c>
      <c r="B2427">
        <v>0.99796759195183404</v>
      </c>
      <c r="C2427">
        <v>0.95183432045244398</v>
      </c>
      <c r="D2427">
        <v>0.96743692861990604</v>
      </c>
      <c r="E2427">
        <v>0.77959140473458299</v>
      </c>
      <c r="F2427">
        <v>0.89962511137366996</v>
      </c>
      <c r="G2427">
        <v>0.96284522840743203</v>
      </c>
      <c r="H2427">
        <v>0.32208012464104901</v>
      </c>
      <c r="I2427">
        <v>0.226339945558241</v>
      </c>
      <c r="J2427">
        <v>4.4044437232679298E-2</v>
      </c>
      <c r="K2427">
        <v>0.128770683023961</v>
      </c>
      <c r="L2427">
        <v>3407.7584072904801</v>
      </c>
      <c r="M2427">
        <v>60.566428859402798</v>
      </c>
      <c r="N2427">
        <v>56.541200377069103</v>
      </c>
      <c r="O2427">
        <v>56.203570033529502</v>
      </c>
      <c r="P2427">
        <v>-0.23488556862555399</v>
      </c>
      <c r="Q2427">
        <v>0.128137390714234</v>
      </c>
      <c r="R2427">
        <v>0.94506559363784104</v>
      </c>
      <c r="S2427" t="s">
        <v>8010</v>
      </c>
      <c r="T2427" t="s">
        <v>11164</v>
      </c>
      <c r="U2427" t="s">
        <v>11164</v>
      </c>
      <c r="V2427" t="s">
        <v>11164</v>
      </c>
      <c r="W2427" t="s">
        <v>13555</v>
      </c>
      <c r="X2427">
        <v>2</v>
      </c>
      <c r="Y2427" t="s">
        <v>19062</v>
      </c>
      <c r="Z2427" t="s">
        <v>24577</v>
      </c>
      <c r="AA2427">
        <v>0.68948250112852716</v>
      </c>
      <c r="AB2427" t="str">
        <f>HYPERLINK("Melting_Curves/meltCurve_P51795_CLCN5.pdf", "Melting_Curves/meltCurve_P51795_CLCN5.pdf")</f>
        <v>Melting_Curves/meltCurve_P51795_CLCN5.pdf</v>
      </c>
    </row>
    <row r="2428" spans="1:28" x14ac:dyDescent="0.25">
      <c r="A2428" t="s">
        <v>2432</v>
      </c>
      <c r="B2428">
        <v>0.99796759195183404</v>
      </c>
      <c r="C2428">
        <v>0.90836201480065304</v>
      </c>
      <c r="D2428">
        <v>1.16464335052311</v>
      </c>
      <c r="E2428">
        <v>0.85460133634138102</v>
      </c>
      <c r="F2428">
        <v>0.82285341497181197</v>
      </c>
      <c r="G2428">
        <v>0.86752973936576805</v>
      </c>
      <c r="H2428">
        <v>0.37210306903567802</v>
      </c>
      <c r="I2428">
        <v>0.18042457091962999</v>
      </c>
      <c r="J2428">
        <v>0.184581471180532</v>
      </c>
      <c r="K2428">
        <v>0.17742331952767401</v>
      </c>
      <c r="L2428">
        <v>2115.34325597526</v>
      </c>
      <c r="M2428">
        <v>37.907005899123</v>
      </c>
      <c r="N2428">
        <v>56.406766482182299</v>
      </c>
      <c r="O2428">
        <v>55.648867857952503</v>
      </c>
      <c r="P2428">
        <v>-0.14191599411497599</v>
      </c>
      <c r="Q2428">
        <v>0.166650704764081</v>
      </c>
      <c r="R2428">
        <v>0.93476868949988401</v>
      </c>
      <c r="S2428" t="s">
        <v>8011</v>
      </c>
      <c r="T2428" t="s">
        <v>11164</v>
      </c>
      <c r="U2428" t="s">
        <v>11164</v>
      </c>
      <c r="V2428" t="s">
        <v>11164</v>
      </c>
      <c r="W2428" t="s">
        <v>13556</v>
      </c>
      <c r="X2428">
        <v>3</v>
      </c>
      <c r="Y2428" t="s">
        <v>19063</v>
      </c>
      <c r="Z2428" t="s">
        <v>24578</v>
      </c>
      <c r="AA2428">
        <v>0.69245199800802903</v>
      </c>
      <c r="AB2428" t="str">
        <f>HYPERLINK("Melting_Curves/meltCurve_P51798_2_CLCN7.pdf", "Melting_Curves/meltCurve_P51798_2_CLCN7.pdf")</f>
        <v>Melting_Curves/meltCurve_P51798_2_CLCN7.pdf</v>
      </c>
    </row>
    <row r="2429" spans="1:28" x14ac:dyDescent="0.25">
      <c r="A2429" t="s">
        <v>2433</v>
      </c>
      <c r="B2429">
        <v>0.99796759195183404</v>
      </c>
      <c r="C2429">
        <v>1.01783138793148</v>
      </c>
      <c r="D2429">
        <v>0.72257925214705498</v>
      </c>
      <c r="E2429">
        <v>0.709156593762438</v>
      </c>
      <c r="F2429">
        <v>0.51484045749003005</v>
      </c>
      <c r="G2429">
        <v>0.29322809424158203</v>
      </c>
      <c r="H2429">
        <v>0.16231628293669301</v>
      </c>
      <c r="I2429">
        <v>0.127545479234216</v>
      </c>
      <c r="J2429">
        <v>9.6521776652726696E-2</v>
      </c>
      <c r="K2429">
        <v>9.6597649829885099E-2</v>
      </c>
      <c r="L2429">
        <v>546.05808011419197</v>
      </c>
      <c r="M2429">
        <v>11.031292990651201</v>
      </c>
      <c r="N2429">
        <v>49.705698586142503</v>
      </c>
      <c r="O2429">
        <v>47.957569825443798</v>
      </c>
      <c r="P2429">
        <v>-5.6246107391240197E-2</v>
      </c>
      <c r="Q2429">
        <v>2.2226349118320901E-2</v>
      </c>
      <c r="R2429">
        <v>0.97780021722803701</v>
      </c>
      <c r="S2429" t="s">
        <v>8012</v>
      </c>
      <c r="T2429" t="s">
        <v>11164</v>
      </c>
      <c r="U2429" t="s">
        <v>11164</v>
      </c>
      <c r="V2429" t="s">
        <v>11164</v>
      </c>
      <c r="W2429" t="s">
        <v>13557</v>
      </c>
      <c r="X2429">
        <v>3</v>
      </c>
      <c r="Y2429" t="s">
        <v>19064</v>
      </c>
      <c r="Z2429" t="s">
        <v>24579</v>
      </c>
      <c r="AA2429">
        <v>0.46089248421168399</v>
      </c>
      <c r="AB2429" t="str">
        <f>HYPERLINK("Melting_Curves/meltCurve_P51809_VAMP7.pdf", "Melting_Curves/meltCurve_P51809_VAMP7.pdf")</f>
        <v>Melting_Curves/meltCurve_P51809_VAMP7.pdf</v>
      </c>
    </row>
    <row r="2430" spans="1:28" x14ac:dyDescent="0.25">
      <c r="A2430" t="s">
        <v>2434</v>
      </c>
      <c r="B2430">
        <v>0.99796759195183404</v>
      </c>
      <c r="C2430">
        <v>1.0054060322752301</v>
      </c>
      <c r="D2430">
        <v>0.98760134348660999</v>
      </c>
      <c r="E2430">
        <v>0.93909467802339996</v>
      </c>
      <c r="F2430">
        <v>0.80063071163606603</v>
      </c>
      <c r="G2430">
        <v>0.33921268873921001</v>
      </c>
      <c r="H2430">
        <v>0.191243825621286</v>
      </c>
      <c r="I2430">
        <v>0.15103770127000099</v>
      </c>
      <c r="J2430">
        <v>0.131575606262398</v>
      </c>
      <c r="K2430">
        <v>0.106989985280132</v>
      </c>
      <c r="L2430">
        <v>1616.6843719521401</v>
      </c>
      <c r="M2430">
        <v>31.0951015754199</v>
      </c>
      <c r="N2430">
        <v>52.493977778276701</v>
      </c>
      <c r="O2430">
        <v>51.7779962699015</v>
      </c>
      <c r="P2430">
        <v>-0.13081559684378</v>
      </c>
      <c r="Q2430">
        <v>0.12869476578057201</v>
      </c>
      <c r="R2430">
        <v>0.997924307525478</v>
      </c>
      <c r="S2430" t="s">
        <v>8013</v>
      </c>
      <c r="T2430" t="s">
        <v>11164</v>
      </c>
      <c r="U2430" t="s">
        <v>11164</v>
      </c>
      <c r="V2430" t="s">
        <v>11164</v>
      </c>
      <c r="W2430" t="s">
        <v>13558</v>
      </c>
      <c r="X2430">
        <v>18</v>
      </c>
      <c r="Y2430" t="s">
        <v>19065</v>
      </c>
      <c r="Z2430" t="s">
        <v>24580</v>
      </c>
      <c r="AA2430">
        <v>0.56923416491360634</v>
      </c>
      <c r="AB2430" t="str">
        <f>HYPERLINK("Melting_Curves/meltCurve_P51812_RPS6KA3.pdf", "Melting_Curves/meltCurve_P51812_RPS6KA3.pdf")</f>
        <v>Melting_Curves/meltCurve_P51812_RPS6KA3.pdf</v>
      </c>
    </row>
    <row r="2431" spans="1:28" x14ac:dyDescent="0.25">
      <c r="A2431" t="s">
        <v>2435</v>
      </c>
      <c r="B2431">
        <v>0.99796759195183404</v>
      </c>
      <c r="C2431">
        <v>0.98136258320097902</v>
      </c>
      <c r="D2431">
        <v>1.0117169609491099</v>
      </c>
      <c r="E2431">
        <v>0.97567111342299195</v>
      </c>
      <c r="F2431">
        <v>0.812631254751633</v>
      </c>
      <c r="G2431">
        <v>0.52755634945117102</v>
      </c>
      <c r="H2431">
        <v>0.45413068074635798</v>
      </c>
      <c r="I2431">
        <v>0.33967832567670903</v>
      </c>
      <c r="J2431">
        <v>0.37214241274616799</v>
      </c>
      <c r="K2431">
        <v>0.33138413718056198</v>
      </c>
      <c r="L2431">
        <v>1266.0670159501001</v>
      </c>
      <c r="M2431">
        <v>24.339175245674099</v>
      </c>
      <c r="N2431">
        <v>54.6975302662647</v>
      </c>
      <c r="O2431">
        <v>51.670329192672803</v>
      </c>
      <c r="P2431">
        <v>-7.6750521136129304E-2</v>
      </c>
      <c r="Q2431">
        <v>0.348266267805524</v>
      </c>
      <c r="R2431">
        <v>0.99426857552995296</v>
      </c>
      <c r="S2431" t="s">
        <v>8014</v>
      </c>
      <c r="T2431" t="s">
        <v>11164</v>
      </c>
      <c r="U2431" t="s">
        <v>11164</v>
      </c>
      <c r="V2431" t="s">
        <v>11164</v>
      </c>
      <c r="W2431" t="s">
        <v>13559</v>
      </c>
      <c r="X2431">
        <v>27</v>
      </c>
      <c r="Y2431" t="s">
        <v>19066</v>
      </c>
      <c r="Z2431" t="s">
        <v>24581</v>
      </c>
      <c r="AA2431">
        <v>0.6805735733520405</v>
      </c>
      <c r="AB2431" t="str">
        <f>HYPERLINK("Melting_Curves/meltCurve_P51858_HDGF.pdf", "Melting_Curves/meltCurve_P51858_HDGF.pdf")</f>
        <v>Melting_Curves/meltCurve_P51858_HDGF.pdf</v>
      </c>
    </row>
    <row r="2432" spans="1:28" x14ac:dyDescent="0.25">
      <c r="A2432" t="s">
        <v>2436</v>
      </c>
      <c r="B2432">
        <v>0.99796759195183404</v>
      </c>
      <c r="C2432">
        <v>1.1547829315442999</v>
      </c>
      <c r="D2432">
        <v>1.0879619562361</v>
      </c>
      <c r="E2432">
        <v>1.0703763499434999</v>
      </c>
      <c r="F2432">
        <v>0.94940282090303996</v>
      </c>
      <c r="G2432">
        <v>0.94194030103339099</v>
      </c>
      <c r="H2432">
        <v>0.878108528345384</v>
      </c>
      <c r="I2432">
        <v>0.41818537331335898</v>
      </c>
      <c r="J2432">
        <v>0.197107379922623</v>
      </c>
      <c r="K2432">
        <v>0.155063122038676</v>
      </c>
      <c r="L2432">
        <v>2373.8646399173499</v>
      </c>
      <c r="M2432">
        <v>39.640165410487498</v>
      </c>
      <c r="N2432">
        <v>60.385181946485801</v>
      </c>
      <c r="O2432">
        <v>59.733524857305802</v>
      </c>
      <c r="P2432">
        <v>-0.14270044939224999</v>
      </c>
      <c r="Q2432">
        <v>0.13986391510211901</v>
      </c>
      <c r="R2432">
        <v>0.96780215363910405</v>
      </c>
      <c r="S2432" t="s">
        <v>8015</v>
      </c>
      <c r="T2432" t="s">
        <v>11164</v>
      </c>
      <c r="U2432" t="s">
        <v>11164</v>
      </c>
      <c r="V2432" t="s">
        <v>11164</v>
      </c>
      <c r="W2432" t="s">
        <v>13560</v>
      </c>
      <c r="X2432">
        <v>5</v>
      </c>
      <c r="Y2432" t="s">
        <v>19067</v>
      </c>
      <c r="Z2432" t="s">
        <v>24582</v>
      </c>
      <c r="AA2432">
        <v>0.79879191058832666</v>
      </c>
      <c r="AB2432" t="str">
        <f>HYPERLINK("Melting_Curves/meltCurve_P51946_CCNH.pdf", "Melting_Curves/meltCurve_P51946_CCNH.pdf")</f>
        <v>Melting_Curves/meltCurve_P51946_CCNH.pdf</v>
      </c>
    </row>
    <row r="2433" spans="1:28" x14ac:dyDescent="0.25">
      <c r="A2433" t="s">
        <v>2437</v>
      </c>
      <c r="B2433">
        <v>0.99796759195183404</v>
      </c>
      <c r="C2433">
        <v>0.99285576232879202</v>
      </c>
      <c r="D2433">
        <v>0.97713904924549699</v>
      </c>
      <c r="E2433">
        <v>0.90318658254464801</v>
      </c>
      <c r="F2433">
        <v>0.87739815792848497</v>
      </c>
      <c r="G2433">
        <v>0.73837456532171597</v>
      </c>
      <c r="H2433">
        <v>0.65276329433715696</v>
      </c>
      <c r="I2433">
        <v>0.38379968559667599</v>
      </c>
      <c r="J2433">
        <v>0.29234142817622899</v>
      </c>
      <c r="K2433">
        <v>0.21811833653767501</v>
      </c>
      <c r="L2433">
        <v>651.60707894177699</v>
      </c>
      <c r="M2433">
        <v>11.0023138110171</v>
      </c>
      <c r="N2433">
        <v>59.2245495358342</v>
      </c>
      <c r="O2433">
        <v>57.368910822663103</v>
      </c>
      <c r="P2433">
        <v>-4.7961616451580001E-2</v>
      </c>
      <c r="Q2433">
        <v>0</v>
      </c>
      <c r="R2433">
        <v>0.98978684169143305</v>
      </c>
      <c r="S2433" t="s">
        <v>8016</v>
      </c>
      <c r="T2433" t="s">
        <v>11164</v>
      </c>
      <c r="U2433" t="s">
        <v>11164</v>
      </c>
      <c r="V2433" t="s">
        <v>11164</v>
      </c>
      <c r="W2433" t="s">
        <v>13561</v>
      </c>
      <c r="X2433">
        <v>5</v>
      </c>
      <c r="Y2433" t="s">
        <v>19068</v>
      </c>
      <c r="Z2433" t="s">
        <v>24583</v>
      </c>
      <c r="AA2433">
        <v>0.72671465926508494</v>
      </c>
      <c r="AB2433" t="str">
        <f>HYPERLINK("Melting_Curves/meltCurve_P51948_MNAT1.pdf", "Melting_Curves/meltCurve_P51948_MNAT1.pdf")</f>
        <v>Melting_Curves/meltCurve_P51948_MNAT1.pdf</v>
      </c>
    </row>
    <row r="2434" spans="1:28" x14ac:dyDescent="0.25">
      <c r="A2434" t="s">
        <v>2438</v>
      </c>
      <c r="B2434">
        <v>0.99796759195183404</v>
      </c>
      <c r="C2434">
        <v>1.0216797078800599</v>
      </c>
      <c r="D2434">
        <v>1.1021829019256799</v>
      </c>
      <c r="E2434">
        <v>1.1025369417550901</v>
      </c>
      <c r="F2434">
        <v>0.80866309756371901</v>
      </c>
      <c r="G2434">
        <v>0.67581163112077403</v>
      </c>
      <c r="H2434">
        <v>0.59446700206344905</v>
      </c>
      <c r="I2434">
        <v>0.46107209117277498</v>
      </c>
      <c r="J2434">
        <v>0.41299990248802598</v>
      </c>
      <c r="K2434">
        <v>0.30894448657748202</v>
      </c>
      <c r="L2434">
        <v>859.75579325801095</v>
      </c>
      <c r="M2434">
        <v>15.621087331202199</v>
      </c>
      <c r="N2434">
        <v>58.865166788434799</v>
      </c>
      <c r="O2434">
        <v>54.159858195741698</v>
      </c>
      <c r="P2434">
        <v>-4.9115599941226502E-2</v>
      </c>
      <c r="Q2434">
        <v>0.318904131175068</v>
      </c>
      <c r="R2434">
        <v>0.94515849489020098</v>
      </c>
      <c r="S2434" t="s">
        <v>8017</v>
      </c>
      <c r="T2434" t="s">
        <v>11164</v>
      </c>
      <c r="U2434" t="s">
        <v>11164</v>
      </c>
      <c r="V2434" t="s">
        <v>11164</v>
      </c>
      <c r="W2434" t="s">
        <v>13562</v>
      </c>
      <c r="X2434">
        <v>6</v>
      </c>
      <c r="Y2434" t="s">
        <v>19069</v>
      </c>
      <c r="Z2434" t="s">
        <v>24584</v>
      </c>
      <c r="AA2434">
        <v>0.73780584444866903</v>
      </c>
      <c r="AB2434" t="str">
        <f>HYPERLINK("Melting_Curves/meltCurve_P51970_NDUFA8.pdf", "Melting_Curves/meltCurve_P51970_NDUFA8.pdf")</f>
        <v>Melting_Curves/meltCurve_P51970_NDUFA8.pdf</v>
      </c>
    </row>
    <row r="2435" spans="1:28" x14ac:dyDescent="0.25">
      <c r="A2435" t="s">
        <v>2439</v>
      </c>
      <c r="B2435">
        <v>0.99796759195183404</v>
      </c>
      <c r="C2435">
        <v>0.96168149040933104</v>
      </c>
      <c r="D2435">
        <v>1.10861270251907</v>
      </c>
      <c r="E2435">
        <v>1.03030329744634</v>
      </c>
      <c r="F2435">
        <v>1.0598767804746601</v>
      </c>
      <c r="G2435">
        <v>0.67610844041990703</v>
      </c>
      <c r="H2435">
        <v>0.40516851529378201</v>
      </c>
      <c r="I2435">
        <v>0.29109444041388699</v>
      </c>
      <c r="J2435">
        <v>0.124500681912667</v>
      </c>
      <c r="K2435">
        <v>6.2690196031959994E-2</v>
      </c>
      <c r="L2435">
        <v>1269.0241529698301</v>
      </c>
      <c r="M2435">
        <v>22.662221561132501</v>
      </c>
      <c r="N2435">
        <v>56.463890549522198</v>
      </c>
      <c r="O2435">
        <v>55.566782126554401</v>
      </c>
      <c r="P2435">
        <v>-9.3255631899015701E-2</v>
      </c>
      <c r="Q2435">
        <v>8.5383121051860703E-2</v>
      </c>
      <c r="R2435">
        <v>0.97211332146803997</v>
      </c>
      <c r="S2435" t="s">
        <v>8018</v>
      </c>
      <c r="T2435" t="s">
        <v>11164</v>
      </c>
      <c r="U2435" t="s">
        <v>11164</v>
      </c>
      <c r="V2435" t="s">
        <v>11164</v>
      </c>
      <c r="W2435" t="s">
        <v>13563</v>
      </c>
      <c r="X2435">
        <v>2</v>
      </c>
      <c r="Y2435" t="s">
        <v>19070</v>
      </c>
      <c r="Z2435" t="s">
        <v>24585</v>
      </c>
      <c r="AA2435">
        <v>0.67290158753729801</v>
      </c>
      <c r="AB2435" t="str">
        <f>HYPERLINK("Melting_Curves/meltCurve_P51991_HNRNPA3.pdf", "Melting_Curves/meltCurve_P51991_HNRNPA3.pdf")</f>
        <v>Melting_Curves/meltCurve_P51991_HNRNPA3.pdf</v>
      </c>
    </row>
    <row r="2436" spans="1:28" x14ac:dyDescent="0.25">
      <c r="A2436" t="s">
        <v>2440</v>
      </c>
      <c r="B2436">
        <v>0.99796759195183404</v>
      </c>
      <c r="C2436">
        <v>0.91715674958781401</v>
      </c>
      <c r="D2436">
        <v>0.88766342709613899</v>
      </c>
      <c r="E2436">
        <v>0.78392718803952799</v>
      </c>
      <c r="F2436">
        <v>0.39786173754831899</v>
      </c>
      <c r="G2436">
        <v>0.201355665558235</v>
      </c>
      <c r="H2436">
        <v>0.13381569620232101</v>
      </c>
      <c r="I2436">
        <v>0.10252802533097299</v>
      </c>
      <c r="J2436">
        <v>8.4962201165464796E-2</v>
      </c>
      <c r="K2436">
        <v>7.4964661284093001E-2</v>
      </c>
      <c r="L2436">
        <v>928.92060213212801</v>
      </c>
      <c r="M2436">
        <v>19.018609558268501</v>
      </c>
      <c r="N2436">
        <v>49.257565580038403</v>
      </c>
      <c r="O2436">
        <v>48.312353283569699</v>
      </c>
      <c r="P2436">
        <v>-9.1135630617402694E-2</v>
      </c>
      <c r="Q2436">
        <v>7.4001692159396198E-2</v>
      </c>
      <c r="R2436">
        <v>0.99255771894295797</v>
      </c>
      <c r="S2436" t="s">
        <v>8019</v>
      </c>
      <c r="T2436" t="s">
        <v>11164</v>
      </c>
      <c r="U2436" t="s">
        <v>11164</v>
      </c>
      <c r="V2436" t="s">
        <v>11164</v>
      </c>
      <c r="W2436" t="s">
        <v>13564</v>
      </c>
      <c r="X2436">
        <v>32</v>
      </c>
      <c r="Y2436" t="s">
        <v>17830</v>
      </c>
      <c r="Z2436" t="s">
        <v>24586</v>
      </c>
      <c r="AA2436">
        <v>0.4529101594031868</v>
      </c>
      <c r="AB2436" t="str">
        <f>HYPERLINK("Melting_Curves/meltCurve_P52272_2_HNRNPM.pdf", "Melting_Curves/meltCurve_P52272_2_HNRNPM.pdf")</f>
        <v>Melting_Curves/meltCurve_P52272_2_HNRNPM.pdf</v>
      </c>
    </row>
    <row r="2437" spans="1:28" x14ac:dyDescent="0.25">
      <c r="A2437" t="s">
        <v>2441</v>
      </c>
      <c r="B2437">
        <v>0.99796759195183404</v>
      </c>
      <c r="C2437">
        <v>0.99218740369044101</v>
      </c>
      <c r="D2437">
        <v>1.01205188493829</v>
      </c>
      <c r="E2437">
        <v>0.88382419267327605</v>
      </c>
      <c r="F2437">
        <v>0.356709869495976</v>
      </c>
      <c r="G2437">
        <v>0.15055039187740399</v>
      </c>
      <c r="H2437">
        <v>0.102276418162037</v>
      </c>
      <c r="I2437">
        <v>9.0181128726479307E-2</v>
      </c>
      <c r="J2437">
        <v>7.0408959158770199E-2</v>
      </c>
      <c r="K2437">
        <v>5.22689275952785E-2</v>
      </c>
      <c r="L2437">
        <v>1725.4464134904599</v>
      </c>
      <c r="M2437">
        <v>35.168691486412101</v>
      </c>
      <c r="N2437">
        <v>49.3143406495211</v>
      </c>
      <c r="O2437">
        <v>48.9041833975336</v>
      </c>
      <c r="P2437">
        <v>-0.16497965951156399</v>
      </c>
      <c r="Q2437">
        <v>8.2346580092958102E-2</v>
      </c>
      <c r="R2437">
        <v>0.998452154159302</v>
      </c>
      <c r="S2437" t="s">
        <v>8020</v>
      </c>
      <c r="T2437" t="s">
        <v>11164</v>
      </c>
      <c r="U2437" t="s">
        <v>11164</v>
      </c>
      <c r="V2437" t="s">
        <v>11164</v>
      </c>
      <c r="W2437" t="s">
        <v>13565</v>
      </c>
      <c r="X2437">
        <v>16</v>
      </c>
      <c r="Y2437" t="s">
        <v>19071</v>
      </c>
      <c r="Z2437" t="s">
        <v>24587</v>
      </c>
      <c r="AA2437">
        <v>0.45533526139251129</v>
      </c>
      <c r="AB2437" t="str">
        <f>HYPERLINK("Melting_Curves/meltCurve_P52292_KPNA2.pdf", "Melting_Curves/meltCurve_P52292_KPNA2.pdf")</f>
        <v>Melting_Curves/meltCurve_P52292_KPNA2.pdf</v>
      </c>
    </row>
    <row r="2438" spans="1:28" x14ac:dyDescent="0.25">
      <c r="A2438" t="s">
        <v>2442</v>
      </c>
      <c r="B2438">
        <v>0.99796759195183404</v>
      </c>
      <c r="C2438">
        <v>1.15154914145596</v>
      </c>
      <c r="D2438">
        <v>1.0461234382951099</v>
      </c>
      <c r="E2438">
        <v>0.93902145189545205</v>
      </c>
      <c r="F2438">
        <v>0.72832176174866203</v>
      </c>
      <c r="G2438">
        <v>0.35080407082861498</v>
      </c>
      <c r="H2438">
        <v>0.21733981544595299</v>
      </c>
      <c r="I2438">
        <v>0.16116488588108999</v>
      </c>
      <c r="J2438">
        <v>0.128353254301768</v>
      </c>
      <c r="K2438">
        <v>8.6732704069979294E-2</v>
      </c>
      <c r="L2438">
        <v>1272.81406605438</v>
      </c>
      <c r="M2438">
        <v>24.5812149465857</v>
      </c>
      <c r="N2438">
        <v>52.357538132590697</v>
      </c>
      <c r="O2438">
        <v>51.440904989066702</v>
      </c>
      <c r="P2438">
        <v>-0.10527778361432499</v>
      </c>
      <c r="Q2438">
        <v>0.11875689787468099</v>
      </c>
      <c r="R2438">
        <v>0.98290598560450004</v>
      </c>
      <c r="S2438" t="s">
        <v>8021</v>
      </c>
      <c r="T2438" t="s">
        <v>11164</v>
      </c>
      <c r="U2438" t="s">
        <v>11164</v>
      </c>
      <c r="V2438" t="s">
        <v>11164</v>
      </c>
      <c r="W2438" t="s">
        <v>13566</v>
      </c>
      <c r="X2438">
        <v>8</v>
      </c>
      <c r="Y2438" t="s">
        <v>19072</v>
      </c>
      <c r="Z2438" t="s">
        <v>24588</v>
      </c>
      <c r="AA2438">
        <v>0.56096000250636657</v>
      </c>
      <c r="AB2438" t="str">
        <f>HYPERLINK("Melting_Curves/meltCurve_P52294_KPNA1.pdf", "Melting_Curves/meltCurve_P52294_KPNA1.pdf")</f>
        <v>Melting_Curves/meltCurve_P52294_KPNA1.pdf</v>
      </c>
    </row>
    <row r="2439" spans="1:28" x14ac:dyDescent="0.25">
      <c r="A2439" t="s">
        <v>2443</v>
      </c>
      <c r="B2439">
        <v>0.99796759195183404</v>
      </c>
      <c r="C2439">
        <v>1.0708359291874401</v>
      </c>
      <c r="D2439">
        <v>1.1671855588415101</v>
      </c>
      <c r="E2439">
        <v>1.02319341531188</v>
      </c>
      <c r="F2439">
        <v>0.85345268051437295</v>
      </c>
      <c r="G2439">
        <v>0.752717300466621</v>
      </c>
      <c r="H2439">
        <v>0.56177535659344102</v>
      </c>
      <c r="I2439">
        <v>0.44331562081650699</v>
      </c>
      <c r="J2439">
        <v>0.32866032445486998</v>
      </c>
      <c r="K2439">
        <v>0.227085697552011</v>
      </c>
      <c r="L2439">
        <v>805.50095927783502</v>
      </c>
      <c r="M2439">
        <v>14.0419488777283</v>
      </c>
      <c r="N2439">
        <v>58.929960449338601</v>
      </c>
      <c r="O2439">
        <v>56.238070342020698</v>
      </c>
      <c r="P2439">
        <v>-5.2708224645646597E-2</v>
      </c>
      <c r="Q2439">
        <v>0.15572373514635701</v>
      </c>
      <c r="R2439">
        <v>0.95681041510641696</v>
      </c>
      <c r="S2439" t="s">
        <v>8022</v>
      </c>
      <c r="T2439" t="s">
        <v>11164</v>
      </c>
      <c r="U2439" t="s">
        <v>11164</v>
      </c>
      <c r="V2439" t="s">
        <v>11164</v>
      </c>
      <c r="W2439" t="s">
        <v>13567</v>
      </c>
      <c r="X2439">
        <v>5</v>
      </c>
      <c r="Y2439" t="s">
        <v>19073</v>
      </c>
      <c r="Z2439" t="s">
        <v>24589</v>
      </c>
      <c r="AA2439">
        <v>0.73379946851470734</v>
      </c>
      <c r="AB2439" t="str">
        <f>HYPERLINK("Melting_Curves/meltCurve_P52298_NCBP2.pdf", "Melting_Curves/meltCurve_P52298_NCBP2.pdf")</f>
        <v>Melting_Curves/meltCurve_P52298_NCBP2.pdf</v>
      </c>
    </row>
    <row r="2440" spans="1:28" x14ac:dyDescent="0.25">
      <c r="A2440" t="s">
        <v>2444</v>
      </c>
      <c r="B2440">
        <v>0.99796759195183404</v>
      </c>
      <c r="C2440">
        <v>0.97762531625902005</v>
      </c>
      <c r="D2440">
        <v>0.93858666350253195</v>
      </c>
      <c r="E2440">
        <v>0.89103080124197898</v>
      </c>
      <c r="F2440">
        <v>0.83524536716207798</v>
      </c>
      <c r="G2440">
        <v>0.41559748999601698</v>
      </c>
      <c r="H2440">
        <v>0.28944928339868198</v>
      </c>
      <c r="I2440">
        <v>0.24745378978358801</v>
      </c>
      <c r="J2440">
        <v>0.15772073259052499</v>
      </c>
      <c r="K2440">
        <v>0.121335831465692</v>
      </c>
      <c r="L2440">
        <v>1080.9745062575</v>
      </c>
      <c r="M2440">
        <v>20.5580879286758</v>
      </c>
      <c r="N2440">
        <v>53.4768097690662</v>
      </c>
      <c r="O2440">
        <v>52.091507536140803</v>
      </c>
      <c r="P2440">
        <v>-8.42996320235017E-2</v>
      </c>
      <c r="Q2440">
        <v>0.145607624372702</v>
      </c>
      <c r="R2440">
        <v>0.984826052997542</v>
      </c>
      <c r="S2440" t="s">
        <v>8023</v>
      </c>
      <c r="T2440" t="s">
        <v>11164</v>
      </c>
      <c r="U2440" t="s">
        <v>11164</v>
      </c>
      <c r="V2440" t="s">
        <v>11164</v>
      </c>
      <c r="W2440" t="s">
        <v>13568</v>
      </c>
      <c r="X2440">
        <v>16</v>
      </c>
      <c r="Y2440" t="s">
        <v>19074</v>
      </c>
      <c r="Z2440" t="s">
        <v>24590</v>
      </c>
      <c r="AA2440">
        <v>0.59981177470960256</v>
      </c>
      <c r="AB2440" t="str">
        <f>HYPERLINK("Melting_Curves/meltCurve_P52306_RAP1GDS1.pdf", "Melting_Curves/meltCurve_P52306_RAP1GDS1.pdf")</f>
        <v>Melting_Curves/meltCurve_P52306_RAP1GDS1.pdf</v>
      </c>
    </row>
    <row r="2441" spans="1:28" x14ac:dyDescent="0.25">
      <c r="A2441" t="s">
        <v>2445</v>
      </c>
      <c r="B2441">
        <v>0.99796759195183404</v>
      </c>
      <c r="C2441">
        <v>1.05940539812477</v>
      </c>
      <c r="D2441">
        <v>1.0586246616752299</v>
      </c>
      <c r="E2441">
        <v>1.0860686909919599</v>
      </c>
      <c r="F2441">
        <v>0.72343862563657901</v>
      </c>
      <c r="G2441">
        <v>0.48328275469812199</v>
      </c>
      <c r="H2441">
        <v>0.49654937471856803</v>
      </c>
      <c r="I2441">
        <v>0.89441307095369305</v>
      </c>
      <c r="J2441">
        <v>0.42442114294914801</v>
      </c>
      <c r="K2441">
        <v>0.34736813168952302</v>
      </c>
      <c r="L2441">
        <v>12532.260280968099</v>
      </c>
      <c r="M2441">
        <v>250</v>
      </c>
      <c r="O2441">
        <v>50.125835803280602</v>
      </c>
      <c r="P2441">
        <v>-0.58701406820260105</v>
      </c>
      <c r="Q2441">
        <v>0.52920689225290596</v>
      </c>
      <c r="R2441">
        <v>0.75318121926214199</v>
      </c>
      <c r="S2441" t="s">
        <v>8024</v>
      </c>
      <c r="T2441" t="s">
        <v>11164</v>
      </c>
      <c r="U2441" t="s">
        <v>11164</v>
      </c>
      <c r="V2441" t="s">
        <v>11164</v>
      </c>
      <c r="W2441" t="s">
        <v>13569</v>
      </c>
      <c r="X2441">
        <v>1</v>
      </c>
      <c r="Y2441" t="s">
        <v>19075</v>
      </c>
      <c r="Z2441" t="s">
        <v>24591</v>
      </c>
      <c r="AA2441">
        <v>0.7352837130149007</v>
      </c>
      <c r="AB2441" t="str">
        <f>HYPERLINK("Melting_Curves/meltCurve_P52435_POLR2J.pdf", "Melting_Curves/meltCurve_P52435_POLR2J.pdf")</f>
        <v>Melting_Curves/meltCurve_P52435_POLR2J.pdf</v>
      </c>
    </row>
    <row r="2442" spans="1:28" x14ac:dyDescent="0.25">
      <c r="A2442" t="s">
        <v>2446</v>
      </c>
      <c r="B2442">
        <v>0.99796759195183404</v>
      </c>
      <c r="C2442">
        <v>0.946099628075456</v>
      </c>
      <c r="D2442">
        <v>0.96837537815949004</v>
      </c>
      <c r="E2442">
        <v>0.89686429758280894</v>
      </c>
      <c r="F2442">
        <v>0.78259433840833503</v>
      </c>
      <c r="G2442">
        <v>0.47019612139578398</v>
      </c>
      <c r="H2442">
        <v>0.26418144259000498</v>
      </c>
      <c r="I2442">
        <v>0.15600006942449099</v>
      </c>
      <c r="J2442">
        <v>0.118216578518923</v>
      </c>
      <c r="K2442">
        <v>9.0625832537158002E-2</v>
      </c>
      <c r="L2442">
        <v>922.16091440916898</v>
      </c>
      <c r="M2442">
        <v>17.356371992210601</v>
      </c>
      <c r="N2442">
        <v>53.572000970083302</v>
      </c>
      <c r="O2442">
        <v>52.440696960404502</v>
      </c>
      <c r="P2442">
        <v>-7.7238772036982803E-2</v>
      </c>
      <c r="Q2442">
        <v>6.6573291978318794E-2</v>
      </c>
      <c r="R2442">
        <v>0.99640938735024998</v>
      </c>
      <c r="S2442" t="s">
        <v>8025</v>
      </c>
      <c r="T2442" t="s">
        <v>11164</v>
      </c>
      <c r="U2442" t="s">
        <v>11164</v>
      </c>
      <c r="V2442" t="s">
        <v>11164</v>
      </c>
      <c r="W2442" t="s">
        <v>13570</v>
      </c>
      <c r="X2442">
        <v>14</v>
      </c>
      <c r="Y2442" t="s">
        <v>19076</v>
      </c>
      <c r="Z2442" t="s">
        <v>24592</v>
      </c>
      <c r="AA2442">
        <v>0.58257884192296339</v>
      </c>
      <c r="AB2442" t="str">
        <f>HYPERLINK("Melting_Curves/meltCurve_P52565_ARHGDIA.pdf", "Melting_Curves/meltCurve_P52565_ARHGDIA.pdf")</f>
        <v>Melting_Curves/meltCurve_P52565_ARHGDIA.pdf</v>
      </c>
    </row>
    <row r="2443" spans="1:28" x14ac:dyDescent="0.25">
      <c r="A2443" t="s">
        <v>2447</v>
      </c>
      <c r="B2443">
        <v>0.99796759195183404</v>
      </c>
      <c r="C2443">
        <v>0.94018003674986805</v>
      </c>
      <c r="D2443">
        <v>0.88431334386402405</v>
      </c>
      <c r="E2443">
        <v>0.89963731539437897</v>
      </c>
      <c r="F2443">
        <v>0.77742843620288105</v>
      </c>
      <c r="G2443">
        <v>0.63878312450845698</v>
      </c>
      <c r="H2443">
        <v>0.70987385439894102</v>
      </c>
      <c r="I2443">
        <v>0.57818899620390396</v>
      </c>
      <c r="J2443">
        <v>0.64004384673277204</v>
      </c>
      <c r="K2443">
        <v>0.487831551112207</v>
      </c>
      <c r="L2443">
        <v>356.27683956259801</v>
      </c>
      <c r="M2443">
        <v>6.5587646173717697</v>
      </c>
      <c r="O2443">
        <v>49.935004039811197</v>
      </c>
      <c r="P2443">
        <v>-1.9473203630409101E-2</v>
      </c>
      <c r="Q2443">
        <v>0.40835583787538698</v>
      </c>
      <c r="R2443">
        <v>0.91886673133506003</v>
      </c>
      <c r="S2443" t="s">
        <v>8026</v>
      </c>
      <c r="T2443" t="s">
        <v>11164</v>
      </c>
      <c r="U2443" t="s">
        <v>11164</v>
      </c>
      <c r="V2443" t="s">
        <v>11164</v>
      </c>
      <c r="W2443" t="s">
        <v>13571</v>
      </c>
      <c r="X2443">
        <v>5</v>
      </c>
      <c r="Y2443" t="s">
        <v>19077</v>
      </c>
      <c r="Z2443" t="s">
        <v>24593</v>
      </c>
      <c r="AA2443">
        <v>0.75373448694354306</v>
      </c>
      <c r="AB2443" t="str">
        <f>HYPERLINK("Melting_Curves/meltCurve_P52569_SLC7A2.pdf", "Melting_Curves/meltCurve_P52569_SLC7A2.pdf")</f>
        <v>Melting_Curves/meltCurve_P52569_SLC7A2.pdf</v>
      </c>
    </row>
    <row r="2444" spans="1:28" x14ac:dyDescent="0.25">
      <c r="A2444" t="s">
        <v>2448</v>
      </c>
      <c r="B2444">
        <v>0.99796759195183404</v>
      </c>
      <c r="C2444">
        <v>0.96850747258432202</v>
      </c>
      <c r="D2444">
        <v>0.94646856549775304</v>
      </c>
      <c r="E2444">
        <v>0.88144518904325098</v>
      </c>
      <c r="F2444">
        <v>0.67223066379417395</v>
      </c>
      <c r="G2444">
        <v>0.310671685985552</v>
      </c>
      <c r="H2444">
        <v>0.22418209581735701</v>
      </c>
      <c r="I2444">
        <v>0.17212235293310699</v>
      </c>
      <c r="J2444">
        <v>0.13497065984037299</v>
      </c>
      <c r="K2444">
        <v>8.3635203256268206E-2</v>
      </c>
      <c r="L2444">
        <v>1010.42049508539</v>
      </c>
      <c r="M2444">
        <v>19.739153684096699</v>
      </c>
      <c r="N2444">
        <v>51.833689575116502</v>
      </c>
      <c r="O2444">
        <v>50.671961901849201</v>
      </c>
      <c r="P2444">
        <v>-8.6784512041990905E-2</v>
      </c>
      <c r="Q2444">
        <v>0.10889994190562299</v>
      </c>
      <c r="R2444">
        <v>0.99448017980157999</v>
      </c>
      <c r="S2444" t="s">
        <v>8027</v>
      </c>
      <c r="T2444" t="s">
        <v>11164</v>
      </c>
      <c r="U2444" t="s">
        <v>11164</v>
      </c>
      <c r="V2444" t="s">
        <v>11164</v>
      </c>
      <c r="W2444" t="s">
        <v>13572</v>
      </c>
      <c r="X2444">
        <v>16</v>
      </c>
      <c r="Y2444" t="s">
        <v>19078</v>
      </c>
      <c r="Z2444" t="s">
        <v>24594</v>
      </c>
      <c r="AA2444">
        <v>0.54224832544329105</v>
      </c>
      <c r="AB2444" t="str">
        <f>HYPERLINK("Melting_Curves/meltCurve_P52597_HNRNPF.pdf", "Melting_Curves/meltCurve_P52597_HNRNPF.pdf")</f>
        <v>Melting_Curves/meltCurve_P52597_HNRNPF.pdf</v>
      </c>
    </row>
    <row r="2445" spans="1:28" x14ac:dyDescent="0.25">
      <c r="A2445" t="s">
        <v>2449</v>
      </c>
      <c r="B2445">
        <v>0.99796759195183404</v>
      </c>
      <c r="C2445">
        <v>0.88880936091426199</v>
      </c>
      <c r="D2445">
        <v>0.87137781292060201</v>
      </c>
      <c r="E2445">
        <v>0.84137874977826099</v>
      </c>
      <c r="F2445">
        <v>0.69952789091503798</v>
      </c>
      <c r="G2445">
        <v>0.25556198953905501</v>
      </c>
      <c r="H2445">
        <v>0.278658632822259</v>
      </c>
      <c r="I2445">
        <v>0.23480186580366599</v>
      </c>
      <c r="J2445">
        <v>0.105688754955351</v>
      </c>
      <c r="K2445">
        <v>0.181070371038939</v>
      </c>
      <c r="L2445">
        <v>851.63970223847696</v>
      </c>
      <c r="M2445">
        <v>16.799456375739801</v>
      </c>
      <c r="N2445">
        <v>51.691123948739801</v>
      </c>
      <c r="O2445">
        <v>49.9924888334915</v>
      </c>
      <c r="P2445">
        <v>-7.2392574365573101E-2</v>
      </c>
      <c r="Q2445">
        <v>0.138340858331466</v>
      </c>
      <c r="R2445">
        <v>0.95598773638061496</v>
      </c>
      <c r="S2445" t="s">
        <v>8028</v>
      </c>
      <c r="T2445" t="s">
        <v>11164</v>
      </c>
      <c r="U2445" t="s">
        <v>11164</v>
      </c>
      <c r="V2445" t="s">
        <v>11164</v>
      </c>
      <c r="W2445" t="s">
        <v>13573</v>
      </c>
      <c r="X2445">
        <v>2</v>
      </c>
      <c r="Y2445" t="s">
        <v>19079</v>
      </c>
      <c r="Z2445" t="s">
        <v>24595</v>
      </c>
      <c r="AA2445">
        <v>0.54661950358091516</v>
      </c>
      <c r="AB2445" t="str">
        <f>HYPERLINK("Melting_Curves/meltCurve_P52630_4_STAT2.pdf", "Melting_Curves/meltCurve_P52630_4_STAT2.pdf")</f>
        <v>Melting_Curves/meltCurve_P52630_4_STAT2.pdf</v>
      </c>
    </row>
    <row r="2446" spans="1:28" x14ac:dyDescent="0.25">
      <c r="A2446" t="s">
        <v>2450</v>
      </c>
      <c r="B2446">
        <v>0.99796759195183404</v>
      </c>
      <c r="C2446">
        <v>0.85689214267305103</v>
      </c>
      <c r="D2446">
        <v>0.85820159203825097</v>
      </c>
      <c r="E2446">
        <v>0.91102970481429701</v>
      </c>
      <c r="F2446">
        <v>0.71257453075098098</v>
      </c>
      <c r="G2446">
        <v>0.38062988806224402</v>
      </c>
      <c r="H2446">
        <v>0.82077826437979995</v>
      </c>
      <c r="I2446">
        <v>0.83794795365307795</v>
      </c>
      <c r="J2446">
        <v>1.2609257933809801</v>
      </c>
      <c r="K2446">
        <v>1.3043290404671799</v>
      </c>
      <c r="L2446">
        <v>15000</v>
      </c>
      <c r="M2446">
        <v>235.800640449566</v>
      </c>
      <c r="O2446">
        <v>63.608459530684897</v>
      </c>
      <c r="P2446">
        <v>0.28208054907739699</v>
      </c>
      <c r="Q2446">
        <v>1.30437094285343</v>
      </c>
      <c r="R2446">
        <v>7.8176833970047599E-2</v>
      </c>
      <c r="S2446" t="s">
        <v>8029</v>
      </c>
      <c r="T2446" t="s">
        <v>11164</v>
      </c>
      <c r="U2446" t="s">
        <v>11164</v>
      </c>
      <c r="V2446" t="s">
        <v>11164</v>
      </c>
      <c r="W2446" t="s">
        <v>13574</v>
      </c>
      <c r="X2446">
        <v>1</v>
      </c>
      <c r="Y2446" t="s">
        <v>19080</v>
      </c>
      <c r="Z2446" t="s">
        <v>24596</v>
      </c>
      <c r="AA2446">
        <v>1.03432470692957</v>
      </c>
      <c r="AB2446" t="str">
        <f>HYPERLINK("Melting_Curves/meltCurve_P52657_GTF2A2.pdf", "Melting_Curves/meltCurve_P52657_GTF2A2.pdf")</f>
        <v>Melting_Curves/meltCurve_P52657_GTF2A2.pdf</v>
      </c>
    </row>
    <row r="2447" spans="1:28" x14ac:dyDescent="0.25">
      <c r="A2447" t="s">
        <v>2451</v>
      </c>
      <c r="B2447">
        <v>0.99796759195183404</v>
      </c>
      <c r="C2447">
        <v>1.0534304505515399</v>
      </c>
      <c r="D2447">
        <v>0.95838808805444098</v>
      </c>
      <c r="E2447">
        <v>0.850403477908796</v>
      </c>
      <c r="F2447">
        <v>0.55420463423340205</v>
      </c>
      <c r="G2447">
        <v>0.244486553457544</v>
      </c>
      <c r="H2447">
        <v>0.211170441921052</v>
      </c>
      <c r="I2447">
        <v>0.16893863325678801</v>
      </c>
      <c r="J2447">
        <v>0.139858079158069</v>
      </c>
      <c r="K2447">
        <v>0.100851938284593</v>
      </c>
      <c r="L2447">
        <v>1112.7346460107501</v>
      </c>
      <c r="M2447">
        <v>22.2836554244981</v>
      </c>
      <c r="N2447">
        <v>50.631514069107901</v>
      </c>
      <c r="O2447">
        <v>49.5380864883806</v>
      </c>
      <c r="P2447">
        <v>-9.7614672293702506E-2</v>
      </c>
      <c r="Q2447">
        <v>0.132002122810297</v>
      </c>
      <c r="R2447">
        <v>0.99465641663841398</v>
      </c>
      <c r="S2447" t="s">
        <v>8030</v>
      </c>
      <c r="T2447" t="s">
        <v>11164</v>
      </c>
      <c r="U2447" t="s">
        <v>11164</v>
      </c>
      <c r="V2447" t="s">
        <v>11164</v>
      </c>
      <c r="W2447" t="s">
        <v>13575</v>
      </c>
      <c r="X2447">
        <v>16</v>
      </c>
      <c r="Y2447" t="s">
        <v>19081</v>
      </c>
      <c r="Z2447" t="s">
        <v>24597</v>
      </c>
      <c r="AA2447">
        <v>0.51566625185553183</v>
      </c>
      <c r="AB2447" t="str">
        <f>HYPERLINK("Melting_Curves/meltCurve_P52701_MSH6.pdf", "Melting_Curves/meltCurve_P52701_MSH6.pdf")</f>
        <v>Melting_Curves/meltCurve_P52701_MSH6.pdf</v>
      </c>
    </row>
    <row r="2448" spans="1:28" x14ac:dyDescent="0.25">
      <c r="A2448" t="s">
        <v>2452</v>
      </c>
      <c r="B2448">
        <v>0.99796759195183404</v>
      </c>
      <c r="C2448">
        <v>1.0185958316833701</v>
      </c>
      <c r="D2448">
        <v>0.99135150446055398</v>
      </c>
      <c r="E2448">
        <v>0.89825461108957505</v>
      </c>
      <c r="F2448">
        <v>0.62346705207139597</v>
      </c>
      <c r="G2448">
        <v>0.26929218295500101</v>
      </c>
      <c r="H2448">
        <v>0.22050704220914</v>
      </c>
      <c r="I2448">
        <v>0.189624463682983</v>
      </c>
      <c r="J2448">
        <v>0.146265931473329</v>
      </c>
      <c r="K2448">
        <v>0.106265359836059</v>
      </c>
      <c r="L2448">
        <v>1260.6231254250599</v>
      </c>
      <c r="M2448">
        <v>24.940941425227201</v>
      </c>
      <c r="N2448">
        <v>51.250572269779802</v>
      </c>
      <c r="O2448">
        <v>50.222727837001798</v>
      </c>
      <c r="P2448">
        <v>-0.106098291101466</v>
      </c>
      <c r="Q2448">
        <v>0.145425077172013</v>
      </c>
      <c r="R2448">
        <v>0.99610354126994405</v>
      </c>
      <c r="S2448" t="s">
        <v>8031</v>
      </c>
      <c r="T2448" t="s">
        <v>11164</v>
      </c>
      <c r="U2448" t="s">
        <v>11164</v>
      </c>
      <c r="V2448" t="s">
        <v>11164</v>
      </c>
      <c r="W2448" t="s">
        <v>13576</v>
      </c>
      <c r="X2448">
        <v>27</v>
      </c>
      <c r="Y2448" t="s">
        <v>19082</v>
      </c>
      <c r="Z2448" t="s">
        <v>24598</v>
      </c>
      <c r="AA2448">
        <v>0.53879301980947258</v>
      </c>
      <c r="AB2448" t="str">
        <f>HYPERLINK("Melting_Curves/meltCurve_P52732_KIF11.pdf", "Melting_Curves/meltCurve_P52732_KIF11.pdf")</f>
        <v>Melting_Curves/meltCurve_P52732_KIF11.pdf</v>
      </c>
    </row>
    <row r="2449" spans="1:28" x14ac:dyDescent="0.25">
      <c r="A2449" t="s">
        <v>2453</v>
      </c>
      <c r="B2449">
        <v>0.99796759195183404</v>
      </c>
      <c r="C2449">
        <v>1.02956907579002</v>
      </c>
      <c r="D2449">
        <v>1.0266993248732701</v>
      </c>
      <c r="E2449">
        <v>0.94840184312659703</v>
      </c>
      <c r="F2449">
        <v>0.87018813649730498</v>
      </c>
      <c r="G2449">
        <v>0.20194745835799299</v>
      </c>
      <c r="H2449">
        <v>0.16894178060044901</v>
      </c>
      <c r="I2449">
        <v>0.17979155727530599</v>
      </c>
      <c r="J2449">
        <v>0.106121690116231</v>
      </c>
      <c r="K2449">
        <v>7.8559197285237206E-2</v>
      </c>
      <c r="L2449">
        <v>3077.5305003174199</v>
      </c>
      <c r="M2449">
        <v>59.5850368441006</v>
      </c>
      <c r="N2449">
        <v>51.916493098911502</v>
      </c>
      <c r="O2449">
        <v>51.591303708539698</v>
      </c>
      <c r="P2449">
        <v>-0.25061908589460402</v>
      </c>
      <c r="Q2449">
        <v>0.13201296348544</v>
      </c>
      <c r="R2449">
        <v>0.99360096631274497</v>
      </c>
      <c r="S2449" t="s">
        <v>8032</v>
      </c>
      <c r="T2449" t="s">
        <v>11164</v>
      </c>
      <c r="U2449" t="s">
        <v>11164</v>
      </c>
      <c r="V2449" t="s">
        <v>11164</v>
      </c>
      <c r="W2449" t="s">
        <v>13577</v>
      </c>
      <c r="X2449">
        <v>6</v>
      </c>
      <c r="Y2449" t="s">
        <v>19083</v>
      </c>
      <c r="Z2449" t="s">
        <v>24599</v>
      </c>
      <c r="AA2449">
        <v>0.55725227154118129</v>
      </c>
      <c r="AB2449" t="str">
        <f>HYPERLINK("Melting_Curves/meltCurve_P52735_3_VAV2.pdf", "Melting_Curves/meltCurve_P52735_3_VAV2.pdf")</f>
        <v>Melting_Curves/meltCurve_P52735_3_VAV2.pdf</v>
      </c>
    </row>
    <row r="2450" spans="1:28" x14ac:dyDescent="0.25">
      <c r="A2450" t="s">
        <v>2454</v>
      </c>
      <c r="B2450">
        <v>0.99796759195183404</v>
      </c>
      <c r="C2450">
        <v>0.97299370451614897</v>
      </c>
      <c r="D2450">
        <v>0.97550693598888505</v>
      </c>
      <c r="E2450">
        <v>0.950064302168946</v>
      </c>
      <c r="F2450">
        <v>0.77245208970171897</v>
      </c>
      <c r="G2450">
        <v>0.56131325173383795</v>
      </c>
      <c r="H2450">
        <v>0.62018592823987295</v>
      </c>
      <c r="I2450">
        <v>0.57837113643000804</v>
      </c>
      <c r="J2450">
        <v>0.77353136831131997</v>
      </c>
      <c r="K2450">
        <v>0.77253886383819004</v>
      </c>
      <c r="L2450">
        <v>2243.5707164977098</v>
      </c>
      <c r="M2450">
        <v>45.689776266035103</v>
      </c>
      <c r="O2450">
        <v>49.010646114774502</v>
      </c>
      <c r="P2450">
        <v>-7.8623940710684806E-2</v>
      </c>
      <c r="Q2450">
        <v>0.66264615425759898</v>
      </c>
      <c r="R2450">
        <v>0.82100318324643895</v>
      </c>
      <c r="S2450" t="s">
        <v>8033</v>
      </c>
      <c r="T2450" t="s">
        <v>11164</v>
      </c>
      <c r="U2450" t="s">
        <v>11164</v>
      </c>
      <c r="V2450" t="s">
        <v>11164</v>
      </c>
      <c r="W2450" t="s">
        <v>13578</v>
      </c>
      <c r="X2450">
        <v>6</v>
      </c>
      <c r="Y2450" t="s">
        <v>19084</v>
      </c>
      <c r="Z2450" t="s">
        <v>24600</v>
      </c>
      <c r="AA2450">
        <v>0.79963803761822172</v>
      </c>
      <c r="AB2450" t="str">
        <f>HYPERLINK("Melting_Curves/meltCurve_P52758_HRSP12.pdf", "Melting_Curves/meltCurve_P52758_HRSP12.pdf")</f>
        <v>Melting_Curves/meltCurve_P52758_HRSP12.pdf</v>
      </c>
    </row>
    <row r="2451" spans="1:28" x14ac:dyDescent="0.25">
      <c r="A2451" t="s">
        <v>2455</v>
      </c>
      <c r="B2451">
        <v>0.99796759195183404</v>
      </c>
      <c r="C2451">
        <v>1.0131604173358599</v>
      </c>
      <c r="D2451">
        <v>0.91747310989132602</v>
      </c>
      <c r="E2451">
        <v>0.91314289224388501</v>
      </c>
      <c r="F2451">
        <v>0.85379307152668005</v>
      </c>
      <c r="G2451">
        <v>0.78915478378317605</v>
      </c>
      <c r="H2451">
        <v>0.62534075120766497</v>
      </c>
      <c r="I2451">
        <v>0.44184579080769198</v>
      </c>
      <c r="J2451">
        <v>0.232536747188404</v>
      </c>
      <c r="K2451">
        <v>9.7075062104358706E-2</v>
      </c>
      <c r="L2451">
        <v>790.99020679174305</v>
      </c>
      <c r="M2451">
        <v>13.4093908224014</v>
      </c>
      <c r="N2451">
        <v>58.987780844754298</v>
      </c>
      <c r="O2451">
        <v>57.722212893983702</v>
      </c>
      <c r="P2451">
        <v>-5.8086328434325103E-2</v>
      </c>
      <c r="Q2451">
        <v>0</v>
      </c>
      <c r="R2451">
        <v>0.97701752029298805</v>
      </c>
      <c r="S2451" t="s">
        <v>8034</v>
      </c>
      <c r="T2451" t="s">
        <v>11164</v>
      </c>
      <c r="U2451" t="s">
        <v>11164</v>
      </c>
      <c r="V2451" t="s">
        <v>11164</v>
      </c>
      <c r="W2451" t="s">
        <v>13579</v>
      </c>
      <c r="X2451">
        <v>20</v>
      </c>
      <c r="Y2451" t="s">
        <v>19085</v>
      </c>
      <c r="Z2451" t="s">
        <v>24601</v>
      </c>
      <c r="AA2451">
        <v>0.72890984724016861</v>
      </c>
      <c r="AB2451" t="str">
        <f>HYPERLINK("Melting_Curves/meltCurve_P52788_SMS.pdf", "Melting_Curves/meltCurve_P52788_SMS.pdf")</f>
        <v>Melting_Curves/meltCurve_P52788_SMS.pdf</v>
      </c>
    </row>
    <row r="2452" spans="1:28" x14ac:dyDescent="0.25">
      <c r="A2452" t="s">
        <v>2456</v>
      </c>
      <c r="B2452">
        <v>0.99796759195183404</v>
      </c>
      <c r="C2452">
        <v>0.95532749284781704</v>
      </c>
      <c r="D2452">
        <v>0.95852837228807997</v>
      </c>
      <c r="E2452">
        <v>0.95627728222471298</v>
      </c>
      <c r="F2452">
        <v>0.8123040186596</v>
      </c>
      <c r="G2452">
        <v>0.52682132574535701</v>
      </c>
      <c r="H2452">
        <v>0.58690748282886096</v>
      </c>
      <c r="I2452">
        <v>0.46241360731678399</v>
      </c>
      <c r="J2452">
        <v>0.56388614889474598</v>
      </c>
      <c r="K2452">
        <v>0.41150766930109001</v>
      </c>
      <c r="L2452">
        <v>1723.81944088757</v>
      </c>
      <c r="M2452">
        <v>33.940105616277002</v>
      </c>
      <c r="N2452">
        <v>59.386305098487703</v>
      </c>
      <c r="O2452">
        <v>50.614695300174098</v>
      </c>
      <c r="P2452">
        <v>-8.4436313212836095E-2</v>
      </c>
      <c r="Q2452">
        <v>0.49632437276576502</v>
      </c>
      <c r="R2452">
        <v>0.94944119902137103</v>
      </c>
      <c r="S2452" t="s">
        <v>8035</v>
      </c>
      <c r="T2452" t="s">
        <v>11164</v>
      </c>
      <c r="U2452" t="s">
        <v>11164</v>
      </c>
      <c r="V2452" t="s">
        <v>11164</v>
      </c>
      <c r="W2452" t="s">
        <v>13580</v>
      </c>
      <c r="X2452">
        <v>6</v>
      </c>
      <c r="Y2452" t="s">
        <v>19086</v>
      </c>
      <c r="Z2452" t="s">
        <v>24602</v>
      </c>
      <c r="AA2452">
        <v>0.7303005103633412</v>
      </c>
      <c r="AB2452" t="str">
        <f>HYPERLINK("Melting_Curves/meltCurve_P52799_EFNB2.pdf", "Melting_Curves/meltCurve_P52799_EFNB2.pdf")</f>
        <v>Melting_Curves/meltCurve_P52799_EFNB2.pdf</v>
      </c>
    </row>
    <row r="2453" spans="1:28" x14ac:dyDescent="0.25">
      <c r="A2453" t="s">
        <v>2457</v>
      </c>
      <c r="B2453">
        <v>0.99796759195183404</v>
      </c>
      <c r="C2453">
        <v>0.94547134769612495</v>
      </c>
      <c r="D2453">
        <v>0.92969494456897805</v>
      </c>
      <c r="E2453">
        <v>0.87356870442214596</v>
      </c>
      <c r="F2453">
        <v>0.90493221538440305</v>
      </c>
      <c r="G2453">
        <v>0.64745824982356304</v>
      </c>
      <c r="H2453">
        <v>0.53971573158504005</v>
      </c>
      <c r="I2453">
        <v>0.56689668715604302</v>
      </c>
      <c r="J2453">
        <v>0.41944992899962902</v>
      </c>
      <c r="K2453">
        <v>0.31634771690982699</v>
      </c>
      <c r="L2453">
        <v>417.58338476625403</v>
      </c>
      <c r="M2453">
        <v>6.87699717548566</v>
      </c>
      <c r="N2453">
        <v>60.7217615108</v>
      </c>
      <c r="O2453">
        <v>56.209657017771299</v>
      </c>
      <c r="P2453">
        <v>-3.06468645215804E-2</v>
      </c>
      <c r="Q2453">
        <v>0</v>
      </c>
      <c r="R2453">
        <v>0.955683612628483</v>
      </c>
      <c r="S2453" t="s">
        <v>8036</v>
      </c>
      <c r="T2453" t="s">
        <v>11164</v>
      </c>
      <c r="U2453" t="s">
        <v>11164</v>
      </c>
      <c r="V2453" t="s">
        <v>11164</v>
      </c>
      <c r="W2453" t="s">
        <v>13581</v>
      </c>
      <c r="X2453">
        <v>8</v>
      </c>
      <c r="Y2453" t="s">
        <v>19087</v>
      </c>
      <c r="Z2453" t="s">
        <v>24603</v>
      </c>
      <c r="AA2453">
        <v>0.72426602138854568</v>
      </c>
      <c r="AB2453" t="str">
        <f>HYPERLINK("Melting_Curves/meltCurve_P52815_MRPL12.pdf", "Melting_Curves/meltCurve_P52815_MRPL12.pdf")</f>
        <v>Melting_Curves/meltCurve_P52815_MRPL12.pdf</v>
      </c>
    </row>
    <row r="2454" spans="1:28" x14ac:dyDescent="0.25">
      <c r="A2454" t="s">
        <v>2458</v>
      </c>
      <c r="B2454">
        <v>0.99796759195183404</v>
      </c>
      <c r="C2454">
        <v>0.97205355044599895</v>
      </c>
      <c r="D2454">
        <v>0.93648230424936996</v>
      </c>
      <c r="E2454">
        <v>0.93208911751344403</v>
      </c>
      <c r="F2454">
        <v>0.82395483127583302</v>
      </c>
      <c r="G2454">
        <v>0.65156674932287695</v>
      </c>
      <c r="H2454">
        <v>0.59690010621884604</v>
      </c>
      <c r="I2454">
        <v>0.45314424737116599</v>
      </c>
      <c r="J2454">
        <v>0.416843005230918</v>
      </c>
      <c r="K2454">
        <v>0.175508734820295</v>
      </c>
      <c r="L2454">
        <v>506.98564701979598</v>
      </c>
      <c r="M2454">
        <v>8.5643391076529394</v>
      </c>
      <c r="N2454">
        <v>59.197277436212403</v>
      </c>
      <c r="O2454">
        <v>56.234786215786201</v>
      </c>
      <c r="P2454">
        <v>-3.8107386285733999E-2</v>
      </c>
      <c r="Q2454">
        <v>0</v>
      </c>
      <c r="R2454">
        <v>0.97279057998614604</v>
      </c>
      <c r="S2454" t="s">
        <v>8037</v>
      </c>
      <c r="T2454" t="s">
        <v>11164</v>
      </c>
      <c r="U2454" t="s">
        <v>11164</v>
      </c>
      <c r="V2454" t="s">
        <v>11164</v>
      </c>
      <c r="W2454" t="s">
        <v>13582</v>
      </c>
      <c r="X2454">
        <v>36</v>
      </c>
      <c r="Y2454" t="s">
        <v>19088</v>
      </c>
      <c r="Z2454" t="s">
        <v>24604</v>
      </c>
      <c r="AA2454">
        <v>0.71090726221075728</v>
      </c>
      <c r="AB2454" t="str">
        <f>HYPERLINK("Melting_Curves/meltCurve_P52888_THOP1.pdf", "Melting_Curves/meltCurve_P52888_THOP1.pdf")</f>
        <v>Melting_Curves/meltCurve_P52888_THOP1.pdf</v>
      </c>
    </row>
    <row r="2455" spans="1:28" x14ac:dyDescent="0.25">
      <c r="A2455" t="s">
        <v>2459</v>
      </c>
      <c r="B2455">
        <v>0.99796759195183404</v>
      </c>
      <c r="C2455">
        <v>0.979669980438576</v>
      </c>
      <c r="D2455">
        <v>0.95911442113324497</v>
      </c>
      <c r="E2455">
        <v>0.87226232096974399</v>
      </c>
      <c r="F2455">
        <v>0.82195016549810795</v>
      </c>
      <c r="G2455">
        <v>0.80791264574102795</v>
      </c>
      <c r="H2455">
        <v>0.58359947179051896</v>
      </c>
      <c r="I2455">
        <v>0.36611544819838598</v>
      </c>
      <c r="J2455">
        <v>0.29549992802869501</v>
      </c>
      <c r="K2455">
        <v>0.16556374356549999</v>
      </c>
      <c r="L2455">
        <v>658.92647289782894</v>
      </c>
      <c r="M2455">
        <v>11.2245266478256</v>
      </c>
      <c r="N2455">
        <v>58.704165806721399</v>
      </c>
      <c r="O2455">
        <v>56.933369741660897</v>
      </c>
      <c r="P2455">
        <v>-4.93033790114615E-2</v>
      </c>
      <c r="Q2455">
        <v>0</v>
      </c>
      <c r="R2455">
        <v>0.98040309489551802</v>
      </c>
      <c r="S2455" t="s">
        <v>8038</v>
      </c>
      <c r="T2455" t="s">
        <v>11164</v>
      </c>
      <c r="U2455" t="s">
        <v>11164</v>
      </c>
      <c r="V2455" t="s">
        <v>11164</v>
      </c>
      <c r="W2455" t="s">
        <v>13583</v>
      </c>
      <c r="X2455">
        <v>12</v>
      </c>
      <c r="Y2455" t="s">
        <v>19089</v>
      </c>
      <c r="Z2455" t="s">
        <v>24605</v>
      </c>
      <c r="AA2455">
        <v>0.71455065182313016</v>
      </c>
      <c r="AB2455" t="str">
        <f>HYPERLINK("Melting_Curves/meltCurve_P52907_CAPZA1.pdf", "Melting_Curves/meltCurve_P52907_CAPZA1.pdf")</f>
        <v>Melting_Curves/meltCurve_P52907_CAPZA1.pdf</v>
      </c>
    </row>
    <row r="2456" spans="1:28" x14ac:dyDescent="0.25">
      <c r="A2456" t="s">
        <v>2460</v>
      </c>
      <c r="B2456">
        <v>0.99796759195183404</v>
      </c>
      <c r="C2456">
        <v>1.04460136080949</v>
      </c>
      <c r="D2456">
        <v>1.0636880100352999</v>
      </c>
      <c r="E2456">
        <v>0.99046722563176703</v>
      </c>
      <c r="F2456">
        <v>0.88990036318352606</v>
      </c>
      <c r="G2456">
        <v>0.654598298540914</v>
      </c>
      <c r="H2456">
        <v>0.69747579801852799</v>
      </c>
      <c r="I2456">
        <v>0.62457287344904899</v>
      </c>
      <c r="J2456">
        <v>0.82906132494213902</v>
      </c>
      <c r="K2456">
        <v>0.75318627521561798</v>
      </c>
      <c r="L2456">
        <v>12574.150195968799</v>
      </c>
      <c r="M2456">
        <v>250</v>
      </c>
      <c r="O2456">
        <v>50.2933821083342</v>
      </c>
      <c r="P2456">
        <v>-0.35817471968848003</v>
      </c>
      <c r="Q2456">
        <v>0.711778911563405</v>
      </c>
      <c r="R2456">
        <v>0.86851535737867203</v>
      </c>
      <c r="S2456" t="s">
        <v>8039</v>
      </c>
      <c r="T2456" t="s">
        <v>11164</v>
      </c>
      <c r="U2456" t="s">
        <v>11164</v>
      </c>
      <c r="V2456" t="s">
        <v>11164</v>
      </c>
      <c r="W2456" t="s">
        <v>13584</v>
      </c>
      <c r="X2456">
        <v>4</v>
      </c>
      <c r="Y2456" t="s">
        <v>19090</v>
      </c>
      <c r="Z2456" t="s">
        <v>24606</v>
      </c>
      <c r="AA2456">
        <v>0.83954971111512955</v>
      </c>
      <c r="AB2456" t="str">
        <f>HYPERLINK("Melting_Curves/meltCurve_P52943_CRIP2.pdf", "Melting_Curves/meltCurve_P52943_CRIP2.pdf")</f>
        <v>Melting_Curves/meltCurve_P52943_CRIP2.pdf</v>
      </c>
    </row>
    <row r="2457" spans="1:28" x14ac:dyDescent="0.25">
      <c r="A2457" t="s">
        <v>2461</v>
      </c>
      <c r="B2457">
        <v>0.99796759195183404</v>
      </c>
      <c r="C2457">
        <v>0.98328501184777795</v>
      </c>
      <c r="D2457">
        <v>0.95050209040187195</v>
      </c>
      <c r="E2457">
        <v>0.92491398769823796</v>
      </c>
      <c r="F2457">
        <v>0.81855680234052597</v>
      </c>
      <c r="G2457">
        <v>0.58852299136298702</v>
      </c>
      <c r="H2457">
        <v>0.38752025727756201</v>
      </c>
      <c r="I2457">
        <v>0.14739295927769</v>
      </c>
      <c r="J2457">
        <v>8.4489358348304705E-2</v>
      </c>
      <c r="K2457">
        <v>6.2101724102839602E-2</v>
      </c>
      <c r="L2457">
        <v>853.18162970453204</v>
      </c>
      <c r="M2457">
        <v>15.488644370170199</v>
      </c>
      <c r="N2457">
        <v>55.084332710616103</v>
      </c>
      <c r="O2457">
        <v>54.190600006388699</v>
      </c>
      <c r="P2457">
        <v>-7.14608408744319E-2</v>
      </c>
      <c r="Q2457">
        <v>0</v>
      </c>
      <c r="R2457">
        <v>0.99644418112812505</v>
      </c>
      <c r="S2457" t="s">
        <v>8040</v>
      </c>
      <c r="T2457" t="s">
        <v>11164</v>
      </c>
      <c r="U2457" t="s">
        <v>11164</v>
      </c>
      <c r="V2457" t="s">
        <v>11164</v>
      </c>
      <c r="W2457" t="s">
        <v>13585</v>
      </c>
      <c r="X2457">
        <v>14</v>
      </c>
      <c r="Y2457" t="s">
        <v>19091</v>
      </c>
      <c r="Z2457" t="s">
        <v>24607</v>
      </c>
      <c r="AA2457">
        <v>0.61653540618356639</v>
      </c>
      <c r="AB2457" t="str">
        <f>HYPERLINK("Melting_Curves/meltCurve_P53004_BLVRA.pdf", "Melting_Curves/meltCurve_P53004_BLVRA.pdf")</f>
        <v>Melting_Curves/meltCurve_P53004_BLVRA.pdf</v>
      </c>
    </row>
    <row r="2458" spans="1:28" x14ac:dyDescent="0.25">
      <c r="A2458" t="s">
        <v>2462</v>
      </c>
      <c r="B2458">
        <v>0.99796759195183404</v>
      </c>
      <c r="C2458">
        <v>0.86404298434337701</v>
      </c>
      <c r="D2458">
        <v>0.83303896043911296</v>
      </c>
      <c r="E2458">
        <v>0.87183793289053202</v>
      </c>
      <c r="F2458">
        <v>0.77767415067725498</v>
      </c>
      <c r="G2458">
        <v>0.73241677242112901</v>
      </c>
      <c r="H2458">
        <v>0.66217747740205302</v>
      </c>
      <c r="I2458">
        <v>0.64352962353633103</v>
      </c>
      <c r="J2458">
        <v>0.68993029293900998</v>
      </c>
      <c r="K2458">
        <v>0.78322966475461098</v>
      </c>
      <c r="L2458">
        <v>402.93453284962197</v>
      </c>
      <c r="M2458">
        <v>9.0943468626206201</v>
      </c>
      <c r="O2458">
        <v>42.321378233761003</v>
      </c>
      <c r="P2458">
        <v>-1.71466958994403E-2</v>
      </c>
      <c r="Q2458">
        <v>0.68104776161173097</v>
      </c>
      <c r="R2458">
        <v>0.77310637705843399</v>
      </c>
      <c r="S2458" t="s">
        <v>8041</v>
      </c>
      <c r="T2458" t="s">
        <v>11164</v>
      </c>
      <c r="U2458" t="s">
        <v>11164</v>
      </c>
      <c r="V2458" t="s">
        <v>11164</v>
      </c>
      <c r="W2458" t="s">
        <v>13586</v>
      </c>
      <c r="X2458">
        <v>14</v>
      </c>
      <c r="Y2458" t="s">
        <v>19092</v>
      </c>
      <c r="Z2458" t="s">
        <v>24608</v>
      </c>
      <c r="AA2458">
        <v>0.7780508137722052</v>
      </c>
      <c r="AB2458" t="str">
        <f>HYPERLINK("Melting_Curves/meltCurve_P53007_SLC25A1.pdf", "Melting_Curves/meltCurve_P53007_SLC25A1.pdf")</f>
        <v>Melting_Curves/meltCurve_P53007_SLC25A1.pdf</v>
      </c>
    </row>
    <row r="2459" spans="1:28" x14ac:dyDescent="0.25">
      <c r="A2459" t="s">
        <v>2463</v>
      </c>
      <c r="B2459">
        <v>0.99796759195183404</v>
      </c>
      <c r="C2459">
        <v>0.92279373430834299</v>
      </c>
      <c r="D2459">
        <v>0.92022396383289395</v>
      </c>
      <c r="E2459">
        <v>0.84593168358325299</v>
      </c>
      <c r="F2459">
        <v>0.68551533199325199</v>
      </c>
      <c r="G2459">
        <v>0.55775301320187598</v>
      </c>
      <c r="H2459">
        <v>0.18702547480933501</v>
      </c>
      <c r="I2459">
        <v>0.108878583558109</v>
      </c>
      <c r="J2459">
        <v>7.5867882896501801E-2</v>
      </c>
      <c r="K2459">
        <v>5.0113085417448099E-2</v>
      </c>
      <c r="L2459">
        <v>755.55491153016999</v>
      </c>
      <c r="M2459">
        <v>14.220914909597701</v>
      </c>
      <c r="N2459">
        <v>53.1298546282272</v>
      </c>
      <c r="O2459">
        <v>52.112359328812701</v>
      </c>
      <c r="P2459">
        <v>-6.8230863685311505E-2</v>
      </c>
      <c r="Q2459">
        <v>0</v>
      </c>
      <c r="R2459">
        <v>0.98241847425524698</v>
      </c>
      <c r="S2459" t="s">
        <v>8042</v>
      </c>
      <c r="T2459" t="s">
        <v>11164</v>
      </c>
      <c r="U2459" t="s">
        <v>11164</v>
      </c>
      <c r="V2459" t="s">
        <v>11164</v>
      </c>
      <c r="W2459" t="s">
        <v>13587</v>
      </c>
      <c r="X2459">
        <v>4</v>
      </c>
      <c r="Y2459" t="s">
        <v>19093</v>
      </c>
      <c r="Z2459" t="s">
        <v>24609</v>
      </c>
      <c r="AA2459">
        <v>0.55616741556369342</v>
      </c>
      <c r="AB2459" t="str">
        <f>HYPERLINK("Melting_Curves/meltCurve_P53350_PLK1.pdf", "Melting_Curves/meltCurve_P53350_PLK1.pdf")</f>
        <v>Melting_Curves/meltCurve_P53350_PLK1.pdf</v>
      </c>
    </row>
    <row r="2460" spans="1:28" x14ac:dyDescent="0.25">
      <c r="A2460" t="s">
        <v>2464</v>
      </c>
      <c r="B2460">
        <v>0.99796759195183404</v>
      </c>
      <c r="C2460">
        <v>0.96457802774042201</v>
      </c>
      <c r="D2460">
        <v>0.98038295367255901</v>
      </c>
      <c r="E2460">
        <v>0.93224715771329103</v>
      </c>
      <c r="F2460">
        <v>0.74434063956654595</v>
      </c>
      <c r="G2460">
        <v>0.46029654230869799</v>
      </c>
      <c r="H2460">
        <v>0.27175762544606302</v>
      </c>
      <c r="I2460">
        <v>0.21034717627177599</v>
      </c>
      <c r="J2460">
        <v>0.17194042060131801</v>
      </c>
      <c r="K2460">
        <v>0.15665167953901399</v>
      </c>
      <c r="L2460">
        <v>1029.7739872683701</v>
      </c>
      <c r="M2460">
        <v>19.6865003695323</v>
      </c>
      <c r="N2460">
        <v>53.2789325701442</v>
      </c>
      <c r="O2460">
        <v>51.777870596066798</v>
      </c>
      <c r="P2460">
        <v>-8.0736146620702595E-2</v>
      </c>
      <c r="Q2460">
        <v>0.15064632027716299</v>
      </c>
      <c r="R2460">
        <v>0.99886840403028099</v>
      </c>
      <c r="S2460" t="s">
        <v>8043</v>
      </c>
      <c r="T2460" t="s">
        <v>11164</v>
      </c>
      <c r="U2460" t="s">
        <v>11164</v>
      </c>
      <c r="V2460" t="s">
        <v>11164</v>
      </c>
      <c r="W2460" t="s">
        <v>13588</v>
      </c>
      <c r="X2460">
        <v>14</v>
      </c>
      <c r="Y2460" t="s">
        <v>19094</v>
      </c>
      <c r="Z2460" t="s">
        <v>24610</v>
      </c>
      <c r="AA2460">
        <v>0.59522581882050496</v>
      </c>
      <c r="AB2460" t="str">
        <f>HYPERLINK("Melting_Curves/meltCurve_P53365_ARFIP2.pdf", "Melting_Curves/meltCurve_P53365_ARFIP2.pdf")</f>
        <v>Melting_Curves/meltCurve_P53365_ARFIP2.pdf</v>
      </c>
    </row>
    <row r="2461" spans="1:28" x14ac:dyDescent="0.25">
      <c r="A2461" t="s">
        <v>2465</v>
      </c>
      <c r="B2461">
        <v>0.99796759195183404</v>
      </c>
      <c r="C2461">
        <v>1.0129793062672601</v>
      </c>
      <c r="D2461">
        <v>1.0169939839372499</v>
      </c>
      <c r="E2461">
        <v>0.95741401607454701</v>
      </c>
      <c r="F2461">
        <v>0.84583639845208303</v>
      </c>
      <c r="G2461">
        <v>0.40973976085177599</v>
      </c>
      <c r="H2461">
        <v>0.25471547942171802</v>
      </c>
      <c r="I2461">
        <v>0.233548194888307</v>
      </c>
      <c r="J2461">
        <v>0.20210000808990899</v>
      </c>
      <c r="K2461">
        <v>0.184168967283459</v>
      </c>
      <c r="L2461">
        <v>1757.74440151204</v>
      </c>
      <c r="M2461">
        <v>33.672809339811003</v>
      </c>
      <c r="N2461">
        <v>53.037597062059398</v>
      </c>
      <c r="O2461">
        <v>52.0176315899391</v>
      </c>
      <c r="P2461">
        <v>-0.12848206739642001</v>
      </c>
      <c r="Q2461">
        <v>0.20608882064794401</v>
      </c>
      <c r="R2461">
        <v>0.997962541810266</v>
      </c>
      <c r="S2461" t="s">
        <v>8044</v>
      </c>
      <c r="T2461" t="s">
        <v>11164</v>
      </c>
      <c r="U2461" t="s">
        <v>11164</v>
      </c>
      <c r="V2461" t="s">
        <v>11164</v>
      </c>
      <c r="W2461" t="s">
        <v>13589</v>
      </c>
      <c r="X2461">
        <v>10</v>
      </c>
      <c r="Y2461" t="s">
        <v>19095</v>
      </c>
      <c r="Z2461" t="s">
        <v>24611</v>
      </c>
      <c r="AA2461">
        <v>0.61237106740945546</v>
      </c>
      <c r="AB2461" t="str">
        <f>HYPERLINK("Melting_Curves/meltCurve_P53367_ARFIP1.pdf", "Melting_Curves/meltCurve_P53367_ARFIP1.pdf")</f>
        <v>Melting_Curves/meltCurve_P53367_ARFIP1.pdf</v>
      </c>
    </row>
    <row r="2462" spans="1:28" x14ac:dyDescent="0.25">
      <c r="A2462" t="s">
        <v>2466</v>
      </c>
      <c r="B2462">
        <v>0.99796759195183404</v>
      </c>
      <c r="C2462">
        <v>0.91483660444999204</v>
      </c>
      <c r="D2462">
        <v>1.04372065406318</v>
      </c>
      <c r="E2462">
        <v>0.993951216899014</v>
      </c>
      <c r="F2462">
        <v>0.79639977821241204</v>
      </c>
      <c r="G2462">
        <v>0.26422387928680102</v>
      </c>
      <c r="H2462">
        <v>0.17436839039476601</v>
      </c>
      <c r="I2462">
        <v>0.16364379346934299</v>
      </c>
      <c r="J2462">
        <v>0.101931457865123</v>
      </c>
      <c r="K2462">
        <v>0.105454484187873</v>
      </c>
      <c r="L2462">
        <v>2118.3989503501102</v>
      </c>
      <c r="M2462">
        <v>41.026579168778099</v>
      </c>
      <c r="N2462">
        <v>52.0199772090455</v>
      </c>
      <c r="O2462">
        <v>51.512577211903398</v>
      </c>
      <c r="P2462">
        <v>-0.173028650953962</v>
      </c>
      <c r="Q2462">
        <v>0.13098932913634601</v>
      </c>
      <c r="R2462">
        <v>0.99214888963417602</v>
      </c>
      <c r="S2462" t="s">
        <v>8045</v>
      </c>
      <c r="T2462" t="s">
        <v>11164</v>
      </c>
      <c r="U2462" t="s">
        <v>11164</v>
      </c>
      <c r="V2462" t="s">
        <v>11164</v>
      </c>
      <c r="W2462" t="s">
        <v>13590</v>
      </c>
      <c r="X2462">
        <v>10</v>
      </c>
      <c r="Y2462" t="s">
        <v>19095</v>
      </c>
      <c r="Z2462" t="s">
        <v>24612</v>
      </c>
      <c r="AA2462">
        <v>0.55785823917503408</v>
      </c>
      <c r="AB2462" t="str">
        <f>HYPERLINK("Melting_Curves/meltCurve_P53367_2_ARFIP1.pdf", "Melting_Curves/meltCurve_P53367_2_ARFIP1.pdf")</f>
        <v>Melting_Curves/meltCurve_P53367_2_ARFIP1.pdf</v>
      </c>
    </row>
    <row r="2463" spans="1:28" x14ac:dyDescent="0.25">
      <c r="A2463" t="s">
        <v>2467</v>
      </c>
      <c r="B2463">
        <v>0.99796759195183404</v>
      </c>
      <c r="C2463">
        <v>1.07760844917551</v>
      </c>
      <c r="D2463">
        <v>1.05209103847909</v>
      </c>
      <c r="E2463">
        <v>1.0264688724858699</v>
      </c>
      <c r="F2463">
        <v>0.87218346649287104</v>
      </c>
      <c r="G2463">
        <v>0.64525356133120704</v>
      </c>
      <c r="H2463">
        <v>0.38017121647507801</v>
      </c>
      <c r="I2463">
        <v>0.233566778641427</v>
      </c>
      <c r="J2463">
        <v>0.21229459945721599</v>
      </c>
      <c r="K2463">
        <v>0.122704819705676</v>
      </c>
      <c r="L2463">
        <v>1130.2555611836999</v>
      </c>
      <c r="M2463">
        <v>20.629322792537099</v>
      </c>
      <c r="N2463">
        <v>55.652529989052503</v>
      </c>
      <c r="O2463">
        <v>54.281740843431102</v>
      </c>
      <c r="P2463">
        <v>-8.1997445900667806E-2</v>
      </c>
      <c r="Q2463">
        <v>0.136988452145238</v>
      </c>
      <c r="R2463">
        <v>0.98974700563958495</v>
      </c>
      <c r="S2463" t="s">
        <v>8046</v>
      </c>
      <c r="T2463" t="s">
        <v>11164</v>
      </c>
      <c r="U2463" t="s">
        <v>11164</v>
      </c>
      <c r="V2463" t="s">
        <v>11164</v>
      </c>
      <c r="W2463" t="s">
        <v>13591</v>
      </c>
      <c r="X2463">
        <v>4</v>
      </c>
      <c r="Y2463" t="s">
        <v>19096</v>
      </c>
      <c r="Z2463" t="s">
        <v>24613</v>
      </c>
      <c r="AA2463">
        <v>0.6583153131372359</v>
      </c>
      <c r="AB2463" t="str">
        <f>HYPERLINK("Melting_Curves/meltCurve_P53384_2_NUBP1.pdf", "Melting_Curves/meltCurve_P53384_2_NUBP1.pdf")</f>
        <v>Melting_Curves/meltCurve_P53384_2_NUBP1.pdf</v>
      </c>
    </row>
    <row r="2464" spans="1:28" x14ac:dyDescent="0.25">
      <c r="A2464" t="s">
        <v>2468</v>
      </c>
      <c r="B2464">
        <v>0.99796759195183404</v>
      </c>
      <c r="C2464">
        <v>0.98312382543004695</v>
      </c>
      <c r="D2464">
        <v>0.91013255746718802</v>
      </c>
      <c r="E2464">
        <v>1.0115280912840501</v>
      </c>
      <c r="F2464">
        <v>0.87345839094149302</v>
      </c>
      <c r="G2464">
        <v>4.4267274799747103</v>
      </c>
      <c r="H2464">
        <v>0.66483262931959297</v>
      </c>
      <c r="I2464">
        <v>0.33012154289842999</v>
      </c>
      <c r="J2464">
        <v>0.19797809501417099</v>
      </c>
      <c r="K2464">
        <v>0.14458606955532999</v>
      </c>
      <c r="L2464">
        <v>14365.700128288199</v>
      </c>
      <c r="M2464">
        <v>250</v>
      </c>
      <c r="N2464">
        <v>57.599896294959599</v>
      </c>
      <c r="O2464">
        <v>57.459122881707501</v>
      </c>
      <c r="P2464">
        <v>-0.84382994234556097</v>
      </c>
      <c r="Q2464">
        <v>0.22422834202195499</v>
      </c>
      <c r="R2464">
        <v>0.138117451808876</v>
      </c>
      <c r="S2464" t="s">
        <v>8047</v>
      </c>
      <c r="T2464" t="s">
        <v>11164</v>
      </c>
      <c r="U2464" t="s">
        <v>11164</v>
      </c>
      <c r="V2464" t="s">
        <v>11164</v>
      </c>
      <c r="W2464" t="s">
        <v>13592</v>
      </c>
      <c r="X2464">
        <v>25</v>
      </c>
      <c r="Y2464" t="s">
        <v>19097</v>
      </c>
      <c r="Z2464" t="s">
        <v>24614</v>
      </c>
      <c r="AA2464">
        <v>0.75345526510469185</v>
      </c>
      <c r="AB2464" t="str">
        <f>HYPERLINK("Melting_Curves/meltCurve_P53396_ACLY.pdf", "Melting_Curves/meltCurve_P53396_ACLY.pdf")</f>
        <v>Melting_Curves/meltCurve_P53396_ACLY.pdf</v>
      </c>
    </row>
    <row r="2465" spans="1:28" x14ac:dyDescent="0.25">
      <c r="A2465" t="s">
        <v>2469</v>
      </c>
      <c r="B2465">
        <v>0.99796759195183404</v>
      </c>
      <c r="C2465">
        <v>0.96719582496522105</v>
      </c>
      <c r="D2465">
        <v>0.97835325480306801</v>
      </c>
      <c r="E2465">
        <v>0.85294062658818204</v>
      </c>
      <c r="F2465">
        <v>0.58089114780423901</v>
      </c>
      <c r="G2465">
        <v>0.46217910114480398</v>
      </c>
      <c r="H2465">
        <v>0.292262939835018</v>
      </c>
      <c r="I2465">
        <v>0.205067096775643</v>
      </c>
      <c r="J2465">
        <v>0.14175691603331</v>
      </c>
      <c r="K2465">
        <v>0.10385876787317801</v>
      </c>
      <c r="L2465">
        <v>664.95611576362103</v>
      </c>
      <c r="M2465">
        <v>12.786394197376</v>
      </c>
      <c r="N2465">
        <v>52.613996286458502</v>
      </c>
      <c r="O2465">
        <v>50.782181139348303</v>
      </c>
      <c r="P2465">
        <v>-5.8628346266292299E-2</v>
      </c>
      <c r="Q2465">
        <v>6.8786916538586707E-2</v>
      </c>
      <c r="R2465">
        <v>0.99429345367435595</v>
      </c>
      <c r="S2465" t="s">
        <v>8048</v>
      </c>
      <c r="T2465" t="s">
        <v>11164</v>
      </c>
      <c r="U2465" t="s">
        <v>11164</v>
      </c>
      <c r="V2465" t="s">
        <v>11164</v>
      </c>
      <c r="W2465" t="s">
        <v>13593</v>
      </c>
      <c r="X2465">
        <v>6</v>
      </c>
      <c r="Y2465" t="s">
        <v>19098</v>
      </c>
      <c r="Z2465" t="s">
        <v>24615</v>
      </c>
      <c r="AA2465">
        <v>0.55551553199653303</v>
      </c>
      <c r="AB2465" t="str">
        <f>HYPERLINK("Melting_Curves/meltCurve_P53582_METAP1.pdf", "Melting_Curves/meltCurve_P53582_METAP1.pdf")</f>
        <v>Melting_Curves/meltCurve_P53582_METAP1.pdf</v>
      </c>
    </row>
    <row r="2466" spans="1:28" x14ac:dyDescent="0.25">
      <c r="A2466" t="s">
        <v>2470</v>
      </c>
      <c r="B2466">
        <v>0.99796759195183404</v>
      </c>
      <c r="C2466">
        <v>1.0021561488406401</v>
      </c>
      <c r="D2466">
        <v>0.98696571690656898</v>
      </c>
      <c r="E2466">
        <v>0.97654952101560599</v>
      </c>
      <c r="F2466">
        <v>0.78074235520748203</v>
      </c>
      <c r="G2466">
        <v>0.50471491305929295</v>
      </c>
      <c r="H2466">
        <v>0.16256938951959701</v>
      </c>
      <c r="I2466">
        <v>0.111064715396771</v>
      </c>
      <c r="J2466">
        <v>8.6872083864013502E-2</v>
      </c>
      <c r="K2466">
        <v>7.4337764910459805E-2</v>
      </c>
      <c r="L2466">
        <v>1230.42593212108</v>
      </c>
      <c r="M2466">
        <v>23.1416094199359</v>
      </c>
      <c r="N2466">
        <v>53.466044699880499</v>
      </c>
      <c r="O2466">
        <v>52.777168125025199</v>
      </c>
      <c r="P2466">
        <v>-0.10301740904588599</v>
      </c>
      <c r="Q2466">
        <v>6.0243912597294398E-2</v>
      </c>
      <c r="R2466">
        <v>0.99727421364689095</v>
      </c>
      <c r="S2466" t="s">
        <v>8049</v>
      </c>
      <c r="T2466" t="s">
        <v>11164</v>
      </c>
      <c r="U2466" t="s">
        <v>11164</v>
      </c>
      <c r="V2466" t="s">
        <v>11164</v>
      </c>
      <c r="W2466" t="s">
        <v>13594</v>
      </c>
      <c r="X2466">
        <v>10</v>
      </c>
      <c r="Y2466" t="s">
        <v>19099</v>
      </c>
      <c r="Z2466" t="s">
        <v>24616</v>
      </c>
      <c r="AA2466">
        <v>0.57618330170984611</v>
      </c>
      <c r="AB2466" t="str">
        <f>HYPERLINK("Melting_Curves/meltCurve_P53597_SUCLG1.pdf", "Melting_Curves/meltCurve_P53597_SUCLG1.pdf")</f>
        <v>Melting_Curves/meltCurve_P53597_SUCLG1.pdf</v>
      </c>
    </row>
    <row r="2467" spans="1:28" x14ac:dyDescent="0.25">
      <c r="A2467" t="s">
        <v>2471</v>
      </c>
      <c r="B2467">
        <v>0.99796759195183404</v>
      </c>
      <c r="C2467">
        <v>0.99551515550783498</v>
      </c>
      <c r="D2467">
        <v>1.01592505042432</v>
      </c>
      <c r="E2467">
        <v>0.93450560756266099</v>
      </c>
      <c r="F2467">
        <v>0.83634893259047705</v>
      </c>
      <c r="G2467">
        <v>0.69586611883095495</v>
      </c>
      <c r="H2467">
        <v>0.33675840275138003</v>
      </c>
      <c r="I2467">
        <v>0.25228018777493699</v>
      </c>
      <c r="J2467">
        <v>0.19342427308364499</v>
      </c>
      <c r="K2467">
        <v>0.180805660701401</v>
      </c>
      <c r="L2467">
        <v>1070.3176783581</v>
      </c>
      <c r="M2467">
        <v>19.597756554356302</v>
      </c>
      <c r="N2467">
        <v>55.613800801658897</v>
      </c>
      <c r="O2467">
        <v>54.055188683123497</v>
      </c>
      <c r="P2467">
        <v>-7.7186571526079398E-2</v>
      </c>
      <c r="Q2467">
        <v>0.14843576723889301</v>
      </c>
      <c r="R2467">
        <v>0.99231796501328695</v>
      </c>
      <c r="S2467" t="s">
        <v>8050</v>
      </c>
      <c r="T2467" t="s">
        <v>11164</v>
      </c>
      <c r="U2467" t="s">
        <v>11164</v>
      </c>
      <c r="V2467" t="s">
        <v>11164</v>
      </c>
      <c r="W2467" t="s">
        <v>13595</v>
      </c>
      <c r="X2467">
        <v>8</v>
      </c>
      <c r="Y2467" t="s">
        <v>19100</v>
      </c>
      <c r="Z2467" t="s">
        <v>24617</v>
      </c>
      <c r="AA2467">
        <v>0.65859597717247964</v>
      </c>
      <c r="AB2467" t="str">
        <f>HYPERLINK("Melting_Curves/meltCurve_P53602_MVD.pdf", "Melting_Curves/meltCurve_P53602_MVD.pdf")</f>
        <v>Melting_Curves/meltCurve_P53602_MVD.pdf</v>
      </c>
    </row>
    <row r="2468" spans="1:28" x14ac:dyDescent="0.25">
      <c r="A2468" t="s">
        <v>2472</v>
      </c>
      <c r="B2468">
        <v>0.99796759195183404</v>
      </c>
      <c r="C2468">
        <v>1.08855489392311</v>
      </c>
      <c r="D2468">
        <v>0.98715478122309697</v>
      </c>
      <c r="E2468">
        <v>0.97874457565802997</v>
      </c>
      <c r="F2468">
        <v>0.84622307424232301</v>
      </c>
      <c r="G2468">
        <v>0.73872292501218695</v>
      </c>
      <c r="H2468">
        <v>0.48121188626516898</v>
      </c>
      <c r="I2468">
        <v>0.34709378455338702</v>
      </c>
      <c r="J2468">
        <v>0.24608270092697601</v>
      </c>
      <c r="K2468">
        <v>0.206450395762281</v>
      </c>
      <c r="L2468">
        <v>854.89207257333896</v>
      </c>
      <c r="M2468">
        <v>15.210540253073701</v>
      </c>
      <c r="N2468">
        <v>57.4040905418478</v>
      </c>
      <c r="O2468">
        <v>55.259322052251903</v>
      </c>
      <c r="P2468">
        <v>-5.9447356865408599E-2</v>
      </c>
      <c r="Q2468">
        <v>0.136202650533855</v>
      </c>
      <c r="R2468">
        <v>0.98960685865521003</v>
      </c>
      <c r="S2468" t="s">
        <v>8051</v>
      </c>
      <c r="T2468" t="s">
        <v>11164</v>
      </c>
      <c r="U2468" t="s">
        <v>11164</v>
      </c>
      <c r="V2468" t="s">
        <v>11164</v>
      </c>
      <c r="W2468" t="s">
        <v>13596</v>
      </c>
      <c r="X2468">
        <v>6</v>
      </c>
      <c r="Y2468" t="s">
        <v>19101</v>
      </c>
      <c r="Z2468" t="s">
        <v>24618</v>
      </c>
      <c r="AA2468">
        <v>0.69855352670338633</v>
      </c>
      <c r="AB2468" t="str">
        <f>HYPERLINK("Melting_Curves/meltCurve_P53609_PGGT1B.pdf", "Melting_Curves/meltCurve_P53609_PGGT1B.pdf")</f>
        <v>Melting_Curves/meltCurve_P53609_PGGT1B.pdf</v>
      </c>
    </row>
    <row r="2469" spans="1:28" x14ac:dyDescent="0.25">
      <c r="A2469" t="s">
        <v>2473</v>
      </c>
      <c r="B2469">
        <v>0.99796759195183404</v>
      </c>
      <c r="C2469">
        <v>1.0787764662514201</v>
      </c>
      <c r="D2469">
        <v>1.09800204928583</v>
      </c>
      <c r="E2469">
        <v>0.87459432410859606</v>
      </c>
      <c r="F2469">
        <v>0.74219397717473601</v>
      </c>
      <c r="G2469">
        <v>0.73066723179340298</v>
      </c>
      <c r="H2469">
        <v>0.37236886856489199</v>
      </c>
      <c r="I2469">
        <v>0.14629002866061799</v>
      </c>
      <c r="J2469">
        <v>0.103638497159698</v>
      </c>
      <c r="K2469">
        <v>7.0978681109577099E-2</v>
      </c>
      <c r="L2469">
        <v>862.12380450311196</v>
      </c>
      <c r="M2469">
        <v>15.5226794215717</v>
      </c>
      <c r="N2469">
        <v>55.539626439184801</v>
      </c>
      <c r="O2469">
        <v>54.642367088619999</v>
      </c>
      <c r="P2469">
        <v>-7.1025724804279197E-2</v>
      </c>
      <c r="Q2469">
        <v>0</v>
      </c>
      <c r="R2469">
        <v>0.96841659407006497</v>
      </c>
      <c r="S2469" t="s">
        <v>8052</v>
      </c>
      <c r="T2469" t="s">
        <v>11164</v>
      </c>
      <c r="U2469" t="s">
        <v>11164</v>
      </c>
      <c r="V2469" t="s">
        <v>11164</v>
      </c>
      <c r="W2469" t="s">
        <v>13303</v>
      </c>
      <c r="X2469">
        <v>14</v>
      </c>
      <c r="Y2469" t="s">
        <v>19102</v>
      </c>
      <c r="Z2469" t="s">
        <v>24619</v>
      </c>
      <c r="AA2469">
        <v>0.63065280814586067</v>
      </c>
      <c r="AB2469" t="str">
        <f>HYPERLINK("Melting_Curves/meltCurve_P53618_COPB1.pdf", "Melting_Curves/meltCurve_P53618_COPB1.pdf")</f>
        <v>Melting_Curves/meltCurve_P53618_COPB1.pdf</v>
      </c>
    </row>
    <row r="2470" spans="1:28" x14ac:dyDescent="0.25">
      <c r="A2470" t="s">
        <v>2474</v>
      </c>
      <c r="B2470">
        <v>0.99796759195183404</v>
      </c>
      <c r="C2470">
        <v>1.06036711814309</v>
      </c>
      <c r="D2470">
        <v>1.02905747866938</v>
      </c>
      <c r="E2470">
        <v>0.88738988545705699</v>
      </c>
      <c r="F2470">
        <v>0.79064242729103495</v>
      </c>
      <c r="G2470">
        <v>1.28257482685324</v>
      </c>
      <c r="H2470">
        <v>0.60399576211788097</v>
      </c>
      <c r="I2470">
        <v>0.26523023396998202</v>
      </c>
      <c r="J2470">
        <v>0.202100560536986</v>
      </c>
      <c r="K2470">
        <v>0.105192928293785</v>
      </c>
      <c r="L2470">
        <v>9997.47048753136</v>
      </c>
      <c r="M2470">
        <v>174.12943201864499</v>
      </c>
      <c r="N2470">
        <v>57.572942006265002</v>
      </c>
      <c r="O2470">
        <v>57.406447350900599</v>
      </c>
      <c r="P2470">
        <v>-0.613609785524038</v>
      </c>
      <c r="Q2470">
        <v>0.19082818760777301</v>
      </c>
      <c r="R2470">
        <v>0.89774471328979799</v>
      </c>
      <c r="S2470" t="s">
        <v>8053</v>
      </c>
      <c r="T2470" t="s">
        <v>11164</v>
      </c>
      <c r="U2470" t="s">
        <v>11164</v>
      </c>
      <c r="V2470" t="s">
        <v>11164</v>
      </c>
      <c r="W2470" t="s">
        <v>13597</v>
      </c>
      <c r="X2470">
        <v>4</v>
      </c>
      <c r="Y2470" t="s">
        <v>19103</v>
      </c>
      <c r="Z2470" t="s">
        <v>24620</v>
      </c>
      <c r="AA2470">
        <v>0.74161124198643313</v>
      </c>
      <c r="AB2470" t="str">
        <f>HYPERLINK("Melting_Curves/meltCurve_P53621_COPA.pdf", "Melting_Curves/meltCurve_P53621_COPA.pdf")</f>
        <v>Melting_Curves/meltCurve_P53621_COPA.pdf</v>
      </c>
    </row>
    <row r="2471" spans="1:28" x14ac:dyDescent="0.25">
      <c r="A2471" t="s">
        <v>2475</v>
      </c>
      <c r="B2471">
        <v>0.99796759195183404</v>
      </c>
      <c r="C2471">
        <v>1.0178383553912</v>
      </c>
      <c r="D2471">
        <v>0.95807170456139901</v>
      </c>
      <c r="E2471">
        <v>0.86409238822329204</v>
      </c>
      <c r="F2471">
        <v>0.83916664104438299</v>
      </c>
      <c r="G2471">
        <v>0.92435328203656197</v>
      </c>
      <c r="H2471">
        <v>0.73788595310985605</v>
      </c>
      <c r="I2471">
        <v>0.65953171365823804</v>
      </c>
      <c r="J2471">
        <v>0.57620604957929</v>
      </c>
      <c r="K2471">
        <v>0.237486026385448</v>
      </c>
      <c r="L2471">
        <v>681.77009325491099</v>
      </c>
      <c r="M2471">
        <v>10.726274237868299</v>
      </c>
      <c r="N2471">
        <v>63.560750305390002</v>
      </c>
      <c r="O2471">
        <v>61.471023144493003</v>
      </c>
      <c r="P2471">
        <v>-4.3639506527116699E-2</v>
      </c>
      <c r="Q2471">
        <v>0</v>
      </c>
      <c r="R2471">
        <v>0.88834025469677802</v>
      </c>
      <c r="S2471" t="s">
        <v>8054</v>
      </c>
      <c r="T2471" t="s">
        <v>11164</v>
      </c>
      <c r="U2471" t="s">
        <v>11164</v>
      </c>
      <c r="V2471" t="s">
        <v>11164</v>
      </c>
      <c r="W2471" t="s">
        <v>13598</v>
      </c>
      <c r="X2471">
        <v>7</v>
      </c>
      <c r="Y2471" t="s">
        <v>19104</v>
      </c>
      <c r="Z2471" t="s">
        <v>24621</v>
      </c>
      <c r="AA2471">
        <v>0.82137576011765723</v>
      </c>
      <c r="AB2471" t="str">
        <f>HYPERLINK("Melting_Curves/meltCurve_P53634_CTSC.pdf", "Melting_Curves/meltCurve_P53634_CTSC.pdf")</f>
        <v>Melting_Curves/meltCurve_P53634_CTSC.pdf</v>
      </c>
    </row>
    <row r="2472" spans="1:28" x14ac:dyDescent="0.25">
      <c r="A2472" t="s">
        <v>2476</v>
      </c>
      <c r="B2472">
        <v>0.99796759195183404</v>
      </c>
      <c r="C2472">
        <v>0.98932551702320104</v>
      </c>
      <c r="D2472">
        <v>1.00363562737331</v>
      </c>
      <c r="E2472">
        <v>1.00317404644732</v>
      </c>
      <c r="F2472">
        <v>0.78560230278294796</v>
      </c>
      <c r="G2472">
        <v>0.64972914861137399</v>
      </c>
      <c r="H2472">
        <v>0.62851994501069897</v>
      </c>
      <c r="I2472">
        <v>0.42309274989110002</v>
      </c>
      <c r="J2472">
        <v>0.24911798058930401</v>
      </c>
      <c r="K2472">
        <v>0.156187071991717</v>
      </c>
      <c r="L2472">
        <v>628.30668289630898</v>
      </c>
      <c r="M2472">
        <v>10.765437251391701</v>
      </c>
      <c r="N2472">
        <v>58.363322234418902</v>
      </c>
      <c r="O2472">
        <v>56.457665419573601</v>
      </c>
      <c r="P2472">
        <v>-4.76878711817093E-2</v>
      </c>
      <c r="Q2472">
        <v>0</v>
      </c>
      <c r="R2472">
        <v>0.97425708293467606</v>
      </c>
      <c r="S2472" t="s">
        <v>8055</v>
      </c>
      <c r="T2472" t="s">
        <v>11164</v>
      </c>
      <c r="U2472" t="s">
        <v>11164</v>
      </c>
      <c r="V2472" t="s">
        <v>11164</v>
      </c>
      <c r="W2472" t="s">
        <v>13599</v>
      </c>
      <c r="X2472">
        <v>14</v>
      </c>
      <c r="Y2472" t="s">
        <v>19105</v>
      </c>
      <c r="Z2472" t="s">
        <v>24622</v>
      </c>
      <c r="AA2472">
        <v>0.70399015224612305</v>
      </c>
      <c r="AB2472" t="str">
        <f>HYPERLINK("Melting_Curves/meltCurve_P53701_HCCS.pdf", "Melting_Curves/meltCurve_P53701_HCCS.pdf")</f>
        <v>Melting_Curves/meltCurve_P53701_HCCS.pdf</v>
      </c>
    </row>
    <row r="2473" spans="1:28" x14ac:dyDescent="0.25">
      <c r="A2473" t="s">
        <v>2477</v>
      </c>
      <c r="B2473">
        <v>0.99796759195183404</v>
      </c>
      <c r="C2473">
        <v>1.15380876815144</v>
      </c>
      <c r="D2473">
        <v>1.0675506692119801</v>
      </c>
      <c r="E2473">
        <v>1.0829143563017201</v>
      </c>
      <c r="F2473">
        <v>0.83693460718187696</v>
      </c>
      <c r="G2473">
        <v>0.58161562517029797</v>
      </c>
      <c r="H2473">
        <v>0.35664949257658801</v>
      </c>
      <c r="I2473">
        <v>0.154860295394639</v>
      </c>
      <c r="J2473">
        <v>0.125476071825946</v>
      </c>
      <c r="K2473">
        <v>8.7085339333385997E-2</v>
      </c>
      <c r="L2473">
        <v>1129.54301229665</v>
      </c>
      <c r="M2473">
        <v>20.712601995522299</v>
      </c>
      <c r="N2473">
        <v>54.984316962083803</v>
      </c>
      <c r="O2473">
        <v>54.0334180883819</v>
      </c>
      <c r="P2473">
        <v>-8.8360110144420204E-2</v>
      </c>
      <c r="Q2473">
        <v>7.7998704890526793E-2</v>
      </c>
      <c r="R2473">
        <v>0.97410939884650305</v>
      </c>
      <c r="S2473" t="s">
        <v>8056</v>
      </c>
      <c r="T2473" t="s">
        <v>11164</v>
      </c>
      <c r="U2473" t="s">
        <v>11164</v>
      </c>
      <c r="V2473" t="s">
        <v>11164</v>
      </c>
      <c r="W2473" t="s">
        <v>13600</v>
      </c>
      <c r="X2473">
        <v>9</v>
      </c>
      <c r="Y2473" t="s">
        <v>19106</v>
      </c>
      <c r="Z2473" t="s">
        <v>24623</v>
      </c>
      <c r="AA2473">
        <v>0.62724263009264702</v>
      </c>
      <c r="AB2473" t="str">
        <f>HYPERLINK("Melting_Curves/meltCurve_P53778_MAPK12.pdf", "Melting_Curves/meltCurve_P53778_MAPK12.pdf")</f>
        <v>Melting_Curves/meltCurve_P53778_MAPK12.pdf</v>
      </c>
    </row>
    <row r="2474" spans="1:28" x14ac:dyDescent="0.25">
      <c r="A2474" t="s">
        <v>2478</v>
      </c>
      <c r="B2474">
        <v>0.99796759195183404</v>
      </c>
      <c r="C2474">
        <v>0.81595881828069705</v>
      </c>
      <c r="D2474">
        <v>0.68753970163494604</v>
      </c>
      <c r="E2474">
        <v>0.664027845198497</v>
      </c>
      <c r="F2474">
        <v>0.649999327677938</v>
      </c>
      <c r="G2474">
        <v>0.37034100102496198</v>
      </c>
      <c r="H2474">
        <v>0.40638535283673499</v>
      </c>
      <c r="I2474">
        <v>0.28296147427760898</v>
      </c>
      <c r="J2474">
        <v>0.60534628499148702</v>
      </c>
      <c r="K2474">
        <v>0.20783178323280699</v>
      </c>
      <c r="L2474">
        <v>372.63327963483499</v>
      </c>
      <c r="M2474">
        <v>8.0038903065824698</v>
      </c>
      <c r="N2474">
        <v>52.0266523810782</v>
      </c>
      <c r="O2474">
        <v>43.9199080196788</v>
      </c>
      <c r="P2474">
        <v>-3.2635760094112197E-2</v>
      </c>
      <c r="Q2474">
        <v>0.28447619532326601</v>
      </c>
      <c r="R2474">
        <v>0.77867910147045305</v>
      </c>
      <c r="S2474" t="s">
        <v>8057</v>
      </c>
      <c r="T2474" t="s">
        <v>11164</v>
      </c>
      <c r="U2474" t="s">
        <v>11164</v>
      </c>
      <c r="V2474" t="s">
        <v>11164</v>
      </c>
      <c r="W2474" t="s">
        <v>13601</v>
      </c>
      <c r="X2474">
        <v>1</v>
      </c>
      <c r="Y2474" t="s">
        <v>19107</v>
      </c>
      <c r="Z2474" t="s">
        <v>24624</v>
      </c>
      <c r="AA2474">
        <v>0.55517507975225655</v>
      </c>
      <c r="AB2474" t="str">
        <f>HYPERLINK("Melting_Curves/meltCurve_P53794_SLC5A3.pdf", "Melting_Curves/meltCurve_P53794_SLC5A3.pdf")</f>
        <v>Melting_Curves/meltCurve_P53794_SLC5A3.pdf</v>
      </c>
    </row>
    <row r="2475" spans="1:28" x14ac:dyDescent="0.25">
      <c r="A2475" t="s">
        <v>2479</v>
      </c>
      <c r="B2475">
        <v>0.99796759195183404</v>
      </c>
      <c r="C2475">
        <v>1.04967859798726</v>
      </c>
      <c r="D2475">
        <v>1.06786188531215</v>
      </c>
      <c r="E2475">
        <v>1.0599791804404299</v>
      </c>
      <c r="F2475">
        <v>1.12830753001954</v>
      </c>
      <c r="G2475">
        <v>1.0526222874161499</v>
      </c>
      <c r="H2475">
        <v>1.0378532247135199</v>
      </c>
      <c r="I2475">
        <v>1.0734833388309299</v>
      </c>
      <c r="J2475">
        <v>1.05550158387125</v>
      </c>
      <c r="K2475">
        <v>1.1662140958423901</v>
      </c>
      <c r="L2475">
        <v>1359.35839894476</v>
      </c>
      <c r="M2475">
        <v>34.276112794414402</v>
      </c>
      <c r="O2475">
        <v>39.524794507076201</v>
      </c>
      <c r="P2475">
        <v>1.7623875769805501E-2</v>
      </c>
      <c r="Q2475">
        <v>1.08129012732407</v>
      </c>
      <c r="R2475">
        <v>0.32416060287453002</v>
      </c>
      <c r="S2475" t="s">
        <v>8058</v>
      </c>
      <c r="T2475" t="s">
        <v>11164</v>
      </c>
      <c r="U2475" t="s">
        <v>11164</v>
      </c>
      <c r="V2475" t="s">
        <v>11164</v>
      </c>
      <c r="W2475" t="s">
        <v>13602</v>
      </c>
      <c r="X2475">
        <v>1</v>
      </c>
      <c r="Y2475" t="s">
        <v>19108</v>
      </c>
      <c r="Z2475" t="s">
        <v>24625</v>
      </c>
      <c r="AA2475">
        <v>1.073568857694531</v>
      </c>
      <c r="AB2475" t="str">
        <f>HYPERLINK("Melting_Curves/meltCurve_P53803_POLR2K.pdf", "Melting_Curves/meltCurve_P53803_POLR2K.pdf")</f>
        <v>Melting_Curves/meltCurve_P53803_POLR2K.pdf</v>
      </c>
    </row>
    <row r="2476" spans="1:28" x14ac:dyDescent="0.25">
      <c r="A2476" t="s">
        <v>2480</v>
      </c>
      <c r="B2476">
        <v>0.99796759195183404</v>
      </c>
      <c r="C2476">
        <v>1.0124612241942701</v>
      </c>
      <c r="D2476">
        <v>1.0349775090672699</v>
      </c>
      <c r="E2476">
        <v>0.94339648218619698</v>
      </c>
      <c r="F2476">
        <v>0.73776708553612502</v>
      </c>
      <c r="G2476">
        <v>0.44304638544887098</v>
      </c>
      <c r="H2476">
        <v>0.333952601339713</v>
      </c>
      <c r="I2476">
        <v>0.30089715000635803</v>
      </c>
      <c r="J2476">
        <v>0.27959369340732898</v>
      </c>
      <c r="K2476">
        <v>0.24058664510557001</v>
      </c>
      <c r="L2476">
        <v>1254.4050274475201</v>
      </c>
      <c r="M2476">
        <v>24.4092540462456</v>
      </c>
      <c r="N2476">
        <v>53.058539472241399</v>
      </c>
      <c r="O2476">
        <v>51.0493509232167</v>
      </c>
      <c r="P2476">
        <v>-8.7517292412935002E-2</v>
      </c>
      <c r="Q2476">
        <v>0.26787850258984702</v>
      </c>
      <c r="R2476">
        <v>0.99683213033490703</v>
      </c>
      <c r="S2476" t="s">
        <v>8059</v>
      </c>
      <c r="T2476" t="s">
        <v>11164</v>
      </c>
      <c r="U2476" t="s">
        <v>11164</v>
      </c>
      <c r="V2476" t="s">
        <v>11164</v>
      </c>
      <c r="W2476" t="s">
        <v>13603</v>
      </c>
      <c r="X2476">
        <v>6</v>
      </c>
      <c r="Y2476" t="s">
        <v>19109</v>
      </c>
      <c r="Z2476" t="s">
        <v>24626</v>
      </c>
      <c r="AA2476">
        <v>0.62582923328189144</v>
      </c>
      <c r="AB2476" t="str">
        <f>HYPERLINK("Melting_Curves/meltCurve_P53814_5_SMTN.pdf", "Melting_Curves/meltCurve_P53814_5_SMTN.pdf")</f>
        <v>Melting_Curves/meltCurve_P53814_5_SMTN.pdf</v>
      </c>
    </row>
    <row r="2477" spans="1:28" x14ac:dyDescent="0.25">
      <c r="A2477" t="s">
        <v>2481</v>
      </c>
      <c r="B2477">
        <v>0.99796759195183404</v>
      </c>
      <c r="C2477">
        <v>1.05696651923989</v>
      </c>
      <c r="D2477">
        <v>1.11211933376046</v>
      </c>
      <c r="E2477">
        <v>1.1062183044107701</v>
      </c>
      <c r="F2477">
        <v>0.94722591762353703</v>
      </c>
      <c r="G2477">
        <v>0.69683471973639699</v>
      </c>
      <c r="H2477">
        <v>0.75464168438261203</v>
      </c>
      <c r="I2477">
        <v>0.65230048271211405</v>
      </c>
      <c r="J2477">
        <v>0.695942607756453</v>
      </c>
      <c r="K2477">
        <v>0.51786924549200497</v>
      </c>
      <c r="L2477">
        <v>2556.1115766162802</v>
      </c>
      <c r="M2477">
        <v>49.195380065679501</v>
      </c>
      <c r="O2477">
        <v>51.872727856282999</v>
      </c>
      <c r="P2477">
        <v>-8.2483120744654095E-2</v>
      </c>
      <c r="Q2477">
        <v>0.65211200534708502</v>
      </c>
      <c r="R2477">
        <v>0.86172446204971997</v>
      </c>
      <c r="S2477" t="s">
        <v>8060</v>
      </c>
      <c r="T2477" t="s">
        <v>11164</v>
      </c>
      <c r="U2477" t="s">
        <v>11164</v>
      </c>
      <c r="V2477" t="s">
        <v>11164</v>
      </c>
      <c r="W2477" t="s">
        <v>13604</v>
      </c>
      <c r="X2477">
        <v>8</v>
      </c>
      <c r="Y2477" t="s">
        <v>19110</v>
      </c>
      <c r="Z2477" t="s">
        <v>24627</v>
      </c>
      <c r="AA2477">
        <v>0.82639663793065177</v>
      </c>
      <c r="AB2477" t="str">
        <f>HYPERLINK("Melting_Curves/meltCurve_P53985_SLC16A1.pdf", "Melting_Curves/meltCurve_P53985_SLC16A1.pdf")</f>
        <v>Melting_Curves/meltCurve_P53985_SLC16A1.pdf</v>
      </c>
    </row>
    <row r="2478" spans="1:28" x14ac:dyDescent="0.25">
      <c r="A2478" t="s">
        <v>2482</v>
      </c>
      <c r="B2478">
        <v>0.99796759195183404</v>
      </c>
      <c r="C2478">
        <v>0.98147853355506298</v>
      </c>
      <c r="D2478">
        <v>1.01022345697524</v>
      </c>
      <c r="E2478">
        <v>0.96046819351171997</v>
      </c>
      <c r="F2478">
        <v>0.75725832423875505</v>
      </c>
      <c r="G2478">
        <v>0.38135646583101201</v>
      </c>
      <c r="H2478">
        <v>0.189906976219478</v>
      </c>
      <c r="I2478">
        <v>0.13120445948155199</v>
      </c>
      <c r="J2478">
        <v>0.119317784208175</v>
      </c>
      <c r="K2478">
        <v>9.3778705896506304E-2</v>
      </c>
      <c r="L2478">
        <v>1324.7079858760301</v>
      </c>
      <c r="M2478">
        <v>25.4052223623221</v>
      </c>
      <c r="N2478">
        <v>52.629697011092802</v>
      </c>
      <c r="O2478">
        <v>51.823280312882702</v>
      </c>
      <c r="P2478">
        <v>-0.109731180571861</v>
      </c>
      <c r="Q2478">
        <v>0.104663141579681</v>
      </c>
      <c r="R2478">
        <v>0.99944067740242404</v>
      </c>
      <c r="S2478" t="s">
        <v>8061</v>
      </c>
      <c r="T2478" t="s">
        <v>11164</v>
      </c>
      <c r="U2478" t="s">
        <v>11164</v>
      </c>
      <c r="V2478" t="s">
        <v>11164</v>
      </c>
      <c r="W2478" t="s">
        <v>13605</v>
      </c>
      <c r="X2478">
        <v>11</v>
      </c>
      <c r="Y2478" t="s">
        <v>19111</v>
      </c>
      <c r="Z2478" t="s">
        <v>24628</v>
      </c>
      <c r="AA2478">
        <v>0.56431074727353348</v>
      </c>
      <c r="AB2478" t="str">
        <f>HYPERLINK("Melting_Curves/meltCurve_P53990_2_IST1.pdf", "Melting_Curves/meltCurve_P53990_2_IST1.pdf")</f>
        <v>Melting_Curves/meltCurve_P53990_2_IST1.pdf</v>
      </c>
    </row>
    <row r="2479" spans="1:28" x14ac:dyDescent="0.25">
      <c r="A2479" t="s">
        <v>2483</v>
      </c>
      <c r="B2479">
        <v>0.99796759195183404</v>
      </c>
      <c r="C2479">
        <v>1.0898658298123101</v>
      </c>
      <c r="D2479">
        <v>1.0830538108938501</v>
      </c>
      <c r="E2479">
        <v>0.984004773127231</v>
      </c>
      <c r="F2479">
        <v>0.89853088697419903</v>
      </c>
      <c r="G2479">
        <v>0.41156610883106698</v>
      </c>
      <c r="H2479">
        <v>0.198893827255364</v>
      </c>
      <c r="I2479">
        <v>0.174264849398758</v>
      </c>
      <c r="J2479">
        <v>0.11943242345012201</v>
      </c>
      <c r="K2479">
        <v>7.1640815726201498E-2</v>
      </c>
      <c r="L2479">
        <v>1885.69473311415</v>
      </c>
      <c r="M2479">
        <v>35.690170457880697</v>
      </c>
      <c r="N2479">
        <v>53.261236802094203</v>
      </c>
      <c r="O2479">
        <v>52.6700791491551</v>
      </c>
      <c r="P2479">
        <v>-0.14836594723570101</v>
      </c>
      <c r="Q2479">
        <v>0.124193559317982</v>
      </c>
      <c r="R2479">
        <v>0.98808597301662504</v>
      </c>
      <c r="S2479" t="s">
        <v>8062</v>
      </c>
      <c r="T2479" t="s">
        <v>11164</v>
      </c>
      <c r="U2479" t="s">
        <v>11164</v>
      </c>
      <c r="V2479" t="s">
        <v>11164</v>
      </c>
      <c r="W2479" t="s">
        <v>13606</v>
      </c>
      <c r="X2479">
        <v>15</v>
      </c>
      <c r="Y2479" t="s">
        <v>19112</v>
      </c>
      <c r="Z2479" t="s">
        <v>24629</v>
      </c>
      <c r="AA2479">
        <v>0.59046554800633144</v>
      </c>
      <c r="AB2479" t="str">
        <f>HYPERLINK("Melting_Curves/meltCurve_P53992_SEC24C.pdf", "Melting_Curves/meltCurve_P53992_SEC24C.pdf")</f>
        <v>Melting_Curves/meltCurve_P53992_SEC24C.pdf</v>
      </c>
    </row>
    <row r="2480" spans="1:28" x14ac:dyDescent="0.25">
      <c r="A2480" t="s">
        <v>2484</v>
      </c>
      <c r="B2480">
        <v>0.99796759195183404</v>
      </c>
      <c r="C2480">
        <v>1.1175611818451701</v>
      </c>
      <c r="D2480">
        <v>1.0921670634988001</v>
      </c>
      <c r="E2480">
        <v>1.02835110817349</v>
      </c>
      <c r="F2480">
        <v>0.84476748308486205</v>
      </c>
      <c r="G2480">
        <v>0.55478334192744605</v>
      </c>
      <c r="H2480">
        <v>0.33506889668738798</v>
      </c>
      <c r="I2480">
        <v>0.21835321430475599</v>
      </c>
      <c r="J2480">
        <v>0.165442144905384</v>
      </c>
      <c r="K2480">
        <v>0.14766968312634801</v>
      </c>
      <c r="L2480">
        <v>1212.11888548037</v>
      </c>
      <c r="M2480">
        <v>22.553681599923799</v>
      </c>
      <c r="N2480">
        <v>54.616991335405302</v>
      </c>
      <c r="O2480">
        <v>53.326567495540203</v>
      </c>
      <c r="P2480">
        <v>-8.9730036900121796E-2</v>
      </c>
      <c r="Q2480">
        <v>0.15137626272608001</v>
      </c>
      <c r="R2480">
        <v>0.98189136137507405</v>
      </c>
      <c r="S2480" t="s">
        <v>8063</v>
      </c>
      <c r="T2480" t="s">
        <v>11164</v>
      </c>
      <c r="U2480" t="s">
        <v>11164</v>
      </c>
      <c r="V2480" t="s">
        <v>11164</v>
      </c>
      <c r="W2480" t="s">
        <v>13607</v>
      </c>
      <c r="X2480">
        <v>17</v>
      </c>
      <c r="Y2480" t="s">
        <v>19113</v>
      </c>
      <c r="Z2480" t="s">
        <v>24630</v>
      </c>
      <c r="AA2480">
        <v>0.6337692355865665</v>
      </c>
      <c r="AB2480" t="str">
        <f>HYPERLINK("Melting_Curves/meltCurve_P53999_SUB1.pdf", "Melting_Curves/meltCurve_P53999_SUB1.pdf")</f>
        <v>Melting_Curves/meltCurve_P53999_SUB1.pdf</v>
      </c>
    </row>
    <row r="2481" spans="1:28" x14ac:dyDescent="0.25">
      <c r="A2481" t="s">
        <v>2485</v>
      </c>
      <c r="B2481">
        <v>0.99796759195183404</v>
      </c>
      <c r="C2481">
        <v>1.00855527749445</v>
      </c>
      <c r="D2481">
        <v>0.94801983455303696</v>
      </c>
      <c r="E2481">
        <v>0.80392891893348595</v>
      </c>
      <c r="F2481">
        <v>0.61152675713909999</v>
      </c>
      <c r="G2481">
        <v>0.22610080365805399</v>
      </c>
      <c r="H2481">
        <v>0.168876726736858</v>
      </c>
      <c r="I2481">
        <v>0.157016159537997</v>
      </c>
      <c r="J2481">
        <v>9.8521609730891399E-2</v>
      </c>
      <c r="K2481">
        <v>6.9491933331643205E-2</v>
      </c>
      <c r="L2481">
        <v>966.45643993888598</v>
      </c>
      <c r="M2481">
        <v>19.203904812350402</v>
      </c>
      <c r="N2481">
        <v>50.809069817241898</v>
      </c>
      <c r="O2481">
        <v>49.789869903203403</v>
      </c>
      <c r="P2481">
        <v>-8.8382890851673293E-2</v>
      </c>
      <c r="Q2481">
        <v>8.3435773121178794E-2</v>
      </c>
      <c r="R2481">
        <v>0.99214974897285002</v>
      </c>
      <c r="S2481" t="s">
        <v>8064</v>
      </c>
      <c r="T2481" t="s">
        <v>11164</v>
      </c>
      <c r="U2481" t="s">
        <v>11164</v>
      </c>
      <c r="V2481" t="s">
        <v>11164</v>
      </c>
      <c r="W2481" t="s">
        <v>13608</v>
      </c>
      <c r="X2481">
        <v>20</v>
      </c>
      <c r="Y2481" t="s">
        <v>19114</v>
      </c>
      <c r="Z2481" t="s">
        <v>24631</v>
      </c>
      <c r="AA2481">
        <v>0.50349501712315203</v>
      </c>
      <c r="AB2481" t="str">
        <f>HYPERLINK("Melting_Curves/meltCurve_P54136_RARS.pdf", "Melting_Curves/meltCurve_P54136_RARS.pdf")</f>
        <v>Melting_Curves/meltCurve_P54136_RARS.pdf</v>
      </c>
    </row>
    <row r="2482" spans="1:28" x14ac:dyDescent="0.25">
      <c r="A2482" t="s">
        <v>2486</v>
      </c>
      <c r="B2482">
        <v>0.99796759195183404</v>
      </c>
      <c r="C2482">
        <v>0.99383896166902397</v>
      </c>
      <c r="D2482">
        <v>0.92398682432152701</v>
      </c>
      <c r="E2482">
        <v>0.84050487921690598</v>
      </c>
      <c r="F2482">
        <v>0.749451470524789</v>
      </c>
      <c r="G2482">
        <v>0.71832506829771303</v>
      </c>
      <c r="H2482">
        <v>0.61495008793482797</v>
      </c>
      <c r="I2482">
        <v>0.57795696234684801</v>
      </c>
      <c r="J2482">
        <v>0.615976086402509</v>
      </c>
      <c r="K2482">
        <v>0.48777741530674501</v>
      </c>
      <c r="L2482">
        <v>460.18688482679897</v>
      </c>
      <c r="M2482">
        <v>8.9230427839481106</v>
      </c>
      <c r="O2482">
        <v>49.179900947164597</v>
      </c>
      <c r="P2482">
        <v>-2.3710208204437901E-2</v>
      </c>
      <c r="Q2482">
        <v>0.47767075374349099</v>
      </c>
      <c r="R2482">
        <v>0.97045281322951404</v>
      </c>
      <c r="S2482" t="s">
        <v>8065</v>
      </c>
      <c r="T2482" t="s">
        <v>11164</v>
      </c>
      <c r="U2482" t="s">
        <v>11164</v>
      </c>
      <c r="V2482" t="s">
        <v>11164</v>
      </c>
      <c r="W2482" t="s">
        <v>13609</v>
      </c>
      <c r="X2482">
        <v>3</v>
      </c>
      <c r="Y2482" t="s">
        <v>19115</v>
      </c>
      <c r="Z2482" t="s">
        <v>24632</v>
      </c>
      <c r="AA2482">
        <v>0.7471022638218846</v>
      </c>
      <c r="AB2482" t="str">
        <f>HYPERLINK("Melting_Curves/meltCurve_P54259_ATN1.pdf", "Melting_Curves/meltCurve_P54259_ATN1.pdf")</f>
        <v>Melting_Curves/meltCurve_P54259_ATN1.pdf</v>
      </c>
    </row>
    <row r="2483" spans="1:28" x14ac:dyDescent="0.25">
      <c r="A2483" t="s">
        <v>2487</v>
      </c>
      <c r="B2483">
        <v>0.99796759195183404</v>
      </c>
      <c r="C2483">
        <v>1.02417587008125</v>
      </c>
      <c r="D2483">
        <v>0.99483943719262802</v>
      </c>
      <c r="E2483">
        <v>0.95562391015931802</v>
      </c>
      <c r="F2483">
        <v>0.82860659141141801</v>
      </c>
      <c r="G2483">
        <v>0.85098578953211002</v>
      </c>
      <c r="H2483">
        <v>0.72486122186989399</v>
      </c>
      <c r="I2483">
        <v>0.62223290163060896</v>
      </c>
      <c r="J2483">
        <v>0.59378106050669399</v>
      </c>
      <c r="K2483">
        <v>0.408300584662462</v>
      </c>
      <c r="L2483">
        <v>467.54657824104697</v>
      </c>
      <c r="M2483">
        <v>7.1530384817754999</v>
      </c>
      <c r="N2483">
        <v>65.363352846286205</v>
      </c>
      <c r="O2483">
        <v>60.833054175553798</v>
      </c>
      <c r="P2483">
        <v>-2.9446522435077699E-2</v>
      </c>
      <c r="Q2483">
        <v>0</v>
      </c>
      <c r="R2483">
        <v>0.96702627097125904</v>
      </c>
      <c r="S2483" t="s">
        <v>8066</v>
      </c>
      <c r="T2483" t="s">
        <v>11164</v>
      </c>
      <c r="U2483" t="s">
        <v>11164</v>
      </c>
      <c r="V2483" t="s">
        <v>11164</v>
      </c>
      <c r="W2483" t="s">
        <v>13610</v>
      </c>
      <c r="X2483">
        <v>15</v>
      </c>
      <c r="Y2483" t="s">
        <v>19116</v>
      </c>
      <c r="Z2483" t="s">
        <v>24633</v>
      </c>
      <c r="AA2483">
        <v>0.80993698004270365</v>
      </c>
      <c r="AB2483" t="str">
        <f>HYPERLINK("Melting_Curves/meltCurve_P54289_4_CACNA2D1.pdf", "Melting_Curves/meltCurve_P54289_4_CACNA2D1.pdf")</f>
        <v>Melting_Curves/meltCurve_P54289_4_CACNA2D1.pdf</v>
      </c>
    </row>
    <row r="2484" spans="1:28" x14ac:dyDescent="0.25">
      <c r="A2484" t="s">
        <v>2488</v>
      </c>
      <c r="B2484">
        <v>0.99796759195183404</v>
      </c>
      <c r="C2484">
        <v>0.69343665227794904</v>
      </c>
      <c r="D2484">
        <v>0.72895428958646102</v>
      </c>
      <c r="E2484">
        <v>0.65439703882752698</v>
      </c>
      <c r="F2484">
        <v>0.65991400503701303</v>
      </c>
      <c r="G2484">
        <v>0.34358131233379802</v>
      </c>
      <c r="H2484">
        <v>0.26284084153847498</v>
      </c>
      <c r="I2484">
        <v>0.248254761406144</v>
      </c>
      <c r="J2484">
        <v>6.2180272562165503E-2</v>
      </c>
      <c r="K2484">
        <v>0</v>
      </c>
      <c r="L2484">
        <v>385.93537666682602</v>
      </c>
      <c r="M2484">
        <v>7.7300222321905396</v>
      </c>
      <c r="N2484">
        <v>49.926812038965203</v>
      </c>
      <c r="O2484">
        <v>46.9153406947595</v>
      </c>
      <c r="P2484">
        <v>-4.1244280149922798E-2</v>
      </c>
      <c r="Q2484">
        <v>0</v>
      </c>
      <c r="R2484">
        <v>0.90157657741493402</v>
      </c>
      <c r="S2484" t="s">
        <v>8067</v>
      </c>
      <c r="T2484" t="s">
        <v>11164</v>
      </c>
      <c r="U2484" t="s">
        <v>11164</v>
      </c>
      <c r="V2484" t="s">
        <v>11164</v>
      </c>
      <c r="W2484" t="s">
        <v>13611</v>
      </c>
      <c r="X2484">
        <v>1</v>
      </c>
      <c r="Y2484" t="s">
        <v>19117</v>
      </c>
      <c r="Z2484" t="s">
        <v>24634</v>
      </c>
      <c r="AA2484">
        <v>0.47306060594425792</v>
      </c>
      <c r="AB2484" t="str">
        <f>HYPERLINK("Melting_Curves/meltCurve_P54296_MYOM2.pdf", "Melting_Curves/meltCurve_P54296_MYOM2.pdf")</f>
        <v>Melting_Curves/meltCurve_P54296_MYOM2.pdf</v>
      </c>
    </row>
    <row r="2485" spans="1:28" x14ac:dyDescent="0.25">
      <c r="A2485" t="s">
        <v>2489</v>
      </c>
      <c r="B2485">
        <v>0.99796759195183404</v>
      </c>
      <c r="C2485">
        <v>1.0228263787476599</v>
      </c>
      <c r="D2485">
        <v>0.87419478212424295</v>
      </c>
      <c r="E2485">
        <v>0.69051467939265299</v>
      </c>
      <c r="F2485">
        <v>0.50686589387219405</v>
      </c>
      <c r="G2485">
        <v>0.24061873158720801</v>
      </c>
      <c r="H2485">
        <v>0.1412987460946</v>
      </c>
      <c r="I2485">
        <v>0.10726469261978</v>
      </c>
      <c r="J2485">
        <v>9.6259377833177603E-2</v>
      </c>
      <c r="K2485">
        <v>6.9500746443186295E-2</v>
      </c>
      <c r="L2485">
        <v>721.39975026524701</v>
      </c>
      <c r="M2485">
        <v>14.6399343252217</v>
      </c>
      <c r="N2485">
        <v>49.639875063167402</v>
      </c>
      <c r="O2485">
        <v>48.384136824949401</v>
      </c>
      <c r="P2485">
        <v>-7.1805190404951896E-2</v>
      </c>
      <c r="Q2485">
        <v>5.08574429711071E-2</v>
      </c>
      <c r="R2485">
        <v>0.99491687947949103</v>
      </c>
      <c r="S2485" t="s">
        <v>8068</v>
      </c>
      <c r="T2485" t="s">
        <v>11164</v>
      </c>
      <c r="U2485" t="s">
        <v>11164</v>
      </c>
      <c r="V2485" t="s">
        <v>11164</v>
      </c>
      <c r="W2485" t="s">
        <v>13612</v>
      </c>
      <c r="X2485">
        <v>38</v>
      </c>
      <c r="Y2485" t="s">
        <v>19118</v>
      </c>
      <c r="Z2485" t="s">
        <v>24635</v>
      </c>
      <c r="AA2485">
        <v>0.46028621981662998</v>
      </c>
      <c r="AB2485" t="str">
        <f>HYPERLINK("Melting_Curves/meltCurve_P54577_YARS.pdf", "Melting_Curves/meltCurve_P54577_YARS.pdf")</f>
        <v>Melting_Curves/meltCurve_P54577_YARS.pdf</v>
      </c>
    </row>
    <row r="2486" spans="1:28" x14ac:dyDescent="0.25">
      <c r="A2486" t="s">
        <v>2490</v>
      </c>
      <c r="B2486">
        <v>0.99796759195183404</v>
      </c>
      <c r="C2486">
        <v>1.0884668871690599</v>
      </c>
      <c r="D2486">
        <v>1.1001619017361799</v>
      </c>
      <c r="E2486">
        <v>1.05586246927782</v>
      </c>
      <c r="F2486">
        <v>1.0054978818718401</v>
      </c>
      <c r="G2486">
        <v>0.55013498994299204</v>
      </c>
      <c r="H2486">
        <v>0.26452020865797798</v>
      </c>
      <c r="I2486">
        <v>0.20718934098164199</v>
      </c>
      <c r="J2486">
        <v>0.13827080523247801</v>
      </c>
      <c r="K2486">
        <v>9.0530011764844806E-2</v>
      </c>
      <c r="L2486">
        <v>2054.81488822648</v>
      </c>
      <c r="M2486">
        <v>38.179401915952702</v>
      </c>
      <c r="N2486">
        <v>54.330048666914401</v>
      </c>
      <c r="O2486">
        <v>53.672972292912903</v>
      </c>
      <c r="P2486">
        <v>-0.15104929612830101</v>
      </c>
      <c r="Q2486">
        <v>0.15061590876425801</v>
      </c>
      <c r="R2486">
        <v>0.98094529174490797</v>
      </c>
      <c r="S2486" t="s">
        <v>8069</v>
      </c>
      <c r="T2486" t="s">
        <v>11164</v>
      </c>
      <c r="U2486" t="s">
        <v>11164</v>
      </c>
      <c r="V2486" t="s">
        <v>11164</v>
      </c>
      <c r="W2486" t="s">
        <v>13613</v>
      </c>
      <c r="X2486">
        <v>14</v>
      </c>
      <c r="Y2486" t="s">
        <v>19119</v>
      </c>
      <c r="Z2486" t="s">
        <v>24636</v>
      </c>
      <c r="AA2486">
        <v>0.63027301117249257</v>
      </c>
      <c r="AB2486" t="str">
        <f>HYPERLINK("Melting_Curves/meltCurve_P54578_2_USP14.pdf", "Melting_Curves/meltCurve_P54578_2_USP14.pdf")</f>
        <v>Melting_Curves/meltCurve_P54578_2_USP14.pdf</v>
      </c>
    </row>
    <row r="2487" spans="1:28" x14ac:dyDescent="0.25">
      <c r="A2487" t="s">
        <v>2491</v>
      </c>
      <c r="B2487">
        <v>0.99796759195183404</v>
      </c>
      <c r="C2487">
        <v>1.1164712197867701</v>
      </c>
      <c r="D2487">
        <v>1.09570938017163</v>
      </c>
      <c r="E2487">
        <v>0.98451477456867398</v>
      </c>
      <c r="F2487">
        <v>0.90483146301333905</v>
      </c>
      <c r="G2487">
        <v>0.62166105597652599</v>
      </c>
      <c r="H2487">
        <v>0.37070191372797201</v>
      </c>
      <c r="I2487">
        <v>0.226046434584391</v>
      </c>
      <c r="J2487">
        <v>0.19445835086532501</v>
      </c>
      <c r="K2487">
        <v>0.13047178589680999</v>
      </c>
      <c r="L2487">
        <v>1200.7959780566</v>
      </c>
      <c r="M2487">
        <v>21.995216065865801</v>
      </c>
      <c r="N2487">
        <v>55.441321205660103</v>
      </c>
      <c r="O2487">
        <v>54.148247426862902</v>
      </c>
      <c r="P2487">
        <v>-8.7049901365023594E-2</v>
      </c>
      <c r="Q2487">
        <v>0.14281464168251401</v>
      </c>
      <c r="R2487">
        <v>0.98271396165038305</v>
      </c>
      <c r="S2487" t="s">
        <v>8070</v>
      </c>
      <c r="T2487" t="s">
        <v>11164</v>
      </c>
      <c r="U2487" t="s">
        <v>11164</v>
      </c>
      <c r="V2487" t="s">
        <v>11164</v>
      </c>
      <c r="W2487" t="s">
        <v>13614</v>
      </c>
      <c r="X2487">
        <v>4</v>
      </c>
      <c r="Y2487" t="s">
        <v>19120</v>
      </c>
      <c r="Z2487" t="s">
        <v>24637</v>
      </c>
      <c r="AA2487">
        <v>0.6543945539032916</v>
      </c>
      <c r="AB2487" t="str">
        <f>HYPERLINK("Melting_Curves/meltCurve_P54619_2_PRKAG1.pdf", "Melting_Curves/meltCurve_P54619_2_PRKAG1.pdf")</f>
        <v>Melting_Curves/meltCurve_P54619_2_PRKAG1.pdf</v>
      </c>
    </row>
    <row r="2488" spans="1:28" x14ac:dyDescent="0.25">
      <c r="A2488" t="s">
        <v>2492</v>
      </c>
      <c r="B2488">
        <v>0.99796759195183404</v>
      </c>
      <c r="C2488">
        <v>0.98143072338799298</v>
      </c>
      <c r="D2488">
        <v>0.99016582396325303</v>
      </c>
      <c r="E2488">
        <v>0.95425844231033896</v>
      </c>
      <c r="F2488">
        <v>0.78095403120166795</v>
      </c>
      <c r="G2488">
        <v>0.69490786898269297</v>
      </c>
      <c r="H2488">
        <v>0.33940488927425</v>
      </c>
      <c r="I2488">
        <v>0.14182457893088701</v>
      </c>
      <c r="J2488">
        <v>0.123821543332554</v>
      </c>
      <c r="K2488">
        <v>8.2864071924353896E-2</v>
      </c>
      <c r="L2488">
        <v>923.80144071140001</v>
      </c>
      <c r="M2488">
        <v>16.709552361791399</v>
      </c>
      <c r="N2488">
        <v>55.393456555185601</v>
      </c>
      <c r="O2488">
        <v>54.512199584751599</v>
      </c>
      <c r="P2488">
        <v>-7.5413172267134204E-2</v>
      </c>
      <c r="Q2488">
        <v>1.59721936177976E-2</v>
      </c>
      <c r="R2488">
        <v>0.99039292435689497</v>
      </c>
      <c r="S2488" t="s">
        <v>8071</v>
      </c>
      <c r="T2488" t="s">
        <v>11164</v>
      </c>
      <c r="U2488" t="s">
        <v>11164</v>
      </c>
      <c r="V2488" t="s">
        <v>11164</v>
      </c>
      <c r="W2488" t="s">
        <v>13615</v>
      </c>
      <c r="X2488">
        <v>6</v>
      </c>
      <c r="Y2488" t="s">
        <v>19121</v>
      </c>
      <c r="Z2488" t="s">
        <v>24638</v>
      </c>
      <c r="AA2488">
        <v>0.62836280710262615</v>
      </c>
      <c r="AB2488" t="str">
        <f>HYPERLINK("Melting_Curves/meltCurve_P54646_PRKAA2.pdf", "Melting_Curves/meltCurve_P54646_PRKAA2.pdf")</f>
        <v>Melting_Curves/meltCurve_P54646_PRKAA2.pdf</v>
      </c>
    </row>
    <row r="2489" spans="1:28" x14ac:dyDescent="0.25">
      <c r="A2489" t="s">
        <v>2493</v>
      </c>
      <c r="B2489">
        <v>0.99796759195183404</v>
      </c>
      <c r="C2489">
        <v>0.74482945911635101</v>
      </c>
      <c r="D2489">
        <v>0.78481390763943304</v>
      </c>
      <c r="E2489">
        <v>0.79015475907899502</v>
      </c>
      <c r="F2489">
        <v>0.516691156495794</v>
      </c>
      <c r="G2489">
        <v>0.62570654999696296</v>
      </c>
      <c r="H2489">
        <v>0.475835000122667</v>
      </c>
      <c r="I2489">
        <v>0.37161157228533698</v>
      </c>
      <c r="J2489">
        <v>0.245304556491696</v>
      </c>
      <c r="K2489">
        <v>0.176288702233766</v>
      </c>
      <c r="L2489">
        <v>303.80675295150002</v>
      </c>
      <c r="M2489">
        <v>5.6033483448652799</v>
      </c>
      <c r="N2489">
        <v>54.218787454487099</v>
      </c>
      <c r="O2489">
        <v>48.493143886515597</v>
      </c>
      <c r="P2489">
        <v>-2.90065175363096E-2</v>
      </c>
      <c r="Q2489">
        <v>0</v>
      </c>
      <c r="R2489">
        <v>0.89742985251839702</v>
      </c>
      <c r="S2489" t="s">
        <v>8072</v>
      </c>
      <c r="T2489" t="s">
        <v>11164</v>
      </c>
      <c r="U2489" t="s">
        <v>11164</v>
      </c>
      <c r="V2489" t="s">
        <v>11164</v>
      </c>
      <c r="W2489" t="s">
        <v>13616</v>
      </c>
      <c r="X2489">
        <v>20</v>
      </c>
      <c r="Y2489" t="s">
        <v>19122</v>
      </c>
      <c r="Z2489" t="s">
        <v>24639</v>
      </c>
      <c r="AA2489">
        <v>0.57576187272233825</v>
      </c>
      <c r="AB2489" t="str">
        <f>HYPERLINK("Melting_Curves/meltCurve_P54652_HSPA2.pdf", "Melting_Curves/meltCurve_P54652_HSPA2.pdf")</f>
        <v>Melting_Curves/meltCurve_P54652_HSPA2.pdf</v>
      </c>
    </row>
    <row r="2490" spans="1:28" x14ac:dyDescent="0.25">
      <c r="A2490" t="s">
        <v>2494</v>
      </c>
      <c r="B2490">
        <v>0.99796759195183404</v>
      </c>
      <c r="C2490">
        <v>0.95870863728816802</v>
      </c>
      <c r="D2490">
        <v>0.92395655407761401</v>
      </c>
      <c r="E2490">
        <v>0.82004139913926899</v>
      </c>
      <c r="F2490">
        <v>0.691723330412094</v>
      </c>
      <c r="G2490">
        <v>0.692419538166125</v>
      </c>
      <c r="H2490">
        <v>0.54281820299771399</v>
      </c>
      <c r="I2490">
        <v>0.46482411165001097</v>
      </c>
      <c r="J2490">
        <v>0.51507591063900304</v>
      </c>
      <c r="K2490">
        <v>0.35543522849750803</v>
      </c>
      <c r="L2490">
        <v>394.08902301035999</v>
      </c>
      <c r="M2490">
        <v>7.2170860056906303</v>
      </c>
      <c r="N2490">
        <v>60.3149536661805</v>
      </c>
      <c r="O2490">
        <v>50.879879346439097</v>
      </c>
      <c r="P2490">
        <v>-2.6728585789919001E-2</v>
      </c>
      <c r="Q2490">
        <v>0.247509204450368</v>
      </c>
      <c r="R2490">
        <v>0.96831254156822799</v>
      </c>
      <c r="S2490" t="s">
        <v>8073</v>
      </c>
      <c r="T2490" t="s">
        <v>11164</v>
      </c>
      <c r="U2490" t="s">
        <v>11164</v>
      </c>
      <c r="V2490" t="s">
        <v>11164</v>
      </c>
      <c r="W2490" t="s">
        <v>13617</v>
      </c>
      <c r="X2490">
        <v>6</v>
      </c>
      <c r="Y2490" t="s">
        <v>19123</v>
      </c>
      <c r="Z2490" t="s">
        <v>24640</v>
      </c>
      <c r="AA2490">
        <v>0.69426382617956495</v>
      </c>
      <c r="AB2490" t="str">
        <f>HYPERLINK("Melting_Curves/meltCurve_P54687_BCAT1.pdf", "Melting_Curves/meltCurve_P54687_BCAT1.pdf")</f>
        <v>Melting_Curves/meltCurve_P54687_BCAT1.pdf</v>
      </c>
    </row>
    <row r="2491" spans="1:28" x14ac:dyDescent="0.25">
      <c r="A2491" t="s">
        <v>2495</v>
      </c>
      <c r="B2491">
        <v>0.99796759195183404</v>
      </c>
      <c r="C2491">
        <v>0.99572841337779205</v>
      </c>
      <c r="D2491">
        <v>0.74751118623127499</v>
      </c>
      <c r="E2491">
        <v>0.777182140430146</v>
      </c>
      <c r="F2491">
        <v>0.91154838510980496</v>
      </c>
      <c r="G2491">
        <v>1.06401035645208</v>
      </c>
      <c r="H2491">
        <v>1.1059816900984001</v>
      </c>
      <c r="I2491">
        <v>0.76760184467620995</v>
      </c>
      <c r="J2491">
        <v>0.141772478987716</v>
      </c>
      <c r="K2491">
        <v>4.9530242672349199E-2</v>
      </c>
      <c r="L2491">
        <v>4381.9872071726304</v>
      </c>
      <c r="M2491">
        <v>70.680186261614196</v>
      </c>
      <c r="N2491">
        <v>62.089931949775099</v>
      </c>
      <c r="O2491">
        <v>61.947807769290399</v>
      </c>
      <c r="P2491">
        <v>-0.27098107694660301</v>
      </c>
      <c r="Q2491">
        <v>4.9992165478242298E-2</v>
      </c>
      <c r="R2491">
        <v>0.88872374840386703</v>
      </c>
      <c r="S2491" t="s">
        <v>8074</v>
      </c>
      <c r="T2491" t="s">
        <v>11164</v>
      </c>
      <c r="U2491" t="s">
        <v>11164</v>
      </c>
      <c r="V2491" t="s">
        <v>11164</v>
      </c>
      <c r="W2491" t="s">
        <v>13618</v>
      </c>
      <c r="X2491">
        <v>5</v>
      </c>
      <c r="Y2491" t="s">
        <v>19124</v>
      </c>
      <c r="Z2491" t="s">
        <v>24641</v>
      </c>
      <c r="AA2491">
        <v>0.84270874573416077</v>
      </c>
      <c r="AB2491" t="str">
        <f>HYPERLINK("Melting_Curves/meltCurve_P54707_ATP12A.pdf", "Melting_Curves/meltCurve_P54707_ATP12A.pdf")</f>
        <v>Melting_Curves/meltCurve_P54707_ATP12A.pdf</v>
      </c>
    </row>
    <row r="2492" spans="1:28" x14ac:dyDescent="0.25">
      <c r="A2492" t="s">
        <v>2496</v>
      </c>
      <c r="B2492">
        <v>0.99796759195183404</v>
      </c>
      <c r="C2492">
        <v>1.02939567714882</v>
      </c>
      <c r="D2492">
        <v>1.01806343111344</v>
      </c>
      <c r="E2492">
        <v>0.98428961102558099</v>
      </c>
      <c r="F2492">
        <v>0.85164568350937897</v>
      </c>
      <c r="G2492">
        <v>0.89400370388011097</v>
      </c>
      <c r="H2492">
        <v>0.73454598252437897</v>
      </c>
      <c r="I2492">
        <v>0.56236514118616299</v>
      </c>
      <c r="J2492">
        <v>0.27832022141350099</v>
      </c>
      <c r="K2492">
        <v>0.229125026128144</v>
      </c>
      <c r="L2492">
        <v>889.36910369600696</v>
      </c>
      <c r="M2492">
        <v>14.535974440634799</v>
      </c>
      <c r="N2492">
        <v>61.1840035629372</v>
      </c>
      <c r="O2492">
        <v>60.061001288846498</v>
      </c>
      <c r="P2492">
        <v>-6.05119596480247E-2</v>
      </c>
      <c r="Q2492">
        <v>0</v>
      </c>
      <c r="R2492">
        <v>0.97579550958490502</v>
      </c>
      <c r="S2492" t="s">
        <v>8075</v>
      </c>
      <c r="T2492" t="s">
        <v>11164</v>
      </c>
      <c r="U2492" t="s">
        <v>11164</v>
      </c>
      <c r="V2492" t="s">
        <v>11164</v>
      </c>
      <c r="W2492" t="s">
        <v>13619</v>
      </c>
      <c r="X2492">
        <v>9</v>
      </c>
      <c r="Y2492" t="s">
        <v>19125</v>
      </c>
      <c r="Z2492" t="s">
        <v>24642</v>
      </c>
      <c r="AA2492">
        <v>0.78931298414354734</v>
      </c>
      <c r="AB2492" t="str">
        <f>HYPERLINK("Melting_Curves/meltCurve_P54709_ATP1B3.pdf", "Melting_Curves/meltCurve_P54709_ATP1B3.pdf")</f>
        <v>Melting_Curves/meltCurve_P54709_ATP1B3.pdf</v>
      </c>
    </row>
    <row r="2493" spans="1:28" x14ac:dyDescent="0.25">
      <c r="A2493" t="s">
        <v>2497</v>
      </c>
      <c r="B2493">
        <v>0.99796759195183404</v>
      </c>
      <c r="C2493">
        <v>0.96511843750834103</v>
      </c>
      <c r="D2493">
        <v>1.0186599382588299</v>
      </c>
      <c r="E2493">
        <v>1.0121600777319</v>
      </c>
      <c r="F2493">
        <v>0.87852569617596399</v>
      </c>
      <c r="G2493">
        <v>0.561675539102515</v>
      </c>
      <c r="H2493">
        <v>0.68007599847871703</v>
      </c>
      <c r="I2493">
        <v>0.71256953815218504</v>
      </c>
      <c r="J2493">
        <v>0.95374846555256798</v>
      </c>
      <c r="K2493">
        <v>1.09381370713891</v>
      </c>
      <c r="L2493">
        <v>12527.8575005862</v>
      </c>
      <c r="M2493">
        <v>250</v>
      </c>
      <c r="O2493">
        <v>50.108223603541902</v>
      </c>
      <c r="P2493">
        <v>-0.248990252758891</v>
      </c>
      <c r="Q2493">
        <v>0.80037665366315203</v>
      </c>
      <c r="R2493">
        <v>0.31421568160171498</v>
      </c>
      <c r="S2493" t="s">
        <v>8076</v>
      </c>
      <c r="T2493" t="s">
        <v>11164</v>
      </c>
      <c r="U2493" t="s">
        <v>11164</v>
      </c>
      <c r="V2493" t="s">
        <v>11164</v>
      </c>
      <c r="W2493" t="s">
        <v>13620</v>
      </c>
      <c r="X2493">
        <v>14</v>
      </c>
      <c r="Y2493" t="s">
        <v>19126</v>
      </c>
      <c r="Z2493" t="s">
        <v>24643</v>
      </c>
      <c r="AA2493">
        <v>0.88763912723869209</v>
      </c>
      <c r="AB2493" t="str">
        <f>HYPERLINK("Melting_Curves/meltCurve_P54727_RAD23B.pdf", "Melting_Curves/meltCurve_P54727_RAD23B.pdf")</f>
        <v>Melting_Curves/meltCurve_P54727_RAD23B.pdf</v>
      </c>
    </row>
    <row r="2494" spans="1:28" x14ac:dyDescent="0.25">
      <c r="A2494" t="s">
        <v>2498</v>
      </c>
      <c r="B2494">
        <v>0.99796759195183404</v>
      </c>
      <c r="C2494">
        <v>0.99216491185226796</v>
      </c>
      <c r="D2494">
        <v>0.93246120886573503</v>
      </c>
      <c r="E2494">
        <v>0.86529768040255195</v>
      </c>
      <c r="F2494">
        <v>0.61340653862515604</v>
      </c>
      <c r="G2494">
        <v>0.89073165364755302</v>
      </c>
      <c r="H2494">
        <v>0.95982349879401696</v>
      </c>
      <c r="I2494">
        <v>0.90265802821664298</v>
      </c>
      <c r="J2494">
        <v>0.76341195295711906</v>
      </c>
      <c r="K2494">
        <v>0.17682556041869199</v>
      </c>
      <c r="L2494">
        <v>3785.9475521848899</v>
      </c>
      <c r="M2494">
        <v>57.975057341372498</v>
      </c>
      <c r="N2494">
        <v>65.303024129891</v>
      </c>
      <c r="O2494">
        <v>65.225478959802501</v>
      </c>
      <c r="P2494">
        <v>-0.22221026855461401</v>
      </c>
      <c r="Q2494">
        <v>0</v>
      </c>
      <c r="R2494">
        <v>0.65956109856574696</v>
      </c>
      <c r="S2494" t="s">
        <v>8077</v>
      </c>
      <c r="T2494" t="s">
        <v>11164</v>
      </c>
      <c r="U2494" t="s">
        <v>11164</v>
      </c>
      <c r="V2494" t="s">
        <v>11164</v>
      </c>
      <c r="W2494" t="s">
        <v>13621</v>
      </c>
      <c r="X2494">
        <v>2</v>
      </c>
      <c r="Y2494" t="s">
        <v>19127</v>
      </c>
      <c r="Z2494" t="s">
        <v>24644</v>
      </c>
      <c r="AA2494">
        <v>0.93705942651058138</v>
      </c>
      <c r="AB2494" t="str">
        <f>HYPERLINK("Melting_Curves/meltCurve_P54802_NAGLU.pdf", "Melting_Curves/meltCurve_P54802_NAGLU.pdf")</f>
        <v>Melting_Curves/meltCurve_P54802_NAGLU.pdf</v>
      </c>
    </row>
    <row r="2495" spans="1:28" x14ac:dyDescent="0.25">
      <c r="A2495" t="s">
        <v>2499</v>
      </c>
      <c r="B2495">
        <v>0.99796759195183404</v>
      </c>
      <c r="C2495">
        <v>1.05057314901932</v>
      </c>
      <c r="D2495">
        <v>1.0388479126197001</v>
      </c>
      <c r="E2495">
        <v>1.01695650352239</v>
      </c>
      <c r="F2495">
        <v>0.90779832685000805</v>
      </c>
      <c r="G2495">
        <v>0.66340039456844102</v>
      </c>
      <c r="H2495">
        <v>0.72134348499637602</v>
      </c>
      <c r="I2495">
        <v>0.56330603596513995</v>
      </c>
      <c r="J2495">
        <v>0.60378372155566096</v>
      </c>
      <c r="K2495">
        <v>0.241024320813331</v>
      </c>
      <c r="L2495">
        <v>542.26739571069902</v>
      </c>
      <c r="M2495">
        <v>8.6505995853441195</v>
      </c>
      <c r="N2495">
        <v>62.685524173898699</v>
      </c>
      <c r="O2495">
        <v>59.605719192963001</v>
      </c>
      <c r="P2495">
        <v>-3.63131903667415E-2</v>
      </c>
      <c r="Q2495">
        <v>0</v>
      </c>
      <c r="R2495">
        <v>0.89054419188946798</v>
      </c>
      <c r="S2495" t="s">
        <v>8078</v>
      </c>
      <c r="T2495" t="s">
        <v>11164</v>
      </c>
      <c r="U2495" t="s">
        <v>11164</v>
      </c>
      <c r="V2495" t="s">
        <v>11164</v>
      </c>
      <c r="W2495" t="s">
        <v>13622</v>
      </c>
      <c r="X2495">
        <v>28</v>
      </c>
      <c r="Y2495" t="s">
        <v>19128</v>
      </c>
      <c r="Z2495" t="s">
        <v>24645</v>
      </c>
      <c r="AA2495">
        <v>0.78466566722858277</v>
      </c>
      <c r="AB2495" t="str">
        <f>HYPERLINK("Melting_Curves/meltCurve_P54819_AK2.pdf", "Melting_Curves/meltCurve_P54819_AK2.pdf")</f>
        <v>Melting_Curves/meltCurve_P54819_AK2.pdf</v>
      </c>
    </row>
    <row r="2496" spans="1:28" x14ac:dyDescent="0.25">
      <c r="A2496" t="s">
        <v>2500</v>
      </c>
      <c r="B2496">
        <v>0.99796759195183404</v>
      </c>
      <c r="C2496">
        <v>1.02495990753445</v>
      </c>
      <c r="D2496">
        <v>0.94844412357729502</v>
      </c>
      <c r="E2496">
        <v>0.91710767836354001</v>
      </c>
      <c r="F2496">
        <v>0.94149627831310101</v>
      </c>
      <c r="G2496">
        <v>0.75885612530331703</v>
      </c>
      <c r="H2496">
        <v>0.87270502834797703</v>
      </c>
      <c r="I2496">
        <v>0.74925363263142697</v>
      </c>
      <c r="J2496">
        <v>0.88328704888370002</v>
      </c>
      <c r="K2496">
        <v>0.66326122654762898</v>
      </c>
      <c r="L2496">
        <v>390.27364990990401</v>
      </c>
      <c r="M2496">
        <v>6.9967074120916601</v>
      </c>
      <c r="O2496">
        <v>51.759114120469803</v>
      </c>
      <c r="P2496">
        <v>-1.12576356757007E-2</v>
      </c>
      <c r="Q2496">
        <v>0.66749782112154998</v>
      </c>
      <c r="R2496">
        <v>0.67941526679078401</v>
      </c>
      <c r="S2496" t="s">
        <v>8079</v>
      </c>
      <c r="T2496" t="s">
        <v>11164</v>
      </c>
      <c r="U2496" t="s">
        <v>11164</v>
      </c>
      <c r="V2496" t="s">
        <v>11164</v>
      </c>
      <c r="W2496" t="s">
        <v>13623</v>
      </c>
      <c r="X2496">
        <v>14</v>
      </c>
      <c r="Y2496" t="s">
        <v>19129</v>
      </c>
      <c r="Z2496" t="s">
        <v>24646</v>
      </c>
      <c r="AA2496">
        <v>0.87374069292413969</v>
      </c>
      <c r="AB2496" t="str">
        <f>HYPERLINK("Melting_Curves/meltCurve_P54826_GAS1.pdf", "Melting_Curves/meltCurve_P54826_GAS1.pdf")</f>
        <v>Melting_Curves/meltCurve_P54826_GAS1.pdf</v>
      </c>
    </row>
    <row r="2497" spans="1:28" x14ac:dyDescent="0.25">
      <c r="A2497" t="s">
        <v>2501</v>
      </c>
      <c r="B2497">
        <v>0.99796759195183404</v>
      </c>
      <c r="C2497">
        <v>1.0017298141492801</v>
      </c>
      <c r="D2497">
        <v>0.96088487033943704</v>
      </c>
      <c r="E2497">
        <v>0.92219912135154702</v>
      </c>
      <c r="F2497">
        <v>0.84420915823568898</v>
      </c>
      <c r="G2497">
        <v>0.970905551159435</v>
      </c>
      <c r="H2497">
        <v>0.223793169256533</v>
      </c>
      <c r="I2497">
        <v>0.160916479939919</v>
      </c>
      <c r="J2497">
        <v>0.108770942936302</v>
      </c>
      <c r="K2497">
        <v>8.75238527860525E-2</v>
      </c>
      <c r="L2497">
        <v>4534.8385937489202</v>
      </c>
      <c r="M2497">
        <v>80.988888440539995</v>
      </c>
      <c r="N2497">
        <v>56.180751480850198</v>
      </c>
      <c r="O2497">
        <v>55.959231514363601</v>
      </c>
      <c r="P2497">
        <v>-0.31899433445549202</v>
      </c>
      <c r="Q2497">
        <v>0.11836422052841999</v>
      </c>
      <c r="R2497">
        <v>0.978121154379618</v>
      </c>
      <c r="S2497" t="s">
        <v>8080</v>
      </c>
      <c r="T2497" t="s">
        <v>11164</v>
      </c>
      <c r="U2497" t="s">
        <v>11164</v>
      </c>
      <c r="V2497" t="s">
        <v>11164</v>
      </c>
      <c r="W2497" t="s">
        <v>13624</v>
      </c>
      <c r="X2497">
        <v>20</v>
      </c>
      <c r="Y2497" t="s">
        <v>19130</v>
      </c>
      <c r="Z2497" t="s">
        <v>24647</v>
      </c>
      <c r="AA2497">
        <v>0.67736494201239483</v>
      </c>
      <c r="AB2497" t="str">
        <f>HYPERLINK("Melting_Curves/meltCurve_P54886_2_ALDH18A1.pdf", "Melting_Curves/meltCurve_P54886_2_ALDH18A1.pdf")</f>
        <v>Melting_Curves/meltCurve_P54886_2_ALDH18A1.pdf</v>
      </c>
    </row>
    <row r="2498" spans="1:28" x14ac:dyDescent="0.25">
      <c r="A2498" t="s">
        <v>2502</v>
      </c>
      <c r="B2498">
        <v>0.99796759195183404</v>
      </c>
      <c r="C2498">
        <v>1.00833653492046</v>
      </c>
      <c r="D2498">
        <v>0.96995658078124503</v>
      </c>
      <c r="E2498">
        <v>0.88628875018276199</v>
      </c>
      <c r="F2498">
        <v>0.818919100730366</v>
      </c>
      <c r="G2498">
        <v>0.54549364892082997</v>
      </c>
      <c r="H2498">
        <v>0.38949855494274499</v>
      </c>
      <c r="I2498">
        <v>0.24609862678924299</v>
      </c>
      <c r="J2498">
        <v>0.18330130385610299</v>
      </c>
      <c r="K2498">
        <v>0.13881150548189999</v>
      </c>
      <c r="L2498">
        <v>749.71526519395002</v>
      </c>
      <c r="M2498">
        <v>13.7834001240291</v>
      </c>
      <c r="N2498">
        <v>55.069584199887302</v>
      </c>
      <c r="O2498">
        <v>53.2860352267571</v>
      </c>
      <c r="P2498">
        <v>-5.9635802421792401E-2</v>
      </c>
      <c r="Q2498">
        <v>7.7931833335903103E-2</v>
      </c>
      <c r="R2498">
        <v>0.99674828127280901</v>
      </c>
      <c r="S2498" t="s">
        <v>8081</v>
      </c>
      <c r="T2498" t="s">
        <v>11164</v>
      </c>
      <c r="U2498" t="s">
        <v>11164</v>
      </c>
      <c r="V2498" t="s">
        <v>11164</v>
      </c>
      <c r="W2498" t="s">
        <v>13625</v>
      </c>
      <c r="X2498">
        <v>13</v>
      </c>
      <c r="Y2498" t="s">
        <v>19131</v>
      </c>
      <c r="Z2498" t="s">
        <v>24648</v>
      </c>
      <c r="AA2498">
        <v>0.62734377824469567</v>
      </c>
      <c r="AB2498" t="str">
        <f>HYPERLINK("Melting_Curves/meltCurve_P54920_NAPA.pdf", "Melting_Curves/meltCurve_P54920_NAPA.pdf")</f>
        <v>Melting_Curves/meltCurve_P54920_NAPA.pdf</v>
      </c>
    </row>
    <row r="2499" spans="1:28" x14ac:dyDescent="0.25">
      <c r="A2499" t="s">
        <v>2503</v>
      </c>
      <c r="B2499">
        <v>0.99796759195183404</v>
      </c>
      <c r="C2499">
        <v>1.0533223567416199</v>
      </c>
      <c r="D2499">
        <v>1.03914470471908</v>
      </c>
      <c r="E2499">
        <v>0.97001750000367803</v>
      </c>
      <c r="F2499">
        <v>0.86147302913575896</v>
      </c>
      <c r="G2499">
        <v>0.53115267973641</v>
      </c>
      <c r="H2499">
        <v>0.30498315691744798</v>
      </c>
      <c r="I2499">
        <v>0.23139257739178901</v>
      </c>
      <c r="J2499">
        <v>0.24114587823383801</v>
      </c>
      <c r="K2499">
        <v>0.20636233463326101</v>
      </c>
      <c r="L2499">
        <v>1435.2111897457501</v>
      </c>
      <c r="M2499">
        <v>27.069661874468899</v>
      </c>
      <c r="N2499">
        <v>54.1495760279997</v>
      </c>
      <c r="O2499">
        <v>52.732368374039702</v>
      </c>
      <c r="P2499">
        <v>-0.100635470861088</v>
      </c>
      <c r="Q2499">
        <v>0.21584625248483999</v>
      </c>
      <c r="R2499">
        <v>0.99588229016726104</v>
      </c>
      <c r="S2499" t="s">
        <v>8082</v>
      </c>
      <c r="T2499" t="s">
        <v>11164</v>
      </c>
      <c r="U2499" t="s">
        <v>11164</v>
      </c>
      <c r="V2499" t="s">
        <v>11164</v>
      </c>
      <c r="W2499" t="s">
        <v>13626</v>
      </c>
      <c r="X2499">
        <v>14</v>
      </c>
      <c r="Y2499" t="s">
        <v>19132</v>
      </c>
      <c r="Z2499" t="s">
        <v>24649</v>
      </c>
      <c r="AA2499">
        <v>0.64058870099842269</v>
      </c>
      <c r="AB2499" t="str">
        <f>HYPERLINK("Melting_Curves/meltCurve_P55010_EIF5.pdf", "Melting_Curves/meltCurve_P55010_EIF5.pdf")</f>
        <v>Melting_Curves/meltCurve_P55010_EIF5.pdf</v>
      </c>
    </row>
    <row r="2500" spans="1:28" x14ac:dyDescent="0.25">
      <c r="A2500" t="s">
        <v>2504</v>
      </c>
      <c r="B2500">
        <v>0.99796759195183404</v>
      </c>
      <c r="C2500">
        <v>0.93893379184522296</v>
      </c>
      <c r="D2500">
        <v>0.95140845039002397</v>
      </c>
      <c r="E2500">
        <v>0.89917294780287205</v>
      </c>
      <c r="F2500">
        <v>0.805401455262855</v>
      </c>
      <c r="G2500">
        <v>0.80963664181261097</v>
      </c>
      <c r="H2500">
        <v>0.50544045787356795</v>
      </c>
      <c r="I2500">
        <v>0.27426052684681501</v>
      </c>
      <c r="J2500">
        <v>0.20601163866685099</v>
      </c>
      <c r="K2500">
        <v>0.130534801170783</v>
      </c>
      <c r="L2500">
        <v>763.91890689659704</v>
      </c>
      <c r="M2500">
        <v>13.286345761364601</v>
      </c>
      <c r="N2500">
        <v>57.4965399001753</v>
      </c>
      <c r="O2500">
        <v>56.240857820167101</v>
      </c>
      <c r="P2500">
        <v>-5.9069609345344699E-2</v>
      </c>
      <c r="Q2500">
        <v>0</v>
      </c>
      <c r="R2500">
        <v>0.97691338646067205</v>
      </c>
      <c r="S2500" t="s">
        <v>8083</v>
      </c>
      <c r="T2500" t="s">
        <v>11164</v>
      </c>
      <c r="U2500" t="s">
        <v>11164</v>
      </c>
      <c r="V2500" t="s">
        <v>11164</v>
      </c>
      <c r="W2500" t="s">
        <v>13627</v>
      </c>
      <c r="X2500">
        <v>12</v>
      </c>
      <c r="Y2500" t="s">
        <v>19133</v>
      </c>
      <c r="Z2500" t="s">
        <v>24650</v>
      </c>
      <c r="AA2500">
        <v>0.68747793441786598</v>
      </c>
      <c r="AB2500" t="str">
        <f>HYPERLINK("Melting_Curves/meltCurve_P55011_3_SLC12A2.pdf", "Melting_Curves/meltCurve_P55011_3_SLC12A2.pdf")</f>
        <v>Melting_Curves/meltCurve_P55011_3_SLC12A2.pdf</v>
      </c>
    </row>
    <row r="2501" spans="1:28" x14ac:dyDescent="0.25">
      <c r="A2501" t="s">
        <v>2505</v>
      </c>
      <c r="B2501">
        <v>0.99796759195183404</v>
      </c>
      <c r="C2501">
        <v>0.90883476001566599</v>
      </c>
      <c r="D2501">
        <v>0.90569655690875495</v>
      </c>
      <c r="E2501">
        <v>0.86343121486557195</v>
      </c>
      <c r="F2501">
        <v>0.73392309141456702</v>
      </c>
      <c r="G2501">
        <v>0.48779875501085102</v>
      </c>
      <c r="H2501">
        <v>0.44014497441533201</v>
      </c>
      <c r="I2501">
        <v>0.51943744618144105</v>
      </c>
      <c r="J2501">
        <v>0.38551214173015202</v>
      </c>
      <c r="K2501">
        <v>0.27418812604853199</v>
      </c>
      <c r="L2501">
        <v>498.34405802846697</v>
      </c>
      <c r="M2501">
        <v>9.5588293199494405</v>
      </c>
      <c r="N2501">
        <v>56.414073087700103</v>
      </c>
      <c r="O2501">
        <v>50.005787510331501</v>
      </c>
      <c r="P2501">
        <v>-3.54857204871801E-2</v>
      </c>
      <c r="Q2501">
        <v>0.25787280994518202</v>
      </c>
      <c r="R2501">
        <v>0.94621932187726299</v>
      </c>
      <c r="S2501" t="s">
        <v>8084</v>
      </c>
      <c r="T2501" t="s">
        <v>11164</v>
      </c>
      <c r="U2501" t="s">
        <v>11164</v>
      </c>
      <c r="V2501" t="s">
        <v>11164</v>
      </c>
      <c r="W2501" t="s">
        <v>13628</v>
      </c>
      <c r="X2501">
        <v>12</v>
      </c>
      <c r="Y2501" t="s">
        <v>19134</v>
      </c>
      <c r="Z2501" t="s">
        <v>24651</v>
      </c>
      <c r="AA2501">
        <v>0.65200014751520974</v>
      </c>
      <c r="AB2501" t="str">
        <f>HYPERLINK("Melting_Curves/meltCurve_P55036_PSMD4.pdf", "Melting_Curves/meltCurve_P55036_PSMD4.pdf")</f>
        <v>Melting_Curves/meltCurve_P55036_PSMD4.pdf</v>
      </c>
    </row>
    <row r="2502" spans="1:28" x14ac:dyDescent="0.25">
      <c r="A2502" t="s">
        <v>2506</v>
      </c>
      <c r="B2502">
        <v>0.99796759195183404</v>
      </c>
      <c r="C2502">
        <v>1.01302192829821</v>
      </c>
      <c r="D2502">
        <v>1.03579980265635</v>
      </c>
      <c r="E2502">
        <v>0.98759123509900604</v>
      </c>
      <c r="F2502">
        <v>0.83289495708361705</v>
      </c>
      <c r="G2502">
        <v>0.56932689696754601</v>
      </c>
      <c r="H2502">
        <v>0.31378374020209798</v>
      </c>
      <c r="I2502">
        <v>0.171263778654866</v>
      </c>
      <c r="J2502">
        <v>0.10417545621947701</v>
      </c>
      <c r="K2502">
        <v>8.7709449325423197E-2</v>
      </c>
      <c r="L2502">
        <v>1062.1366760456301</v>
      </c>
      <c r="M2502">
        <v>19.564709427268301</v>
      </c>
      <c r="N2502">
        <v>54.690652426539401</v>
      </c>
      <c r="O2502">
        <v>53.7307783982505</v>
      </c>
      <c r="P2502">
        <v>-8.4933909655664205E-2</v>
      </c>
      <c r="Q2502">
        <v>6.7013490220080005E-2</v>
      </c>
      <c r="R2502">
        <v>0.998191510503466</v>
      </c>
      <c r="S2502" t="s">
        <v>8085</v>
      </c>
      <c r="T2502" t="s">
        <v>11164</v>
      </c>
      <c r="U2502" t="s">
        <v>11164</v>
      </c>
      <c r="V2502" t="s">
        <v>11164</v>
      </c>
      <c r="W2502" t="s">
        <v>13629</v>
      </c>
      <c r="X2502">
        <v>13</v>
      </c>
      <c r="Y2502" t="s">
        <v>19135</v>
      </c>
      <c r="Z2502" t="s">
        <v>24652</v>
      </c>
      <c r="AA2502">
        <v>0.61608327853030709</v>
      </c>
      <c r="AB2502" t="str">
        <f>HYPERLINK("Melting_Curves/meltCurve_P55039_DRG2.pdf", "Melting_Curves/meltCurve_P55039_DRG2.pdf")</f>
        <v>Melting_Curves/meltCurve_P55039_DRG2.pdf</v>
      </c>
    </row>
    <row r="2503" spans="1:28" x14ac:dyDescent="0.25">
      <c r="A2503" t="s">
        <v>2507</v>
      </c>
      <c r="B2503">
        <v>0.99796759195183404</v>
      </c>
      <c r="C2503">
        <v>1.0265785266545999</v>
      </c>
      <c r="D2503">
        <v>1.02909651464527</v>
      </c>
      <c r="E2503">
        <v>0.96899949005347197</v>
      </c>
      <c r="F2503">
        <v>0.86283939275034405</v>
      </c>
      <c r="G2503">
        <v>0.42199970259247599</v>
      </c>
      <c r="H2503">
        <v>0.13476676643968799</v>
      </c>
      <c r="I2503">
        <v>9.9789940615812298E-2</v>
      </c>
      <c r="J2503">
        <v>7.6493259473500996E-2</v>
      </c>
      <c r="K2503">
        <v>5.6949262521468397E-2</v>
      </c>
      <c r="L2503">
        <v>1674.7229532991901</v>
      </c>
      <c r="M2503">
        <v>31.626822284175599</v>
      </c>
      <c r="N2503">
        <v>53.202573076749097</v>
      </c>
      <c r="O2503">
        <v>52.742259951870899</v>
      </c>
      <c r="P2503">
        <v>-0.1395632082561</v>
      </c>
      <c r="Q2503">
        <v>6.9038295165631702E-2</v>
      </c>
      <c r="R2503">
        <v>0.99860876133809195</v>
      </c>
      <c r="S2503" t="s">
        <v>8086</v>
      </c>
      <c r="T2503" t="s">
        <v>11164</v>
      </c>
      <c r="U2503" t="s">
        <v>11164</v>
      </c>
      <c r="V2503" t="s">
        <v>11164</v>
      </c>
      <c r="W2503" t="s">
        <v>13630</v>
      </c>
      <c r="X2503">
        <v>37</v>
      </c>
      <c r="Y2503" t="s">
        <v>19136</v>
      </c>
      <c r="Z2503" t="s">
        <v>24653</v>
      </c>
      <c r="AA2503">
        <v>0.56944287024834661</v>
      </c>
      <c r="AB2503" t="str">
        <f>HYPERLINK("Melting_Curves/meltCurve_P55060_3_CSE1L.pdf", "Melting_Curves/meltCurve_P55060_3_CSE1L.pdf")</f>
        <v>Melting_Curves/meltCurve_P55060_3_CSE1L.pdf</v>
      </c>
    </row>
    <row r="2504" spans="1:28" x14ac:dyDescent="0.25">
      <c r="A2504" t="s">
        <v>2508</v>
      </c>
      <c r="B2504">
        <v>0.99796759195183404</v>
      </c>
      <c r="C2504">
        <v>1.0012325081676601</v>
      </c>
      <c r="D2504">
        <v>0.94894965086255101</v>
      </c>
      <c r="E2504">
        <v>0.99135621356466797</v>
      </c>
      <c r="F2504">
        <v>0.95570880445598605</v>
      </c>
      <c r="G2504">
        <v>1.7101366435479901</v>
      </c>
      <c r="H2504">
        <v>1.6554067877124501</v>
      </c>
      <c r="I2504">
        <v>2.7425371044100602</v>
      </c>
      <c r="J2504">
        <v>1.8907708983240601</v>
      </c>
      <c r="K2504">
        <v>1.15585037391872</v>
      </c>
      <c r="L2504">
        <v>12945.8562565834</v>
      </c>
      <c r="M2504">
        <v>250</v>
      </c>
      <c r="O2504">
        <v>51.780111079637997</v>
      </c>
      <c r="P2504">
        <v>0.60351357488306601</v>
      </c>
      <c r="Q2504">
        <v>1.5</v>
      </c>
      <c r="R2504">
        <v>0.40110342237652302</v>
      </c>
      <c r="S2504" t="s">
        <v>8087</v>
      </c>
      <c r="T2504" t="s">
        <v>11164</v>
      </c>
      <c r="U2504" t="s">
        <v>11164</v>
      </c>
      <c r="V2504" t="s">
        <v>11164</v>
      </c>
      <c r="W2504" t="s">
        <v>13631</v>
      </c>
      <c r="X2504">
        <v>47</v>
      </c>
      <c r="Y2504" t="s">
        <v>19137</v>
      </c>
      <c r="Z2504" t="s">
        <v>24654</v>
      </c>
      <c r="AA2504">
        <v>1.253564143341942</v>
      </c>
      <c r="AB2504" t="str">
        <f>HYPERLINK("Melting_Curves/meltCurve_P55072_VCP.pdf", "Melting_Curves/meltCurve_P55072_VCP.pdf")</f>
        <v>Melting_Curves/meltCurve_P55072_VCP.pdf</v>
      </c>
    </row>
    <row r="2505" spans="1:28" x14ac:dyDescent="0.25">
      <c r="A2505" t="s">
        <v>2509</v>
      </c>
      <c r="B2505">
        <v>0.99796759195183404</v>
      </c>
      <c r="C2505">
        <v>1.01425912044857</v>
      </c>
      <c r="D2505">
        <v>0.97107177627408403</v>
      </c>
      <c r="E2505">
        <v>0.95883903249165203</v>
      </c>
      <c r="F2505">
        <v>1.0308579298578799</v>
      </c>
      <c r="G2505">
        <v>1.1408827277771001</v>
      </c>
      <c r="H2505">
        <v>1.2327575944791</v>
      </c>
      <c r="I2505">
        <v>1.10036800898709</v>
      </c>
      <c r="J2505">
        <v>1.42953234582439</v>
      </c>
      <c r="K2505">
        <v>1.28649370788124</v>
      </c>
      <c r="L2505">
        <v>770.83573293333097</v>
      </c>
      <c r="M2505">
        <v>13.373286485562801</v>
      </c>
      <c r="O2505">
        <v>56.396882778493399</v>
      </c>
      <c r="P2505">
        <v>2.2185343508730099E-2</v>
      </c>
      <c r="Q2505">
        <v>1.3741746761714799</v>
      </c>
      <c r="R2505">
        <v>0.76781164601483698</v>
      </c>
      <c r="S2505" t="s">
        <v>8088</v>
      </c>
      <c r="T2505" t="s">
        <v>11164</v>
      </c>
      <c r="U2505" t="s">
        <v>11164</v>
      </c>
      <c r="V2505" t="s">
        <v>11164</v>
      </c>
      <c r="W2505" t="s">
        <v>13632</v>
      </c>
      <c r="X2505">
        <v>21</v>
      </c>
      <c r="Y2505" t="s">
        <v>19138</v>
      </c>
      <c r="Z2505" t="s">
        <v>24655</v>
      </c>
      <c r="AA2505">
        <v>1.1153709106014149</v>
      </c>
      <c r="AB2505" t="str">
        <f>HYPERLINK("Melting_Curves/meltCurve_P55081_MFAP1.pdf", "Melting_Curves/meltCurve_P55081_MFAP1.pdf")</f>
        <v>Melting_Curves/meltCurve_P55081_MFAP1.pdf</v>
      </c>
    </row>
    <row r="2506" spans="1:28" x14ac:dyDescent="0.25">
      <c r="A2506" t="s">
        <v>2510</v>
      </c>
      <c r="B2506">
        <v>0.99796759195183404</v>
      </c>
      <c r="C2506">
        <v>0.98550846941668402</v>
      </c>
      <c r="D2506">
        <v>0.86879348081735397</v>
      </c>
      <c r="E2506">
        <v>0.80934401579999604</v>
      </c>
      <c r="F2506">
        <v>0.76128025489089302</v>
      </c>
      <c r="G2506">
        <v>0.47805224675965402</v>
      </c>
      <c r="H2506">
        <v>0.31565596558503001</v>
      </c>
      <c r="I2506">
        <v>0.30578543702696798</v>
      </c>
      <c r="J2506">
        <v>0.23349969152960601</v>
      </c>
      <c r="K2506">
        <v>0.13845765825497999</v>
      </c>
      <c r="L2506">
        <v>536.613514887105</v>
      </c>
      <c r="M2506">
        <v>10.0283030255817</v>
      </c>
      <c r="N2506">
        <v>54.106197611426097</v>
      </c>
      <c r="O2506">
        <v>51.512682535511701</v>
      </c>
      <c r="P2506">
        <v>-4.6145109627070399E-2</v>
      </c>
      <c r="Q2506">
        <v>5.2315899280949103E-2</v>
      </c>
      <c r="R2506">
        <v>0.981486665395636</v>
      </c>
      <c r="S2506" t="s">
        <v>8089</v>
      </c>
      <c r="T2506" t="s">
        <v>11164</v>
      </c>
      <c r="U2506" t="s">
        <v>11164</v>
      </c>
      <c r="V2506" t="s">
        <v>11164</v>
      </c>
      <c r="W2506" t="s">
        <v>13633</v>
      </c>
      <c r="X2506">
        <v>2</v>
      </c>
      <c r="Y2506" t="s">
        <v>19139</v>
      </c>
      <c r="Z2506" t="s">
        <v>24656</v>
      </c>
      <c r="AA2506">
        <v>0.59282870665386012</v>
      </c>
      <c r="AB2506" t="str">
        <f>HYPERLINK("Melting_Curves/meltCurve_P55082_2_MFAP3.pdf", "Melting_Curves/meltCurve_P55082_2_MFAP3.pdf")</f>
        <v>Melting_Curves/meltCurve_P55082_2_MFAP3.pdf</v>
      </c>
    </row>
    <row r="2507" spans="1:28" x14ac:dyDescent="0.25">
      <c r="A2507" t="s">
        <v>2511</v>
      </c>
      <c r="B2507">
        <v>0.99796759195183404</v>
      </c>
      <c r="C2507">
        <v>1.0284915092276901</v>
      </c>
      <c r="D2507">
        <v>1.0682486966807301</v>
      </c>
      <c r="E2507">
        <v>1.03739601367308</v>
      </c>
      <c r="F2507">
        <v>0.88439907884416402</v>
      </c>
      <c r="G2507">
        <v>0.65376685180044203</v>
      </c>
      <c r="H2507">
        <v>0.73830327041636401</v>
      </c>
      <c r="I2507">
        <v>0.62133326318859505</v>
      </c>
      <c r="J2507">
        <v>0.79283730157527998</v>
      </c>
      <c r="K2507">
        <v>0.74534335646402605</v>
      </c>
      <c r="L2507">
        <v>12570.551069159799</v>
      </c>
      <c r="M2507">
        <v>250</v>
      </c>
      <c r="O2507">
        <v>50.278986537174397</v>
      </c>
      <c r="P2507">
        <v>-0.36009476069131402</v>
      </c>
      <c r="Q2507">
        <v>0.71031680627246296</v>
      </c>
      <c r="R2507">
        <v>0.89475348335617799</v>
      </c>
      <c r="S2507" t="s">
        <v>8090</v>
      </c>
      <c r="T2507" t="s">
        <v>11164</v>
      </c>
      <c r="U2507" t="s">
        <v>11164</v>
      </c>
      <c r="V2507" t="s">
        <v>11164</v>
      </c>
      <c r="W2507" t="s">
        <v>13634</v>
      </c>
      <c r="X2507">
        <v>15</v>
      </c>
      <c r="Y2507" t="s">
        <v>19140</v>
      </c>
      <c r="Z2507" t="s">
        <v>24657</v>
      </c>
      <c r="AA2507">
        <v>0.83859674770359249</v>
      </c>
      <c r="AB2507" t="str">
        <f>HYPERLINK("Melting_Curves/meltCurve_P55145_MANF.pdf", "Melting_Curves/meltCurve_P55145_MANF.pdf")</f>
        <v>Melting_Curves/meltCurve_P55145_MANF.pdf</v>
      </c>
    </row>
    <row r="2508" spans="1:28" x14ac:dyDescent="0.25">
      <c r="A2508" t="s">
        <v>2512</v>
      </c>
      <c r="B2508">
        <v>0.99796759195183404</v>
      </c>
      <c r="C2508">
        <v>0.98304839719655901</v>
      </c>
      <c r="D2508">
        <v>0.99388397251073901</v>
      </c>
      <c r="E2508">
        <v>1.0467406604920999</v>
      </c>
      <c r="F2508">
        <v>0.64756812582418499</v>
      </c>
      <c r="G2508">
        <v>0.30588197756284602</v>
      </c>
      <c r="H2508">
        <v>0.27551954266161099</v>
      </c>
      <c r="I2508">
        <v>0.201493690353307</v>
      </c>
      <c r="J2508">
        <v>0.18482283308265099</v>
      </c>
      <c r="K2508">
        <v>0.141652201657853</v>
      </c>
      <c r="L2508">
        <v>1837.78875017123</v>
      </c>
      <c r="M2508">
        <v>36.250203578663502</v>
      </c>
      <c r="N2508">
        <v>51.420219913118402</v>
      </c>
      <c r="O2508">
        <v>50.543804620685798</v>
      </c>
      <c r="P2508">
        <v>-0.143506190645555</v>
      </c>
      <c r="Q2508">
        <v>0.19963759334886799</v>
      </c>
      <c r="R2508">
        <v>0.98913317574901105</v>
      </c>
      <c r="S2508" t="s">
        <v>8091</v>
      </c>
      <c r="T2508" t="s">
        <v>11164</v>
      </c>
      <c r="U2508" t="s">
        <v>11164</v>
      </c>
      <c r="V2508" t="s">
        <v>11164</v>
      </c>
      <c r="W2508" t="s">
        <v>13635</v>
      </c>
      <c r="X2508">
        <v>4</v>
      </c>
      <c r="Y2508" t="s">
        <v>19141</v>
      </c>
      <c r="Z2508" t="s">
        <v>24658</v>
      </c>
      <c r="AA2508">
        <v>0.5684776225826319</v>
      </c>
      <c r="AB2508" t="str">
        <f>HYPERLINK("Melting_Curves/meltCurve_P55199_ELL.pdf", "Melting_Curves/meltCurve_P55199_ELL.pdf")</f>
        <v>Melting_Curves/meltCurve_P55199_ELL.pdf</v>
      </c>
    </row>
    <row r="2509" spans="1:28" x14ac:dyDescent="0.25">
      <c r="A2509" t="s">
        <v>2513</v>
      </c>
      <c r="B2509">
        <v>0.99796759195183404</v>
      </c>
      <c r="C2509">
        <v>1.0613981058975499</v>
      </c>
      <c r="D2509">
        <v>1.06885887979423</v>
      </c>
      <c r="E2509">
        <v>1.0313233514120099</v>
      </c>
      <c r="F2509">
        <v>0.74976613073935205</v>
      </c>
      <c r="G2509">
        <v>0.65138190065218704</v>
      </c>
      <c r="H2509">
        <v>0.51682570446851495</v>
      </c>
      <c r="I2509">
        <v>0.36635677136918798</v>
      </c>
      <c r="J2509">
        <v>0.314275011991487</v>
      </c>
      <c r="K2509">
        <v>0.156401609523424</v>
      </c>
      <c r="L2509">
        <v>691.62314715181105</v>
      </c>
      <c r="M2509">
        <v>12.284253095128101</v>
      </c>
      <c r="N2509">
        <v>57.338324763560102</v>
      </c>
      <c r="O2509">
        <v>54.8719595260483</v>
      </c>
      <c r="P2509">
        <v>-5.0405298871991203E-2</v>
      </c>
      <c r="Q2509">
        <v>9.9585877828604299E-2</v>
      </c>
      <c r="R2509">
        <v>0.96656243442244105</v>
      </c>
      <c r="S2509" t="s">
        <v>8092</v>
      </c>
      <c r="T2509" t="s">
        <v>11164</v>
      </c>
      <c r="U2509" t="s">
        <v>11164</v>
      </c>
      <c r="V2509" t="s">
        <v>11164</v>
      </c>
      <c r="W2509" t="s">
        <v>13636</v>
      </c>
      <c r="X2509">
        <v>9</v>
      </c>
      <c r="Y2509" t="s">
        <v>19142</v>
      </c>
      <c r="Z2509" t="s">
        <v>24659</v>
      </c>
      <c r="AA2509">
        <v>0.68673767984935796</v>
      </c>
      <c r="AB2509" t="str">
        <f>HYPERLINK("Melting_Curves/meltCurve_P55210_4_CASP7.pdf", "Melting_Curves/meltCurve_P55210_4_CASP7.pdf")</f>
        <v>Melting_Curves/meltCurve_P55210_4_CASP7.pdf</v>
      </c>
    </row>
    <row r="2510" spans="1:28" x14ac:dyDescent="0.25">
      <c r="A2510" t="s">
        <v>2514</v>
      </c>
      <c r="B2510">
        <v>0.99796759195183404</v>
      </c>
      <c r="C2510">
        <v>1.0285948047098601</v>
      </c>
      <c r="D2510">
        <v>1.0506234007461299</v>
      </c>
      <c r="E2510">
        <v>0.97256570894565697</v>
      </c>
      <c r="F2510">
        <v>0.86249654238915496</v>
      </c>
      <c r="G2510">
        <v>0.64697711932148505</v>
      </c>
      <c r="H2510">
        <v>0.63007661781120206</v>
      </c>
      <c r="I2510">
        <v>0.55005557313298203</v>
      </c>
      <c r="J2510">
        <v>0.64221090280816695</v>
      </c>
      <c r="K2510">
        <v>0.58849718903971304</v>
      </c>
      <c r="L2510">
        <v>1829.4024391742</v>
      </c>
      <c r="M2510">
        <v>35.837730235182001</v>
      </c>
      <c r="O2510">
        <v>50.888669705102203</v>
      </c>
      <c r="P2510">
        <v>-7.0586731673181705E-2</v>
      </c>
      <c r="Q2510">
        <v>0.59907582702570294</v>
      </c>
      <c r="R2510">
        <v>0.97650405501781601</v>
      </c>
      <c r="S2510" t="s">
        <v>8093</v>
      </c>
      <c r="T2510" t="s">
        <v>11164</v>
      </c>
      <c r="U2510" t="s">
        <v>11164</v>
      </c>
      <c r="V2510" t="s">
        <v>11164</v>
      </c>
      <c r="W2510" t="s">
        <v>13637</v>
      </c>
      <c r="X2510">
        <v>12</v>
      </c>
      <c r="Y2510" t="s">
        <v>19143</v>
      </c>
      <c r="Z2510" t="s">
        <v>24660</v>
      </c>
      <c r="AA2510">
        <v>0.78855934842040087</v>
      </c>
      <c r="AB2510" t="str">
        <f>HYPERLINK("Melting_Curves/meltCurve_P55212_CASP6.pdf", "Melting_Curves/meltCurve_P55212_CASP6.pdf")</f>
        <v>Melting_Curves/meltCurve_P55212_CASP6.pdf</v>
      </c>
    </row>
    <row r="2511" spans="1:28" x14ac:dyDescent="0.25">
      <c r="A2511" t="s">
        <v>2515</v>
      </c>
      <c r="B2511">
        <v>0.99796759195183404</v>
      </c>
      <c r="C2511">
        <v>1.0250787007833799</v>
      </c>
      <c r="D2511">
        <v>1.0027993351643401</v>
      </c>
      <c r="E2511">
        <v>1.0188154363519699</v>
      </c>
      <c r="F2511">
        <v>0.82934736879460602</v>
      </c>
      <c r="G2511">
        <v>0.76755024186062304</v>
      </c>
      <c r="H2511">
        <v>0.69252024257505596</v>
      </c>
      <c r="I2511">
        <v>0.33513654822980699</v>
      </c>
      <c r="J2511">
        <v>0.17559897457065499</v>
      </c>
      <c r="K2511">
        <v>0.149953803507832</v>
      </c>
      <c r="L2511">
        <v>879.35882197790795</v>
      </c>
      <c r="M2511">
        <v>14.9617786219675</v>
      </c>
      <c r="N2511">
        <v>58.773682245782702</v>
      </c>
      <c r="O2511">
        <v>57.753720073419998</v>
      </c>
      <c r="P2511">
        <v>-6.4772049355027894E-2</v>
      </c>
      <c r="Q2511">
        <v>0</v>
      </c>
      <c r="R2511">
        <v>0.97567539646747303</v>
      </c>
      <c r="S2511" t="s">
        <v>8094</v>
      </c>
      <c r="T2511" t="s">
        <v>11164</v>
      </c>
      <c r="U2511" t="s">
        <v>11164</v>
      </c>
      <c r="V2511" t="s">
        <v>11164</v>
      </c>
      <c r="W2511" t="s">
        <v>13638</v>
      </c>
      <c r="X2511">
        <v>11</v>
      </c>
      <c r="Y2511" t="s">
        <v>19144</v>
      </c>
      <c r="Z2511" t="s">
        <v>24661</v>
      </c>
      <c r="AA2511">
        <v>0.72615034626283714</v>
      </c>
      <c r="AB2511" t="str">
        <f>HYPERLINK("Melting_Curves/meltCurve_P55263_2_ADK.pdf", "Melting_Curves/meltCurve_P55263_2_ADK.pdf")</f>
        <v>Melting_Curves/meltCurve_P55263_2_ADK.pdf</v>
      </c>
    </row>
    <row r="2512" spans="1:28" x14ac:dyDescent="0.25">
      <c r="A2512" t="s">
        <v>2516</v>
      </c>
      <c r="B2512">
        <v>0.99796759195183404</v>
      </c>
      <c r="C2512">
        <v>0.85520978899278899</v>
      </c>
      <c r="D2512">
        <v>0.87722652659226896</v>
      </c>
      <c r="E2512">
        <v>0.84622132666312599</v>
      </c>
      <c r="F2512">
        <v>0.70951636394464801</v>
      </c>
      <c r="G2512">
        <v>0.80519469495847396</v>
      </c>
      <c r="H2512">
        <v>0.70527043697598302</v>
      </c>
      <c r="I2512">
        <v>0.523572227864467</v>
      </c>
      <c r="J2512">
        <v>0.36649950979177598</v>
      </c>
      <c r="K2512">
        <v>0.28012620447787601</v>
      </c>
      <c r="L2512">
        <v>381.70225296471102</v>
      </c>
      <c r="M2512">
        <v>6.2656638860460401</v>
      </c>
      <c r="N2512">
        <v>60.9196822021119</v>
      </c>
      <c r="O2512">
        <v>55.595955886117203</v>
      </c>
      <c r="P2512">
        <v>-2.8253122904974101E-2</v>
      </c>
      <c r="Q2512">
        <v>0</v>
      </c>
      <c r="R2512">
        <v>0.88456093641332501</v>
      </c>
      <c r="S2512" t="s">
        <v>8095</v>
      </c>
      <c r="T2512" t="s">
        <v>11164</v>
      </c>
      <c r="U2512" t="s">
        <v>11164</v>
      </c>
      <c r="V2512" t="s">
        <v>11164</v>
      </c>
      <c r="W2512" t="s">
        <v>13639</v>
      </c>
      <c r="X2512">
        <v>1</v>
      </c>
      <c r="Y2512" t="s">
        <v>19145</v>
      </c>
      <c r="Z2512" t="s">
        <v>24662</v>
      </c>
      <c r="AA2512">
        <v>0.7185755266683288</v>
      </c>
      <c r="AB2512" t="str">
        <f>HYPERLINK("Melting_Curves/meltCurve_P55268_LAMB2.pdf", "Melting_Curves/meltCurve_P55268_LAMB2.pdf")</f>
        <v>Melting_Curves/meltCurve_P55268_LAMB2.pdf</v>
      </c>
    </row>
    <row r="2513" spans="1:28" x14ac:dyDescent="0.25">
      <c r="A2513" t="s">
        <v>2517</v>
      </c>
      <c r="B2513">
        <v>0.99796759195183404</v>
      </c>
      <c r="C2513">
        <v>0.95463813019538402</v>
      </c>
      <c r="D2513">
        <v>0.97456533379746002</v>
      </c>
      <c r="E2513">
        <v>0.94161119289054995</v>
      </c>
      <c r="F2513">
        <v>0.79266097687725801</v>
      </c>
      <c r="G2513">
        <v>0.63528389042856803</v>
      </c>
      <c r="H2513">
        <v>0.66429322822281001</v>
      </c>
      <c r="I2513">
        <v>0.59634872955504303</v>
      </c>
      <c r="J2513">
        <v>0.84928806576364202</v>
      </c>
      <c r="K2513">
        <v>0.75550336435544496</v>
      </c>
      <c r="L2513">
        <v>1845.21930225754</v>
      </c>
      <c r="M2513">
        <v>37.924337277985202</v>
      </c>
      <c r="O2513">
        <v>48.520587645638898</v>
      </c>
      <c r="P2513">
        <v>-5.8328643364149599E-2</v>
      </c>
      <c r="Q2513">
        <v>0.70149692612407499</v>
      </c>
      <c r="R2513">
        <v>0.77333379568666205</v>
      </c>
      <c r="S2513" t="s">
        <v>8096</v>
      </c>
      <c r="T2513" t="s">
        <v>11164</v>
      </c>
      <c r="U2513" t="s">
        <v>11164</v>
      </c>
      <c r="V2513" t="s">
        <v>11164</v>
      </c>
      <c r="W2513" t="s">
        <v>13640</v>
      </c>
      <c r="X2513">
        <v>14</v>
      </c>
      <c r="Y2513" t="s">
        <v>19146</v>
      </c>
      <c r="Z2513" t="s">
        <v>24663</v>
      </c>
      <c r="AA2513">
        <v>0.81858567426668993</v>
      </c>
      <c r="AB2513" t="str">
        <f>HYPERLINK("Melting_Curves/meltCurve_P55327_2_TPD52.pdf", "Melting_Curves/meltCurve_P55327_2_TPD52.pdf")</f>
        <v>Melting_Curves/meltCurve_P55327_2_TPD52.pdf</v>
      </c>
    </row>
    <row r="2514" spans="1:28" x14ac:dyDescent="0.25">
      <c r="A2514" t="s">
        <v>2518</v>
      </c>
      <c r="B2514">
        <v>0.99796759195183404</v>
      </c>
      <c r="C2514">
        <v>0.99330899872507294</v>
      </c>
      <c r="D2514">
        <v>1.03478436904754</v>
      </c>
      <c r="E2514">
        <v>0.99439764621743099</v>
      </c>
      <c r="F2514">
        <v>0.97659139998288302</v>
      </c>
      <c r="G2514">
        <v>0.82770710696879901</v>
      </c>
      <c r="H2514">
        <v>0.64967581719926804</v>
      </c>
      <c r="I2514">
        <v>0.322500550804527</v>
      </c>
      <c r="J2514">
        <v>0.15133512015103301</v>
      </c>
      <c r="K2514">
        <v>9.6694157772200404E-2</v>
      </c>
      <c r="L2514">
        <v>1151.5704731139001</v>
      </c>
      <c r="M2514">
        <v>19.574698801585701</v>
      </c>
      <c r="N2514">
        <v>58.829545224801699</v>
      </c>
      <c r="O2514">
        <v>58.225880157474499</v>
      </c>
      <c r="P2514">
        <v>-8.4049368853891804E-2</v>
      </c>
      <c r="Q2514">
        <v>0</v>
      </c>
      <c r="R2514">
        <v>0.99688744812216801</v>
      </c>
      <c r="S2514" t="s">
        <v>8097</v>
      </c>
      <c r="T2514" t="s">
        <v>11164</v>
      </c>
      <c r="U2514" t="s">
        <v>11164</v>
      </c>
      <c r="V2514" t="s">
        <v>11164</v>
      </c>
      <c r="W2514" t="s">
        <v>13641</v>
      </c>
      <c r="X2514">
        <v>3</v>
      </c>
      <c r="Y2514" t="s">
        <v>19147</v>
      </c>
      <c r="Z2514" t="s">
        <v>24664</v>
      </c>
      <c r="AA2514">
        <v>0.73204965521316512</v>
      </c>
      <c r="AB2514" t="str">
        <f>HYPERLINK("Melting_Curves/meltCurve_P55735_SEC13.pdf", "Melting_Curves/meltCurve_P55735_SEC13.pdf")</f>
        <v>Melting_Curves/meltCurve_P55735_SEC13.pdf</v>
      </c>
    </row>
    <row r="2515" spans="1:28" x14ac:dyDescent="0.25">
      <c r="A2515" t="s">
        <v>2519</v>
      </c>
      <c r="B2515">
        <v>0.99796759195183404</v>
      </c>
      <c r="C2515">
        <v>0.83538820213546305</v>
      </c>
      <c r="D2515">
        <v>0.79697635732932903</v>
      </c>
      <c r="E2515">
        <v>0.67155796114200905</v>
      </c>
      <c r="F2515">
        <v>0.53104932391664805</v>
      </c>
      <c r="G2515">
        <v>0.20360720915488001</v>
      </c>
      <c r="H2515">
        <v>0.10927603063473799</v>
      </c>
      <c r="I2515">
        <v>0.12968809905162099</v>
      </c>
      <c r="J2515">
        <v>9.1802082596997001E-2</v>
      </c>
      <c r="K2515">
        <v>4.6280875429133402E-2</v>
      </c>
      <c r="L2515">
        <v>535.03541316704002</v>
      </c>
      <c r="M2515">
        <v>10.901724952979899</v>
      </c>
      <c r="N2515">
        <v>49.078038677724997</v>
      </c>
      <c r="O2515">
        <v>47.513308091473398</v>
      </c>
      <c r="P2515">
        <v>-5.7381462009221298E-2</v>
      </c>
      <c r="Q2515">
        <v>0</v>
      </c>
      <c r="R2515">
        <v>0.97582797219123796</v>
      </c>
      <c r="S2515" t="s">
        <v>8098</v>
      </c>
      <c r="T2515" t="s">
        <v>11164</v>
      </c>
      <c r="U2515" t="s">
        <v>11164</v>
      </c>
      <c r="V2515" t="s">
        <v>11164</v>
      </c>
      <c r="W2515" t="s">
        <v>13642</v>
      </c>
      <c r="X2515">
        <v>6</v>
      </c>
      <c r="Y2515" t="s">
        <v>19148</v>
      </c>
      <c r="Z2515" t="s">
        <v>24665</v>
      </c>
      <c r="AA2515">
        <v>0.43598965650327459</v>
      </c>
      <c r="AB2515" t="str">
        <f>HYPERLINK("Melting_Curves/meltCurve_P55795_HNRNPH2.pdf", "Melting_Curves/meltCurve_P55795_HNRNPH2.pdf")</f>
        <v>Melting_Curves/meltCurve_P55795_HNRNPH2.pdf</v>
      </c>
    </row>
    <row r="2516" spans="1:28" x14ac:dyDescent="0.25">
      <c r="A2516" t="s">
        <v>2520</v>
      </c>
      <c r="B2516">
        <v>0.99796759195183404</v>
      </c>
      <c r="C2516">
        <v>0.95092208050696903</v>
      </c>
      <c r="D2516">
        <v>0.94816710964703299</v>
      </c>
      <c r="E2516">
        <v>0.83900055242525495</v>
      </c>
      <c r="F2516">
        <v>0.60017884395699905</v>
      </c>
      <c r="G2516">
        <v>0.39668888307544498</v>
      </c>
      <c r="H2516">
        <v>0.26651327556903498</v>
      </c>
      <c r="I2516">
        <v>0.214448312097508</v>
      </c>
      <c r="J2516">
        <v>0.13796429623088399</v>
      </c>
      <c r="K2516">
        <v>9.7199865864724705E-2</v>
      </c>
      <c r="L2516">
        <v>691.64963270606404</v>
      </c>
      <c r="M2516">
        <v>13.4489607948229</v>
      </c>
      <c r="N2516">
        <v>52.1113669456753</v>
      </c>
      <c r="O2516">
        <v>50.330641522331902</v>
      </c>
      <c r="P2516">
        <v>-6.14101140252023E-2</v>
      </c>
      <c r="Q2516">
        <v>8.0871108728904101E-2</v>
      </c>
      <c r="R2516">
        <v>0.99702354312875696</v>
      </c>
      <c r="S2516" t="s">
        <v>8099</v>
      </c>
      <c r="T2516" t="s">
        <v>11164</v>
      </c>
      <c r="U2516" t="s">
        <v>11164</v>
      </c>
      <c r="V2516" t="s">
        <v>11164</v>
      </c>
      <c r="W2516" t="s">
        <v>13643</v>
      </c>
      <c r="X2516">
        <v>15</v>
      </c>
      <c r="Y2516" t="s">
        <v>19149</v>
      </c>
      <c r="Z2516" t="s">
        <v>24666</v>
      </c>
      <c r="AA2516">
        <v>0.54350089476417529</v>
      </c>
      <c r="AB2516" t="str">
        <f>HYPERLINK("Melting_Curves/meltCurve_P55884_EIF3B.pdf", "Melting_Curves/meltCurve_P55884_EIF3B.pdf")</f>
        <v>Melting_Curves/meltCurve_P55884_EIF3B.pdf</v>
      </c>
    </row>
    <row r="2517" spans="1:28" x14ac:dyDescent="0.25">
      <c r="A2517" t="s">
        <v>2521</v>
      </c>
      <c r="B2517">
        <v>0.99796759195183404</v>
      </c>
      <c r="C2517">
        <v>0.97150769660298697</v>
      </c>
      <c r="D2517">
        <v>0.92743001718847795</v>
      </c>
      <c r="E2517">
        <v>0.89186535794440003</v>
      </c>
      <c r="F2517">
        <v>0.82319344654039694</v>
      </c>
      <c r="G2517">
        <v>0.56948515341211703</v>
      </c>
      <c r="H2517">
        <v>0.57175238372073001</v>
      </c>
      <c r="I2517">
        <v>0.50397614983842098</v>
      </c>
      <c r="J2517">
        <v>0.61673873163520998</v>
      </c>
      <c r="K2517">
        <v>0.52006642396688796</v>
      </c>
      <c r="L2517">
        <v>993.69752093484601</v>
      </c>
      <c r="M2517">
        <v>19.828533965954598</v>
      </c>
      <c r="O2517">
        <v>49.613154581214999</v>
      </c>
      <c r="P2517">
        <v>-4.6645284773535203E-2</v>
      </c>
      <c r="Q2517">
        <v>0.53316938007680803</v>
      </c>
      <c r="R2517">
        <v>0.94609068983285605</v>
      </c>
      <c r="S2517" t="s">
        <v>8100</v>
      </c>
      <c r="T2517" t="s">
        <v>11164</v>
      </c>
      <c r="U2517" t="s">
        <v>11164</v>
      </c>
      <c r="V2517" t="s">
        <v>11164</v>
      </c>
      <c r="W2517" t="s">
        <v>13644</v>
      </c>
      <c r="X2517">
        <v>9</v>
      </c>
      <c r="Y2517" t="s">
        <v>19150</v>
      </c>
      <c r="Z2517" t="s">
        <v>24667</v>
      </c>
      <c r="AA2517">
        <v>0.74348291439753689</v>
      </c>
      <c r="AB2517" t="str">
        <f>HYPERLINK("Melting_Curves/meltCurve_P55957_BID.pdf", "Melting_Curves/meltCurve_P55957_BID.pdf")</f>
        <v>Melting_Curves/meltCurve_P55957_BID.pdf</v>
      </c>
    </row>
    <row r="2518" spans="1:28" x14ac:dyDescent="0.25">
      <c r="A2518" t="s">
        <v>2522</v>
      </c>
      <c r="B2518">
        <v>0.99796759195183404</v>
      </c>
      <c r="C2518">
        <v>1.2311499641564201</v>
      </c>
      <c r="D2518">
        <v>1.0084287605875399</v>
      </c>
      <c r="E2518">
        <v>1.12449106975408</v>
      </c>
      <c r="F2518">
        <v>0.92984442339733198</v>
      </c>
      <c r="G2518">
        <v>0.68515873912971603</v>
      </c>
      <c r="H2518">
        <v>0.77159813599690397</v>
      </c>
      <c r="I2518">
        <v>0.77186408000460105</v>
      </c>
      <c r="J2518">
        <v>0.81650100630698597</v>
      </c>
      <c r="K2518">
        <v>0.72398131439122404</v>
      </c>
      <c r="L2518">
        <v>12596.179128822399</v>
      </c>
      <c r="M2518">
        <v>250</v>
      </c>
      <c r="O2518">
        <v>50.381476781744198</v>
      </c>
      <c r="P2518">
        <v>-0.30539407451862899</v>
      </c>
      <c r="Q2518">
        <v>0.75382065285893696</v>
      </c>
      <c r="R2518">
        <v>0.73514108700224001</v>
      </c>
      <c r="S2518" t="s">
        <v>8101</v>
      </c>
      <c r="T2518" t="s">
        <v>11164</v>
      </c>
      <c r="U2518" t="s">
        <v>11164</v>
      </c>
      <c r="V2518" t="s">
        <v>11164</v>
      </c>
      <c r="W2518" t="s">
        <v>13645</v>
      </c>
      <c r="X2518">
        <v>1</v>
      </c>
      <c r="Y2518" t="s">
        <v>19151</v>
      </c>
      <c r="Z2518" t="s">
        <v>24668</v>
      </c>
      <c r="AA2518">
        <v>0.86367711356509647</v>
      </c>
      <c r="AB2518" t="str">
        <f>HYPERLINK("Melting_Curves/meltCurve_P56181_NDUFV3.pdf", "Melting_Curves/meltCurve_P56181_NDUFV3.pdf")</f>
        <v>Melting_Curves/meltCurve_P56181_NDUFV3.pdf</v>
      </c>
    </row>
    <row r="2519" spans="1:28" x14ac:dyDescent="0.25">
      <c r="A2519" t="s">
        <v>2523</v>
      </c>
      <c r="B2519">
        <v>0.99796759195183404</v>
      </c>
      <c r="C2519">
        <v>0.966218006776983</v>
      </c>
      <c r="D2519">
        <v>0.96946179529564802</v>
      </c>
      <c r="E2519">
        <v>0.94838994196772697</v>
      </c>
      <c r="F2519">
        <v>0.86663612192114003</v>
      </c>
      <c r="G2519">
        <v>0.86469666309812598</v>
      </c>
      <c r="H2519">
        <v>1.37487506154641</v>
      </c>
      <c r="I2519">
        <v>1.21813974804336</v>
      </c>
      <c r="J2519">
        <v>1.6764014049767699</v>
      </c>
      <c r="K2519">
        <v>1.57856021291952</v>
      </c>
      <c r="L2519">
        <v>12840.3021888934</v>
      </c>
      <c r="M2519">
        <v>224.87025673042399</v>
      </c>
      <c r="O2519">
        <v>57.096419944462603</v>
      </c>
      <c r="P2519">
        <v>0.48347606289469103</v>
      </c>
      <c r="Q2519">
        <v>1.49103429968375</v>
      </c>
      <c r="R2519">
        <v>0.80520276780907796</v>
      </c>
      <c r="S2519" t="s">
        <v>8102</v>
      </c>
      <c r="T2519" t="s">
        <v>11164</v>
      </c>
      <c r="U2519" t="s">
        <v>11164</v>
      </c>
      <c r="V2519" t="s">
        <v>11164</v>
      </c>
      <c r="W2519" t="s">
        <v>13646</v>
      </c>
      <c r="X2519">
        <v>14</v>
      </c>
      <c r="Y2519" t="s">
        <v>19151</v>
      </c>
      <c r="Z2519" t="s">
        <v>24669</v>
      </c>
      <c r="AA2519">
        <v>1.1619651720297941</v>
      </c>
      <c r="AB2519" t="str">
        <f>HYPERLINK("Melting_Curves/meltCurve_P56181_2_NDUFV3.pdf", "Melting_Curves/meltCurve_P56181_2_NDUFV3.pdf")</f>
        <v>Melting_Curves/meltCurve_P56181_2_NDUFV3.pdf</v>
      </c>
    </row>
    <row r="2520" spans="1:28" x14ac:dyDescent="0.25">
      <c r="A2520" t="s">
        <v>2524</v>
      </c>
      <c r="B2520">
        <v>0.99796759195183404</v>
      </c>
      <c r="C2520">
        <v>1.0017832644801099</v>
      </c>
      <c r="D2520">
        <v>1.0096715320318199</v>
      </c>
      <c r="E2520">
        <v>0.75045167313861205</v>
      </c>
      <c r="F2520">
        <v>0.36323111736525898</v>
      </c>
      <c r="G2520">
        <v>0.27789490355843199</v>
      </c>
      <c r="H2520">
        <v>0.19928293309832901</v>
      </c>
      <c r="I2520">
        <v>0.15551399392857099</v>
      </c>
      <c r="J2520">
        <v>8.41410435104058E-2</v>
      </c>
      <c r="K2520">
        <v>6.3821426499620595E-2</v>
      </c>
      <c r="L2520">
        <v>1046.7261351075699</v>
      </c>
      <c r="M2520">
        <v>21.540252311656602</v>
      </c>
      <c r="N2520">
        <v>49.216039704525002</v>
      </c>
      <c r="O2520">
        <v>48.180951455355199</v>
      </c>
      <c r="P2520">
        <v>-9.84501297739937E-2</v>
      </c>
      <c r="Q2520">
        <v>0.119173594071463</v>
      </c>
      <c r="R2520">
        <v>0.98771864140275201</v>
      </c>
      <c r="S2520" t="s">
        <v>8103</v>
      </c>
      <c r="T2520" t="s">
        <v>11164</v>
      </c>
      <c r="U2520" t="s">
        <v>11164</v>
      </c>
      <c r="V2520" t="s">
        <v>11164</v>
      </c>
      <c r="W2520" t="s">
        <v>13647</v>
      </c>
      <c r="X2520">
        <v>6</v>
      </c>
      <c r="Y2520" t="s">
        <v>19152</v>
      </c>
      <c r="Z2520" t="s">
        <v>24670</v>
      </c>
      <c r="AA2520">
        <v>0.46967212965254868</v>
      </c>
      <c r="AB2520" t="str">
        <f>HYPERLINK("Melting_Curves/meltCurve_P56182_RRP1.pdf", "Melting_Curves/meltCurve_P56182_RRP1.pdf")</f>
        <v>Melting_Curves/meltCurve_P56182_RRP1.pdf</v>
      </c>
    </row>
    <row r="2521" spans="1:28" x14ac:dyDescent="0.25">
      <c r="A2521" t="s">
        <v>2525</v>
      </c>
      <c r="B2521">
        <v>0.99796759195183404</v>
      </c>
      <c r="C2521">
        <v>0.94530358411042703</v>
      </c>
      <c r="D2521">
        <v>0.83915194884142297</v>
      </c>
      <c r="E2521">
        <v>0.787254654769451</v>
      </c>
      <c r="F2521">
        <v>0.59416557750836096</v>
      </c>
      <c r="G2521">
        <v>0.26705374276940302</v>
      </c>
      <c r="H2521">
        <v>0.17669540296160199</v>
      </c>
      <c r="I2521">
        <v>0.16320907611186899</v>
      </c>
      <c r="J2521">
        <v>0.102747228443217</v>
      </c>
      <c r="K2521">
        <v>9.0591379240174394E-2</v>
      </c>
      <c r="L2521">
        <v>681.23342209492</v>
      </c>
      <c r="M2521">
        <v>13.542230613086399</v>
      </c>
      <c r="N2521">
        <v>50.718052748838304</v>
      </c>
      <c r="O2521">
        <v>49.245460451968903</v>
      </c>
      <c r="P2521">
        <v>-6.5163684388914803E-2</v>
      </c>
      <c r="Q2521">
        <v>5.2288401417461598E-2</v>
      </c>
      <c r="R2521">
        <v>0.98681101198701304</v>
      </c>
      <c r="S2521" t="s">
        <v>8104</v>
      </c>
      <c r="T2521" t="s">
        <v>11164</v>
      </c>
      <c r="U2521" t="s">
        <v>11164</v>
      </c>
      <c r="V2521" t="s">
        <v>11164</v>
      </c>
      <c r="W2521" t="s">
        <v>13648</v>
      </c>
      <c r="X2521">
        <v>9</v>
      </c>
      <c r="Y2521" t="s">
        <v>19153</v>
      </c>
      <c r="Z2521" t="s">
        <v>24671</v>
      </c>
      <c r="AA2521">
        <v>0.49506723127703511</v>
      </c>
      <c r="AB2521" t="str">
        <f>HYPERLINK("Melting_Curves/meltCurve_P56192_MARS.pdf", "Melting_Curves/meltCurve_P56192_MARS.pdf")</f>
        <v>Melting_Curves/meltCurve_P56192_MARS.pdf</v>
      </c>
    </row>
    <row r="2522" spans="1:28" x14ac:dyDescent="0.25">
      <c r="A2522" t="s">
        <v>2526</v>
      </c>
      <c r="B2522">
        <v>0.99796759195183404</v>
      </c>
      <c r="C2522">
        <v>1.0665754641065399</v>
      </c>
      <c r="D2522">
        <v>0.989054800736197</v>
      </c>
      <c r="E2522">
        <v>0.97537072613250697</v>
      </c>
      <c r="F2522">
        <v>0.90704274426805798</v>
      </c>
      <c r="G2522">
        <v>0.69404299041832496</v>
      </c>
      <c r="H2522">
        <v>0.67458175334656201</v>
      </c>
      <c r="I2522">
        <v>0.48093357973244999</v>
      </c>
      <c r="J2522">
        <v>0.422271186637587</v>
      </c>
      <c r="K2522">
        <v>0.35628430700732799</v>
      </c>
      <c r="L2522">
        <v>696.81458174608895</v>
      </c>
      <c r="M2522">
        <v>12.186463951393799</v>
      </c>
      <c r="N2522">
        <v>60.802632237718797</v>
      </c>
      <c r="O2522">
        <v>55.705054941400803</v>
      </c>
      <c r="P2522">
        <v>-4.0583685061143897E-2</v>
      </c>
      <c r="Q2522">
        <v>0.25812667799606598</v>
      </c>
      <c r="R2522">
        <v>0.97802551619369604</v>
      </c>
      <c r="S2522" t="s">
        <v>8105</v>
      </c>
      <c r="T2522" t="s">
        <v>11164</v>
      </c>
      <c r="U2522" t="s">
        <v>11164</v>
      </c>
      <c r="V2522" t="s">
        <v>11164</v>
      </c>
      <c r="W2522" t="s">
        <v>13649</v>
      </c>
      <c r="X2522">
        <v>6</v>
      </c>
      <c r="Y2522" t="s">
        <v>19154</v>
      </c>
      <c r="Z2522" t="s">
        <v>24672</v>
      </c>
      <c r="AA2522">
        <v>0.76012468086912832</v>
      </c>
      <c r="AB2522" t="str">
        <f>HYPERLINK("Melting_Curves/meltCurve_P56270_2_MAZ.pdf", "Melting_Curves/meltCurve_P56270_2_MAZ.pdf")</f>
        <v>Melting_Curves/meltCurve_P56270_2_MAZ.pdf</v>
      </c>
    </row>
    <row r="2523" spans="1:28" x14ac:dyDescent="0.25">
      <c r="A2523" t="s">
        <v>2527</v>
      </c>
      <c r="B2523">
        <v>0.99796759195183404</v>
      </c>
      <c r="C2523">
        <v>1.0662223789163201</v>
      </c>
      <c r="D2523">
        <v>1.0850120422179701</v>
      </c>
      <c r="E2523">
        <v>0.95536812304531005</v>
      </c>
      <c r="F2523">
        <v>0.90877536416576099</v>
      </c>
      <c r="G2523">
        <v>0.72979893881663604</v>
      </c>
      <c r="H2523">
        <v>0.70724030959566297</v>
      </c>
      <c r="I2523">
        <v>0.59723094297532897</v>
      </c>
      <c r="J2523">
        <v>0.82570654874838501</v>
      </c>
      <c r="K2523">
        <v>0.72622535563243196</v>
      </c>
      <c r="L2523">
        <v>2382.2891904559901</v>
      </c>
      <c r="M2523">
        <v>46.758555045422298</v>
      </c>
      <c r="O2523">
        <v>50.855805657683497</v>
      </c>
      <c r="P2523">
        <v>-6.6028446658920201E-2</v>
      </c>
      <c r="Q2523">
        <v>0.71274338070618204</v>
      </c>
      <c r="R2523">
        <v>0.84245616006919</v>
      </c>
      <c r="S2523" t="s">
        <v>8106</v>
      </c>
      <c r="T2523" t="s">
        <v>11164</v>
      </c>
      <c r="U2523" t="s">
        <v>11164</v>
      </c>
      <c r="V2523" t="s">
        <v>11164</v>
      </c>
      <c r="W2523" t="s">
        <v>13650</v>
      </c>
      <c r="X2523">
        <v>6</v>
      </c>
      <c r="Y2523" t="s">
        <v>19155</v>
      </c>
      <c r="Z2523" t="s">
        <v>24673</v>
      </c>
      <c r="AA2523">
        <v>0.84704410565163313</v>
      </c>
      <c r="AB2523" t="str">
        <f>HYPERLINK("Melting_Curves/meltCurve_P56277_CMC4.pdf", "Melting_Curves/meltCurve_P56277_CMC4.pdf")</f>
        <v>Melting_Curves/meltCurve_P56277_CMC4.pdf</v>
      </c>
    </row>
    <row r="2524" spans="1:28" x14ac:dyDescent="0.25">
      <c r="A2524" t="s">
        <v>2528</v>
      </c>
      <c r="B2524">
        <v>0.99796759195183404</v>
      </c>
      <c r="C2524">
        <v>1.5372184675516301</v>
      </c>
      <c r="D2524">
        <v>1.0786741456751201</v>
      </c>
      <c r="E2524">
        <v>0.89239502302297202</v>
      </c>
      <c r="F2524">
        <v>1.16586584529099</v>
      </c>
      <c r="G2524">
        <v>1.06808067703059</v>
      </c>
      <c r="H2524">
        <v>0.62568026568601698</v>
      </c>
      <c r="I2524">
        <v>0.59367673110096797</v>
      </c>
      <c r="J2524">
        <v>0.45214991780351999</v>
      </c>
      <c r="K2524">
        <v>9.8276106777623898E-2</v>
      </c>
      <c r="L2524">
        <v>1120.36053139516</v>
      </c>
      <c r="M2524">
        <v>18.129662667199199</v>
      </c>
      <c r="N2524">
        <v>61.797097568001298</v>
      </c>
      <c r="O2524">
        <v>61.059966225312998</v>
      </c>
      <c r="P2524">
        <v>-7.4232504964486398E-2</v>
      </c>
      <c r="Q2524">
        <v>0</v>
      </c>
      <c r="R2524">
        <v>0.73339098751456899</v>
      </c>
      <c r="S2524" t="s">
        <v>8107</v>
      </c>
      <c r="T2524" t="s">
        <v>11164</v>
      </c>
      <c r="U2524" t="s">
        <v>11164</v>
      </c>
      <c r="V2524" t="s">
        <v>11164</v>
      </c>
      <c r="W2524" t="s">
        <v>13651</v>
      </c>
      <c r="X2524">
        <v>1</v>
      </c>
      <c r="Y2524" t="s">
        <v>19156</v>
      </c>
      <c r="Z2524" t="s">
        <v>24674</v>
      </c>
      <c r="AA2524">
        <v>0.81430389895264033</v>
      </c>
      <c r="AB2524" t="str">
        <f>HYPERLINK("Melting_Curves/meltCurve_P56378_MP68.pdf", "Melting_Curves/meltCurve_P56378_MP68.pdf")</f>
        <v>Melting_Curves/meltCurve_P56378_MP68.pdf</v>
      </c>
    </row>
    <row r="2525" spans="1:28" x14ac:dyDescent="0.25">
      <c r="A2525" t="s">
        <v>2529</v>
      </c>
      <c r="B2525">
        <v>0.99796759195183404</v>
      </c>
      <c r="C2525">
        <v>1.1564419443503899</v>
      </c>
      <c r="D2525">
        <v>1.0011320036368001</v>
      </c>
      <c r="E2525">
        <v>0.95738808890802596</v>
      </c>
      <c r="F2525">
        <v>0.86130676197473199</v>
      </c>
      <c r="G2525">
        <v>1.3394968347398399</v>
      </c>
      <c r="H2525">
        <v>1.02925388532941</v>
      </c>
      <c r="I2525">
        <v>1.3928194994992</v>
      </c>
      <c r="J2525">
        <v>0.91042317163390496</v>
      </c>
      <c r="K2525">
        <v>0.82058404889925396</v>
      </c>
      <c r="L2525">
        <v>15000</v>
      </c>
      <c r="M2525">
        <v>234.006087871787</v>
      </c>
      <c r="O2525">
        <v>64.096205912458601</v>
      </c>
      <c r="P2525">
        <v>-0.16376447346395701</v>
      </c>
      <c r="Q2525">
        <v>0.82057419257222097</v>
      </c>
      <c r="R2525">
        <v>5.5092727723009799E-2</v>
      </c>
      <c r="S2525" t="s">
        <v>8108</v>
      </c>
      <c r="T2525" t="s">
        <v>11164</v>
      </c>
      <c r="U2525" t="s">
        <v>11164</v>
      </c>
      <c r="V2525" t="s">
        <v>11164</v>
      </c>
      <c r="W2525" t="s">
        <v>13652</v>
      </c>
      <c r="X2525">
        <v>6</v>
      </c>
      <c r="Y2525" t="s">
        <v>19157</v>
      </c>
      <c r="Z2525" t="s">
        <v>24675</v>
      </c>
      <c r="AA2525">
        <v>0.98268383320347041</v>
      </c>
      <c r="AB2525" t="str">
        <f>HYPERLINK("Melting_Curves/meltCurve_P56385_ATP5I.pdf", "Melting_Curves/meltCurve_P56385_ATP5I.pdf")</f>
        <v>Melting_Curves/meltCurve_P56385_ATP5I.pdf</v>
      </c>
    </row>
    <row r="2526" spans="1:28" x14ac:dyDescent="0.25">
      <c r="A2526" t="s">
        <v>2530</v>
      </c>
      <c r="B2526">
        <v>0.99796759195183404</v>
      </c>
      <c r="C2526">
        <v>0.93119824594239797</v>
      </c>
      <c r="D2526">
        <v>0.83721112489919103</v>
      </c>
      <c r="E2526">
        <v>0.82056212539130502</v>
      </c>
      <c r="F2526">
        <v>0.76828073478834202</v>
      </c>
      <c r="G2526">
        <v>0.48209438696463303</v>
      </c>
      <c r="H2526">
        <v>0.43811882813111003</v>
      </c>
      <c r="I2526">
        <v>0.28729079276261099</v>
      </c>
      <c r="J2526">
        <v>0.223841104153603</v>
      </c>
      <c r="K2526">
        <v>0.107553816093111</v>
      </c>
      <c r="L2526">
        <v>483.497776229566</v>
      </c>
      <c r="M2526">
        <v>8.8402030805972505</v>
      </c>
      <c r="N2526">
        <v>54.693086880005197</v>
      </c>
      <c r="O2526">
        <v>52.111208049432101</v>
      </c>
      <c r="P2526">
        <v>-4.2443234937907102E-2</v>
      </c>
      <c r="Q2526">
        <v>0</v>
      </c>
      <c r="R2526">
        <v>0.97612017225930403</v>
      </c>
      <c r="S2526" t="s">
        <v>8109</v>
      </c>
      <c r="T2526" t="s">
        <v>11164</v>
      </c>
      <c r="U2526" t="s">
        <v>11164</v>
      </c>
      <c r="V2526" t="s">
        <v>11164</v>
      </c>
      <c r="W2526" t="s">
        <v>13653</v>
      </c>
      <c r="X2526">
        <v>4</v>
      </c>
      <c r="Y2526" t="s">
        <v>19158</v>
      </c>
      <c r="Z2526" t="s">
        <v>24676</v>
      </c>
      <c r="AA2526">
        <v>0.60148673848672396</v>
      </c>
      <c r="AB2526" t="str">
        <f>HYPERLINK("Melting_Curves/meltCurve_P56524_HDAC4.pdf", "Melting_Curves/meltCurve_P56524_HDAC4.pdf")</f>
        <v>Melting_Curves/meltCurve_P56524_HDAC4.pdf</v>
      </c>
    </row>
    <row r="2527" spans="1:28" x14ac:dyDescent="0.25">
      <c r="A2527" t="s">
        <v>2531</v>
      </c>
      <c r="B2527">
        <v>0.99796759195183404</v>
      </c>
      <c r="C2527">
        <v>1.0326804408330601</v>
      </c>
      <c r="D2527">
        <v>1.0084028747829099</v>
      </c>
      <c r="E2527">
        <v>0.92919579827131604</v>
      </c>
      <c r="F2527">
        <v>0.92786081481272498</v>
      </c>
      <c r="G2527">
        <v>0.87465756564872799</v>
      </c>
      <c r="H2527">
        <v>0.98212081563894305</v>
      </c>
      <c r="I2527">
        <v>0.761988667555906</v>
      </c>
      <c r="J2527">
        <v>0.602981764221591</v>
      </c>
      <c r="K2527">
        <v>0.11574645269739101</v>
      </c>
      <c r="L2527">
        <v>2087.7002934032098</v>
      </c>
      <c r="M2527">
        <v>32.546695231425502</v>
      </c>
      <c r="N2527">
        <v>64.144778355026801</v>
      </c>
      <c r="O2527">
        <v>63.904067251711901</v>
      </c>
      <c r="P2527">
        <v>-0.12732698770279599</v>
      </c>
      <c r="Q2527">
        <v>0</v>
      </c>
      <c r="R2527">
        <v>0.93023812665757799</v>
      </c>
      <c r="S2527" t="s">
        <v>8110</v>
      </c>
      <c r="T2527" t="s">
        <v>11164</v>
      </c>
      <c r="U2527" t="s">
        <v>11164</v>
      </c>
      <c r="V2527" t="s">
        <v>11164</v>
      </c>
      <c r="W2527" t="s">
        <v>13654</v>
      </c>
      <c r="X2527">
        <v>10</v>
      </c>
      <c r="Y2527" t="s">
        <v>19159</v>
      </c>
      <c r="Z2527" t="s">
        <v>24677</v>
      </c>
      <c r="AA2527">
        <v>0.89436320345881226</v>
      </c>
      <c r="AB2527" t="str">
        <f>HYPERLINK("Melting_Curves/meltCurve_P56537_EIF6.pdf", "Melting_Curves/meltCurve_P56537_EIF6.pdf")</f>
        <v>Melting_Curves/meltCurve_P56537_EIF6.pdf</v>
      </c>
    </row>
    <row r="2528" spans="1:28" x14ac:dyDescent="0.25">
      <c r="A2528" t="s">
        <v>2532</v>
      </c>
      <c r="B2528">
        <v>0.99796759195183404</v>
      </c>
      <c r="C2528">
        <v>1.0756519406557601</v>
      </c>
      <c r="D2528">
        <v>1.0463742407276799</v>
      </c>
      <c r="E2528">
        <v>0.96847638530352198</v>
      </c>
      <c r="F2528">
        <v>0.60379038289729903</v>
      </c>
      <c r="G2528">
        <v>0.23543507851930601</v>
      </c>
      <c r="H2528">
        <v>0.151679591939542</v>
      </c>
      <c r="I2528">
        <v>0.133022447112116</v>
      </c>
      <c r="J2528">
        <v>0.123341899242779</v>
      </c>
      <c r="K2528">
        <v>9.7255283682819396E-2</v>
      </c>
      <c r="L2528">
        <v>1685.5153593297</v>
      </c>
      <c r="M2528">
        <v>33.3390236103223</v>
      </c>
      <c r="N2528">
        <v>50.986746826698798</v>
      </c>
      <c r="O2528">
        <v>50.375971737544198</v>
      </c>
      <c r="P2528">
        <v>-0.14517922463378699</v>
      </c>
      <c r="Q2528">
        <v>0.122528207655083</v>
      </c>
      <c r="R2528">
        <v>0.99448598330221305</v>
      </c>
      <c r="S2528" t="s">
        <v>8111</v>
      </c>
      <c r="T2528" t="s">
        <v>11164</v>
      </c>
      <c r="U2528" t="s">
        <v>11164</v>
      </c>
      <c r="V2528" t="s">
        <v>11164</v>
      </c>
      <c r="W2528" t="s">
        <v>13655</v>
      </c>
      <c r="X2528">
        <v>3</v>
      </c>
      <c r="Y2528" t="s">
        <v>19160</v>
      </c>
      <c r="Z2528" t="s">
        <v>24678</v>
      </c>
      <c r="AA2528">
        <v>0.52346200435613444</v>
      </c>
      <c r="AB2528" t="str">
        <f>HYPERLINK("Melting_Curves/meltCurve_P56589_PEX3.pdf", "Melting_Curves/meltCurve_P56589_PEX3.pdf")</f>
        <v>Melting_Curves/meltCurve_P56589_PEX3.pdf</v>
      </c>
    </row>
    <row r="2529" spans="1:28" x14ac:dyDescent="0.25">
      <c r="A2529" t="s">
        <v>2533</v>
      </c>
      <c r="B2529">
        <v>0.99796759195183404</v>
      </c>
      <c r="C2529">
        <v>3.8945284931897302</v>
      </c>
      <c r="D2529">
        <v>3.3881707305637199</v>
      </c>
      <c r="E2529">
        <v>2.7059181595083901</v>
      </c>
      <c r="F2529">
        <v>3.5946604899380801</v>
      </c>
      <c r="G2529">
        <v>2.81753233645692</v>
      </c>
      <c r="H2529">
        <v>2.3134975459184899</v>
      </c>
      <c r="I2529">
        <v>1.98585508992417</v>
      </c>
      <c r="J2529">
        <v>0.84696453750786305</v>
      </c>
      <c r="K2529">
        <v>0.98442425540289902</v>
      </c>
      <c r="L2529">
        <v>2037.86216084129</v>
      </c>
      <c r="M2529">
        <v>67.907335300328498</v>
      </c>
      <c r="Q2529">
        <v>1.5</v>
      </c>
      <c r="R2529">
        <v>-0.63575211145213495</v>
      </c>
      <c r="S2529" t="s">
        <v>8112</v>
      </c>
      <c r="T2529" t="s">
        <v>11164</v>
      </c>
      <c r="U2529" t="s">
        <v>11164</v>
      </c>
      <c r="V2529" t="s">
        <v>11164</v>
      </c>
      <c r="W2529" t="s">
        <v>13656</v>
      </c>
      <c r="X2529">
        <v>1</v>
      </c>
      <c r="Y2529" t="s">
        <v>19161</v>
      </c>
      <c r="Z2529" t="s">
        <v>24679</v>
      </c>
      <c r="AA2529">
        <v>1.4999999688489589</v>
      </c>
      <c r="AB2529" t="str">
        <f>HYPERLINK("Melting_Curves/meltCurve_P56749_CLDN12.pdf", "Melting_Curves/meltCurve_P56749_CLDN12.pdf")</f>
        <v>Melting_Curves/meltCurve_P56749_CLDN12.pdf</v>
      </c>
    </row>
    <row r="2530" spans="1:28" x14ac:dyDescent="0.25">
      <c r="A2530" t="s">
        <v>2534</v>
      </c>
      <c r="B2530">
        <v>0.99796759195183404</v>
      </c>
      <c r="C2530">
        <v>1.0302792143992601</v>
      </c>
      <c r="D2530">
        <v>0.99858291055249004</v>
      </c>
      <c r="E2530">
        <v>0.91350661345614603</v>
      </c>
      <c r="F2530">
        <v>0.76872257602793204</v>
      </c>
      <c r="G2530">
        <v>0.37718064592728001</v>
      </c>
      <c r="H2530">
        <v>0.18870819866149899</v>
      </c>
      <c r="I2530">
        <v>0.14031961150574701</v>
      </c>
      <c r="J2530">
        <v>0.103281674257929</v>
      </c>
      <c r="K2530">
        <v>0.103688981082705</v>
      </c>
      <c r="L2530">
        <v>1262.2187762439501</v>
      </c>
      <c r="M2530">
        <v>24.207318623357999</v>
      </c>
      <c r="N2530">
        <v>52.631273525578699</v>
      </c>
      <c r="O2530">
        <v>51.790083415612202</v>
      </c>
      <c r="P2530">
        <v>-0.105081646775876</v>
      </c>
      <c r="Q2530">
        <v>0.100750208985024</v>
      </c>
      <c r="R2530">
        <v>0.99782370749900495</v>
      </c>
      <c r="S2530" t="s">
        <v>8113</v>
      </c>
      <c r="T2530" t="s">
        <v>11164</v>
      </c>
      <c r="U2530" t="s">
        <v>11164</v>
      </c>
      <c r="V2530" t="s">
        <v>11164</v>
      </c>
      <c r="W2530" t="s">
        <v>13657</v>
      </c>
      <c r="X2530">
        <v>4</v>
      </c>
      <c r="Y2530" t="s">
        <v>19162</v>
      </c>
      <c r="Z2530" t="s">
        <v>24680</v>
      </c>
      <c r="AA2530">
        <v>0.5630684588300332</v>
      </c>
      <c r="AB2530" t="str">
        <f>HYPERLINK("Melting_Curves/meltCurve_P56937_3_HSD17B7.pdf", "Melting_Curves/meltCurve_P56937_3_HSD17B7.pdf")</f>
        <v>Melting_Curves/meltCurve_P56937_3_HSD17B7.pdf</v>
      </c>
    </row>
    <row r="2531" spans="1:28" x14ac:dyDescent="0.25">
      <c r="A2531" t="s">
        <v>2535</v>
      </c>
      <c r="B2531">
        <v>0.99796759195183404</v>
      </c>
      <c r="C2531">
        <v>0.97322905915920699</v>
      </c>
      <c r="D2531">
        <v>0.90594930446942101</v>
      </c>
      <c r="E2531">
        <v>0.804669290964933</v>
      </c>
      <c r="F2531">
        <v>0.64494152800557203</v>
      </c>
      <c r="G2531">
        <v>0.384167145616303</v>
      </c>
      <c r="H2531">
        <v>0.31029036076745298</v>
      </c>
      <c r="I2531">
        <v>0.266887822237104</v>
      </c>
      <c r="J2531">
        <v>0.20973967909135299</v>
      </c>
      <c r="K2531">
        <v>0.11961744047358901</v>
      </c>
      <c r="L2531">
        <v>618.08355844892696</v>
      </c>
      <c r="M2531">
        <v>12.042608865866599</v>
      </c>
      <c r="N2531">
        <v>52.4300730283096</v>
      </c>
      <c r="O2531">
        <v>49.970938400934799</v>
      </c>
      <c r="P2531">
        <v>-5.3506257156955297E-2</v>
      </c>
      <c r="Q2531">
        <v>0.112112239139966</v>
      </c>
      <c r="R2531">
        <v>0.99243880744277801</v>
      </c>
      <c r="S2531" t="s">
        <v>8114</v>
      </c>
      <c r="T2531" t="s">
        <v>11164</v>
      </c>
      <c r="U2531" t="s">
        <v>11164</v>
      </c>
      <c r="V2531" t="s">
        <v>11164</v>
      </c>
      <c r="W2531" t="s">
        <v>13658</v>
      </c>
      <c r="X2531">
        <v>6</v>
      </c>
      <c r="Y2531" t="s">
        <v>19163</v>
      </c>
      <c r="Z2531" t="s">
        <v>24681</v>
      </c>
      <c r="AA2531">
        <v>0.55848866623108118</v>
      </c>
      <c r="AB2531" t="str">
        <f>HYPERLINK("Melting_Curves/meltCurve_P56945_4_BCAR1.pdf", "Melting_Curves/meltCurve_P56945_4_BCAR1.pdf")</f>
        <v>Melting_Curves/meltCurve_P56945_4_BCAR1.pdf</v>
      </c>
    </row>
    <row r="2532" spans="1:28" x14ac:dyDescent="0.25">
      <c r="A2532" t="s">
        <v>2536</v>
      </c>
      <c r="B2532">
        <v>0.99796759195183404</v>
      </c>
      <c r="C2532">
        <v>0.98761673201160805</v>
      </c>
      <c r="D2532">
        <v>0.99736114948171295</v>
      </c>
      <c r="E2532">
        <v>0.94039675292510105</v>
      </c>
      <c r="F2532">
        <v>0.77080168995597997</v>
      </c>
      <c r="G2532">
        <v>0.25475853284681899</v>
      </c>
      <c r="H2532">
        <v>0.15263475097579701</v>
      </c>
      <c r="I2532">
        <v>0.13732254629791199</v>
      </c>
      <c r="J2532">
        <v>8.7123889574615199E-2</v>
      </c>
      <c r="K2532">
        <v>0.111650468610361</v>
      </c>
      <c r="L2532">
        <v>1917.40974993998</v>
      </c>
      <c r="M2532">
        <v>37.205928926130603</v>
      </c>
      <c r="N2532">
        <v>51.897083818759</v>
      </c>
      <c r="O2532">
        <v>51.386865089921599</v>
      </c>
      <c r="P2532">
        <v>-0.16032161057376099</v>
      </c>
      <c r="Q2532">
        <v>0.114291597159209</v>
      </c>
      <c r="R2532">
        <v>0.99763988902013101</v>
      </c>
      <c r="S2532" t="s">
        <v>8115</v>
      </c>
      <c r="T2532" t="s">
        <v>11164</v>
      </c>
      <c r="U2532" t="s">
        <v>11164</v>
      </c>
      <c r="V2532" t="s">
        <v>11164</v>
      </c>
      <c r="W2532" t="s">
        <v>13659</v>
      </c>
      <c r="X2532">
        <v>6</v>
      </c>
      <c r="Y2532" t="s">
        <v>19164</v>
      </c>
      <c r="Z2532" t="s">
        <v>24682</v>
      </c>
      <c r="AA2532">
        <v>0.54705811236510826</v>
      </c>
      <c r="AB2532" t="str">
        <f>HYPERLINK("Melting_Curves/meltCurve_P56962_STX17.pdf", "Melting_Curves/meltCurve_P56962_STX17.pdf")</f>
        <v>Melting_Curves/meltCurve_P56962_STX17.pdf</v>
      </c>
    </row>
    <row r="2533" spans="1:28" x14ac:dyDescent="0.25">
      <c r="A2533" t="s">
        <v>2537</v>
      </c>
      <c r="B2533">
        <v>0.99796759195183404</v>
      </c>
      <c r="C2533">
        <v>0.95729795481389002</v>
      </c>
      <c r="D2533">
        <v>0.94431047226967402</v>
      </c>
      <c r="E2533">
        <v>0.79213200349860002</v>
      </c>
      <c r="F2533">
        <v>0.77685206719517796</v>
      </c>
      <c r="G2533">
        <v>0.79902469931948805</v>
      </c>
      <c r="H2533">
        <v>0.63346083182358304</v>
      </c>
      <c r="I2533">
        <v>0.615489278824222</v>
      </c>
      <c r="J2533">
        <v>0.70841230244713105</v>
      </c>
      <c r="K2533">
        <v>0.47172968427510797</v>
      </c>
      <c r="L2533">
        <v>295.01451439355998</v>
      </c>
      <c r="M2533">
        <v>4.9364777932679296</v>
      </c>
      <c r="O2533">
        <v>52.001859054131799</v>
      </c>
      <c r="P2533">
        <v>-1.6934885971873301E-2</v>
      </c>
      <c r="Q2533">
        <v>0.29095716809877997</v>
      </c>
      <c r="R2533">
        <v>0.86346233440155495</v>
      </c>
      <c r="S2533" t="s">
        <v>8116</v>
      </c>
      <c r="T2533" t="s">
        <v>11164</v>
      </c>
      <c r="U2533" t="s">
        <v>11164</v>
      </c>
      <c r="V2533" t="s">
        <v>11164</v>
      </c>
      <c r="W2533" t="s">
        <v>13660</v>
      </c>
      <c r="X2533">
        <v>2</v>
      </c>
      <c r="Y2533" t="s">
        <v>19165</v>
      </c>
      <c r="Z2533" t="s">
        <v>24683</v>
      </c>
      <c r="AA2533">
        <v>0.76815664144255813</v>
      </c>
      <c r="AB2533" t="str">
        <f>HYPERLINK("Melting_Curves/meltCurve_P57054_3_PIGP.pdf", "Melting_Curves/meltCurve_P57054_3_PIGP.pdf")</f>
        <v>Melting_Curves/meltCurve_P57054_3_PIGP.pdf</v>
      </c>
    </row>
    <row r="2534" spans="1:28" x14ac:dyDescent="0.25">
      <c r="A2534" t="s">
        <v>2538</v>
      </c>
      <c r="B2534">
        <v>0.99796759195183404</v>
      </c>
      <c r="C2534">
        <v>1.05980662800587</v>
      </c>
      <c r="D2534">
        <v>1.2379390635151399</v>
      </c>
      <c r="E2534">
        <v>0.95752242939447296</v>
      </c>
      <c r="F2534">
        <v>0.78107529546569898</v>
      </c>
      <c r="G2534">
        <v>0.439609370328093</v>
      </c>
      <c r="H2534">
        <v>0.46365793584370701</v>
      </c>
      <c r="I2534">
        <v>0.304873155956424</v>
      </c>
      <c r="J2534">
        <v>0.471340009773911</v>
      </c>
      <c r="K2534">
        <v>0.109551533401912</v>
      </c>
      <c r="L2534">
        <v>1323.6342659205</v>
      </c>
      <c r="M2534">
        <v>25.642566992451201</v>
      </c>
      <c r="N2534">
        <v>53.642096090443303</v>
      </c>
      <c r="O2534">
        <v>51.307771000312997</v>
      </c>
      <c r="P2534">
        <v>-8.6220552137330805E-2</v>
      </c>
      <c r="Q2534">
        <v>0.30993952214020298</v>
      </c>
      <c r="R2534">
        <v>0.88739334008216297</v>
      </c>
      <c r="S2534" t="s">
        <v>8117</v>
      </c>
      <c r="T2534" t="s">
        <v>11164</v>
      </c>
      <c r="U2534" t="s">
        <v>11164</v>
      </c>
      <c r="V2534" t="s">
        <v>11164</v>
      </c>
      <c r="W2534" t="s">
        <v>13661</v>
      </c>
      <c r="X2534">
        <v>2</v>
      </c>
      <c r="Y2534" t="s">
        <v>19166</v>
      </c>
      <c r="Z2534" t="s">
        <v>24684</v>
      </c>
      <c r="AA2534">
        <v>0.65202798942226581</v>
      </c>
      <c r="AB2534" t="str">
        <f>HYPERLINK("Melting_Curves/meltCurve_P57060_RWDD2B.pdf", "Melting_Curves/meltCurve_P57060_RWDD2B.pdf")</f>
        <v>Melting_Curves/meltCurve_P57060_RWDD2B.pdf</v>
      </c>
    </row>
    <row r="2535" spans="1:28" x14ac:dyDescent="0.25">
      <c r="A2535" t="s">
        <v>2539</v>
      </c>
      <c r="B2535">
        <v>0.99796759195183404</v>
      </c>
      <c r="C2535">
        <v>1.0303141898005801</v>
      </c>
      <c r="D2535">
        <v>1.0074289048891201</v>
      </c>
      <c r="E2535">
        <v>0.96408782545029903</v>
      </c>
      <c r="F2535">
        <v>0.60368766466299395</v>
      </c>
      <c r="G2535">
        <v>0.31703396757667202</v>
      </c>
      <c r="H2535">
        <v>0.24734222742425299</v>
      </c>
      <c r="I2535">
        <v>0.242498018568711</v>
      </c>
      <c r="J2535">
        <v>0.175410695524367</v>
      </c>
      <c r="K2535">
        <v>0.10757367785157</v>
      </c>
      <c r="L2535">
        <v>1391.46545677309</v>
      </c>
      <c r="M2535">
        <v>27.5465334978092</v>
      </c>
      <c r="N2535">
        <v>51.360547783998001</v>
      </c>
      <c r="O2535">
        <v>50.249315559047801</v>
      </c>
      <c r="P2535">
        <v>-0.112025949641337</v>
      </c>
      <c r="Q2535">
        <v>0.18259404907573901</v>
      </c>
      <c r="R2535">
        <v>0.99059289894008395</v>
      </c>
      <c r="S2535" t="s">
        <v>8118</v>
      </c>
      <c r="T2535" t="s">
        <v>11164</v>
      </c>
      <c r="U2535" t="s">
        <v>11164</v>
      </c>
      <c r="V2535" t="s">
        <v>11164</v>
      </c>
      <c r="W2535" t="s">
        <v>13662</v>
      </c>
      <c r="X2535">
        <v>11</v>
      </c>
      <c r="Y2535" t="s">
        <v>19167</v>
      </c>
      <c r="Z2535" t="s">
        <v>24685</v>
      </c>
      <c r="AA2535">
        <v>0.55675864233169325</v>
      </c>
      <c r="AB2535" t="str">
        <f>HYPERLINK("Melting_Curves/meltCurve_P57076_C21orf59.pdf", "Melting_Curves/meltCurve_P57076_C21orf59.pdf")</f>
        <v>Melting_Curves/meltCurve_P57076_C21orf59.pdf</v>
      </c>
    </row>
    <row r="2536" spans="1:28" x14ac:dyDescent="0.25">
      <c r="A2536" t="s">
        <v>2540</v>
      </c>
      <c r="B2536">
        <v>0.99796759195183404</v>
      </c>
      <c r="C2536">
        <v>1.1907115042883001</v>
      </c>
      <c r="D2536">
        <v>1.0757585504215501</v>
      </c>
      <c r="E2536">
        <v>1.0383416352444199</v>
      </c>
      <c r="F2536">
        <v>0.978206993614256</v>
      </c>
      <c r="G2536">
        <v>1.29224154419016</v>
      </c>
      <c r="H2536">
        <v>0.94106881668599496</v>
      </c>
      <c r="I2536">
        <v>0.275734042053706</v>
      </c>
      <c r="J2536">
        <v>0.10925900383735999</v>
      </c>
      <c r="K2536">
        <v>7.7583625078772395E-2</v>
      </c>
      <c r="L2536">
        <v>4007.0998889308698</v>
      </c>
      <c r="M2536">
        <v>67.040812631217804</v>
      </c>
      <c r="N2536">
        <v>59.944352634588498</v>
      </c>
      <c r="O2536">
        <v>59.7179451522017</v>
      </c>
      <c r="P2536">
        <v>-0.25593157982232001</v>
      </c>
      <c r="Q2536">
        <v>8.8095687574141393E-2</v>
      </c>
      <c r="R2536">
        <v>0.93127558443404401</v>
      </c>
      <c r="S2536" t="s">
        <v>8119</v>
      </c>
      <c r="T2536" t="s">
        <v>11164</v>
      </c>
      <c r="U2536" t="s">
        <v>11164</v>
      </c>
      <c r="V2536" t="s">
        <v>11164</v>
      </c>
      <c r="W2536" t="s">
        <v>13663</v>
      </c>
      <c r="X2536">
        <v>8</v>
      </c>
      <c r="Y2536" t="s">
        <v>19168</v>
      </c>
      <c r="Z2536" t="s">
        <v>24686</v>
      </c>
      <c r="AA2536">
        <v>0.78157160439465612</v>
      </c>
      <c r="AB2536" t="str">
        <f>HYPERLINK("Melting_Curves/meltCurve_P57081_2_WDR4.pdf", "Melting_Curves/meltCurve_P57081_2_WDR4.pdf")</f>
        <v>Melting_Curves/meltCurve_P57081_2_WDR4.pdf</v>
      </c>
    </row>
    <row r="2537" spans="1:28" x14ac:dyDescent="0.25">
      <c r="A2537" t="s">
        <v>2541</v>
      </c>
      <c r="B2537">
        <v>0.99796759195183404</v>
      </c>
      <c r="C2537">
        <v>1.0115902834546</v>
      </c>
      <c r="D2537">
        <v>1.06655113932396</v>
      </c>
      <c r="E2537">
        <v>0.95487441543521201</v>
      </c>
      <c r="F2537">
        <v>0.91220040961891702</v>
      </c>
      <c r="G2537">
        <v>0.81069722277365197</v>
      </c>
      <c r="H2537">
        <v>0.55204979757705197</v>
      </c>
      <c r="I2537">
        <v>0.48209316687842502</v>
      </c>
      <c r="J2537">
        <v>0.42214994247131299</v>
      </c>
      <c r="K2537">
        <v>0.12717649458039401</v>
      </c>
      <c r="L2537">
        <v>705.32881232182297</v>
      </c>
      <c r="M2537">
        <v>11.76747524474</v>
      </c>
      <c r="N2537">
        <v>59.938839720967799</v>
      </c>
      <c r="O2537">
        <v>58.286392553081697</v>
      </c>
      <c r="P2537">
        <v>-5.0485757698031201E-2</v>
      </c>
      <c r="Q2537">
        <v>0</v>
      </c>
      <c r="R2537">
        <v>0.96292938267958095</v>
      </c>
      <c r="S2537" t="s">
        <v>8120</v>
      </c>
      <c r="T2537" t="s">
        <v>11164</v>
      </c>
      <c r="U2537" t="s">
        <v>11164</v>
      </c>
      <c r="V2537" t="s">
        <v>11164</v>
      </c>
      <c r="W2537" t="s">
        <v>13664</v>
      </c>
      <c r="X2537">
        <v>3</v>
      </c>
      <c r="Y2537" t="s">
        <v>19169</v>
      </c>
      <c r="Z2537" t="s">
        <v>24687</v>
      </c>
      <c r="AA2537">
        <v>0.74786682142235472</v>
      </c>
      <c r="AB2537" t="str">
        <f>HYPERLINK("Melting_Curves/meltCurve_P57088_TMEM33.pdf", "Melting_Curves/meltCurve_P57088_TMEM33.pdf")</f>
        <v>Melting_Curves/meltCurve_P57088_TMEM33.pdf</v>
      </c>
    </row>
    <row r="2538" spans="1:28" x14ac:dyDescent="0.25">
      <c r="A2538" t="s">
        <v>2542</v>
      </c>
      <c r="B2538">
        <v>0.99796759195183404</v>
      </c>
      <c r="C2538">
        <v>0.932507173648494</v>
      </c>
      <c r="D2538">
        <v>0.95014332414037805</v>
      </c>
      <c r="E2538">
        <v>0.93336580533278701</v>
      </c>
      <c r="F2538">
        <v>0.80234980709691495</v>
      </c>
      <c r="G2538">
        <v>0.365392349853363</v>
      </c>
      <c r="H2538">
        <v>0.23671651304511901</v>
      </c>
      <c r="I2538">
        <v>0.18873037685280999</v>
      </c>
      <c r="J2538">
        <v>0.18374928798214499</v>
      </c>
      <c r="K2538">
        <v>0.19842088540069699</v>
      </c>
      <c r="L2538">
        <v>1660.8588671817799</v>
      </c>
      <c r="M2538">
        <v>32.058813318813002</v>
      </c>
      <c r="N2538">
        <v>52.586908705674396</v>
      </c>
      <c r="O2538">
        <v>51.606294595419001</v>
      </c>
      <c r="P2538">
        <v>-0.12591102743680199</v>
      </c>
      <c r="Q2538">
        <v>0.18926893522833099</v>
      </c>
      <c r="R2538">
        <v>0.99210078507208799</v>
      </c>
      <c r="S2538" t="s">
        <v>8121</v>
      </c>
      <c r="T2538" t="s">
        <v>11164</v>
      </c>
      <c r="U2538" t="s">
        <v>11164</v>
      </c>
      <c r="V2538" t="s">
        <v>11164</v>
      </c>
      <c r="W2538" t="s">
        <v>13665</v>
      </c>
      <c r="X2538">
        <v>3</v>
      </c>
      <c r="Y2538" t="s">
        <v>19170</v>
      </c>
      <c r="Z2538" t="s">
        <v>24688</v>
      </c>
      <c r="AA2538">
        <v>0.59389681104705283</v>
      </c>
      <c r="AB2538" t="str">
        <f>HYPERLINK("Melting_Curves/meltCurve_P57105_SYNJ2BP.pdf", "Melting_Curves/meltCurve_P57105_SYNJ2BP.pdf")</f>
        <v>Melting_Curves/meltCurve_P57105_SYNJ2BP.pdf</v>
      </c>
    </row>
    <row r="2539" spans="1:28" x14ac:dyDescent="0.25">
      <c r="A2539" t="s">
        <v>2543</v>
      </c>
      <c r="B2539">
        <v>0.99796759195183404</v>
      </c>
      <c r="C2539">
        <v>1.00261074874615</v>
      </c>
      <c r="D2539">
        <v>0.99878642768354997</v>
      </c>
      <c r="E2539">
        <v>0.93109940806035996</v>
      </c>
      <c r="F2539">
        <v>0.61674209706827798</v>
      </c>
      <c r="G2539">
        <v>0.40199377139945303</v>
      </c>
      <c r="H2539">
        <v>0.32856433249705402</v>
      </c>
      <c r="I2539">
        <v>0.267532162127534</v>
      </c>
      <c r="J2539">
        <v>0.24152364523849101</v>
      </c>
      <c r="K2539">
        <v>0.17835439550924201</v>
      </c>
      <c r="L2539">
        <v>1071.05776706287</v>
      </c>
      <c r="M2539">
        <v>21.1485776538354</v>
      </c>
      <c r="N2539">
        <v>52.142114192736202</v>
      </c>
      <c r="O2539">
        <v>50.1981441933223</v>
      </c>
      <c r="P2539">
        <v>-8.1352244697446702E-2</v>
      </c>
      <c r="Q2539">
        <v>0.22763125060679801</v>
      </c>
      <c r="R2539">
        <v>0.99302327007915803</v>
      </c>
      <c r="S2539" t="s">
        <v>8122</v>
      </c>
      <c r="T2539" t="s">
        <v>11164</v>
      </c>
      <c r="U2539" t="s">
        <v>11164</v>
      </c>
      <c r="V2539" t="s">
        <v>11164</v>
      </c>
      <c r="W2539" t="s">
        <v>13666</v>
      </c>
      <c r="X2539">
        <v>31</v>
      </c>
      <c r="Y2539" t="s">
        <v>19171</v>
      </c>
      <c r="Z2539" t="s">
        <v>24689</v>
      </c>
      <c r="AA2539">
        <v>0.58812605221639624</v>
      </c>
      <c r="AB2539" t="str">
        <f>HYPERLINK("Melting_Curves/meltCurve_P57737_3_CORO7.pdf", "Melting_Curves/meltCurve_P57737_3_CORO7.pdf")</f>
        <v>Melting_Curves/meltCurve_P57737_3_CORO7.pdf</v>
      </c>
    </row>
    <row r="2540" spans="1:28" x14ac:dyDescent="0.25">
      <c r="A2540" t="s">
        <v>2544</v>
      </c>
      <c r="B2540">
        <v>0.99796759195183404</v>
      </c>
      <c r="C2540">
        <v>0.88431980873710703</v>
      </c>
      <c r="D2540">
        <v>0.95064213452464397</v>
      </c>
      <c r="E2540">
        <v>0.68742699141786201</v>
      </c>
      <c r="F2540">
        <v>0.52737896989154098</v>
      </c>
      <c r="G2540">
        <v>0.648700776197073</v>
      </c>
      <c r="H2540">
        <v>0.251494996594191</v>
      </c>
      <c r="I2540">
        <v>0.21543596169346799</v>
      </c>
      <c r="J2540">
        <v>0.16235719932697701</v>
      </c>
      <c r="K2540">
        <v>0.168086498818424</v>
      </c>
      <c r="L2540">
        <v>443.34811446533399</v>
      </c>
      <c r="M2540">
        <v>8.4085788856494101</v>
      </c>
      <c r="N2540">
        <v>52.725688899860899</v>
      </c>
      <c r="O2540">
        <v>49.996688421590399</v>
      </c>
      <c r="P2540">
        <v>-4.2085150963008203E-2</v>
      </c>
      <c r="Q2540">
        <v>0</v>
      </c>
      <c r="R2540">
        <v>0.93492201306379596</v>
      </c>
      <c r="S2540" t="s">
        <v>8123</v>
      </c>
      <c r="T2540" t="s">
        <v>11164</v>
      </c>
      <c r="U2540" t="s">
        <v>11164</v>
      </c>
      <c r="V2540" t="s">
        <v>11164</v>
      </c>
      <c r="W2540" t="s">
        <v>13667</v>
      </c>
      <c r="X2540">
        <v>3</v>
      </c>
      <c r="Y2540" t="s">
        <v>19172</v>
      </c>
      <c r="Z2540" t="s">
        <v>24690</v>
      </c>
      <c r="AA2540">
        <v>0.54809874045869333</v>
      </c>
      <c r="AB2540" t="str">
        <f>HYPERLINK("Melting_Curves/meltCurve_P57740_NUP107.pdf", "Melting_Curves/meltCurve_P57740_NUP107.pdf")</f>
        <v>Melting_Curves/meltCurve_P57740_NUP107.pdf</v>
      </c>
    </row>
    <row r="2541" spans="1:28" x14ac:dyDescent="0.25">
      <c r="A2541" t="s">
        <v>2545</v>
      </c>
      <c r="B2541">
        <v>0.99796759195183404</v>
      </c>
      <c r="C2541">
        <v>1.0593479934566701</v>
      </c>
      <c r="D2541">
        <v>1.00454655793242</v>
      </c>
      <c r="E2541">
        <v>0.92626486061338098</v>
      </c>
      <c r="F2541">
        <v>0.95588725717009604</v>
      </c>
      <c r="G2541">
        <v>0.561755684726017</v>
      </c>
      <c r="H2541">
        <v>0.46851129320569901</v>
      </c>
      <c r="I2541">
        <v>0.28300982820625098</v>
      </c>
      <c r="J2541">
        <v>0.23946487655423501</v>
      </c>
      <c r="K2541">
        <v>0.112769737534219</v>
      </c>
      <c r="L2541">
        <v>894.11438763419596</v>
      </c>
      <c r="M2541">
        <v>16.145148060416801</v>
      </c>
      <c r="N2541">
        <v>56.241267798033903</v>
      </c>
      <c r="O2541">
        <v>54.551037729303701</v>
      </c>
      <c r="P2541">
        <v>-6.5890140323104293E-2</v>
      </c>
      <c r="Q2541">
        <v>0.10955183615424199</v>
      </c>
      <c r="R2541">
        <v>0.97595293957736295</v>
      </c>
      <c r="S2541" t="s">
        <v>8124</v>
      </c>
      <c r="T2541" t="s">
        <v>11164</v>
      </c>
      <c r="U2541" t="s">
        <v>11164</v>
      </c>
      <c r="V2541" t="s">
        <v>11164</v>
      </c>
      <c r="W2541" t="s">
        <v>13668</v>
      </c>
      <c r="X2541">
        <v>3</v>
      </c>
      <c r="Y2541" t="s">
        <v>19173</v>
      </c>
      <c r="Z2541" t="s">
        <v>24691</v>
      </c>
      <c r="AA2541">
        <v>0.66653151600524541</v>
      </c>
      <c r="AB2541" t="str">
        <f>HYPERLINK("Melting_Curves/meltCurve_P57768_2_SNX16.pdf", "Melting_Curves/meltCurve_P57768_2_SNX16.pdf")</f>
        <v>Melting_Curves/meltCurve_P57768_2_SNX16.pdf</v>
      </c>
    </row>
    <row r="2542" spans="1:28" x14ac:dyDescent="0.25">
      <c r="A2542" t="s">
        <v>2546</v>
      </c>
      <c r="B2542">
        <v>0.99796759195183404</v>
      </c>
      <c r="C2542">
        <v>1.0433044793324799</v>
      </c>
      <c r="D2542">
        <v>1.0341860094244699</v>
      </c>
      <c r="E2542">
        <v>0.98438562357535597</v>
      </c>
      <c r="F2542">
        <v>0.70811109035060704</v>
      </c>
      <c r="G2542">
        <v>0.230252860314312</v>
      </c>
      <c r="H2542">
        <v>0.16990201772588701</v>
      </c>
      <c r="I2542">
        <v>0.144449666714528</v>
      </c>
      <c r="J2542">
        <v>0.161379725266388</v>
      </c>
      <c r="K2542">
        <v>0.11754281971297099</v>
      </c>
      <c r="L2542">
        <v>2122.3546839248602</v>
      </c>
      <c r="M2542">
        <v>41.6225579351471</v>
      </c>
      <c r="N2542">
        <v>51.415073925493203</v>
      </c>
      <c r="O2542">
        <v>50.873207125766498</v>
      </c>
      <c r="P2542">
        <v>-0.17479337699615</v>
      </c>
      <c r="Q2542">
        <v>0.145436021077333</v>
      </c>
      <c r="R2542">
        <v>0.99732906152868905</v>
      </c>
      <c r="S2542" t="s">
        <v>8125</v>
      </c>
      <c r="T2542" t="s">
        <v>11164</v>
      </c>
      <c r="U2542" t="s">
        <v>11164</v>
      </c>
      <c r="V2542" t="s">
        <v>11164</v>
      </c>
      <c r="W2542" t="s">
        <v>13669</v>
      </c>
      <c r="X2542">
        <v>2</v>
      </c>
      <c r="Y2542" t="s">
        <v>19174</v>
      </c>
      <c r="Z2542" t="s">
        <v>24692</v>
      </c>
      <c r="AA2542">
        <v>0.54673925919301947</v>
      </c>
      <c r="AB2542" t="str">
        <f>HYPERLINK("Melting_Curves/meltCurve_P57772_EEFSEC.pdf", "Melting_Curves/meltCurve_P57772_EEFSEC.pdf")</f>
        <v>Melting_Curves/meltCurve_P57772_EEFSEC.pdf</v>
      </c>
    </row>
    <row r="2543" spans="1:28" x14ac:dyDescent="0.25">
      <c r="A2543" t="s">
        <v>2547</v>
      </c>
      <c r="B2543">
        <v>0.99796759195183404</v>
      </c>
      <c r="C2543">
        <v>1.0077479356155501</v>
      </c>
      <c r="D2543">
        <v>0.98901746658402201</v>
      </c>
      <c r="E2543">
        <v>0.89869710403235603</v>
      </c>
      <c r="F2543">
        <v>0.50198898771906197</v>
      </c>
      <c r="G2543">
        <v>0.23697458308334299</v>
      </c>
      <c r="H2543">
        <v>0.19075411501008599</v>
      </c>
      <c r="I2543">
        <v>0.16062179824084899</v>
      </c>
      <c r="J2543">
        <v>0.12134033534501</v>
      </c>
      <c r="K2543">
        <v>0.101204332690829</v>
      </c>
      <c r="L2543">
        <v>1369.1890264752701</v>
      </c>
      <c r="M2543">
        <v>27.522098643802298</v>
      </c>
      <c r="N2543">
        <v>50.3276060184199</v>
      </c>
      <c r="O2543">
        <v>49.488292082172897</v>
      </c>
      <c r="P2543">
        <v>-0.120170613180531</v>
      </c>
      <c r="Q2543">
        <v>0.13567872830826</v>
      </c>
      <c r="R2543">
        <v>0.99763684010472897</v>
      </c>
      <c r="S2543" t="s">
        <v>8126</v>
      </c>
      <c r="T2543" t="s">
        <v>11164</v>
      </c>
      <c r="U2543" t="s">
        <v>11164</v>
      </c>
      <c r="V2543" t="s">
        <v>11164</v>
      </c>
      <c r="W2543" t="s">
        <v>13670</v>
      </c>
      <c r="X2543">
        <v>6</v>
      </c>
      <c r="Y2543" t="s">
        <v>19175</v>
      </c>
      <c r="Z2543" t="s">
        <v>24693</v>
      </c>
      <c r="AA2543">
        <v>0.50923598756612387</v>
      </c>
      <c r="AB2543" t="str">
        <f>HYPERLINK("Melting_Curves/meltCurve_P58004_SESN2.pdf", "Melting_Curves/meltCurve_P58004_SESN2.pdf")</f>
        <v>Melting_Curves/meltCurve_P58004_SESN2.pdf</v>
      </c>
    </row>
    <row r="2544" spans="1:28" x14ac:dyDescent="0.25">
      <c r="A2544" t="s">
        <v>2548</v>
      </c>
      <c r="B2544">
        <v>0.99796759195183404</v>
      </c>
      <c r="C2544">
        <v>0.88789400357454495</v>
      </c>
      <c r="D2544">
        <v>0.92612042073391998</v>
      </c>
      <c r="E2544">
        <v>0.82176451936605699</v>
      </c>
      <c r="F2544">
        <v>0.58244422392630602</v>
      </c>
      <c r="G2544">
        <v>0.41612059530745998</v>
      </c>
      <c r="H2544">
        <v>0.32469434507837602</v>
      </c>
      <c r="I2544">
        <v>0.21884935281227699</v>
      </c>
      <c r="J2544">
        <v>0.21552709850684801</v>
      </c>
      <c r="K2544">
        <v>0.12102739204991</v>
      </c>
      <c r="L2544">
        <v>567.69686357533999</v>
      </c>
      <c r="M2544">
        <v>11.0299814933009</v>
      </c>
      <c r="N2544">
        <v>52.360823881939297</v>
      </c>
      <c r="O2544">
        <v>49.8635635268908</v>
      </c>
      <c r="P2544">
        <v>-5.0579578574006898E-2</v>
      </c>
      <c r="Q2544">
        <v>8.5678834844245697E-2</v>
      </c>
      <c r="R2544">
        <v>0.988534885165257</v>
      </c>
      <c r="S2544" t="s">
        <v>8127</v>
      </c>
      <c r="T2544" t="s">
        <v>11164</v>
      </c>
      <c r="U2544" t="s">
        <v>11164</v>
      </c>
      <c r="V2544" t="s">
        <v>11164</v>
      </c>
      <c r="W2544" t="s">
        <v>13671</v>
      </c>
      <c r="X2544">
        <v>3</v>
      </c>
      <c r="Y2544" t="s">
        <v>19176</v>
      </c>
      <c r="Z2544" t="s">
        <v>24694</v>
      </c>
      <c r="AA2544">
        <v>0.55117875140302197</v>
      </c>
      <c r="AB2544" t="str">
        <f>HYPERLINK("Melting_Curves/meltCurve_P58005_SESN3.pdf", "Melting_Curves/meltCurve_P58005_SESN3.pdf")</f>
        <v>Melting_Curves/meltCurve_P58005_SESN3.pdf</v>
      </c>
    </row>
    <row r="2545" spans="1:28" x14ac:dyDescent="0.25">
      <c r="A2545" t="s">
        <v>2549</v>
      </c>
      <c r="B2545">
        <v>0.99796759195183404</v>
      </c>
      <c r="C2545">
        <v>1.03958060249118</v>
      </c>
      <c r="D2545">
        <v>0.93897862743350902</v>
      </c>
      <c r="E2545">
        <v>0.80104701575660597</v>
      </c>
      <c r="F2545">
        <v>0.33864073080247897</v>
      </c>
      <c r="G2545">
        <v>0.27746137537160298</v>
      </c>
      <c r="H2545">
        <v>0.17602764342031799</v>
      </c>
      <c r="I2545">
        <v>0.16899118798885801</v>
      </c>
      <c r="J2545">
        <v>0.134481289685802</v>
      </c>
      <c r="K2545">
        <v>8.5855611976604004E-2</v>
      </c>
      <c r="L2545">
        <v>1244.6381116222799</v>
      </c>
      <c r="M2545">
        <v>25.712017717128401</v>
      </c>
      <c r="N2545">
        <v>49.062662204871302</v>
      </c>
      <c r="O2545">
        <v>48.116898970467297</v>
      </c>
      <c r="P2545">
        <v>-0.114165472027375</v>
      </c>
      <c r="Q2545">
        <v>0.14542336221872801</v>
      </c>
      <c r="R2545">
        <v>0.98887387757723899</v>
      </c>
      <c r="S2545" t="s">
        <v>8128</v>
      </c>
      <c r="T2545" t="s">
        <v>11164</v>
      </c>
      <c r="U2545" t="s">
        <v>11164</v>
      </c>
      <c r="V2545" t="s">
        <v>11164</v>
      </c>
      <c r="W2545" t="s">
        <v>13672</v>
      </c>
      <c r="X2545">
        <v>11</v>
      </c>
      <c r="Y2545" t="s">
        <v>19177</v>
      </c>
      <c r="Z2545" t="s">
        <v>24695</v>
      </c>
      <c r="AA2545">
        <v>0.47728894917676051</v>
      </c>
      <c r="AB2545" t="str">
        <f>HYPERLINK("Melting_Curves/meltCurve_P58107_EPPK1.pdf", "Melting_Curves/meltCurve_P58107_EPPK1.pdf")</f>
        <v>Melting_Curves/meltCurve_P58107_EPPK1.pdf</v>
      </c>
    </row>
    <row r="2546" spans="1:28" x14ac:dyDescent="0.25">
      <c r="A2546" t="s">
        <v>2550</v>
      </c>
      <c r="B2546">
        <v>0.99796759195183404</v>
      </c>
      <c r="C2546">
        <v>0.93689077537760401</v>
      </c>
      <c r="D2546">
        <v>1.0221748931194701</v>
      </c>
      <c r="E2546">
        <v>0.90929618626949105</v>
      </c>
      <c r="F2546">
        <v>0.75089653591344996</v>
      </c>
      <c r="G2546">
        <v>0.41908870065528597</v>
      </c>
      <c r="H2546">
        <v>0.248084516073069</v>
      </c>
      <c r="I2546">
        <v>0.151888360854564</v>
      </c>
      <c r="J2546">
        <v>0.14308432566760601</v>
      </c>
      <c r="K2546">
        <v>0.1216761273847</v>
      </c>
      <c r="L2546">
        <v>1072.9014409056999</v>
      </c>
      <c r="M2546">
        <v>20.526305326202898</v>
      </c>
      <c r="N2546">
        <v>52.948930917739702</v>
      </c>
      <c r="O2546">
        <v>51.781079318510699</v>
      </c>
      <c r="P2546">
        <v>-8.7631537182771904E-2</v>
      </c>
      <c r="Q2546">
        <v>0.11576475786649799</v>
      </c>
      <c r="R2546">
        <v>0.99548821389771402</v>
      </c>
      <c r="S2546" t="s">
        <v>8129</v>
      </c>
      <c r="T2546" t="s">
        <v>11164</v>
      </c>
      <c r="U2546" t="s">
        <v>11164</v>
      </c>
      <c r="V2546" t="s">
        <v>11164</v>
      </c>
      <c r="W2546" t="s">
        <v>13673</v>
      </c>
      <c r="X2546">
        <v>9</v>
      </c>
      <c r="Y2546" t="s">
        <v>19178</v>
      </c>
      <c r="Z2546" t="s">
        <v>24696</v>
      </c>
      <c r="AA2546">
        <v>0.57673685929659801</v>
      </c>
      <c r="AB2546" t="str">
        <f>HYPERLINK("Melting_Curves/meltCurve_P58546_MTPN.pdf", "Melting_Curves/meltCurve_P58546_MTPN.pdf")</f>
        <v>Melting_Curves/meltCurve_P58546_MTPN.pdf</v>
      </c>
    </row>
    <row r="2547" spans="1:28" x14ac:dyDescent="0.25">
      <c r="A2547" t="s">
        <v>2551</v>
      </c>
      <c r="B2547">
        <v>0.99796759195183404</v>
      </c>
      <c r="C2547">
        <v>1.0642251134147001</v>
      </c>
      <c r="D2547">
        <v>0.98757480819333299</v>
      </c>
      <c r="E2547">
        <v>0.87401150990273402</v>
      </c>
      <c r="F2547">
        <v>0.60808608645572904</v>
      </c>
      <c r="G2547">
        <v>0.298236935045678</v>
      </c>
      <c r="H2547">
        <v>0.18973849706689899</v>
      </c>
      <c r="I2547">
        <v>0.18256045395168999</v>
      </c>
      <c r="J2547">
        <v>0.129561016498592</v>
      </c>
      <c r="K2547">
        <v>0.103318116660346</v>
      </c>
      <c r="L2547">
        <v>1107.83198351848</v>
      </c>
      <c r="M2547">
        <v>21.90119384942</v>
      </c>
      <c r="N2547">
        <v>51.261906575419196</v>
      </c>
      <c r="O2547">
        <v>50.167126069186203</v>
      </c>
      <c r="P2547">
        <v>-9.5406716639010805E-2</v>
      </c>
      <c r="Q2547">
        <v>0.125861000652289</v>
      </c>
      <c r="R2547">
        <v>0.99530377789329805</v>
      </c>
      <c r="S2547" t="s">
        <v>8130</v>
      </c>
      <c r="T2547" t="s">
        <v>11164</v>
      </c>
      <c r="U2547" t="s">
        <v>11164</v>
      </c>
      <c r="V2547" t="s">
        <v>11164</v>
      </c>
      <c r="W2547" t="s">
        <v>13674</v>
      </c>
      <c r="X2547">
        <v>3</v>
      </c>
      <c r="Y2547" t="s">
        <v>19179</v>
      </c>
      <c r="Z2547" t="s">
        <v>24697</v>
      </c>
      <c r="AA2547">
        <v>0.53144672755348954</v>
      </c>
      <c r="AB2547" t="str">
        <f>HYPERLINK("Melting_Curves/meltCurve_P58557_YBEY.pdf", "Melting_Curves/meltCurve_P58557_YBEY.pdf")</f>
        <v>Melting_Curves/meltCurve_P58557_YBEY.pdf</v>
      </c>
    </row>
    <row r="2548" spans="1:28" x14ac:dyDescent="0.25">
      <c r="A2548" t="s">
        <v>2552</v>
      </c>
      <c r="B2548">
        <v>0.99796759195183404</v>
      </c>
      <c r="C2548">
        <v>1.0139027653531401</v>
      </c>
      <c r="D2548">
        <v>0.94657792246755601</v>
      </c>
      <c r="E2548">
        <v>0.89891775705940202</v>
      </c>
      <c r="F2548">
        <v>0.90717660040174197</v>
      </c>
      <c r="G2548">
        <v>1.4106255599547599</v>
      </c>
      <c r="H2548">
        <v>1.2256512118182099</v>
      </c>
      <c r="I2548">
        <v>1.0737824770019899</v>
      </c>
      <c r="J2548">
        <v>0.90850721405226098</v>
      </c>
      <c r="K2548">
        <v>0.34439707234949601</v>
      </c>
      <c r="L2548">
        <v>15000</v>
      </c>
      <c r="M2548">
        <v>232.19007623571201</v>
      </c>
      <c r="N2548">
        <v>64.928392251445601</v>
      </c>
      <c r="O2548">
        <v>64.597460441705095</v>
      </c>
      <c r="P2548">
        <v>-0.589272359641687</v>
      </c>
      <c r="Q2548">
        <v>0.34423566582715698</v>
      </c>
      <c r="R2548">
        <v>0.63569505295231798</v>
      </c>
      <c r="S2548" t="s">
        <v>8131</v>
      </c>
      <c r="T2548" t="s">
        <v>11164</v>
      </c>
      <c r="U2548" t="s">
        <v>11164</v>
      </c>
      <c r="V2548" t="s">
        <v>11164</v>
      </c>
      <c r="W2548" t="s">
        <v>13675</v>
      </c>
      <c r="X2548">
        <v>8</v>
      </c>
      <c r="Y2548" t="s">
        <v>19180</v>
      </c>
      <c r="Z2548" t="s">
        <v>24698</v>
      </c>
      <c r="AA2548">
        <v>0.94767247744790617</v>
      </c>
      <c r="AB2548" t="str">
        <f>HYPERLINK("Melting_Curves/meltCurve_P59998_ARPC4.pdf", "Melting_Curves/meltCurve_P59998_ARPC4.pdf")</f>
        <v>Melting_Curves/meltCurve_P59998_ARPC4.pdf</v>
      </c>
    </row>
    <row r="2549" spans="1:28" x14ac:dyDescent="0.25">
      <c r="A2549" t="s">
        <v>2553</v>
      </c>
      <c r="B2549">
        <v>0.99796759195183404</v>
      </c>
      <c r="C2549">
        <v>0.86397991454122303</v>
      </c>
      <c r="D2549">
        <v>0.981341796535251</v>
      </c>
      <c r="E2549">
        <v>0.98071424405126395</v>
      </c>
      <c r="F2549">
        <v>0.69456577279385701</v>
      </c>
      <c r="G2549">
        <v>0.34088662490404698</v>
      </c>
      <c r="H2549">
        <v>0.487087301670521</v>
      </c>
      <c r="I2549">
        <v>0.61219934871409498</v>
      </c>
      <c r="J2549">
        <v>0.85801936215560903</v>
      </c>
      <c r="K2549">
        <v>2.1614246548705802</v>
      </c>
      <c r="L2549">
        <v>15000</v>
      </c>
      <c r="M2549">
        <v>229.70293681961201</v>
      </c>
      <c r="O2549">
        <v>65.296789209030095</v>
      </c>
      <c r="P2549">
        <v>0.43972865898017499</v>
      </c>
      <c r="Q2549">
        <v>1.5</v>
      </c>
      <c r="R2549">
        <v>0.36094443568365497</v>
      </c>
      <c r="S2549" t="s">
        <v>8132</v>
      </c>
      <c r="T2549" t="s">
        <v>11164</v>
      </c>
      <c r="U2549" t="s">
        <v>11164</v>
      </c>
      <c r="V2549" t="s">
        <v>11164</v>
      </c>
      <c r="W2549" t="s">
        <v>13676</v>
      </c>
      <c r="X2549">
        <v>1</v>
      </c>
      <c r="Y2549" t="s">
        <v>19181</v>
      </c>
      <c r="Z2549" t="s">
        <v>24699</v>
      </c>
      <c r="AA2549">
        <v>1.0282514394846951</v>
      </c>
      <c r="AB2549" t="str">
        <f>HYPERLINK("Melting_Curves/meltCurve_P60059_SEC61G.pdf", "Melting_Curves/meltCurve_P60059_SEC61G.pdf")</f>
        <v>Melting_Curves/meltCurve_P60059_SEC61G.pdf</v>
      </c>
    </row>
    <row r="2550" spans="1:28" x14ac:dyDescent="0.25">
      <c r="A2550" t="s">
        <v>2554</v>
      </c>
      <c r="B2550">
        <v>0.99796759195183404</v>
      </c>
      <c r="C2550">
        <v>0.92206809108154797</v>
      </c>
      <c r="D2550">
        <v>0.90273008190301496</v>
      </c>
      <c r="E2550">
        <v>0.84325292851476197</v>
      </c>
      <c r="F2550">
        <v>0.73246076776894598</v>
      </c>
      <c r="G2550">
        <v>0.57036685868770998</v>
      </c>
      <c r="H2550">
        <v>0.46936422534814398</v>
      </c>
      <c r="I2550">
        <v>0.35767351674008002</v>
      </c>
      <c r="J2550">
        <v>0.35213774892230798</v>
      </c>
      <c r="K2550">
        <v>0.198540396184782</v>
      </c>
      <c r="L2550">
        <v>416.21506574780199</v>
      </c>
      <c r="M2550">
        <v>7.3644408948175997</v>
      </c>
      <c r="N2550">
        <v>56.516876975191799</v>
      </c>
      <c r="O2550">
        <v>52.797874838131101</v>
      </c>
      <c r="P2550">
        <v>-3.49245492439135E-2</v>
      </c>
      <c r="Q2550">
        <v>0</v>
      </c>
      <c r="R2550">
        <v>0.98944629400853401</v>
      </c>
      <c r="S2550" t="s">
        <v>8133</v>
      </c>
      <c r="T2550" t="s">
        <v>11164</v>
      </c>
      <c r="U2550" t="s">
        <v>11164</v>
      </c>
      <c r="V2550" t="s">
        <v>11164</v>
      </c>
      <c r="W2550" t="s">
        <v>13677</v>
      </c>
      <c r="X2550">
        <v>26</v>
      </c>
      <c r="Y2550" t="s">
        <v>19182</v>
      </c>
      <c r="Z2550" t="s">
        <v>24700</v>
      </c>
      <c r="AA2550">
        <v>0.63997453268950921</v>
      </c>
      <c r="AB2550" t="str">
        <f>HYPERLINK("Melting_Curves/meltCurve_P60174_1_TPI1.pdf", "Melting_Curves/meltCurve_P60174_1_TPI1.pdf")</f>
        <v>Melting_Curves/meltCurve_P60174_1_TPI1.pdf</v>
      </c>
    </row>
    <row r="2551" spans="1:28" x14ac:dyDescent="0.25">
      <c r="A2551" t="s">
        <v>2555</v>
      </c>
      <c r="B2551">
        <v>0.99796759195183404</v>
      </c>
      <c r="C2551">
        <v>0.88084852295520999</v>
      </c>
      <c r="D2551">
        <v>0.89269455680687304</v>
      </c>
      <c r="E2551">
        <v>0.79736016592533698</v>
      </c>
      <c r="F2551">
        <v>0.439008084263033</v>
      </c>
      <c r="G2551">
        <v>0.32472535003175901</v>
      </c>
      <c r="H2551">
        <v>0.17422899797576399</v>
      </c>
      <c r="I2551">
        <v>0.128729387344482</v>
      </c>
      <c r="J2551">
        <v>9.7371961306145297E-2</v>
      </c>
      <c r="K2551">
        <v>8.6819861644653107E-2</v>
      </c>
      <c r="L2551">
        <v>688.40861210617504</v>
      </c>
      <c r="M2551">
        <v>13.85976395928</v>
      </c>
      <c r="N2551">
        <v>50.119704155400598</v>
      </c>
      <c r="O2551">
        <v>48.669814273793797</v>
      </c>
      <c r="P2551">
        <v>-6.7035843477216001E-2</v>
      </c>
      <c r="Q2551">
        <v>5.8519883915027E-2</v>
      </c>
      <c r="R2551">
        <v>0.98688728238876</v>
      </c>
      <c r="S2551" t="s">
        <v>8134</v>
      </c>
      <c r="T2551" t="s">
        <v>11164</v>
      </c>
      <c r="U2551" t="s">
        <v>11164</v>
      </c>
      <c r="V2551" t="s">
        <v>11164</v>
      </c>
      <c r="W2551" t="s">
        <v>13678</v>
      </c>
      <c r="X2551">
        <v>5</v>
      </c>
      <c r="Y2551" t="s">
        <v>19183</v>
      </c>
      <c r="Z2551" t="s">
        <v>24701</v>
      </c>
      <c r="AA2551">
        <v>0.47840969846704567</v>
      </c>
      <c r="AB2551" t="str">
        <f>HYPERLINK("Melting_Curves/meltCurve_P60228_EIF3E.pdf", "Melting_Curves/meltCurve_P60228_EIF3E.pdf")</f>
        <v>Melting_Curves/meltCurve_P60228_EIF3E.pdf</v>
      </c>
    </row>
    <row r="2552" spans="1:28" x14ac:dyDescent="0.25">
      <c r="A2552" t="s">
        <v>2556</v>
      </c>
      <c r="B2552">
        <v>0.99796759195183404</v>
      </c>
      <c r="C2552">
        <v>1.07731150601589</v>
      </c>
      <c r="D2552">
        <v>1.23399121454507</v>
      </c>
      <c r="E2552">
        <v>1.1736342096894601</v>
      </c>
      <c r="F2552">
        <v>1.05885508110909</v>
      </c>
      <c r="G2552">
        <v>0.81313047619398604</v>
      </c>
      <c r="H2552">
        <v>0.93699395433443999</v>
      </c>
      <c r="I2552">
        <v>0.89913692906849296</v>
      </c>
      <c r="J2552">
        <v>0.99377097318427199</v>
      </c>
      <c r="K2552">
        <v>0.89432654296726199</v>
      </c>
      <c r="L2552">
        <v>3180.50142416162</v>
      </c>
      <c r="M2552">
        <v>61.449882297721203</v>
      </c>
      <c r="O2552">
        <v>51.7029186344704</v>
      </c>
      <c r="P2552">
        <v>-2.6941939189262399E-2</v>
      </c>
      <c r="Q2552">
        <v>0.90932601869849405</v>
      </c>
      <c r="R2552">
        <v>0.25336541049482503</v>
      </c>
      <c r="S2552" t="s">
        <v>8135</v>
      </c>
      <c r="T2552" t="s">
        <v>11164</v>
      </c>
      <c r="U2552" t="s">
        <v>11164</v>
      </c>
      <c r="V2552" t="s">
        <v>11164</v>
      </c>
      <c r="W2552" t="s">
        <v>13679</v>
      </c>
      <c r="X2552">
        <v>9</v>
      </c>
      <c r="Y2552" t="s">
        <v>19184</v>
      </c>
      <c r="Z2552" t="s">
        <v>24702</v>
      </c>
      <c r="AA2552">
        <v>0.95406730269652562</v>
      </c>
      <c r="AB2552" t="str">
        <f>HYPERLINK("Melting_Curves/meltCurve_P60468_SEC61B.pdf", "Melting_Curves/meltCurve_P60468_SEC61B.pdf")</f>
        <v>Melting_Curves/meltCurve_P60468_SEC61B.pdf</v>
      </c>
    </row>
    <row r="2553" spans="1:28" x14ac:dyDescent="0.25">
      <c r="A2553" t="s">
        <v>2557</v>
      </c>
      <c r="B2553">
        <v>0.99796759195183404</v>
      </c>
      <c r="C2553">
        <v>1.02953873957974</v>
      </c>
      <c r="D2553">
        <v>1.03083230632857</v>
      </c>
      <c r="E2553">
        <v>0.99196219421226395</v>
      </c>
      <c r="F2553">
        <v>0.91424699002193399</v>
      </c>
      <c r="G2553">
        <v>0.90178145591315695</v>
      </c>
      <c r="H2553">
        <v>0.92387251406526205</v>
      </c>
      <c r="I2553">
        <v>0.76436538758031003</v>
      </c>
      <c r="J2553">
        <v>0.63850547856081696</v>
      </c>
      <c r="K2553">
        <v>0.32429988024229101</v>
      </c>
      <c r="L2553">
        <v>1205.5209770834001</v>
      </c>
      <c r="M2553">
        <v>18.508790777644599</v>
      </c>
      <c r="N2553">
        <v>65.132346708053007</v>
      </c>
      <c r="O2553">
        <v>64.386318215993498</v>
      </c>
      <c r="P2553">
        <v>-7.1869338787286602E-2</v>
      </c>
      <c r="Q2553">
        <v>0</v>
      </c>
      <c r="R2553">
        <v>0.95196712348329304</v>
      </c>
      <c r="S2553" t="s">
        <v>8136</v>
      </c>
      <c r="T2553" t="s">
        <v>11164</v>
      </c>
      <c r="U2553" t="s">
        <v>11164</v>
      </c>
      <c r="V2553" t="s">
        <v>11164</v>
      </c>
      <c r="W2553" t="s">
        <v>13680</v>
      </c>
      <c r="X2553">
        <v>14</v>
      </c>
      <c r="Y2553" t="s">
        <v>19185</v>
      </c>
      <c r="Z2553" t="s">
        <v>24703</v>
      </c>
      <c r="AA2553">
        <v>0.89246264124661123</v>
      </c>
      <c r="AB2553" t="str">
        <f>HYPERLINK("Melting_Curves/meltCurve_P60510_PPP4C.pdf", "Melting_Curves/meltCurve_P60510_PPP4C.pdf")</f>
        <v>Melting_Curves/meltCurve_P60510_PPP4C.pdf</v>
      </c>
    </row>
    <row r="2554" spans="1:28" x14ac:dyDescent="0.25">
      <c r="A2554" t="s">
        <v>2558</v>
      </c>
      <c r="B2554">
        <v>0.99796759195183404</v>
      </c>
      <c r="C2554">
        <v>0.99116086622406496</v>
      </c>
      <c r="D2554">
        <v>1.2642265584105401</v>
      </c>
      <c r="E2554">
        <v>1.2622595639974801</v>
      </c>
      <c r="F2554">
        <v>0.89799777000180303</v>
      </c>
      <c r="G2554">
        <v>0.54874229163504795</v>
      </c>
      <c r="H2554">
        <v>0.64182180981869996</v>
      </c>
      <c r="I2554">
        <v>0.56294724752869996</v>
      </c>
      <c r="J2554">
        <v>0.72169052201728701</v>
      </c>
      <c r="K2554">
        <v>0.65537530298421398</v>
      </c>
      <c r="L2554">
        <v>12599.2147790657</v>
      </c>
      <c r="M2554">
        <v>250</v>
      </c>
      <c r="O2554">
        <v>50.393634135329997</v>
      </c>
      <c r="P2554">
        <v>-0.46370511052430802</v>
      </c>
      <c r="Q2554">
        <v>0.62611543007667103</v>
      </c>
      <c r="R2554">
        <v>0.75789933911843299</v>
      </c>
      <c r="S2554" t="s">
        <v>8137</v>
      </c>
      <c r="T2554" t="s">
        <v>11164</v>
      </c>
      <c r="U2554" t="s">
        <v>11164</v>
      </c>
      <c r="V2554" t="s">
        <v>11164</v>
      </c>
      <c r="W2554" t="s">
        <v>13681</v>
      </c>
      <c r="X2554">
        <v>4</v>
      </c>
      <c r="Y2554" t="s">
        <v>19186</v>
      </c>
      <c r="Z2554" t="s">
        <v>24704</v>
      </c>
      <c r="AA2554">
        <v>0.7931111288606939</v>
      </c>
      <c r="AB2554" t="str">
        <f>HYPERLINK("Melting_Curves/meltCurve_P60602_ROMO1.pdf", "Melting_Curves/meltCurve_P60602_ROMO1.pdf")</f>
        <v>Melting_Curves/meltCurve_P60602_ROMO1.pdf</v>
      </c>
    </row>
    <row r="2555" spans="1:28" x14ac:dyDescent="0.25">
      <c r="A2555" t="s">
        <v>2559</v>
      </c>
      <c r="B2555">
        <v>0.99796759195183404</v>
      </c>
      <c r="C2555">
        <v>0.87745505099579102</v>
      </c>
      <c r="D2555">
        <v>0.93660572893979799</v>
      </c>
      <c r="E2555">
        <v>0.84865026147641898</v>
      </c>
      <c r="F2555">
        <v>0.66877105361942402</v>
      </c>
      <c r="G2555">
        <v>0.40589478690145597</v>
      </c>
      <c r="H2555">
        <v>0.24643206692276301</v>
      </c>
      <c r="I2555">
        <v>0.22523344585816499</v>
      </c>
      <c r="J2555">
        <v>0.14588004908711799</v>
      </c>
      <c r="K2555">
        <v>9.2245956178989702E-2</v>
      </c>
      <c r="L2555">
        <v>674.26633763312202</v>
      </c>
      <c r="M2555">
        <v>12.957455778305301</v>
      </c>
      <c r="N2555">
        <v>52.5687444386718</v>
      </c>
      <c r="O2555">
        <v>50.844278432808899</v>
      </c>
      <c r="P2555">
        <v>-5.9808557324256002E-2</v>
      </c>
      <c r="Q2555">
        <v>6.1427269688607899E-2</v>
      </c>
      <c r="R2555">
        <v>0.98611355744061802</v>
      </c>
      <c r="S2555" t="s">
        <v>8138</v>
      </c>
      <c r="T2555" t="s">
        <v>11164</v>
      </c>
      <c r="U2555" t="s">
        <v>11164</v>
      </c>
      <c r="V2555" t="s">
        <v>11164</v>
      </c>
      <c r="W2555" t="s">
        <v>13682</v>
      </c>
      <c r="X2555">
        <v>2</v>
      </c>
      <c r="Y2555" t="s">
        <v>19187</v>
      </c>
      <c r="Z2555" t="s">
        <v>24705</v>
      </c>
      <c r="AA2555">
        <v>0.55269309484426044</v>
      </c>
      <c r="AB2555" t="str">
        <f>HYPERLINK("Melting_Curves/meltCurve_P60604_2_UBE2G2.pdf", "Melting_Curves/meltCurve_P60604_2_UBE2G2.pdf")</f>
        <v>Melting_Curves/meltCurve_P60604_2_UBE2G2.pdf</v>
      </c>
    </row>
    <row r="2556" spans="1:28" x14ac:dyDescent="0.25">
      <c r="A2556" t="s">
        <v>2560</v>
      </c>
      <c r="B2556">
        <v>0.99796759195183404</v>
      </c>
      <c r="C2556">
        <v>0.97264528835523401</v>
      </c>
      <c r="D2556">
        <v>1.00585948511164</v>
      </c>
      <c r="E2556">
        <v>0.953030073350292</v>
      </c>
      <c r="F2556">
        <v>0.81039843176128901</v>
      </c>
      <c r="G2556">
        <v>0.63678525266852304</v>
      </c>
      <c r="H2556">
        <v>0.51297809990982801</v>
      </c>
      <c r="I2556">
        <v>0.32859798206256602</v>
      </c>
      <c r="J2556">
        <v>0.34626772379216098</v>
      </c>
      <c r="K2556">
        <v>0.30279824394504401</v>
      </c>
      <c r="L2556">
        <v>823.59287946926202</v>
      </c>
      <c r="M2556">
        <v>15.2483618668058</v>
      </c>
      <c r="N2556">
        <v>56.831066770661799</v>
      </c>
      <c r="O2556">
        <v>53.108501231175403</v>
      </c>
      <c r="P2556">
        <v>-5.2739314614008E-2</v>
      </c>
      <c r="Q2556">
        <v>0.26532686637465902</v>
      </c>
      <c r="R2556">
        <v>0.99350617500972105</v>
      </c>
      <c r="S2556" t="s">
        <v>8139</v>
      </c>
      <c r="T2556" t="s">
        <v>11164</v>
      </c>
      <c r="U2556" t="s">
        <v>11164</v>
      </c>
      <c r="V2556" t="s">
        <v>11164</v>
      </c>
      <c r="W2556" t="s">
        <v>13683</v>
      </c>
      <c r="X2556">
        <v>44</v>
      </c>
      <c r="Y2556" t="s">
        <v>19188</v>
      </c>
      <c r="Z2556" t="s">
        <v>24706</v>
      </c>
      <c r="AA2556">
        <v>0.69367393693354407</v>
      </c>
      <c r="AB2556" t="str">
        <f>HYPERLINK("Melting_Curves/meltCurve_P60709_ACTB.pdf", "Melting_Curves/meltCurve_P60709_ACTB.pdf")</f>
        <v>Melting_Curves/meltCurve_P60709_ACTB.pdf</v>
      </c>
    </row>
    <row r="2557" spans="1:28" x14ac:dyDescent="0.25">
      <c r="A2557" t="s">
        <v>2561</v>
      </c>
      <c r="B2557">
        <v>0.99796759195183404</v>
      </c>
      <c r="C2557">
        <v>0.97572701036037701</v>
      </c>
      <c r="D2557">
        <v>1.0431102742593701</v>
      </c>
      <c r="E2557">
        <v>0.98892838064455502</v>
      </c>
      <c r="F2557">
        <v>0.84529777735101796</v>
      </c>
      <c r="G2557">
        <v>0.62957130354644897</v>
      </c>
      <c r="H2557">
        <v>0.58184512611036099</v>
      </c>
      <c r="I2557">
        <v>0.39082838560740402</v>
      </c>
      <c r="J2557">
        <v>0.29101506097601099</v>
      </c>
      <c r="K2557">
        <v>0.14274340569802901</v>
      </c>
      <c r="L2557">
        <v>643.092971738595</v>
      </c>
      <c r="M2557">
        <v>11.0579784041118</v>
      </c>
      <c r="N2557">
        <v>58.156468459646298</v>
      </c>
      <c r="O2557">
        <v>56.351662697923999</v>
      </c>
      <c r="P2557">
        <v>-4.90741260929786E-2</v>
      </c>
      <c r="Q2557">
        <v>0</v>
      </c>
      <c r="R2557">
        <v>0.98115158222393295</v>
      </c>
      <c r="S2557" t="s">
        <v>8140</v>
      </c>
      <c r="T2557" t="s">
        <v>11164</v>
      </c>
      <c r="U2557" t="s">
        <v>11164</v>
      </c>
      <c r="V2557" t="s">
        <v>11164</v>
      </c>
      <c r="W2557" t="s">
        <v>13684</v>
      </c>
      <c r="X2557">
        <v>13</v>
      </c>
      <c r="Y2557" t="s">
        <v>19189</v>
      </c>
      <c r="Z2557" t="s">
        <v>24707</v>
      </c>
      <c r="AA2557">
        <v>0.69980453170119106</v>
      </c>
      <c r="AB2557" t="str">
        <f>HYPERLINK("Melting_Curves/meltCurve_P60763_RAC3.pdf", "Melting_Curves/meltCurve_P60763_RAC3.pdf")</f>
        <v>Melting_Curves/meltCurve_P60763_RAC3.pdf</v>
      </c>
    </row>
    <row r="2558" spans="1:28" x14ac:dyDescent="0.25">
      <c r="A2558" t="s">
        <v>2562</v>
      </c>
      <c r="B2558">
        <v>0.99796759195183404</v>
      </c>
      <c r="C2558">
        <v>1.0064378377469101</v>
      </c>
      <c r="D2558">
        <v>1.0263521354448</v>
      </c>
      <c r="E2558">
        <v>0.94389467969512597</v>
      </c>
      <c r="F2558">
        <v>0.74694101872141605</v>
      </c>
      <c r="G2558">
        <v>0.39280652435416402</v>
      </c>
      <c r="H2558">
        <v>0.163776281321172</v>
      </c>
      <c r="I2558">
        <v>0.105953622857862</v>
      </c>
      <c r="J2558">
        <v>7.3267806024644097E-2</v>
      </c>
      <c r="K2558">
        <v>5.1992925035827302E-2</v>
      </c>
      <c r="L2558">
        <v>1201.6659828607101</v>
      </c>
      <c r="M2558">
        <v>22.9320141827606</v>
      </c>
      <c r="N2558">
        <v>52.677628587415597</v>
      </c>
      <c r="O2558">
        <v>52.007638992031197</v>
      </c>
      <c r="P2558">
        <v>-0.103988155844202</v>
      </c>
      <c r="Q2558">
        <v>5.6676663229735198E-2</v>
      </c>
      <c r="R2558">
        <v>0.99911644175365599</v>
      </c>
      <c r="S2558" t="s">
        <v>8141</v>
      </c>
      <c r="T2558" t="s">
        <v>11164</v>
      </c>
      <c r="U2558" t="s">
        <v>11164</v>
      </c>
      <c r="V2558" t="s">
        <v>11164</v>
      </c>
      <c r="W2558" t="s">
        <v>13685</v>
      </c>
      <c r="X2558">
        <v>30</v>
      </c>
      <c r="Y2558" t="s">
        <v>19190</v>
      </c>
      <c r="Z2558" t="s">
        <v>24708</v>
      </c>
      <c r="AA2558">
        <v>0.55065509397937573</v>
      </c>
      <c r="AB2558" t="str">
        <f>HYPERLINK("Melting_Curves/meltCurve_P60842_EIF4A1.pdf", "Melting_Curves/meltCurve_P60842_EIF4A1.pdf")</f>
        <v>Melting_Curves/meltCurve_P60842_EIF4A1.pdf</v>
      </c>
    </row>
    <row r="2559" spans="1:28" x14ac:dyDescent="0.25">
      <c r="A2559" t="s">
        <v>2563</v>
      </c>
      <c r="B2559">
        <v>0.99796759195183404</v>
      </c>
      <c r="C2559">
        <v>0.98763223073323003</v>
      </c>
      <c r="D2559">
        <v>1.1435261819420099</v>
      </c>
      <c r="E2559">
        <v>1.06974653472048</v>
      </c>
      <c r="F2559">
        <v>0.99143814548314202</v>
      </c>
      <c r="G2559">
        <v>0.70287382287238798</v>
      </c>
      <c r="H2559">
        <v>0.74145776936866503</v>
      </c>
      <c r="I2559">
        <v>0.63780153592442002</v>
      </c>
      <c r="J2559">
        <v>0.42908547849244899</v>
      </c>
      <c r="K2559">
        <v>0.31783133356417398</v>
      </c>
      <c r="L2559">
        <v>670.64315340866995</v>
      </c>
      <c r="M2559">
        <v>10.6999497037938</v>
      </c>
      <c r="N2559">
        <v>62.677211987016001</v>
      </c>
      <c r="O2559">
        <v>60.606927010308802</v>
      </c>
      <c r="P2559">
        <v>-4.4153211401486502E-2</v>
      </c>
      <c r="Q2559">
        <v>0</v>
      </c>
      <c r="R2559">
        <v>0.912011865932702</v>
      </c>
      <c r="S2559" t="s">
        <v>8142</v>
      </c>
      <c r="T2559" t="s">
        <v>11164</v>
      </c>
      <c r="U2559" t="s">
        <v>11164</v>
      </c>
      <c r="V2559" t="s">
        <v>11164</v>
      </c>
      <c r="W2559" t="s">
        <v>13686</v>
      </c>
      <c r="X2559">
        <v>4</v>
      </c>
      <c r="Y2559" t="s">
        <v>19191</v>
      </c>
      <c r="Z2559" t="s">
        <v>24709</v>
      </c>
      <c r="AA2559">
        <v>0.8034719197260185</v>
      </c>
      <c r="AB2559" t="str">
        <f>HYPERLINK("Melting_Curves/meltCurve_P60866_RPS20.pdf", "Melting_Curves/meltCurve_P60866_RPS20.pdf")</f>
        <v>Melting_Curves/meltCurve_P60866_RPS20.pdf</v>
      </c>
    </row>
    <row r="2560" spans="1:28" x14ac:dyDescent="0.25">
      <c r="A2560" t="s">
        <v>2564</v>
      </c>
      <c r="B2560">
        <v>0.99796759195183404</v>
      </c>
      <c r="C2560">
        <v>1.0287244355352201</v>
      </c>
      <c r="D2560">
        <v>0.95165037288810705</v>
      </c>
      <c r="E2560">
        <v>0.97535688182089697</v>
      </c>
      <c r="F2560">
        <v>0.95593417325352703</v>
      </c>
      <c r="G2560">
        <v>1.17911557618342</v>
      </c>
      <c r="H2560">
        <v>1.5569942533743799</v>
      </c>
      <c r="I2560">
        <v>1.48405199004809</v>
      </c>
      <c r="J2560">
        <v>1.1710566330027501</v>
      </c>
      <c r="K2560">
        <v>0.40619751207256399</v>
      </c>
      <c r="L2560">
        <v>15000</v>
      </c>
      <c r="M2560">
        <v>224.26013267629199</v>
      </c>
      <c r="N2560">
        <v>66.886609732635804</v>
      </c>
      <c r="O2560">
        <v>66.88128708923</v>
      </c>
      <c r="P2560">
        <v>-0.83827678333408195</v>
      </c>
      <c r="Q2560">
        <v>0</v>
      </c>
      <c r="R2560">
        <v>0.330982121096002</v>
      </c>
      <c r="S2560" t="s">
        <v>8143</v>
      </c>
      <c r="T2560" t="s">
        <v>11164</v>
      </c>
      <c r="U2560" t="s">
        <v>11164</v>
      </c>
      <c r="V2560" t="s">
        <v>11164</v>
      </c>
      <c r="W2560" t="s">
        <v>13687</v>
      </c>
      <c r="X2560">
        <v>8</v>
      </c>
      <c r="Y2560" t="s">
        <v>19192</v>
      </c>
      <c r="Z2560" t="s">
        <v>24710</v>
      </c>
      <c r="AA2560">
        <v>0.99111254412420202</v>
      </c>
      <c r="AB2560" t="str">
        <f>HYPERLINK("Melting_Curves/meltCurve_P60891_PRPS1.pdf", "Melting_Curves/meltCurve_P60891_PRPS1.pdf")</f>
        <v>Melting_Curves/meltCurve_P60891_PRPS1.pdf</v>
      </c>
    </row>
    <row r="2561" spans="1:28" x14ac:dyDescent="0.25">
      <c r="A2561" t="s">
        <v>2565</v>
      </c>
      <c r="B2561">
        <v>0.99796759195183404</v>
      </c>
      <c r="C2561">
        <v>1.0595862948405099</v>
      </c>
      <c r="D2561">
        <v>1.01880476683058</v>
      </c>
      <c r="E2561">
        <v>0.93370309688162001</v>
      </c>
      <c r="F2561">
        <v>0.85454003653115895</v>
      </c>
      <c r="G2561">
        <v>0.70104957805666102</v>
      </c>
      <c r="H2561">
        <v>1.0508634365956999</v>
      </c>
      <c r="I2561">
        <v>1.16887126228496</v>
      </c>
      <c r="J2561">
        <v>2.05164725066453</v>
      </c>
      <c r="K2561">
        <v>1.86895628343438</v>
      </c>
      <c r="L2561">
        <v>15000</v>
      </c>
      <c r="M2561">
        <v>245.22856475974399</v>
      </c>
      <c r="O2561">
        <v>61.163357499237897</v>
      </c>
      <c r="P2561">
        <v>0.50117540737869903</v>
      </c>
      <c r="Q2561">
        <v>1.5</v>
      </c>
      <c r="R2561">
        <v>0.673320123694644</v>
      </c>
      <c r="S2561" t="s">
        <v>8144</v>
      </c>
      <c r="T2561" t="s">
        <v>11164</v>
      </c>
      <c r="U2561" t="s">
        <v>11164</v>
      </c>
      <c r="V2561" t="s">
        <v>11164</v>
      </c>
      <c r="W2561" t="s">
        <v>13688</v>
      </c>
      <c r="X2561">
        <v>2</v>
      </c>
      <c r="Y2561" t="s">
        <v>19193</v>
      </c>
      <c r="Z2561" t="s">
        <v>24711</v>
      </c>
      <c r="AA2561">
        <v>1.0971537892295</v>
      </c>
      <c r="AB2561" t="str">
        <f>HYPERLINK("Melting_Curves/meltCurve_P60896_SHFM1.pdf", "Melting_Curves/meltCurve_P60896_SHFM1.pdf")</f>
        <v>Melting_Curves/meltCurve_P60896_SHFM1.pdf</v>
      </c>
    </row>
    <row r="2562" spans="1:28" x14ac:dyDescent="0.25">
      <c r="A2562" t="s">
        <v>2566</v>
      </c>
      <c r="B2562">
        <v>0.99796759195183404</v>
      </c>
      <c r="C2562">
        <v>0.997855778994024</v>
      </c>
      <c r="D2562">
        <v>1.1238544837867599</v>
      </c>
      <c r="E2562">
        <v>1.0715151779127401</v>
      </c>
      <c r="F2562">
        <v>0.90929509740138903</v>
      </c>
      <c r="G2562">
        <v>0.54516710808037705</v>
      </c>
      <c r="H2562">
        <v>0.37878314382536199</v>
      </c>
      <c r="I2562">
        <v>0.27734383673514601</v>
      </c>
      <c r="J2562">
        <v>0.302048181033723</v>
      </c>
      <c r="K2562">
        <v>0.27890923763964298</v>
      </c>
      <c r="L2562">
        <v>1813.6154167730399</v>
      </c>
      <c r="M2562">
        <v>34.219408548569596</v>
      </c>
      <c r="N2562">
        <v>54.396436022768697</v>
      </c>
      <c r="O2562">
        <v>52.819593330122501</v>
      </c>
      <c r="P2562">
        <v>-0.114615693670837</v>
      </c>
      <c r="Q2562">
        <v>0.29233951751320197</v>
      </c>
      <c r="R2562">
        <v>0.97972127931253805</v>
      </c>
      <c r="S2562" t="s">
        <v>8145</v>
      </c>
      <c r="T2562" t="s">
        <v>11164</v>
      </c>
      <c r="U2562" t="s">
        <v>11164</v>
      </c>
      <c r="V2562" t="s">
        <v>11164</v>
      </c>
      <c r="W2562" t="s">
        <v>13689</v>
      </c>
      <c r="X2562">
        <v>5</v>
      </c>
      <c r="Y2562" t="s">
        <v>19194</v>
      </c>
      <c r="Z2562" t="s">
        <v>24712</v>
      </c>
      <c r="AA2562">
        <v>0.673254771274025</v>
      </c>
      <c r="AB2562" t="str">
        <f>HYPERLINK("Melting_Curves/meltCurve_P60903_S100A10.pdf", "Melting_Curves/meltCurve_P60903_S100A10.pdf")</f>
        <v>Melting_Curves/meltCurve_P60903_S100A10.pdf</v>
      </c>
    </row>
    <row r="2563" spans="1:28" x14ac:dyDescent="0.25">
      <c r="A2563" t="s">
        <v>2567</v>
      </c>
      <c r="B2563">
        <v>0.99796759195183404</v>
      </c>
      <c r="C2563">
        <v>0.98711079269684598</v>
      </c>
      <c r="D2563">
        <v>1.0290721037414901</v>
      </c>
      <c r="E2563">
        <v>1.00459991193805</v>
      </c>
      <c r="F2563">
        <v>0.86261252683450995</v>
      </c>
      <c r="G2563">
        <v>0.67893164221532598</v>
      </c>
      <c r="H2563">
        <v>0.72527582996900497</v>
      </c>
      <c r="I2563">
        <v>0.66038412846354699</v>
      </c>
      <c r="J2563">
        <v>0.71487429151676796</v>
      </c>
      <c r="K2563">
        <v>0.46969852226793002</v>
      </c>
      <c r="S2563" t="s">
        <v>8146</v>
      </c>
      <c r="T2563" t="s">
        <v>11164</v>
      </c>
      <c r="U2563" t="s">
        <v>11165</v>
      </c>
      <c r="V2563" t="s">
        <v>11164</v>
      </c>
      <c r="W2563" t="s">
        <v>13690</v>
      </c>
      <c r="X2563">
        <v>13</v>
      </c>
      <c r="Y2563" t="s">
        <v>19195</v>
      </c>
      <c r="Z2563" t="s">
        <v>24713</v>
      </c>
      <c r="AB2563" t="str">
        <f>HYPERLINK("Melting_Curves/meltCurve_P60953_CDC42.pdf", "Melting_Curves/meltCurve_P60953_CDC42.pdf")</f>
        <v>Melting_Curves/meltCurve_P60953_CDC42.pdf</v>
      </c>
    </row>
    <row r="2564" spans="1:28" x14ac:dyDescent="0.25">
      <c r="A2564" t="s">
        <v>2568</v>
      </c>
      <c r="B2564">
        <v>0.99796759195183404</v>
      </c>
      <c r="C2564">
        <v>0.96336125564087705</v>
      </c>
      <c r="D2564">
        <v>0.85292565116230801</v>
      </c>
      <c r="E2564">
        <v>0.97883490418532304</v>
      </c>
      <c r="F2564">
        <v>0.86446533222438304</v>
      </c>
      <c r="G2564">
        <v>0.60892187689933597</v>
      </c>
      <c r="H2564">
        <v>0.76546291433368696</v>
      </c>
      <c r="I2564">
        <v>0.53157686942729099</v>
      </c>
      <c r="J2564">
        <v>0.613205706545079</v>
      </c>
      <c r="K2564">
        <v>0.38113612259155899</v>
      </c>
      <c r="L2564">
        <v>351.56400894487399</v>
      </c>
      <c r="M2564">
        <v>5.4357973277362497</v>
      </c>
      <c r="N2564">
        <v>64.675702154994397</v>
      </c>
      <c r="O2564">
        <v>57.493139067306501</v>
      </c>
      <c r="P2564">
        <v>-2.3745202700971899E-2</v>
      </c>
      <c r="Q2564">
        <v>0</v>
      </c>
      <c r="R2564">
        <v>0.841264687419084</v>
      </c>
      <c r="S2564" t="s">
        <v>8147</v>
      </c>
      <c r="T2564" t="s">
        <v>11164</v>
      </c>
      <c r="U2564" t="s">
        <v>11164</v>
      </c>
      <c r="V2564" t="s">
        <v>11164</v>
      </c>
      <c r="W2564" t="s">
        <v>13691</v>
      </c>
      <c r="X2564">
        <v>8</v>
      </c>
      <c r="Y2564" t="s">
        <v>19195</v>
      </c>
      <c r="Z2564" t="s">
        <v>24714</v>
      </c>
      <c r="AA2564">
        <v>0.76382554525247692</v>
      </c>
      <c r="AB2564" t="str">
        <f>HYPERLINK("Melting_Curves/meltCurve_P60953_1_CDC42.pdf", "Melting_Curves/meltCurve_P60953_1_CDC42.pdf")</f>
        <v>Melting_Curves/meltCurve_P60953_1_CDC42.pdf</v>
      </c>
    </row>
    <row r="2565" spans="1:28" x14ac:dyDescent="0.25">
      <c r="A2565" t="s">
        <v>2569</v>
      </c>
      <c r="B2565">
        <v>0.99796759195183404</v>
      </c>
      <c r="C2565">
        <v>1.06003884792221</v>
      </c>
      <c r="D2565">
        <v>1.02436721217455</v>
      </c>
      <c r="E2565">
        <v>0.91559655481044799</v>
      </c>
      <c r="F2565">
        <v>0.79067134924131699</v>
      </c>
      <c r="G2565">
        <v>0.65693540041459297</v>
      </c>
      <c r="H2565">
        <v>0.42157481762792998</v>
      </c>
      <c r="I2565">
        <v>0.18818602477510199</v>
      </c>
      <c r="J2565">
        <v>0.109590831471454</v>
      </c>
      <c r="K2565">
        <v>7.2943667843770807E-2</v>
      </c>
      <c r="L2565">
        <v>821.32941615539596</v>
      </c>
      <c r="M2565">
        <v>14.7466835156218</v>
      </c>
      <c r="N2565">
        <v>55.695873791267204</v>
      </c>
      <c r="O2565">
        <v>54.7017371037185</v>
      </c>
      <c r="P2565">
        <v>-6.7403124759067595E-2</v>
      </c>
      <c r="Q2565">
        <v>0</v>
      </c>
      <c r="R2565">
        <v>0.99210758939597998</v>
      </c>
      <c r="S2565" t="s">
        <v>8148</v>
      </c>
      <c r="T2565" t="s">
        <v>11164</v>
      </c>
      <c r="U2565" t="s">
        <v>11164</v>
      </c>
      <c r="V2565" t="s">
        <v>11164</v>
      </c>
      <c r="W2565" t="s">
        <v>13692</v>
      </c>
      <c r="X2565">
        <v>19</v>
      </c>
      <c r="Y2565" t="s">
        <v>19196</v>
      </c>
      <c r="Z2565" t="s">
        <v>24715</v>
      </c>
      <c r="AA2565">
        <v>0.63553365287882713</v>
      </c>
      <c r="AB2565" t="str">
        <f>HYPERLINK("Melting_Curves/meltCurve_P60981_DSTN.pdf", "Melting_Curves/meltCurve_P60981_DSTN.pdf")</f>
        <v>Melting_Curves/meltCurve_P60981_DSTN.pdf</v>
      </c>
    </row>
    <row r="2566" spans="1:28" x14ac:dyDescent="0.25">
      <c r="A2566" t="s">
        <v>2570</v>
      </c>
      <c r="B2566">
        <v>0.99796759195183404</v>
      </c>
      <c r="C2566">
        <v>0.88061961947981005</v>
      </c>
      <c r="D2566">
        <v>0.89144738586993599</v>
      </c>
      <c r="E2566">
        <v>0.83224939056367597</v>
      </c>
      <c r="F2566">
        <v>0.73362793162459095</v>
      </c>
      <c r="G2566">
        <v>0.50903022079318905</v>
      </c>
      <c r="H2566">
        <v>0.54883453868076104</v>
      </c>
      <c r="I2566">
        <v>0.48973528371365299</v>
      </c>
      <c r="J2566">
        <v>0.60164627084359101</v>
      </c>
      <c r="K2566">
        <v>0.559725316923956</v>
      </c>
      <c r="L2566">
        <v>622.62790143508096</v>
      </c>
      <c r="M2566">
        <v>13.0999324459532</v>
      </c>
      <c r="O2566">
        <v>46.462436857183803</v>
      </c>
      <c r="P2566">
        <v>-3.39707731860594E-2</v>
      </c>
      <c r="Q2566">
        <v>0.51813661734027205</v>
      </c>
      <c r="R2566">
        <v>0.90421052446819605</v>
      </c>
      <c r="S2566" t="s">
        <v>8149</v>
      </c>
      <c r="T2566" t="s">
        <v>11164</v>
      </c>
      <c r="U2566" t="s">
        <v>11164</v>
      </c>
      <c r="V2566" t="s">
        <v>11164</v>
      </c>
      <c r="W2566" t="s">
        <v>13693</v>
      </c>
      <c r="X2566">
        <v>9</v>
      </c>
      <c r="Y2566" t="s">
        <v>19197</v>
      </c>
      <c r="Z2566" t="s">
        <v>24716</v>
      </c>
      <c r="AA2566">
        <v>0.70070886119832543</v>
      </c>
      <c r="AB2566" t="str">
        <f>HYPERLINK("Melting_Curves/meltCurve_P60983_GMFB.pdf", "Melting_Curves/meltCurve_P60983_GMFB.pdf")</f>
        <v>Melting_Curves/meltCurve_P60983_GMFB.pdf</v>
      </c>
    </row>
    <row r="2567" spans="1:28" x14ac:dyDescent="0.25">
      <c r="A2567" t="s">
        <v>2571</v>
      </c>
      <c r="B2567">
        <v>0.99796759195183404</v>
      </c>
      <c r="C2567">
        <v>1.0090799327237701</v>
      </c>
      <c r="D2567">
        <v>0.98492252808800695</v>
      </c>
      <c r="E2567">
        <v>0.96998906802067897</v>
      </c>
      <c r="F2567">
        <v>0.83872007714802199</v>
      </c>
      <c r="G2567">
        <v>0.60462962095248096</v>
      </c>
      <c r="H2567">
        <v>0.58396789863499599</v>
      </c>
      <c r="I2567">
        <v>0.44298320255768597</v>
      </c>
      <c r="J2567">
        <v>0.45957262275526101</v>
      </c>
      <c r="K2567">
        <v>0.26594662856416301</v>
      </c>
      <c r="L2567">
        <v>653.13829276819195</v>
      </c>
      <c r="M2567">
        <v>11.8292677266449</v>
      </c>
      <c r="N2567">
        <v>58.822660224765301</v>
      </c>
      <c r="O2567">
        <v>53.706757064547297</v>
      </c>
      <c r="P2567">
        <v>-4.0866924056904202E-2</v>
      </c>
      <c r="Q2567">
        <v>0.25801991933458901</v>
      </c>
      <c r="R2567">
        <v>0.96709165594565405</v>
      </c>
      <c r="S2567" t="s">
        <v>8150</v>
      </c>
      <c r="T2567" t="s">
        <v>11164</v>
      </c>
      <c r="U2567" t="s">
        <v>11164</v>
      </c>
      <c r="V2567" t="s">
        <v>11164</v>
      </c>
      <c r="W2567" t="s">
        <v>13694</v>
      </c>
      <c r="X2567">
        <v>13</v>
      </c>
      <c r="Y2567" t="s">
        <v>19198</v>
      </c>
      <c r="Z2567" t="s">
        <v>24717</v>
      </c>
      <c r="AA2567">
        <v>0.71828358598210229</v>
      </c>
      <c r="AB2567" t="str">
        <f>HYPERLINK("Melting_Curves/meltCurve_P61006_RAB8A.pdf", "Melting_Curves/meltCurve_P61006_RAB8A.pdf")</f>
        <v>Melting_Curves/meltCurve_P61006_RAB8A.pdf</v>
      </c>
    </row>
    <row r="2568" spans="1:28" x14ac:dyDescent="0.25">
      <c r="A2568" t="s">
        <v>2572</v>
      </c>
      <c r="B2568">
        <v>0.99796759195183404</v>
      </c>
      <c r="C2568">
        <v>1.1547347844372</v>
      </c>
      <c r="D2568">
        <v>0.96945159219272503</v>
      </c>
      <c r="E2568">
        <v>0.96355055447709703</v>
      </c>
      <c r="F2568">
        <v>0.84433855730529095</v>
      </c>
      <c r="G2568">
        <v>0.53787122024725298</v>
      </c>
      <c r="H2568">
        <v>0.24633131503491901</v>
      </c>
      <c r="I2568">
        <v>0.20495038583127601</v>
      </c>
      <c r="J2568">
        <v>0.147459168897213</v>
      </c>
      <c r="K2568">
        <v>0.124491766501862</v>
      </c>
      <c r="L2568">
        <v>1273.05240416283</v>
      </c>
      <c r="M2568">
        <v>23.8348049806878</v>
      </c>
      <c r="N2568">
        <v>54.103838739846502</v>
      </c>
      <c r="O2568">
        <v>53.039763912313397</v>
      </c>
      <c r="P2568">
        <v>-9.7579299739683795E-2</v>
      </c>
      <c r="Q2568">
        <v>0.13143832598320901</v>
      </c>
      <c r="R2568">
        <v>0.98224889529860304</v>
      </c>
      <c r="S2568" t="s">
        <v>8151</v>
      </c>
      <c r="T2568" t="s">
        <v>11164</v>
      </c>
      <c r="U2568" t="s">
        <v>11164</v>
      </c>
      <c r="V2568" t="s">
        <v>11164</v>
      </c>
      <c r="W2568" t="s">
        <v>13695</v>
      </c>
      <c r="X2568">
        <v>7</v>
      </c>
      <c r="Y2568" t="s">
        <v>19199</v>
      </c>
      <c r="Z2568" t="s">
        <v>24718</v>
      </c>
      <c r="AA2568">
        <v>0.61486007388571906</v>
      </c>
      <c r="AB2568" t="str">
        <f>HYPERLINK("Melting_Curves/meltCurve_P61009_SPCS3.pdf", "Melting_Curves/meltCurve_P61009_SPCS3.pdf")</f>
        <v>Melting_Curves/meltCurve_P61009_SPCS3.pdf</v>
      </c>
    </row>
    <row r="2569" spans="1:28" x14ac:dyDescent="0.25">
      <c r="A2569" t="s">
        <v>2573</v>
      </c>
      <c r="B2569">
        <v>0.99796759195183404</v>
      </c>
      <c r="C2569">
        <v>1.0564505092280101</v>
      </c>
      <c r="D2569">
        <v>1.00511928164066</v>
      </c>
      <c r="E2569">
        <v>0.80567193046755303</v>
      </c>
      <c r="F2569">
        <v>0.84259308055739401</v>
      </c>
      <c r="G2569">
        <v>0.87260513217439095</v>
      </c>
      <c r="H2569">
        <v>0.31826198365747999</v>
      </c>
      <c r="I2569">
        <v>0.25036847188880801</v>
      </c>
      <c r="J2569">
        <v>0.204007328737696</v>
      </c>
      <c r="K2569">
        <v>0.18011465777168301</v>
      </c>
      <c r="L2569">
        <v>2729.8589432261501</v>
      </c>
      <c r="M2569">
        <v>49.221583758689</v>
      </c>
      <c r="N2569">
        <v>56.060996063363902</v>
      </c>
      <c r="O2569">
        <v>55.369289494125702</v>
      </c>
      <c r="P2569">
        <v>-0.176714950806066</v>
      </c>
      <c r="Q2569">
        <v>0.20485508368623201</v>
      </c>
      <c r="R2569">
        <v>0.94500313518421397</v>
      </c>
      <c r="S2569" t="s">
        <v>8152</v>
      </c>
      <c r="T2569" t="s">
        <v>11164</v>
      </c>
      <c r="U2569" t="s">
        <v>11164</v>
      </c>
      <c r="V2569" t="s">
        <v>11164</v>
      </c>
      <c r="W2569" t="s">
        <v>13696</v>
      </c>
      <c r="X2569">
        <v>7</v>
      </c>
      <c r="Y2569" t="s">
        <v>19200</v>
      </c>
      <c r="Z2569" t="s">
        <v>24719</v>
      </c>
      <c r="AA2569">
        <v>0.69614841877675115</v>
      </c>
      <c r="AB2569" t="str">
        <f>HYPERLINK("Melting_Curves/meltCurve_P61011_SRP54.pdf", "Melting_Curves/meltCurve_P61011_SRP54.pdf")</f>
        <v>Melting_Curves/meltCurve_P61011_SRP54.pdf</v>
      </c>
    </row>
    <row r="2570" spans="1:28" x14ac:dyDescent="0.25">
      <c r="A2570" t="s">
        <v>2574</v>
      </c>
      <c r="B2570">
        <v>0.99796759195183404</v>
      </c>
      <c r="C2570">
        <v>0.98577417620961605</v>
      </c>
      <c r="D2570">
        <v>1.0049548164576001</v>
      </c>
      <c r="E2570">
        <v>0.93558423873825003</v>
      </c>
      <c r="F2570">
        <v>0.86406098611662396</v>
      </c>
      <c r="G2570">
        <v>0.65326332809672805</v>
      </c>
      <c r="H2570">
        <v>0.68507125385497103</v>
      </c>
      <c r="I2570">
        <v>0.62721378110206905</v>
      </c>
      <c r="J2570">
        <v>0.74378780220222696</v>
      </c>
      <c r="K2570">
        <v>0.452920999947375</v>
      </c>
      <c r="L2570">
        <v>929.50485498188505</v>
      </c>
      <c r="M2570">
        <v>18.148073189475198</v>
      </c>
      <c r="O2570">
        <v>50.608099301006099</v>
      </c>
      <c r="P2570">
        <v>-3.62378937494418E-2</v>
      </c>
      <c r="Q2570">
        <v>0.59580438165459904</v>
      </c>
      <c r="R2570">
        <v>0.85342224530396704</v>
      </c>
      <c r="S2570" t="s">
        <v>8153</v>
      </c>
      <c r="T2570" t="s">
        <v>11164</v>
      </c>
      <c r="U2570" t="s">
        <v>11164</v>
      </c>
      <c r="V2570" t="s">
        <v>11164</v>
      </c>
      <c r="W2570" t="s">
        <v>13697</v>
      </c>
      <c r="X2570">
        <v>12</v>
      </c>
      <c r="Y2570" t="s">
        <v>19201</v>
      </c>
      <c r="Z2570" t="s">
        <v>24720</v>
      </c>
      <c r="AA2570">
        <v>0.79352629114747375</v>
      </c>
      <c r="AB2570" t="str">
        <f>HYPERLINK("Melting_Curves/meltCurve_P61019_RAB2A.pdf", "Melting_Curves/meltCurve_P61019_RAB2A.pdf")</f>
        <v>Melting_Curves/meltCurve_P61019_RAB2A.pdf</v>
      </c>
    </row>
    <row r="2571" spans="1:28" x14ac:dyDescent="0.25">
      <c r="A2571" t="s">
        <v>2575</v>
      </c>
      <c r="B2571">
        <v>0.99796759195183404</v>
      </c>
      <c r="C2571">
        <v>0.92484413805696597</v>
      </c>
      <c r="D2571">
        <v>0.89894317377534605</v>
      </c>
      <c r="E2571">
        <v>0.92060602233854305</v>
      </c>
      <c r="F2571">
        <v>0.88496347999827896</v>
      </c>
      <c r="G2571">
        <v>0.66016121879487899</v>
      </c>
      <c r="H2571">
        <v>0.63512981143955405</v>
      </c>
      <c r="I2571">
        <v>0.53327092872647097</v>
      </c>
      <c r="J2571">
        <v>0.55534692648356099</v>
      </c>
      <c r="K2571">
        <v>0.40000107177225502</v>
      </c>
      <c r="L2571">
        <v>372.04809446173698</v>
      </c>
      <c r="M2571">
        <v>6.0575617080949202</v>
      </c>
      <c r="N2571">
        <v>63.507678370125703</v>
      </c>
      <c r="O2571">
        <v>55.731630728972299</v>
      </c>
      <c r="P2571">
        <v>-2.4795861894031102E-2</v>
      </c>
      <c r="Q2571">
        <v>9.03256056016533E-2</v>
      </c>
      <c r="R2571">
        <v>0.94683574262270698</v>
      </c>
      <c r="S2571" t="s">
        <v>8154</v>
      </c>
      <c r="T2571" t="s">
        <v>11164</v>
      </c>
      <c r="U2571" t="s">
        <v>11164</v>
      </c>
      <c r="V2571" t="s">
        <v>11164</v>
      </c>
      <c r="W2571" t="s">
        <v>13698</v>
      </c>
      <c r="X2571">
        <v>6</v>
      </c>
      <c r="Y2571" t="s">
        <v>19202</v>
      </c>
      <c r="Z2571" t="s">
        <v>24721</v>
      </c>
      <c r="AA2571">
        <v>0.74892897022559068</v>
      </c>
      <c r="AB2571" t="str">
        <f>HYPERLINK("Melting_Curves/meltCurve_P61020_RAB5B.pdf", "Melting_Curves/meltCurve_P61020_RAB5B.pdf")</f>
        <v>Melting_Curves/meltCurve_P61020_RAB5B.pdf</v>
      </c>
    </row>
    <row r="2572" spans="1:28" x14ac:dyDescent="0.25">
      <c r="A2572" t="s">
        <v>2576</v>
      </c>
      <c r="B2572">
        <v>0.99796759195183404</v>
      </c>
      <c r="C2572">
        <v>0.93994612354328499</v>
      </c>
      <c r="D2572">
        <v>1.02335017666908</v>
      </c>
      <c r="E2572">
        <v>0.98519521096446405</v>
      </c>
      <c r="F2572">
        <v>0.82337100625645998</v>
      </c>
      <c r="G2572">
        <v>0.41803787949904903</v>
      </c>
      <c r="H2572">
        <v>0.44120956290379199</v>
      </c>
      <c r="I2572">
        <v>0.35180754357060001</v>
      </c>
      <c r="J2572">
        <v>0.51282705837640796</v>
      </c>
      <c r="K2572">
        <v>0.494129981448093</v>
      </c>
      <c r="L2572">
        <v>12588.428631975499</v>
      </c>
      <c r="M2572">
        <v>250</v>
      </c>
      <c r="N2572">
        <v>50.797107909194096</v>
      </c>
      <c r="O2572">
        <v>50.350494493742801</v>
      </c>
      <c r="P2572">
        <v>-0.69065561962031397</v>
      </c>
      <c r="Q2572">
        <v>0.44360239415040598</v>
      </c>
      <c r="R2572">
        <v>0.96995941483401604</v>
      </c>
      <c r="S2572" t="s">
        <v>8155</v>
      </c>
      <c r="T2572" t="s">
        <v>11164</v>
      </c>
      <c r="U2572" t="s">
        <v>11164</v>
      </c>
      <c r="V2572" t="s">
        <v>11164</v>
      </c>
      <c r="W2572" t="s">
        <v>13699</v>
      </c>
      <c r="X2572">
        <v>2</v>
      </c>
      <c r="Y2572" t="s">
        <v>19203</v>
      </c>
      <c r="Z2572" t="s">
        <v>24722</v>
      </c>
      <c r="AA2572">
        <v>0.69131738941611742</v>
      </c>
      <c r="AB2572" t="str">
        <f>HYPERLINK("Melting_Curves/meltCurve_P61024_CKS1B.pdf", "Melting_Curves/meltCurve_P61024_CKS1B.pdf")</f>
        <v>Melting_Curves/meltCurve_P61024_CKS1B.pdf</v>
      </c>
    </row>
    <row r="2573" spans="1:28" x14ac:dyDescent="0.25">
      <c r="A2573" t="s">
        <v>2577</v>
      </c>
      <c r="B2573">
        <v>0.99796759195183404</v>
      </c>
      <c r="C2573">
        <v>0.88595613517017602</v>
      </c>
      <c r="D2573">
        <v>0.87674824777870897</v>
      </c>
      <c r="E2573">
        <v>0.90559135840983196</v>
      </c>
      <c r="F2573">
        <v>0.75989062182626099</v>
      </c>
      <c r="G2573">
        <v>0.61394206651927496</v>
      </c>
      <c r="H2573">
        <v>0.577589324034398</v>
      </c>
      <c r="I2573">
        <v>0.40560800743636799</v>
      </c>
      <c r="J2573">
        <v>0.33755615720281001</v>
      </c>
      <c r="K2573">
        <v>0.26777138036612902</v>
      </c>
      <c r="L2573">
        <v>408.87198668903301</v>
      </c>
      <c r="M2573">
        <v>7.0219965527075301</v>
      </c>
      <c r="N2573">
        <v>58.227312300063701</v>
      </c>
      <c r="O2573">
        <v>54.057088124588702</v>
      </c>
      <c r="P2573">
        <v>-3.25344302656706E-2</v>
      </c>
      <c r="Q2573">
        <v>0</v>
      </c>
      <c r="R2573">
        <v>0.97548521441459601</v>
      </c>
      <c r="S2573" t="s">
        <v>8156</v>
      </c>
      <c r="T2573" t="s">
        <v>11164</v>
      </c>
      <c r="U2573" t="s">
        <v>11164</v>
      </c>
      <c r="V2573" t="s">
        <v>11164</v>
      </c>
      <c r="W2573" t="s">
        <v>13700</v>
      </c>
      <c r="X2573">
        <v>12</v>
      </c>
      <c r="Y2573" t="s">
        <v>19204</v>
      </c>
      <c r="Z2573" t="s">
        <v>24723</v>
      </c>
      <c r="AA2573">
        <v>0.67515481480268469</v>
      </c>
      <c r="AB2573" t="str">
        <f>HYPERLINK("Melting_Curves/meltCurve_P61026_RAB10.pdf", "Melting_Curves/meltCurve_P61026_RAB10.pdf")</f>
        <v>Melting_Curves/meltCurve_P61026_RAB10.pdf</v>
      </c>
    </row>
    <row r="2574" spans="1:28" x14ac:dyDescent="0.25">
      <c r="A2574" t="s">
        <v>2578</v>
      </c>
      <c r="B2574">
        <v>0.99796759195183404</v>
      </c>
      <c r="C2574">
        <v>1.0322597544332299</v>
      </c>
      <c r="D2574">
        <v>1.0647835068607701</v>
      </c>
      <c r="E2574">
        <v>0.98868633409464801</v>
      </c>
      <c r="F2574">
        <v>0.87904325101915204</v>
      </c>
      <c r="G2574">
        <v>0.341158191953158</v>
      </c>
      <c r="H2574">
        <v>0.18290967728468499</v>
      </c>
      <c r="I2574">
        <v>0.14679128567108601</v>
      </c>
      <c r="J2574">
        <v>0.116707812516068</v>
      </c>
      <c r="K2574">
        <v>8.5362186362909598E-2</v>
      </c>
      <c r="L2574">
        <v>2106.4578490438198</v>
      </c>
      <c r="M2574">
        <v>40.201315139757099</v>
      </c>
      <c r="N2574">
        <v>52.771006132718497</v>
      </c>
      <c r="O2574">
        <v>52.268591083406598</v>
      </c>
      <c r="P2574">
        <v>-0.168486401117454</v>
      </c>
      <c r="Q2574">
        <v>0.1237572908952</v>
      </c>
      <c r="R2574">
        <v>0.99508189161652105</v>
      </c>
      <c r="S2574" t="s">
        <v>8157</v>
      </c>
      <c r="T2574" t="s">
        <v>11164</v>
      </c>
      <c r="U2574" t="s">
        <v>11164</v>
      </c>
      <c r="V2574" t="s">
        <v>11164</v>
      </c>
      <c r="W2574" t="s">
        <v>13701</v>
      </c>
      <c r="X2574">
        <v>5</v>
      </c>
      <c r="Y2574" t="s">
        <v>19205</v>
      </c>
      <c r="Z2574" t="s">
        <v>24724</v>
      </c>
      <c r="AA2574">
        <v>0.57662785142306028</v>
      </c>
      <c r="AB2574" t="str">
        <f>HYPERLINK("Melting_Curves/meltCurve_P61077_UBE2D3.pdf", "Melting_Curves/meltCurve_P61077_UBE2D3.pdf")</f>
        <v>Melting_Curves/meltCurve_P61077_UBE2D3.pdf</v>
      </c>
    </row>
    <row r="2575" spans="1:28" x14ac:dyDescent="0.25">
      <c r="A2575" t="s">
        <v>2579</v>
      </c>
      <c r="B2575">
        <v>0.99796759195183404</v>
      </c>
      <c r="C2575">
        <v>1.0016938462112801</v>
      </c>
      <c r="D2575">
        <v>1.0080888732561599</v>
      </c>
      <c r="E2575">
        <v>0.92359659416605799</v>
      </c>
      <c r="F2575">
        <v>0.77581272390289102</v>
      </c>
      <c r="G2575">
        <v>0.49578020664580802</v>
      </c>
      <c r="H2575">
        <v>0.22928432660736001</v>
      </c>
      <c r="I2575">
        <v>0.16019988413611899</v>
      </c>
      <c r="J2575">
        <v>0.128424233513284</v>
      </c>
      <c r="K2575">
        <v>0.100743137584728</v>
      </c>
      <c r="L2575">
        <v>1054.0711084429799</v>
      </c>
      <c r="M2575">
        <v>19.882228083497399</v>
      </c>
      <c r="N2575">
        <v>53.553375797263897</v>
      </c>
      <c r="O2575">
        <v>52.488164503702599</v>
      </c>
      <c r="P2575">
        <v>-8.61339546094054E-2</v>
      </c>
      <c r="Q2575">
        <v>9.0471691265574E-2</v>
      </c>
      <c r="R2575">
        <v>0.99877135731220001</v>
      </c>
      <c r="S2575" t="s">
        <v>8158</v>
      </c>
      <c r="T2575" t="s">
        <v>11164</v>
      </c>
      <c r="U2575" t="s">
        <v>11164</v>
      </c>
      <c r="V2575" t="s">
        <v>11164</v>
      </c>
      <c r="W2575" t="s">
        <v>13702</v>
      </c>
      <c r="X2575">
        <v>12</v>
      </c>
      <c r="Y2575" t="s">
        <v>19206</v>
      </c>
      <c r="Z2575" t="s">
        <v>24725</v>
      </c>
      <c r="AA2575">
        <v>0.58757938062069748</v>
      </c>
      <c r="AB2575" t="str">
        <f>HYPERLINK("Melting_Curves/meltCurve_P61081_UBE2M.pdf", "Melting_Curves/meltCurve_P61081_UBE2M.pdf")</f>
        <v>Melting_Curves/meltCurve_P61081_UBE2M.pdf</v>
      </c>
    </row>
    <row r="2576" spans="1:28" x14ac:dyDescent="0.25">
      <c r="A2576" t="s">
        <v>2580</v>
      </c>
      <c r="B2576">
        <v>0.99796759195183404</v>
      </c>
      <c r="C2576">
        <v>0.93637923449319904</v>
      </c>
      <c r="D2576">
        <v>0.94873871169641499</v>
      </c>
      <c r="E2576">
        <v>0.90431870726708896</v>
      </c>
      <c r="F2576">
        <v>0.80347807722776299</v>
      </c>
      <c r="G2576">
        <v>0.577168090603285</v>
      </c>
      <c r="H2576">
        <v>0.45770101790893902</v>
      </c>
      <c r="I2576">
        <v>0.31156805740500798</v>
      </c>
      <c r="J2576">
        <v>0.216254997528529</v>
      </c>
      <c r="K2576">
        <v>0.16680532462373299</v>
      </c>
      <c r="L2576">
        <v>586.17160874149101</v>
      </c>
      <c r="M2576">
        <v>10.464753492054299</v>
      </c>
      <c r="N2576">
        <v>56.168716964893598</v>
      </c>
      <c r="O2576">
        <v>54.084377272321802</v>
      </c>
      <c r="P2576">
        <v>-4.7704279055889802E-2</v>
      </c>
      <c r="Q2576">
        <v>1.42142592232328E-2</v>
      </c>
      <c r="R2576">
        <v>0.99481143375208303</v>
      </c>
      <c r="S2576" t="s">
        <v>8159</v>
      </c>
      <c r="T2576" t="s">
        <v>11164</v>
      </c>
      <c r="U2576" t="s">
        <v>11164</v>
      </c>
      <c r="V2576" t="s">
        <v>11164</v>
      </c>
      <c r="W2576" t="s">
        <v>13703</v>
      </c>
      <c r="X2576">
        <v>11</v>
      </c>
      <c r="Y2576" t="s">
        <v>19207</v>
      </c>
      <c r="Z2576" t="s">
        <v>24726</v>
      </c>
      <c r="AA2576">
        <v>0.64601996213751045</v>
      </c>
      <c r="AB2576" t="str">
        <f>HYPERLINK("Melting_Curves/meltCurve_P61086_UBE2K.pdf", "Melting_Curves/meltCurve_P61086_UBE2K.pdf")</f>
        <v>Melting_Curves/meltCurve_P61086_UBE2K.pdf</v>
      </c>
    </row>
    <row r="2577" spans="1:28" x14ac:dyDescent="0.25">
      <c r="A2577" t="s">
        <v>2581</v>
      </c>
      <c r="B2577">
        <v>0.99796759195183404</v>
      </c>
      <c r="C2577">
        <v>0.96303446448428698</v>
      </c>
      <c r="D2577">
        <v>1.03870163991891</v>
      </c>
      <c r="E2577">
        <v>0.94190328318453098</v>
      </c>
      <c r="F2577">
        <v>0.78491290237826306</v>
      </c>
      <c r="G2577">
        <v>0.451815694238975</v>
      </c>
      <c r="H2577">
        <v>0.32196727997025398</v>
      </c>
      <c r="I2577">
        <v>0.15360977655637101</v>
      </c>
      <c r="J2577">
        <v>0.115334069559219</v>
      </c>
      <c r="K2577">
        <v>7.9800805312277803E-2</v>
      </c>
      <c r="L2577">
        <v>958.45328857293396</v>
      </c>
      <c r="M2577">
        <v>17.981022477544101</v>
      </c>
      <c r="N2577">
        <v>53.766258745271003</v>
      </c>
      <c r="O2577">
        <v>52.6574267962853</v>
      </c>
      <c r="P2577">
        <v>-7.9253261428933103E-2</v>
      </c>
      <c r="Q2577">
        <v>7.1673242856049604E-2</v>
      </c>
      <c r="R2577">
        <v>0.993876104674422</v>
      </c>
      <c r="S2577" t="s">
        <v>8160</v>
      </c>
      <c r="T2577" t="s">
        <v>11164</v>
      </c>
      <c r="U2577" t="s">
        <v>11164</v>
      </c>
      <c r="V2577" t="s">
        <v>11164</v>
      </c>
      <c r="W2577" t="s">
        <v>13704</v>
      </c>
      <c r="X2577">
        <v>9</v>
      </c>
      <c r="Y2577" t="s">
        <v>19208</v>
      </c>
      <c r="Z2577" t="s">
        <v>24727</v>
      </c>
      <c r="AA2577">
        <v>0.58948553517118074</v>
      </c>
      <c r="AB2577" t="str">
        <f>HYPERLINK("Melting_Curves/meltCurve_P61088_UBE2N.pdf", "Melting_Curves/meltCurve_P61088_UBE2N.pdf")</f>
        <v>Melting_Curves/meltCurve_P61088_UBE2N.pdf</v>
      </c>
    </row>
    <row r="2578" spans="1:28" x14ac:dyDescent="0.25">
      <c r="A2578" t="s">
        <v>2582</v>
      </c>
      <c r="B2578">
        <v>0.99796759195183404</v>
      </c>
      <c r="C2578">
        <v>0.95186131024267595</v>
      </c>
      <c r="D2578">
        <v>0.96774728052079795</v>
      </c>
      <c r="E2578">
        <v>0.90168977689401897</v>
      </c>
      <c r="F2578">
        <v>0.81889776582562002</v>
      </c>
      <c r="G2578">
        <v>0.644326466962299</v>
      </c>
      <c r="H2578">
        <v>0.64083625193418703</v>
      </c>
      <c r="I2578">
        <v>0.54237212447042005</v>
      </c>
      <c r="J2578">
        <v>0.62538337859839399</v>
      </c>
      <c r="K2578">
        <v>0.442536437994627</v>
      </c>
      <c r="L2578">
        <v>572.742378473548</v>
      </c>
      <c r="M2578">
        <v>10.915995380380499</v>
      </c>
      <c r="O2578">
        <v>50.799484921270903</v>
      </c>
      <c r="P2578">
        <v>-2.8662363999877798E-2</v>
      </c>
      <c r="Q2578">
        <v>0.46664407384308698</v>
      </c>
      <c r="R2578">
        <v>0.94570097903857497</v>
      </c>
      <c r="S2578" t="s">
        <v>8161</v>
      </c>
      <c r="T2578" t="s">
        <v>11164</v>
      </c>
      <c r="U2578" t="s">
        <v>11164</v>
      </c>
      <c r="V2578" t="s">
        <v>11164</v>
      </c>
      <c r="W2578" t="s">
        <v>13705</v>
      </c>
      <c r="X2578">
        <v>16</v>
      </c>
      <c r="Y2578" t="s">
        <v>19209</v>
      </c>
      <c r="Z2578" t="s">
        <v>24728</v>
      </c>
      <c r="AA2578">
        <v>0.75435998848211838</v>
      </c>
      <c r="AB2578" t="str">
        <f>HYPERLINK("Melting_Curves/meltCurve_P61106_RAB14.pdf", "Melting_Curves/meltCurve_P61106_RAB14.pdf")</f>
        <v>Melting_Curves/meltCurve_P61106_RAB14.pdf</v>
      </c>
    </row>
    <row r="2579" spans="1:28" x14ac:dyDescent="0.25">
      <c r="A2579" t="s">
        <v>2583</v>
      </c>
      <c r="B2579">
        <v>0.99796759195183404</v>
      </c>
      <c r="C2579">
        <v>1.0359017024442601</v>
      </c>
      <c r="D2579">
        <v>0.99053791124329205</v>
      </c>
      <c r="E2579">
        <v>0.96677216687555101</v>
      </c>
      <c r="F2579">
        <v>0.90031121291127503</v>
      </c>
      <c r="G2579">
        <v>1.1532249340702601</v>
      </c>
      <c r="H2579">
        <v>0.87506340234365199</v>
      </c>
      <c r="I2579">
        <v>0.71173135073221006</v>
      </c>
      <c r="J2579">
        <v>0.60156446387350404</v>
      </c>
      <c r="K2579">
        <v>0.29115908441046201</v>
      </c>
      <c r="L2579">
        <v>1279.19498406414</v>
      </c>
      <c r="M2579">
        <v>19.820466186873599</v>
      </c>
      <c r="N2579">
        <v>64.539107768482694</v>
      </c>
      <c r="O2579">
        <v>63.8928986377624</v>
      </c>
      <c r="P2579">
        <v>-7.7556094302933795E-2</v>
      </c>
      <c r="Q2579">
        <v>0</v>
      </c>
      <c r="R2579">
        <v>0.910873165799016</v>
      </c>
      <c r="S2579" t="s">
        <v>8162</v>
      </c>
      <c r="T2579" t="s">
        <v>11164</v>
      </c>
      <c r="U2579" t="s">
        <v>11164</v>
      </c>
      <c r="V2579" t="s">
        <v>11164</v>
      </c>
      <c r="W2579" t="s">
        <v>13706</v>
      </c>
      <c r="X2579">
        <v>16</v>
      </c>
      <c r="Y2579" t="s">
        <v>19210</v>
      </c>
      <c r="Z2579" t="s">
        <v>24729</v>
      </c>
      <c r="AA2579">
        <v>0.88412294698966909</v>
      </c>
      <c r="AB2579" t="str">
        <f>HYPERLINK("Melting_Curves/meltCurve_P61158_ACTR3.pdf", "Melting_Curves/meltCurve_P61158_ACTR3.pdf")</f>
        <v>Melting_Curves/meltCurve_P61158_ACTR3.pdf</v>
      </c>
    </row>
    <row r="2580" spans="1:28" x14ac:dyDescent="0.25">
      <c r="A2580" t="s">
        <v>2584</v>
      </c>
      <c r="B2580">
        <v>0.99796759195183404</v>
      </c>
      <c r="C2580">
        <v>1.0038566589160001</v>
      </c>
      <c r="D2580">
        <v>0.99183116748258304</v>
      </c>
      <c r="E2580">
        <v>0.90473358963795303</v>
      </c>
      <c r="F2580">
        <v>0.72441272944741597</v>
      </c>
      <c r="G2580">
        <v>0.67117641433387598</v>
      </c>
      <c r="H2580">
        <v>0.53281048310336698</v>
      </c>
      <c r="I2580">
        <v>0.46825753383510399</v>
      </c>
      <c r="J2580">
        <v>0.38189638555760202</v>
      </c>
      <c r="K2580">
        <v>0.187531834141592</v>
      </c>
      <c r="L2580">
        <v>473.81540486479798</v>
      </c>
      <c r="M2580">
        <v>8.0959150024699795</v>
      </c>
      <c r="N2580">
        <v>58.525240857276501</v>
      </c>
      <c r="O2580">
        <v>55.2790096647052</v>
      </c>
      <c r="P2580">
        <v>-3.6653478476868201E-2</v>
      </c>
      <c r="Q2580">
        <v>0</v>
      </c>
      <c r="R2580">
        <v>0.97539442635960305</v>
      </c>
      <c r="S2580" t="s">
        <v>8163</v>
      </c>
      <c r="T2580" t="s">
        <v>11164</v>
      </c>
      <c r="U2580" t="s">
        <v>11164</v>
      </c>
      <c r="V2580" t="s">
        <v>11164</v>
      </c>
      <c r="W2580" t="s">
        <v>13707</v>
      </c>
      <c r="X2580">
        <v>15</v>
      </c>
      <c r="Y2580" t="s">
        <v>19211</v>
      </c>
      <c r="Z2580" t="s">
        <v>24730</v>
      </c>
      <c r="AA2580">
        <v>0.691845502149258</v>
      </c>
      <c r="AB2580" t="str">
        <f>HYPERLINK("Melting_Curves/meltCurve_P61160_ACTR2.pdf", "Melting_Curves/meltCurve_P61160_ACTR2.pdf")</f>
        <v>Melting_Curves/meltCurve_P61160_ACTR2.pdf</v>
      </c>
    </row>
    <row r="2581" spans="1:28" x14ac:dyDescent="0.25">
      <c r="A2581" t="s">
        <v>2585</v>
      </c>
      <c r="B2581">
        <v>0.99796759195183404</v>
      </c>
      <c r="C2581">
        <v>0.80434424874605703</v>
      </c>
      <c r="D2581">
        <v>0.71840316966124795</v>
      </c>
      <c r="E2581">
        <v>0.62577157323438404</v>
      </c>
      <c r="F2581">
        <v>0.56667222185167498</v>
      </c>
      <c r="G2581">
        <v>0.77729903736824002</v>
      </c>
      <c r="H2581">
        <v>0.61094076164372302</v>
      </c>
      <c r="I2581">
        <v>0.76772619396379305</v>
      </c>
      <c r="J2581">
        <v>0.60827764210494395</v>
      </c>
      <c r="K2581">
        <v>0.23902687738834899</v>
      </c>
      <c r="L2581">
        <v>158.503713039449</v>
      </c>
      <c r="M2581">
        <v>2.3841988306912301</v>
      </c>
      <c r="N2581">
        <v>66.480913576086294</v>
      </c>
      <c r="O2581">
        <v>43.7175011569066</v>
      </c>
      <c r="P2581">
        <v>-1.44243070130863E-2</v>
      </c>
      <c r="Q2581">
        <v>0</v>
      </c>
      <c r="R2581">
        <v>0.47435214056622299</v>
      </c>
      <c r="S2581" t="s">
        <v>8164</v>
      </c>
      <c r="T2581" t="s">
        <v>11164</v>
      </c>
      <c r="U2581" t="s">
        <v>11164</v>
      </c>
      <c r="V2581" t="s">
        <v>11164</v>
      </c>
      <c r="W2581" t="s">
        <v>13708</v>
      </c>
      <c r="X2581">
        <v>6</v>
      </c>
      <c r="Y2581" t="s">
        <v>19212</v>
      </c>
      <c r="Z2581" t="s">
        <v>24731</v>
      </c>
      <c r="AA2581">
        <v>0.66851410208008732</v>
      </c>
      <c r="AB2581" t="str">
        <f>HYPERLINK("Melting_Curves/meltCurve_P61163_ACTR1A.pdf", "Melting_Curves/meltCurve_P61163_ACTR1A.pdf")</f>
        <v>Melting_Curves/meltCurve_P61163_ACTR1A.pdf</v>
      </c>
    </row>
    <row r="2582" spans="1:28" x14ac:dyDescent="0.25">
      <c r="A2582" t="s">
        <v>2586</v>
      </c>
      <c r="B2582">
        <v>0.99796759195183404</v>
      </c>
      <c r="C2582">
        <v>0.97044403381335698</v>
      </c>
      <c r="D2582">
        <v>0.90741229879130403</v>
      </c>
      <c r="E2582">
        <v>0.88672274755360403</v>
      </c>
      <c r="F2582">
        <v>0.76128362198087696</v>
      </c>
      <c r="G2582">
        <v>1.33473047997879</v>
      </c>
      <c r="H2582">
        <v>1.0994203531184701</v>
      </c>
      <c r="I2582">
        <v>0.44226685177050401</v>
      </c>
      <c r="J2582">
        <v>0.19344895598796399</v>
      </c>
      <c r="K2582">
        <v>0.13047626946971</v>
      </c>
      <c r="L2582">
        <v>11841.017913342601</v>
      </c>
      <c r="M2582">
        <v>194.80292044978501</v>
      </c>
      <c r="N2582">
        <v>60.906976191548402</v>
      </c>
      <c r="O2582">
        <v>60.778195642692602</v>
      </c>
      <c r="P2582">
        <v>-0.67152486115683396</v>
      </c>
      <c r="Q2582">
        <v>0.1619413275038</v>
      </c>
      <c r="R2582">
        <v>0.85496773829932005</v>
      </c>
      <c r="S2582" t="s">
        <v>8165</v>
      </c>
      <c r="T2582" t="s">
        <v>11164</v>
      </c>
      <c r="U2582" t="s">
        <v>11164</v>
      </c>
      <c r="V2582" t="s">
        <v>11164</v>
      </c>
      <c r="W2582" t="s">
        <v>13709</v>
      </c>
      <c r="X2582">
        <v>9</v>
      </c>
      <c r="Y2582" t="s">
        <v>19213</v>
      </c>
      <c r="Z2582" t="s">
        <v>24732</v>
      </c>
      <c r="AA2582">
        <v>0.8265183118745838</v>
      </c>
      <c r="AB2582" t="str">
        <f>HYPERLINK("Melting_Curves/meltCurve_P61201_COPS2.pdf", "Melting_Curves/meltCurve_P61201_COPS2.pdf")</f>
        <v>Melting_Curves/meltCurve_P61201_COPS2.pdf</v>
      </c>
    </row>
    <row r="2583" spans="1:28" x14ac:dyDescent="0.25">
      <c r="A2583" t="s">
        <v>2587</v>
      </c>
      <c r="B2583">
        <v>0.99796759195183404</v>
      </c>
      <c r="C2583">
        <v>1.0415074721173501</v>
      </c>
      <c r="D2583">
        <v>1.0416025975490699</v>
      </c>
      <c r="E2583">
        <v>1.0291144905962499</v>
      </c>
      <c r="F2583">
        <v>0.769310371292665</v>
      </c>
      <c r="G2583">
        <v>0.69381641182440301</v>
      </c>
      <c r="H2583">
        <v>0.81267904573065997</v>
      </c>
      <c r="I2583">
        <v>0.794514121523613</v>
      </c>
      <c r="J2583">
        <v>1.1030659680464501</v>
      </c>
      <c r="K2583">
        <v>1.5744817174402399</v>
      </c>
      <c r="L2583">
        <v>15000</v>
      </c>
      <c r="M2583">
        <v>232.66178666468301</v>
      </c>
      <c r="O2583">
        <v>64.466504532104196</v>
      </c>
      <c r="P2583">
        <v>0.451129223958045</v>
      </c>
      <c r="Q2583">
        <v>1.5</v>
      </c>
      <c r="R2583">
        <v>0.58720862383542305</v>
      </c>
      <c r="S2583" t="s">
        <v>8166</v>
      </c>
      <c r="T2583" t="s">
        <v>11164</v>
      </c>
      <c r="U2583" t="s">
        <v>11164</v>
      </c>
      <c r="V2583" t="s">
        <v>11164</v>
      </c>
      <c r="W2583" t="s">
        <v>13710</v>
      </c>
      <c r="X2583">
        <v>2</v>
      </c>
      <c r="Y2583" t="s">
        <v>19214</v>
      </c>
      <c r="Z2583" t="s">
        <v>24733</v>
      </c>
      <c r="AA2583">
        <v>1.0420810138545951</v>
      </c>
      <c r="AB2583" t="str">
        <f>HYPERLINK("Melting_Curves/meltCurve_P61218_POLR2F.pdf", "Melting_Curves/meltCurve_P61218_POLR2F.pdf")</f>
        <v>Melting_Curves/meltCurve_P61218_POLR2F.pdf</v>
      </c>
    </row>
    <row r="2584" spans="1:28" x14ac:dyDescent="0.25">
      <c r="A2584" t="s">
        <v>2588</v>
      </c>
      <c r="B2584">
        <v>0.99796759195183404</v>
      </c>
      <c r="C2584">
        <v>0.99587636516944</v>
      </c>
      <c r="D2584">
        <v>0.98298232757681003</v>
      </c>
      <c r="E2584">
        <v>0.95553302658706096</v>
      </c>
      <c r="F2584">
        <v>0.84718060221736202</v>
      </c>
      <c r="G2584">
        <v>0.75712469641781699</v>
      </c>
      <c r="H2584">
        <v>0.72754778902522899</v>
      </c>
      <c r="I2584">
        <v>0.65243731351871304</v>
      </c>
      <c r="J2584">
        <v>0.64509427077816595</v>
      </c>
      <c r="K2584">
        <v>0.26970385986721801</v>
      </c>
      <c r="L2584">
        <v>487.11872127387102</v>
      </c>
      <c r="M2584">
        <v>7.5761845467483697</v>
      </c>
      <c r="N2584">
        <v>64.296047363307906</v>
      </c>
      <c r="O2584">
        <v>60.274833791915697</v>
      </c>
      <c r="P2584">
        <v>-3.1467017932998803E-2</v>
      </c>
      <c r="Q2584">
        <v>0</v>
      </c>
      <c r="R2584">
        <v>0.88972754694414502</v>
      </c>
      <c r="S2584" t="s">
        <v>8167</v>
      </c>
      <c r="T2584" t="s">
        <v>11164</v>
      </c>
      <c r="U2584" t="s">
        <v>11164</v>
      </c>
      <c r="V2584" t="s">
        <v>11164</v>
      </c>
      <c r="W2584" t="s">
        <v>13711</v>
      </c>
      <c r="X2584">
        <v>35</v>
      </c>
      <c r="Y2584" t="s">
        <v>19215</v>
      </c>
      <c r="Z2584" t="s">
        <v>24734</v>
      </c>
      <c r="AA2584">
        <v>0.79950389246034592</v>
      </c>
      <c r="AB2584" t="str">
        <f>HYPERLINK("Melting_Curves/meltCurve_P61221_ABCE1.pdf", "Melting_Curves/meltCurve_P61221_ABCE1.pdf")</f>
        <v>Melting_Curves/meltCurve_P61221_ABCE1.pdf</v>
      </c>
    </row>
    <row r="2585" spans="1:28" x14ac:dyDescent="0.25">
      <c r="A2585" t="s">
        <v>2589</v>
      </c>
      <c r="B2585">
        <v>0.99796759195183404</v>
      </c>
      <c r="C2585">
        <v>0.98564419508119305</v>
      </c>
      <c r="D2585">
        <v>1.0127285689958501</v>
      </c>
      <c r="E2585">
        <v>0.97209924611508103</v>
      </c>
      <c r="F2585">
        <v>0.84706283135271898</v>
      </c>
      <c r="G2585">
        <v>0.66329745876206003</v>
      </c>
      <c r="H2585">
        <v>0.63915494459524702</v>
      </c>
      <c r="I2585">
        <v>0.53766776781129499</v>
      </c>
      <c r="J2585">
        <v>0.52610142360102297</v>
      </c>
      <c r="K2585">
        <v>0.43763649885911599</v>
      </c>
      <c r="L2585">
        <v>791.94447637534302</v>
      </c>
      <c r="M2585">
        <v>14.833278029709399</v>
      </c>
      <c r="N2585">
        <v>63.792098059519901</v>
      </c>
      <c r="O2585">
        <v>52.447523768166398</v>
      </c>
      <c r="P2585">
        <v>-3.85040533802131E-2</v>
      </c>
      <c r="Q2585">
        <v>0.45548671409938102</v>
      </c>
      <c r="R2585">
        <v>0.98129924431950499</v>
      </c>
      <c r="S2585" t="s">
        <v>8168</v>
      </c>
      <c r="T2585" t="s">
        <v>11164</v>
      </c>
      <c r="U2585" t="s">
        <v>11164</v>
      </c>
      <c r="V2585" t="s">
        <v>11164</v>
      </c>
      <c r="W2585" t="s">
        <v>13712</v>
      </c>
      <c r="X2585">
        <v>15</v>
      </c>
      <c r="Y2585" t="s">
        <v>19216</v>
      </c>
      <c r="Z2585" t="s">
        <v>24735</v>
      </c>
      <c r="AA2585">
        <v>0.76245242702365346</v>
      </c>
      <c r="AB2585" t="str">
        <f>HYPERLINK("Melting_Curves/meltCurve_P61224_RAP1B.pdf", "Melting_Curves/meltCurve_P61224_RAP1B.pdf")</f>
        <v>Melting_Curves/meltCurve_P61224_RAP1B.pdf</v>
      </c>
    </row>
    <row r="2586" spans="1:28" x14ac:dyDescent="0.25">
      <c r="A2586" t="s">
        <v>2590</v>
      </c>
      <c r="B2586">
        <v>0.99796759195183404</v>
      </c>
      <c r="C2586">
        <v>0.88067996867374898</v>
      </c>
      <c r="D2586">
        <v>0.95873533419650303</v>
      </c>
      <c r="E2586">
        <v>0.84082354227446798</v>
      </c>
      <c r="F2586">
        <v>0.78262255339622899</v>
      </c>
      <c r="G2586">
        <v>0.60854226056435601</v>
      </c>
      <c r="H2586">
        <v>0.59959883889233001</v>
      </c>
      <c r="I2586">
        <v>0.40410657237660902</v>
      </c>
      <c r="J2586">
        <v>0.38006595836319301</v>
      </c>
      <c r="K2586">
        <v>0.27292091152973802</v>
      </c>
      <c r="L2586">
        <v>400.77325150322901</v>
      </c>
      <c r="M2586">
        <v>6.8316258867087196</v>
      </c>
      <c r="N2586">
        <v>58.664402558542299</v>
      </c>
      <c r="O2586">
        <v>54.2541109764813</v>
      </c>
      <c r="P2586">
        <v>-3.1543561224659102E-2</v>
      </c>
      <c r="Q2586">
        <v>0</v>
      </c>
      <c r="R2586">
        <v>0.97267454360210304</v>
      </c>
      <c r="S2586" t="s">
        <v>8169</v>
      </c>
      <c r="T2586" t="s">
        <v>11164</v>
      </c>
      <c r="U2586" t="s">
        <v>11164</v>
      </c>
      <c r="V2586" t="s">
        <v>11164</v>
      </c>
      <c r="W2586" t="s">
        <v>13713</v>
      </c>
      <c r="X2586">
        <v>4</v>
      </c>
      <c r="Y2586" t="s">
        <v>19217</v>
      </c>
      <c r="Z2586" t="s">
        <v>24736</v>
      </c>
      <c r="AA2586">
        <v>0.68228926247656552</v>
      </c>
      <c r="AB2586" t="str">
        <f>HYPERLINK("Melting_Curves/meltCurve_P61225_RAP2B.pdf", "Melting_Curves/meltCurve_P61225_RAP2B.pdf")</f>
        <v>Melting_Curves/meltCurve_P61225_RAP2B.pdf</v>
      </c>
    </row>
    <row r="2587" spans="1:28" x14ac:dyDescent="0.25">
      <c r="A2587" t="s">
        <v>2591</v>
      </c>
      <c r="B2587">
        <v>0.99796759195183404</v>
      </c>
      <c r="C2587">
        <v>0.84984102979773701</v>
      </c>
      <c r="D2587">
        <v>0.82356950818420405</v>
      </c>
      <c r="E2587">
        <v>0.93262037057856995</v>
      </c>
      <c r="F2587">
        <v>0.74901973233393304</v>
      </c>
      <c r="G2587">
        <v>0.57306533212808197</v>
      </c>
      <c r="H2587">
        <v>0.48528325790410598</v>
      </c>
      <c r="I2587">
        <v>0.46585224660039998</v>
      </c>
      <c r="J2587">
        <v>0.39471966198116099</v>
      </c>
      <c r="K2587">
        <v>0.42360396095710501</v>
      </c>
      <c r="L2587">
        <v>403.093183622531</v>
      </c>
      <c r="M2587">
        <v>7.5572203026293598</v>
      </c>
      <c r="N2587">
        <v>58.785620608583599</v>
      </c>
      <c r="O2587">
        <v>49.987845454099997</v>
      </c>
      <c r="P2587">
        <v>-2.8319441276575201E-2</v>
      </c>
      <c r="Q2587">
        <v>0.25176125251415299</v>
      </c>
      <c r="R2587">
        <v>0.92117757736896899</v>
      </c>
      <c r="S2587" t="s">
        <v>8170</v>
      </c>
      <c r="T2587" t="s">
        <v>11164</v>
      </c>
      <c r="U2587" t="s">
        <v>11164</v>
      </c>
      <c r="V2587" t="s">
        <v>11164</v>
      </c>
      <c r="W2587" t="s">
        <v>13714</v>
      </c>
      <c r="X2587">
        <v>3</v>
      </c>
      <c r="Y2587" t="s">
        <v>19218</v>
      </c>
      <c r="Z2587" t="s">
        <v>24737</v>
      </c>
      <c r="AA2587">
        <v>0.67324689897666468</v>
      </c>
      <c r="AB2587" t="str">
        <f>HYPERLINK("Melting_Curves/meltCurve_P61244_2_MAX.pdf", "Melting_Curves/meltCurve_P61244_2_MAX.pdf")</f>
        <v>Melting_Curves/meltCurve_P61244_2_MAX.pdf</v>
      </c>
    </row>
    <row r="2588" spans="1:28" x14ac:dyDescent="0.25">
      <c r="A2588" t="s">
        <v>2592</v>
      </c>
      <c r="B2588">
        <v>0.99796759195183404</v>
      </c>
      <c r="C2588">
        <v>0.970087415016333</v>
      </c>
      <c r="D2588">
        <v>0.95662175249705805</v>
      </c>
      <c r="E2588">
        <v>0.95859720775259905</v>
      </c>
      <c r="F2588">
        <v>0.68383016831555099</v>
      </c>
      <c r="G2588">
        <v>0.49596753819838602</v>
      </c>
      <c r="H2588">
        <v>0.398272340232533</v>
      </c>
      <c r="I2588">
        <v>0.42059639025159201</v>
      </c>
      <c r="J2588">
        <v>0.16938671940601399</v>
      </c>
      <c r="K2588">
        <v>0.16128577520537299</v>
      </c>
      <c r="L2588">
        <v>628.26076852174504</v>
      </c>
      <c r="M2588">
        <v>11.7039154513906</v>
      </c>
      <c r="N2588">
        <v>54.883318788180198</v>
      </c>
      <c r="O2588">
        <v>52.184286626868499</v>
      </c>
      <c r="P2588">
        <v>-4.9736020581184197E-2</v>
      </c>
      <c r="Q2588">
        <v>0.113202734363896</v>
      </c>
      <c r="R2588">
        <v>0.96586662939479895</v>
      </c>
      <c r="S2588" t="s">
        <v>8171</v>
      </c>
      <c r="T2588" t="s">
        <v>11164</v>
      </c>
      <c r="U2588" t="s">
        <v>11164</v>
      </c>
      <c r="V2588" t="s">
        <v>11164</v>
      </c>
      <c r="W2588" t="s">
        <v>13715</v>
      </c>
      <c r="X2588">
        <v>6</v>
      </c>
      <c r="Y2588" t="s">
        <v>19219</v>
      </c>
      <c r="Z2588" t="s">
        <v>24738</v>
      </c>
      <c r="AA2588">
        <v>0.62319790459107394</v>
      </c>
      <c r="AB2588" t="str">
        <f>HYPERLINK("Melting_Curves/meltCurve_P61254_RPL26.pdf", "Melting_Curves/meltCurve_P61254_RPL26.pdf")</f>
        <v>Melting_Curves/meltCurve_P61254_RPL26.pdf</v>
      </c>
    </row>
    <row r="2589" spans="1:28" x14ac:dyDescent="0.25">
      <c r="A2589" t="s">
        <v>2593</v>
      </c>
      <c r="B2589">
        <v>0.99796759195183404</v>
      </c>
      <c r="C2589">
        <v>0.985973189401537</v>
      </c>
      <c r="D2589">
        <v>1.0003984281690901</v>
      </c>
      <c r="E2589">
        <v>0.94451105254424195</v>
      </c>
      <c r="F2589">
        <v>0.86240499593179598</v>
      </c>
      <c r="G2589">
        <v>0.82087139163320599</v>
      </c>
      <c r="H2589">
        <v>0.83926826407537103</v>
      </c>
      <c r="I2589">
        <v>0.83644782107638704</v>
      </c>
      <c r="J2589">
        <v>1.0587804033414701</v>
      </c>
      <c r="K2589">
        <v>1.11753666726027</v>
      </c>
      <c r="L2589">
        <v>15000</v>
      </c>
      <c r="M2589">
        <v>234.00951986572801</v>
      </c>
      <c r="O2589">
        <v>64.095265554056098</v>
      </c>
      <c r="P2589">
        <v>0.10728582985775401</v>
      </c>
      <c r="Q2589">
        <v>1.1175424782208701</v>
      </c>
      <c r="R2589">
        <v>-0.119893180731351</v>
      </c>
      <c r="S2589" t="s">
        <v>8172</v>
      </c>
      <c r="T2589" t="s">
        <v>11164</v>
      </c>
      <c r="U2589" t="s">
        <v>11164</v>
      </c>
      <c r="V2589" t="s">
        <v>11164</v>
      </c>
      <c r="W2589" t="s">
        <v>13716</v>
      </c>
      <c r="X2589">
        <v>26</v>
      </c>
      <c r="Y2589" t="s">
        <v>19220</v>
      </c>
      <c r="Z2589" t="s">
        <v>24739</v>
      </c>
      <c r="AA2589">
        <v>1.011347565757291</v>
      </c>
      <c r="AB2589" t="str">
        <f>HYPERLINK("Melting_Curves/meltCurve_P61289_PSME3.pdf", "Melting_Curves/meltCurve_P61289_PSME3.pdf")</f>
        <v>Melting_Curves/meltCurve_P61289_PSME3.pdf</v>
      </c>
    </row>
    <row r="2590" spans="1:28" x14ac:dyDescent="0.25">
      <c r="A2590" t="s">
        <v>2594</v>
      </c>
      <c r="B2590">
        <v>0.99796759195183404</v>
      </c>
      <c r="C2590">
        <v>0.96029487108049305</v>
      </c>
      <c r="D2590">
        <v>1.0006408828509401</v>
      </c>
      <c r="E2590">
        <v>0.97959063094385801</v>
      </c>
      <c r="F2590">
        <v>0.75121277467404701</v>
      </c>
      <c r="G2590">
        <v>0.32624390666070502</v>
      </c>
      <c r="H2590">
        <v>0.177215059381574</v>
      </c>
      <c r="I2590">
        <v>0.13367697440870599</v>
      </c>
      <c r="J2590">
        <v>8.2101896058495397E-2</v>
      </c>
      <c r="K2590">
        <v>5.4879229151175497E-2</v>
      </c>
      <c r="L2590">
        <v>1431.5286617091001</v>
      </c>
      <c r="M2590">
        <v>27.553350368496499</v>
      </c>
      <c r="N2590">
        <v>52.3211960378854</v>
      </c>
      <c r="O2590">
        <v>51.683435297715903</v>
      </c>
      <c r="P2590">
        <v>-0.121586822853839</v>
      </c>
      <c r="Q2590">
        <v>8.7738196022413395E-2</v>
      </c>
      <c r="R2590">
        <v>0.99682685289496498</v>
      </c>
      <c r="S2590" t="s">
        <v>8173</v>
      </c>
      <c r="T2590" t="s">
        <v>11164</v>
      </c>
      <c r="U2590" t="s">
        <v>11164</v>
      </c>
      <c r="V2590" t="s">
        <v>11164</v>
      </c>
      <c r="W2590" t="s">
        <v>13717</v>
      </c>
      <c r="X2590">
        <v>8</v>
      </c>
      <c r="Y2590" t="s">
        <v>19221</v>
      </c>
      <c r="Z2590" t="s">
        <v>24740</v>
      </c>
      <c r="AA2590">
        <v>0.54925393711305759</v>
      </c>
      <c r="AB2590" t="str">
        <f>HYPERLINK("Melting_Curves/meltCurve_P61326_MAGOH.pdf", "Melting_Curves/meltCurve_P61326_MAGOH.pdf")</f>
        <v>Melting_Curves/meltCurve_P61326_MAGOH.pdf</v>
      </c>
    </row>
    <row r="2591" spans="1:28" x14ac:dyDescent="0.25">
      <c r="A2591" t="s">
        <v>2595</v>
      </c>
      <c r="B2591">
        <v>0.99796759195183404</v>
      </c>
      <c r="C2591">
        <v>0.83269939766273904</v>
      </c>
      <c r="D2591">
        <v>0.92794255054979902</v>
      </c>
      <c r="E2591">
        <v>0.77778343411291395</v>
      </c>
      <c r="F2591">
        <v>0.495988576474924</v>
      </c>
      <c r="G2591">
        <v>0.37651792501231202</v>
      </c>
      <c r="H2591">
        <v>0.32190542294732699</v>
      </c>
      <c r="I2591">
        <v>0.39887035711028201</v>
      </c>
      <c r="J2591">
        <v>0.44717714180025198</v>
      </c>
      <c r="K2591">
        <v>0.47898324739734599</v>
      </c>
      <c r="L2591">
        <v>1278.3575098393701</v>
      </c>
      <c r="M2591">
        <v>27.072081507833602</v>
      </c>
      <c r="N2591">
        <v>50.207961121344702</v>
      </c>
      <c r="O2591">
        <v>46.965120777467298</v>
      </c>
      <c r="P2591">
        <v>-8.6445286201949897E-2</v>
      </c>
      <c r="Q2591">
        <v>0.40013882282518598</v>
      </c>
      <c r="R2591">
        <v>0.91976126163213601</v>
      </c>
      <c r="S2591" t="s">
        <v>8174</v>
      </c>
      <c r="T2591" t="s">
        <v>11164</v>
      </c>
      <c r="U2591" t="s">
        <v>11164</v>
      </c>
      <c r="V2591" t="s">
        <v>11164</v>
      </c>
      <c r="W2591" t="s">
        <v>13718</v>
      </c>
      <c r="X2591">
        <v>1</v>
      </c>
      <c r="Y2591" t="s">
        <v>19222</v>
      </c>
      <c r="Z2591" t="s">
        <v>24741</v>
      </c>
      <c r="AA2591">
        <v>0.60880841256084817</v>
      </c>
      <c r="AB2591" t="str">
        <f>HYPERLINK("Melting_Curves/meltCurve_P61457_PCBD1.pdf", "Melting_Curves/meltCurve_P61457_PCBD1.pdf")</f>
        <v>Melting_Curves/meltCurve_P61457_PCBD1.pdf</v>
      </c>
    </row>
    <row r="2592" spans="1:28" x14ac:dyDescent="0.25">
      <c r="A2592" t="s">
        <v>2596</v>
      </c>
      <c r="B2592">
        <v>0.99796759195183404</v>
      </c>
      <c r="C2592">
        <v>1.01456253966971</v>
      </c>
      <c r="D2592">
        <v>1.0325790762517799</v>
      </c>
      <c r="E2592">
        <v>0.98084860414964303</v>
      </c>
      <c r="F2592">
        <v>0.84703512900268596</v>
      </c>
      <c r="G2592">
        <v>0.72199164614256695</v>
      </c>
      <c r="H2592">
        <v>0.68357429801139802</v>
      </c>
      <c r="I2592">
        <v>0.55890322958905603</v>
      </c>
      <c r="J2592">
        <v>0.60520184502716501</v>
      </c>
      <c r="K2592">
        <v>0.41798871491423001</v>
      </c>
      <c r="L2592">
        <v>641.52824692760805</v>
      </c>
      <c r="M2592">
        <v>11.521145117906499</v>
      </c>
      <c r="N2592">
        <v>65.692342337002302</v>
      </c>
      <c r="O2592">
        <v>54.0843660153906</v>
      </c>
      <c r="P2592">
        <v>-3.1238358407392801E-2</v>
      </c>
      <c r="Q2592">
        <v>0.413589371922994</v>
      </c>
      <c r="R2592">
        <v>0.95434440819765998</v>
      </c>
      <c r="S2592" t="s">
        <v>8175</v>
      </c>
      <c r="T2592" t="s">
        <v>11164</v>
      </c>
      <c r="U2592" t="s">
        <v>11164</v>
      </c>
      <c r="V2592" t="s">
        <v>11164</v>
      </c>
      <c r="W2592" t="s">
        <v>13719</v>
      </c>
      <c r="X2592">
        <v>14</v>
      </c>
      <c r="Y2592" t="s">
        <v>19223</v>
      </c>
      <c r="Z2592" t="s">
        <v>24742</v>
      </c>
      <c r="AA2592">
        <v>0.78508060362867671</v>
      </c>
      <c r="AB2592" t="str">
        <f>HYPERLINK("Melting_Curves/meltCurve_P61586_RHOA.pdf", "Melting_Curves/meltCurve_P61586_RHOA.pdf")</f>
        <v>Melting_Curves/meltCurve_P61586_RHOA.pdf</v>
      </c>
    </row>
    <row r="2593" spans="1:28" x14ac:dyDescent="0.25">
      <c r="A2593" t="s">
        <v>2597</v>
      </c>
      <c r="B2593">
        <v>0.99796759195183404</v>
      </c>
      <c r="C2593">
        <v>0.98286318524925897</v>
      </c>
      <c r="D2593">
        <v>1.0828948584181199</v>
      </c>
      <c r="E2593">
        <v>0.93697888651571604</v>
      </c>
      <c r="F2593">
        <v>0.77784735584860598</v>
      </c>
      <c r="G2593">
        <v>0.58751668000778501</v>
      </c>
      <c r="H2593">
        <v>0.57659422121315995</v>
      </c>
      <c r="I2593">
        <v>0.41736422462373302</v>
      </c>
      <c r="J2593">
        <v>0.335347642296979</v>
      </c>
      <c r="K2593">
        <v>0.21430560265406601</v>
      </c>
      <c r="L2593">
        <v>583.79190202919801</v>
      </c>
      <c r="M2593">
        <v>10.329143606967101</v>
      </c>
      <c r="N2593">
        <v>57.899406041490003</v>
      </c>
      <c r="O2593">
        <v>54.523493759554903</v>
      </c>
      <c r="P2593">
        <v>-4.2209748933458101E-2</v>
      </c>
      <c r="Q2593">
        <v>0.109148089263467</v>
      </c>
      <c r="R2593">
        <v>0.96726787084961496</v>
      </c>
      <c r="S2593" t="s">
        <v>8176</v>
      </c>
      <c r="T2593" t="s">
        <v>11164</v>
      </c>
      <c r="U2593" t="s">
        <v>11164</v>
      </c>
      <c r="V2593" t="s">
        <v>11164</v>
      </c>
      <c r="W2593" t="s">
        <v>13720</v>
      </c>
      <c r="X2593">
        <v>3</v>
      </c>
      <c r="Y2593" t="s">
        <v>19224</v>
      </c>
      <c r="Z2593" t="s">
        <v>24743</v>
      </c>
      <c r="AA2593">
        <v>0.69195394423662504</v>
      </c>
      <c r="AB2593" t="str">
        <f>HYPERLINK("Melting_Curves/meltCurve_P61587_RND3.pdf", "Melting_Curves/meltCurve_P61587_RND3.pdf")</f>
        <v>Melting_Curves/meltCurve_P61587_RND3.pdf</v>
      </c>
    </row>
    <row r="2594" spans="1:28" x14ac:dyDescent="0.25">
      <c r="A2594" t="s">
        <v>2598</v>
      </c>
      <c r="B2594">
        <v>0.99796759195183404</v>
      </c>
      <c r="C2594">
        <v>1.0743206175373601</v>
      </c>
      <c r="D2594">
        <v>1.10811938331862</v>
      </c>
      <c r="E2594">
        <v>0.989688245747809</v>
      </c>
      <c r="F2594">
        <v>0.84353360614142603</v>
      </c>
      <c r="G2594">
        <v>0.76226117332631804</v>
      </c>
      <c r="H2594">
        <v>0.39873650943421601</v>
      </c>
      <c r="I2594">
        <v>0.44575653146312399</v>
      </c>
      <c r="J2594">
        <v>0.28940576242702998</v>
      </c>
      <c r="K2594">
        <v>9.7205391352789605E-2</v>
      </c>
      <c r="L2594">
        <v>753.32333400052096</v>
      </c>
      <c r="M2594">
        <v>13.1192150666397</v>
      </c>
      <c r="N2594">
        <v>57.800581966964501</v>
      </c>
      <c r="O2594">
        <v>56.136362978279003</v>
      </c>
      <c r="P2594">
        <v>-5.6026009495891899E-2</v>
      </c>
      <c r="Q2594">
        <v>4.1235234694863301E-2</v>
      </c>
      <c r="R2594">
        <v>0.951750593985911</v>
      </c>
      <c r="S2594" t="s">
        <v>8177</v>
      </c>
      <c r="T2594" t="s">
        <v>11164</v>
      </c>
      <c r="U2594" t="s">
        <v>11164</v>
      </c>
      <c r="V2594" t="s">
        <v>11164</v>
      </c>
      <c r="W2594" t="s">
        <v>13721</v>
      </c>
      <c r="X2594">
        <v>1</v>
      </c>
      <c r="Y2594" t="s">
        <v>19225</v>
      </c>
      <c r="Z2594" t="s">
        <v>24744</v>
      </c>
      <c r="AA2594">
        <v>0.69807633741204322</v>
      </c>
      <c r="AB2594" t="str">
        <f>HYPERLINK("Melting_Curves/meltCurve_P61599_NAA20.pdf", "Melting_Curves/meltCurve_P61599_NAA20.pdf")</f>
        <v>Melting_Curves/meltCurve_P61599_NAA20.pdf</v>
      </c>
    </row>
    <row r="2595" spans="1:28" x14ac:dyDescent="0.25">
      <c r="A2595" t="s">
        <v>2599</v>
      </c>
      <c r="B2595">
        <v>0.99796759195183404</v>
      </c>
      <c r="C2595">
        <v>0.96321881890014704</v>
      </c>
      <c r="D2595">
        <v>0.95157204917071403</v>
      </c>
      <c r="E2595">
        <v>0.94536557582712799</v>
      </c>
      <c r="F2595">
        <v>0.82448032663758697</v>
      </c>
      <c r="G2595">
        <v>0.80209317223787602</v>
      </c>
      <c r="H2595">
        <v>0.75294726081183005</v>
      </c>
      <c r="I2595">
        <v>0.73596114099489196</v>
      </c>
      <c r="J2595">
        <v>0.94731822772760299</v>
      </c>
      <c r="K2595">
        <v>1.0222864120119</v>
      </c>
      <c r="L2595">
        <v>11677.1576987673</v>
      </c>
      <c r="M2595">
        <v>250</v>
      </c>
      <c r="O2595">
        <v>46.705642268293602</v>
      </c>
      <c r="P2595">
        <v>-0.20405133553600999</v>
      </c>
      <c r="Q2595">
        <v>0.84751442295179602</v>
      </c>
      <c r="R2595">
        <v>0.311254354234277</v>
      </c>
      <c r="S2595" t="s">
        <v>8178</v>
      </c>
      <c r="T2595" t="s">
        <v>11164</v>
      </c>
      <c r="U2595" t="s">
        <v>11164</v>
      </c>
      <c r="V2595" t="s">
        <v>11164</v>
      </c>
      <c r="W2595" t="s">
        <v>13722</v>
      </c>
      <c r="X2595">
        <v>19</v>
      </c>
      <c r="Y2595" t="s">
        <v>19226</v>
      </c>
      <c r="Z2595" t="s">
        <v>24745</v>
      </c>
      <c r="AA2595">
        <v>0.89687446161095574</v>
      </c>
      <c r="AB2595" t="str">
        <f>HYPERLINK("Melting_Curves/meltCurve_P61604_HSPE1.pdf", "Melting_Curves/meltCurve_P61604_HSPE1.pdf")</f>
        <v>Melting_Curves/meltCurve_P61604_HSPE1.pdf</v>
      </c>
    </row>
    <row r="2596" spans="1:28" x14ac:dyDescent="0.25">
      <c r="A2596" t="s">
        <v>2600</v>
      </c>
      <c r="B2596">
        <v>0.99796759195183404</v>
      </c>
      <c r="C2596">
        <v>0.98605680304204002</v>
      </c>
      <c r="D2596">
        <v>0.93195143157090798</v>
      </c>
      <c r="E2596">
        <v>0.90780350083151595</v>
      </c>
      <c r="F2596">
        <v>0.84851341189735296</v>
      </c>
      <c r="G2596">
        <v>0.74526441350902795</v>
      </c>
      <c r="H2596">
        <v>0.63962015084272905</v>
      </c>
      <c r="I2596">
        <v>0.51453798059934197</v>
      </c>
      <c r="J2596">
        <v>0.58626889828123396</v>
      </c>
      <c r="K2596">
        <v>0.40045212241382799</v>
      </c>
      <c r="L2596">
        <v>429.645818327901</v>
      </c>
      <c r="M2596">
        <v>7.2161604980655403</v>
      </c>
      <c r="N2596">
        <v>63.868180465816401</v>
      </c>
      <c r="O2596">
        <v>55.476714016482397</v>
      </c>
      <c r="P2596">
        <v>-2.6272959665512501E-2</v>
      </c>
      <c r="Q2596">
        <v>0.193407359874809</v>
      </c>
      <c r="R2596">
        <v>0.96698769303693899</v>
      </c>
      <c r="S2596" t="s">
        <v>8179</v>
      </c>
      <c r="T2596" t="s">
        <v>11164</v>
      </c>
      <c r="U2596" t="s">
        <v>11164</v>
      </c>
      <c r="V2596" t="s">
        <v>11164</v>
      </c>
      <c r="W2596" t="s">
        <v>13723</v>
      </c>
      <c r="X2596">
        <v>14</v>
      </c>
      <c r="Y2596" t="s">
        <v>19227</v>
      </c>
      <c r="Z2596" t="s">
        <v>24746</v>
      </c>
      <c r="AA2596">
        <v>0.76206151041309877</v>
      </c>
      <c r="AB2596" t="str">
        <f>HYPERLINK("Melting_Curves/meltCurve_P61758_VBP1.pdf", "Melting_Curves/meltCurve_P61758_VBP1.pdf")</f>
        <v>Melting_Curves/meltCurve_P61758_VBP1.pdf</v>
      </c>
    </row>
    <row r="2597" spans="1:28" x14ac:dyDescent="0.25">
      <c r="A2597" t="s">
        <v>2601</v>
      </c>
      <c r="B2597">
        <v>0.99796759195183404</v>
      </c>
      <c r="C2597">
        <v>1.0745546553766601</v>
      </c>
      <c r="D2597">
        <v>1.0214151919219201</v>
      </c>
      <c r="E2597">
        <v>0.96474350408051501</v>
      </c>
      <c r="F2597">
        <v>0.94191910305857096</v>
      </c>
      <c r="G2597">
        <v>0.31607713520028402</v>
      </c>
      <c r="H2597">
        <v>0.26447765534418899</v>
      </c>
      <c r="I2597">
        <v>0.21531522932498701</v>
      </c>
      <c r="J2597">
        <v>0.197646624874358</v>
      </c>
      <c r="K2597">
        <v>0.14759201236481001</v>
      </c>
      <c r="L2597">
        <v>3191.3379601563402</v>
      </c>
      <c r="M2597">
        <v>61.094531419162401</v>
      </c>
      <c r="N2597">
        <v>52.690009645782197</v>
      </c>
      <c r="O2597">
        <v>52.180202773264099</v>
      </c>
      <c r="P2597">
        <v>-0.232814744361832</v>
      </c>
      <c r="Q2597">
        <v>0.20462196216595099</v>
      </c>
      <c r="R2597">
        <v>0.99085386134741005</v>
      </c>
      <c r="S2597" t="s">
        <v>8180</v>
      </c>
      <c r="T2597" t="s">
        <v>11164</v>
      </c>
      <c r="U2597" t="s">
        <v>11164</v>
      </c>
      <c r="V2597" t="s">
        <v>11164</v>
      </c>
      <c r="W2597" t="s">
        <v>13724</v>
      </c>
      <c r="X2597">
        <v>10</v>
      </c>
      <c r="Y2597" t="s">
        <v>19228</v>
      </c>
      <c r="Z2597" t="s">
        <v>24747</v>
      </c>
      <c r="AA2597">
        <v>0.60979486521040671</v>
      </c>
      <c r="AB2597" t="str">
        <f>HYPERLINK("Melting_Curves/meltCurve_P61764_STXBP1.pdf", "Melting_Curves/meltCurve_P61764_STXBP1.pdf")</f>
        <v>Melting_Curves/meltCurve_P61764_STXBP1.pdf</v>
      </c>
    </row>
    <row r="2598" spans="1:28" x14ac:dyDescent="0.25">
      <c r="A2598" t="s">
        <v>2602</v>
      </c>
      <c r="B2598">
        <v>0.99796759195183404</v>
      </c>
      <c r="C2598">
        <v>1.01022844727251</v>
      </c>
      <c r="D2598">
        <v>0.98871178594823905</v>
      </c>
      <c r="E2598">
        <v>0.93297282799223802</v>
      </c>
      <c r="F2598">
        <v>1.03176036086651</v>
      </c>
      <c r="G2598">
        <v>0.56342077228350096</v>
      </c>
      <c r="H2598">
        <v>0.60727766563372998</v>
      </c>
      <c r="I2598">
        <v>0.59717326909650104</v>
      </c>
      <c r="J2598">
        <v>0.70078279114160802</v>
      </c>
      <c r="K2598">
        <v>0.54198880192986598</v>
      </c>
      <c r="L2598">
        <v>6426.0624027621698</v>
      </c>
      <c r="M2598">
        <v>123.767089345811</v>
      </c>
      <c r="O2598">
        <v>51.907070592262301</v>
      </c>
      <c r="P2598">
        <v>-0.237533586987695</v>
      </c>
      <c r="Q2598">
        <v>0.60152028232539001</v>
      </c>
      <c r="R2598">
        <v>0.94649855922943205</v>
      </c>
      <c r="S2598" t="s">
        <v>8181</v>
      </c>
      <c r="T2598" t="s">
        <v>11164</v>
      </c>
      <c r="U2598" t="s">
        <v>11164</v>
      </c>
      <c r="V2598" t="s">
        <v>11164</v>
      </c>
      <c r="W2598" t="s">
        <v>13725</v>
      </c>
      <c r="X2598">
        <v>2</v>
      </c>
      <c r="Y2598" t="s">
        <v>19229</v>
      </c>
      <c r="Z2598" t="s">
        <v>24748</v>
      </c>
      <c r="AA2598">
        <v>0.79985383763259688</v>
      </c>
      <c r="AB2598" t="str">
        <f>HYPERLINK("Melting_Curves/meltCurve_P61925_PKIA.pdf", "Melting_Curves/meltCurve_P61925_PKIA.pdf")</f>
        <v>Melting_Curves/meltCurve_P61925_PKIA.pdf</v>
      </c>
    </row>
    <row r="2599" spans="1:28" x14ac:dyDescent="0.25">
      <c r="A2599" t="s">
        <v>2603</v>
      </c>
      <c r="B2599">
        <v>0.99796759195183404</v>
      </c>
      <c r="C2599">
        <v>2.1079899318378899</v>
      </c>
      <c r="D2599">
        <v>1.7497462601925999</v>
      </c>
      <c r="E2599">
        <v>1.6826088390889999</v>
      </c>
      <c r="F2599">
        <v>2.10744391352481</v>
      </c>
      <c r="G2599">
        <v>2.7200777004391599</v>
      </c>
      <c r="H2599">
        <v>1.6950429816560899</v>
      </c>
      <c r="I2599">
        <v>0.94251589745958997</v>
      </c>
      <c r="J2599">
        <v>0.81848313095709402</v>
      </c>
      <c r="K2599">
        <v>0.66349383323314404</v>
      </c>
      <c r="L2599">
        <v>3788.7563140941602</v>
      </c>
      <c r="M2599">
        <v>59.181760364273799</v>
      </c>
      <c r="O2599">
        <v>63.946012884303499</v>
      </c>
      <c r="P2599">
        <v>-8.31132633178637E-2</v>
      </c>
      <c r="Q2599">
        <v>0.64078395484205497</v>
      </c>
      <c r="R2599">
        <v>-0.70404447159900196</v>
      </c>
      <c r="S2599" t="s">
        <v>8182</v>
      </c>
      <c r="T2599" t="s">
        <v>11164</v>
      </c>
      <c r="U2599" t="s">
        <v>11164</v>
      </c>
      <c r="V2599" t="s">
        <v>11164</v>
      </c>
      <c r="W2599" t="s">
        <v>13726</v>
      </c>
      <c r="X2599">
        <v>1</v>
      </c>
      <c r="Y2599" t="s">
        <v>19230</v>
      </c>
      <c r="Z2599" t="s">
        <v>24749</v>
      </c>
      <c r="AA2599">
        <v>0.96400676803493934</v>
      </c>
      <c r="AB2599" t="str">
        <f>HYPERLINK("Melting_Curves/meltCurve_P61927_RPL37.pdf", "Melting_Curves/meltCurve_P61927_RPL37.pdf")</f>
        <v>Melting_Curves/meltCurve_P61927_RPL37.pdf</v>
      </c>
    </row>
    <row r="2600" spans="1:28" x14ac:dyDescent="0.25">
      <c r="A2600" t="s">
        <v>2604</v>
      </c>
      <c r="B2600">
        <v>0.99796759195183404</v>
      </c>
      <c r="C2600">
        <v>1.1130237468408899</v>
      </c>
      <c r="D2600">
        <v>1.0770299903276901</v>
      </c>
      <c r="E2600">
        <v>1.06263873967768</v>
      </c>
      <c r="F2600">
        <v>0.91038644013715497</v>
      </c>
      <c r="G2600">
        <v>0.53336085940228695</v>
      </c>
      <c r="H2600">
        <v>0.63814136151497303</v>
      </c>
      <c r="I2600">
        <v>0.63587931621957205</v>
      </c>
      <c r="J2600">
        <v>0.86382087044251898</v>
      </c>
      <c r="K2600">
        <v>0.91295590945108096</v>
      </c>
      <c r="L2600">
        <v>12588.6566335887</v>
      </c>
      <c r="M2600">
        <v>250</v>
      </c>
      <c r="O2600">
        <v>50.351406041241802</v>
      </c>
      <c r="P2600">
        <v>-0.351490115002146</v>
      </c>
      <c r="Q2600">
        <v>0.716831666837492</v>
      </c>
      <c r="R2600">
        <v>0.66077660966861995</v>
      </c>
      <c r="S2600" t="s">
        <v>8183</v>
      </c>
      <c r="T2600" t="s">
        <v>11164</v>
      </c>
      <c r="U2600" t="s">
        <v>11164</v>
      </c>
      <c r="V2600" t="s">
        <v>11164</v>
      </c>
      <c r="W2600" t="s">
        <v>13727</v>
      </c>
      <c r="X2600">
        <v>7</v>
      </c>
      <c r="Y2600" t="s">
        <v>19231</v>
      </c>
      <c r="Z2600" t="s">
        <v>24750</v>
      </c>
      <c r="AA2600">
        <v>0.84291026873019692</v>
      </c>
      <c r="AB2600" t="str">
        <f>HYPERLINK("Melting_Curves/meltCurve_P61956_SUMO2.pdf", "Melting_Curves/meltCurve_P61956_SUMO2.pdf")</f>
        <v>Melting_Curves/meltCurve_P61956_SUMO2.pdf</v>
      </c>
    </row>
    <row r="2601" spans="1:28" x14ac:dyDescent="0.25">
      <c r="A2601" t="s">
        <v>2605</v>
      </c>
      <c r="B2601">
        <v>0.99796759195183404</v>
      </c>
      <c r="C2601">
        <v>0.88903332011957104</v>
      </c>
      <c r="D2601">
        <v>0.729486402119642</v>
      </c>
      <c r="E2601">
        <v>0.47775465252333299</v>
      </c>
      <c r="F2601">
        <v>0.67386661706673001</v>
      </c>
      <c r="G2601">
        <v>0.60814017845909096</v>
      </c>
      <c r="H2601">
        <v>0.43354568132905702</v>
      </c>
      <c r="I2601">
        <v>0.43729781289122799</v>
      </c>
      <c r="J2601">
        <v>0.15234055425797399</v>
      </c>
      <c r="K2601">
        <v>0.140634628978382</v>
      </c>
      <c r="L2601">
        <v>297.00717823974497</v>
      </c>
      <c r="M2601">
        <v>5.5960130756342403</v>
      </c>
      <c r="N2601">
        <v>53.0747827396305</v>
      </c>
      <c r="O2601">
        <v>47.457685328673499</v>
      </c>
      <c r="P2601">
        <v>-2.96011478201606E-2</v>
      </c>
      <c r="Q2601">
        <v>0</v>
      </c>
      <c r="R2601">
        <v>0.83831432365677405</v>
      </c>
      <c r="S2601" t="s">
        <v>8184</v>
      </c>
      <c r="T2601" t="s">
        <v>11164</v>
      </c>
      <c r="U2601" t="s">
        <v>11164</v>
      </c>
      <c r="V2601" t="s">
        <v>11164</v>
      </c>
      <c r="W2601" t="s">
        <v>13728</v>
      </c>
      <c r="X2601">
        <v>1</v>
      </c>
      <c r="Y2601" t="s">
        <v>17502</v>
      </c>
      <c r="Z2601" t="s">
        <v>24751</v>
      </c>
      <c r="AA2601">
        <v>0.55111861615973734</v>
      </c>
      <c r="AB2601" t="str">
        <f>HYPERLINK("Melting_Curves/meltCurve_P61960_2_UFM1.pdf", "Melting_Curves/meltCurve_P61960_2_UFM1.pdf")</f>
        <v>Melting_Curves/meltCurve_P61960_2_UFM1.pdf</v>
      </c>
    </row>
    <row r="2602" spans="1:28" x14ac:dyDescent="0.25">
      <c r="A2602" t="s">
        <v>2606</v>
      </c>
      <c r="B2602">
        <v>0.99796759195183404</v>
      </c>
      <c r="C2602">
        <v>1.03733268615654</v>
      </c>
      <c r="D2602">
        <v>1.0776210881733601</v>
      </c>
      <c r="E2602">
        <v>0.87148934713147996</v>
      </c>
      <c r="F2602">
        <v>0.66939254230831802</v>
      </c>
      <c r="G2602">
        <v>0.67305394932627605</v>
      </c>
      <c r="H2602">
        <v>0.49503750196937302</v>
      </c>
      <c r="I2602">
        <v>0.30924751932689798</v>
      </c>
      <c r="J2602">
        <v>0.14326303551838901</v>
      </c>
      <c r="K2602">
        <v>8.5589939258678804E-2</v>
      </c>
      <c r="L2602">
        <v>635.40390283567206</v>
      </c>
      <c r="M2602">
        <v>11.3350168383746</v>
      </c>
      <c r="N2602">
        <v>56.056723361334299</v>
      </c>
      <c r="O2602">
        <v>54.396996640360499</v>
      </c>
      <c r="P2602">
        <v>-5.21096020946177E-2</v>
      </c>
      <c r="Q2602">
        <v>0</v>
      </c>
      <c r="R2602">
        <v>0.96510589123010904</v>
      </c>
      <c r="S2602" t="s">
        <v>8185</v>
      </c>
      <c r="T2602" t="s">
        <v>11164</v>
      </c>
      <c r="U2602" t="s">
        <v>11164</v>
      </c>
      <c r="V2602" t="s">
        <v>11164</v>
      </c>
      <c r="W2602" t="s">
        <v>13729</v>
      </c>
      <c r="X2602">
        <v>6</v>
      </c>
      <c r="Y2602" t="s">
        <v>19232</v>
      </c>
      <c r="Z2602" t="s">
        <v>24752</v>
      </c>
      <c r="AA2602">
        <v>0.64379446189907641</v>
      </c>
      <c r="AB2602" t="str">
        <f>HYPERLINK("Melting_Curves/meltCurve_P61962_DCAF7.pdf", "Melting_Curves/meltCurve_P61962_DCAF7.pdf")</f>
        <v>Melting_Curves/meltCurve_P61962_DCAF7.pdf</v>
      </c>
    </row>
    <row r="2603" spans="1:28" x14ac:dyDescent="0.25">
      <c r="A2603" t="s">
        <v>2607</v>
      </c>
      <c r="B2603">
        <v>0.99796759195183404</v>
      </c>
      <c r="C2603">
        <v>1.0554994400011799</v>
      </c>
      <c r="D2603">
        <v>1.1025122156991001</v>
      </c>
      <c r="E2603">
        <v>0.90063271638977205</v>
      </c>
      <c r="F2603">
        <v>1.0116037173674499</v>
      </c>
      <c r="G2603">
        <v>0.77774682135844397</v>
      </c>
      <c r="H2603">
        <v>0.58823105908950901</v>
      </c>
      <c r="I2603">
        <v>0.78838861362260304</v>
      </c>
      <c r="J2603">
        <v>0.81287924170646597</v>
      </c>
      <c r="K2603">
        <v>0.47924426937800302</v>
      </c>
      <c r="S2603" t="s">
        <v>8186</v>
      </c>
      <c r="T2603" t="s">
        <v>11164</v>
      </c>
      <c r="U2603" t="s">
        <v>11165</v>
      </c>
      <c r="V2603" t="s">
        <v>11164</v>
      </c>
      <c r="W2603" t="s">
        <v>13730</v>
      </c>
      <c r="X2603">
        <v>1</v>
      </c>
      <c r="Y2603" t="s">
        <v>19233</v>
      </c>
      <c r="Z2603" t="s">
        <v>24753</v>
      </c>
      <c r="AB2603" t="str">
        <f>HYPERLINK("Melting_Curves/meltCurve_P61964_WDR5.pdf", "Melting_Curves/meltCurve_P61964_WDR5.pdf")</f>
        <v>Melting_Curves/meltCurve_P61964_WDR5.pdf</v>
      </c>
    </row>
    <row r="2604" spans="1:28" x14ac:dyDescent="0.25">
      <c r="A2604" t="s">
        <v>2608</v>
      </c>
      <c r="B2604">
        <v>0.99796759195183404</v>
      </c>
      <c r="C2604">
        <v>0.935077943735802</v>
      </c>
      <c r="D2604">
        <v>0.9309376760143</v>
      </c>
      <c r="E2604">
        <v>0.85648819050916303</v>
      </c>
      <c r="F2604">
        <v>0.71944153952435697</v>
      </c>
      <c r="G2604">
        <v>0.57465682601976298</v>
      </c>
      <c r="H2604">
        <v>0.61072008126695698</v>
      </c>
      <c r="I2604">
        <v>0.56255908784333697</v>
      </c>
      <c r="J2604">
        <v>0.72560555242755598</v>
      </c>
      <c r="K2604">
        <v>0.659620093537438</v>
      </c>
      <c r="L2604">
        <v>1048.28300631202</v>
      </c>
      <c r="M2604">
        <v>22.253781381209901</v>
      </c>
      <c r="O2604">
        <v>46.730404316312601</v>
      </c>
      <c r="P2604">
        <v>-4.4641935377211603E-2</v>
      </c>
      <c r="Q2604">
        <v>0.62503608811575295</v>
      </c>
      <c r="R2604">
        <v>0.88891176362636404</v>
      </c>
      <c r="S2604" t="s">
        <v>8187</v>
      </c>
      <c r="T2604" t="s">
        <v>11164</v>
      </c>
      <c r="U2604" t="s">
        <v>11164</v>
      </c>
      <c r="V2604" t="s">
        <v>11164</v>
      </c>
      <c r="W2604" t="s">
        <v>13731</v>
      </c>
      <c r="X2604">
        <v>4</v>
      </c>
      <c r="Y2604" t="s">
        <v>19234</v>
      </c>
      <c r="Z2604" t="s">
        <v>24754</v>
      </c>
      <c r="AA2604">
        <v>0.75532620239003989</v>
      </c>
      <c r="AB2604" t="str">
        <f>HYPERLINK("Melting_Curves/meltCurve_P61970_NUTF2.pdf", "Melting_Curves/meltCurve_P61970_NUTF2.pdf")</f>
        <v>Melting_Curves/meltCurve_P61970_NUTF2.pdf</v>
      </c>
    </row>
    <row r="2605" spans="1:28" x14ac:dyDescent="0.25">
      <c r="A2605" t="s">
        <v>2609</v>
      </c>
      <c r="B2605">
        <v>0.99796759195183404</v>
      </c>
      <c r="C2605">
        <v>1.02325685551013</v>
      </c>
      <c r="D2605">
        <v>1.02640471925239</v>
      </c>
      <c r="E2605">
        <v>1.00003541005323</v>
      </c>
      <c r="F2605">
        <v>0.83133065087208202</v>
      </c>
      <c r="G2605">
        <v>0.32539399430655902</v>
      </c>
      <c r="H2605">
        <v>0.187156163836566</v>
      </c>
      <c r="I2605">
        <v>0.138594700612513</v>
      </c>
      <c r="J2605">
        <v>0.106572545306253</v>
      </c>
      <c r="K2605">
        <v>8.4311849850251794E-2</v>
      </c>
      <c r="L2605">
        <v>1875.7448029775001</v>
      </c>
      <c r="M2605">
        <v>35.9613620429446</v>
      </c>
      <c r="N2605">
        <v>52.550178127985603</v>
      </c>
      <c r="O2605">
        <v>51.999514981224699</v>
      </c>
      <c r="P2605">
        <v>-0.152635798753463</v>
      </c>
      <c r="Q2605">
        <v>0.11716806635971699</v>
      </c>
      <c r="R2605">
        <v>0.99730405428990598</v>
      </c>
      <c r="S2605" t="s">
        <v>8188</v>
      </c>
      <c r="T2605" t="s">
        <v>11164</v>
      </c>
      <c r="U2605" t="s">
        <v>11164</v>
      </c>
      <c r="V2605" t="s">
        <v>11164</v>
      </c>
      <c r="W2605" t="s">
        <v>13732</v>
      </c>
      <c r="X2605">
        <v>35</v>
      </c>
      <c r="Y2605" t="s">
        <v>19235</v>
      </c>
      <c r="Z2605" t="s">
        <v>24755</v>
      </c>
      <c r="AA2605">
        <v>0.56721377474309975</v>
      </c>
      <c r="AB2605" t="str">
        <f>HYPERLINK("Melting_Curves/meltCurve_P61978_2_HNRNPK.pdf", "Melting_Curves/meltCurve_P61978_2_HNRNPK.pdf")</f>
        <v>Melting_Curves/meltCurve_P61978_2_HNRNPK.pdf</v>
      </c>
    </row>
    <row r="2606" spans="1:28" x14ac:dyDescent="0.25">
      <c r="A2606" t="s">
        <v>2610</v>
      </c>
      <c r="B2606">
        <v>0.99796759195183404</v>
      </c>
      <c r="C2606">
        <v>0.94838612045075499</v>
      </c>
      <c r="D2606">
        <v>0.99755490625820398</v>
      </c>
      <c r="E2606">
        <v>0.89382081511830802</v>
      </c>
      <c r="F2606">
        <v>0.85848918530039897</v>
      </c>
      <c r="G2606">
        <v>0.62082962728620805</v>
      </c>
      <c r="H2606">
        <v>0.61782072948079103</v>
      </c>
      <c r="I2606">
        <v>0.55315034660201601</v>
      </c>
      <c r="J2606">
        <v>0.62312248905493905</v>
      </c>
      <c r="K2606">
        <v>0.42105937049242598</v>
      </c>
      <c r="L2606">
        <v>701.38810133866798</v>
      </c>
      <c r="M2606">
        <v>13.4610702062136</v>
      </c>
      <c r="O2606">
        <v>50.995314462276397</v>
      </c>
      <c r="P2606">
        <v>-3.3964657477645897E-2</v>
      </c>
      <c r="Q2606">
        <v>0.48539863382280002</v>
      </c>
      <c r="R2606">
        <v>0.92779508715847803</v>
      </c>
      <c r="S2606" t="s">
        <v>8189</v>
      </c>
      <c r="T2606" t="s">
        <v>11164</v>
      </c>
      <c r="U2606" t="s">
        <v>11164</v>
      </c>
      <c r="V2606" t="s">
        <v>11164</v>
      </c>
      <c r="W2606" t="s">
        <v>13733</v>
      </c>
      <c r="X2606">
        <v>20</v>
      </c>
      <c r="Y2606" t="s">
        <v>19236</v>
      </c>
      <c r="Z2606" t="s">
        <v>24756</v>
      </c>
      <c r="AA2606">
        <v>0.75545571839446468</v>
      </c>
      <c r="AB2606" t="str">
        <f>HYPERLINK("Melting_Curves/meltCurve_P61981_YWHAG.pdf", "Melting_Curves/meltCurve_P61981_YWHAG.pdf")</f>
        <v>Melting_Curves/meltCurve_P61981_YWHAG.pdf</v>
      </c>
    </row>
    <row r="2607" spans="1:28" x14ac:dyDescent="0.25">
      <c r="A2607" t="s">
        <v>2611</v>
      </c>
      <c r="B2607">
        <v>0.99796759195183404</v>
      </c>
      <c r="C2607">
        <v>0.92147069827404204</v>
      </c>
      <c r="D2607">
        <v>0.89012358096539601</v>
      </c>
      <c r="E2607">
        <v>0.89641651091610197</v>
      </c>
      <c r="F2607">
        <v>0.81552754885354295</v>
      </c>
      <c r="G2607">
        <v>0.63622405356819201</v>
      </c>
      <c r="H2607">
        <v>0.56513845287837705</v>
      </c>
      <c r="I2607">
        <v>0.38062100478034999</v>
      </c>
      <c r="J2607">
        <v>0.317561757145359</v>
      </c>
      <c r="K2607">
        <v>0.12094067785555999</v>
      </c>
      <c r="L2607">
        <v>536.89950434331297</v>
      </c>
      <c r="M2607">
        <v>9.3139842520782494</v>
      </c>
      <c r="N2607">
        <v>57.6444297488855</v>
      </c>
      <c r="O2607">
        <v>55.174239212550297</v>
      </c>
      <c r="P2607">
        <v>-4.2229507120363802E-2</v>
      </c>
      <c r="Q2607">
        <v>0</v>
      </c>
      <c r="R2607">
        <v>0.97191760893674395</v>
      </c>
      <c r="S2607" t="s">
        <v>8190</v>
      </c>
      <c r="T2607" t="s">
        <v>11164</v>
      </c>
      <c r="U2607" t="s">
        <v>11164</v>
      </c>
      <c r="V2607" t="s">
        <v>11164</v>
      </c>
      <c r="W2607" t="s">
        <v>13734</v>
      </c>
      <c r="X2607">
        <v>11</v>
      </c>
      <c r="Y2607" t="s">
        <v>19237</v>
      </c>
      <c r="Z2607" t="s">
        <v>24757</v>
      </c>
      <c r="AA2607">
        <v>0.67915575772543846</v>
      </c>
      <c r="AB2607" t="str">
        <f>HYPERLINK("Melting_Curves/meltCurve_P62070_RRAS2.pdf", "Melting_Curves/meltCurve_P62070_RRAS2.pdf")</f>
        <v>Melting_Curves/meltCurve_P62070_RRAS2.pdf</v>
      </c>
    </row>
    <row r="2608" spans="1:28" x14ac:dyDescent="0.25">
      <c r="A2608" t="s">
        <v>2612</v>
      </c>
      <c r="B2608">
        <v>0.99796759195183404</v>
      </c>
      <c r="C2608">
        <v>0.97264409366517501</v>
      </c>
      <c r="D2608">
        <v>0.98667928282455697</v>
      </c>
      <c r="E2608">
        <v>0.98607981410679302</v>
      </c>
      <c r="F2608">
        <v>0.891577649014761</v>
      </c>
      <c r="G2608">
        <v>0.81976529009377197</v>
      </c>
      <c r="H2608">
        <v>0.87263886632430798</v>
      </c>
      <c r="I2608">
        <v>0.814176505527339</v>
      </c>
      <c r="J2608">
        <v>1.02113947024287</v>
      </c>
      <c r="K2608">
        <v>0.93253061395940096</v>
      </c>
      <c r="L2608">
        <v>11739.057607217101</v>
      </c>
      <c r="M2608">
        <v>250</v>
      </c>
      <c r="O2608">
        <v>46.953215717674901</v>
      </c>
      <c r="P2608">
        <v>-0.14379816473743301</v>
      </c>
      <c r="Q2608">
        <v>0.89197139747048704</v>
      </c>
      <c r="R2608">
        <v>0.39931264420808499</v>
      </c>
      <c r="S2608" t="s">
        <v>8191</v>
      </c>
      <c r="T2608" t="s">
        <v>11164</v>
      </c>
      <c r="U2608" t="s">
        <v>11164</v>
      </c>
      <c r="V2608" t="s">
        <v>11164</v>
      </c>
      <c r="W2608" t="s">
        <v>13735</v>
      </c>
      <c r="X2608">
        <v>10</v>
      </c>
      <c r="Y2608" t="s">
        <v>19238</v>
      </c>
      <c r="Z2608" t="s">
        <v>24758</v>
      </c>
      <c r="AA2608">
        <v>0.92783222182228653</v>
      </c>
      <c r="AB2608" t="str">
        <f>HYPERLINK("Melting_Curves/meltCurve_P62072_TIMM10.pdf", "Melting_Curves/meltCurve_P62072_TIMM10.pdf")</f>
        <v>Melting_Curves/meltCurve_P62072_TIMM10.pdf</v>
      </c>
    </row>
    <row r="2609" spans="1:28" x14ac:dyDescent="0.25">
      <c r="A2609" t="s">
        <v>2613</v>
      </c>
      <c r="B2609">
        <v>0.99796759195183404</v>
      </c>
      <c r="C2609">
        <v>0.91372917403017695</v>
      </c>
      <c r="D2609">
        <v>0.84977551816132502</v>
      </c>
      <c r="E2609">
        <v>0.75942095650795405</v>
      </c>
      <c r="F2609">
        <v>0.47902760625846302</v>
      </c>
      <c r="G2609">
        <v>0.31685050145235</v>
      </c>
      <c r="H2609">
        <v>0.47631855971814002</v>
      </c>
      <c r="I2609">
        <v>0.36682504342012101</v>
      </c>
      <c r="J2609">
        <v>0.24042828993668899</v>
      </c>
      <c r="K2609">
        <v>0.153624092421071</v>
      </c>
      <c r="L2609">
        <v>512.33867180941502</v>
      </c>
      <c r="M2609">
        <v>10.4797931310835</v>
      </c>
      <c r="N2609">
        <v>51.3342404683643</v>
      </c>
      <c r="O2609">
        <v>47.208732871378402</v>
      </c>
      <c r="P2609">
        <v>-4.4608124008248803E-2</v>
      </c>
      <c r="Q2609">
        <v>0.196534912256525</v>
      </c>
      <c r="R2609">
        <v>0.93484755972088296</v>
      </c>
      <c r="S2609" t="s">
        <v>8192</v>
      </c>
      <c r="T2609" t="s">
        <v>11164</v>
      </c>
      <c r="U2609" t="s">
        <v>11164</v>
      </c>
      <c r="V2609" t="s">
        <v>11164</v>
      </c>
      <c r="W2609" t="s">
        <v>13736</v>
      </c>
      <c r="X2609">
        <v>5</v>
      </c>
      <c r="Y2609" t="s">
        <v>19239</v>
      </c>
      <c r="Z2609" t="s">
        <v>24759</v>
      </c>
      <c r="AA2609">
        <v>0.5434405671981305</v>
      </c>
      <c r="AB2609" t="str">
        <f>HYPERLINK("Melting_Curves/meltCurve_P62081_RPS7.pdf", "Melting_Curves/meltCurve_P62081_RPS7.pdf")</f>
        <v>Melting_Curves/meltCurve_P62081_RPS7.pdf</v>
      </c>
    </row>
    <row r="2610" spans="1:28" x14ac:dyDescent="0.25">
      <c r="A2610" t="s">
        <v>2614</v>
      </c>
      <c r="B2610">
        <v>0.99796759195183404</v>
      </c>
      <c r="C2610">
        <v>0.95720102406506302</v>
      </c>
      <c r="D2610">
        <v>0.96604326770773097</v>
      </c>
      <c r="E2610">
        <v>0.93308864510462297</v>
      </c>
      <c r="F2610">
        <v>0.79462598388258399</v>
      </c>
      <c r="G2610">
        <v>0.63900530498628005</v>
      </c>
      <c r="H2610">
        <v>0.46163066947446502</v>
      </c>
      <c r="I2610">
        <v>0.28263024590790398</v>
      </c>
      <c r="J2610">
        <v>0.172381859832793</v>
      </c>
      <c r="K2610">
        <v>0.13810490238307799</v>
      </c>
      <c r="L2610">
        <v>666.95702932776305</v>
      </c>
      <c r="M2610">
        <v>11.8425151423838</v>
      </c>
      <c r="N2610">
        <v>56.318866574813903</v>
      </c>
      <c r="O2610">
        <v>54.784968603642199</v>
      </c>
      <c r="P2610">
        <v>-5.4054600996531997E-2</v>
      </c>
      <c r="Q2610">
        <v>0</v>
      </c>
      <c r="R2610">
        <v>0.99775970298670902</v>
      </c>
      <c r="S2610" t="s">
        <v>8193</v>
      </c>
      <c r="T2610" t="s">
        <v>11164</v>
      </c>
      <c r="U2610" t="s">
        <v>11164</v>
      </c>
      <c r="V2610" t="s">
        <v>11164</v>
      </c>
      <c r="W2610" t="s">
        <v>13737</v>
      </c>
      <c r="X2610">
        <v>18</v>
      </c>
      <c r="Y2610" t="s">
        <v>19240</v>
      </c>
      <c r="Z2610" t="s">
        <v>24760</v>
      </c>
      <c r="AA2610">
        <v>0.65196840492758623</v>
      </c>
      <c r="AB2610" t="str">
        <f>HYPERLINK("Melting_Curves/meltCurve_P62136_PPP1CA.pdf", "Melting_Curves/meltCurve_P62136_PPP1CA.pdf")</f>
        <v>Melting_Curves/meltCurve_P62136_PPP1CA.pdf</v>
      </c>
    </row>
    <row r="2611" spans="1:28" x14ac:dyDescent="0.25">
      <c r="A2611" t="s">
        <v>2615</v>
      </c>
      <c r="B2611">
        <v>0.99796759195183404</v>
      </c>
      <c r="C2611">
        <v>0.96537560627415597</v>
      </c>
      <c r="D2611">
        <v>0.96886474805934097</v>
      </c>
      <c r="E2611">
        <v>0.96341737507230096</v>
      </c>
      <c r="F2611">
        <v>0.91856547510163999</v>
      </c>
      <c r="G2611">
        <v>0.74427418610125895</v>
      </c>
      <c r="H2611">
        <v>0.52651736856249998</v>
      </c>
      <c r="I2611">
        <v>0.38845052991226198</v>
      </c>
      <c r="J2611">
        <v>0.283016957080507</v>
      </c>
      <c r="K2611">
        <v>0.29208922503689899</v>
      </c>
      <c r="L2611">
        <v>995.45455632609799</v>
      </c>
      <c r="M2611">
        <v>17.823323347439199</v>
      </c>
      <c r="N2611">
        <v>57.962380897083101</v>
      </c>
      <c r="O2611">
        <v>55.162383743768899</v>
      </c>
      <c r="P2611">
        <v>-6.1493406057267802E-2</v>
      </c>
      <c r="Q2611">
        <v>0.238761759535218</v>
      </c>
      <c r="R2611">
        <v>0.99600784428376898</v>
      </c>
      <c r="S2611" t="s">
        <v>8194</v>
      </c>
      <c r="T2611" t="s">
        <v>11164</v>
      </c>
      <c r="U2611" t="s">
        <v>11164</v>
      </c>
      <c r="V2611" t="s">
        <v>11164</v>
      </c>
      <c r="W2611" t="s">
        <v>13738</v>
      </c>
      <c r="X2611">
        <v>13</v>
      </c>
      <c r="Y2611" t="s">
        <v>19241</v>
      </c>
      <c r="Z2611" t="s">
        <v>24761</v>
      </c>
      <c r="AA2611">
        <v>0.72574149070937566</v>
      </c>
      <c r="AB2611" t="str">
        <f>HYPERLINK("Melting_Curves/meltCurve_P62140_PPP1CB.pdf", "Melting_Curves/meltCurve_P62140_PPP1CB.pdf")</f>
        <v>Melting_Curves/meltCurve_P62140_PPP1CB.pdf</v>
      </c>
    </row>
    <row r="2612" spans="1:28" x14ac:dyDescent="0.25">
      <c r="A2612" t="s">
        <v>2616</v>
      </c>
      <c r="B2612">
        <v>0.99796759195183404</v>
      </c>
      <c r="C2612">
        <v>0.88129203786601096</v>
      </c>
      <c r="D2612">
        <v>0.87928521677682903</v>
      </c>
      <c r="E2612">
        <v>0.82954315201405004</v>
      </c>
      <c r="F2612">
        <v>0.61251302371977701</v>
      </c>
      <c r="G2612">
        <v>1.1125974073767</v>
      </c>
      <c r="H2612">
        <v>0.81512768851018302</v>
      </c>
      <c r="I2612">
        <v>0.48387904067263299</v>
      </c>
      <c r="J2612">
        <v>0.188094280892007</v>
      </c>
      <c r="K2612">
        <v>0.13603326163851001</v>
      </c>
      <c r="L2612">
        <v>1920.5731096366801</v>
      </c>
      <c r="M2612">
        <v>31.839084223683301</v>
      </c>
      <c r="N2612">
        <v>60.692124233287799</v>
      </c>
      <c r="O2612">
        <v>60.084782712284301</v>
      </c>
      <c r="P2612">
        <v>-0.120764967806479</v>
      </c>
      <c r="Q2612">
        <v>8.8403556768369002E-2</v>
      </c>
      <c r="R2612">
        <v>0.77118054515136303</v>
      </c>
      <c r="S2612" t="s">
        <v>8195</v>
      </c>
      <c r="T2612" t="s">
        <v>11164</v>
      </c>
      <c r="U2612" t="s">
        <v>11164</v>
      </c>
      <c r="V2612" t="s">
        <v>11164</v>
      </c>
      <c r="W2612" t="s">
        <v>13739</v>
      </c>
      <c r="X2612">
        <v>5</v>
      </c>
      <c r="Y2612" t="s">
        <v>19242</v>
      </c>
      <c r="Z2612" t="s">
        <v>24762</v>
      </c>
      <c r="AA2612">
        <v>0.79994597285393154</v>
      </c>
      <c r="AB2612" t="str">
        <f>HYPERLINK("Melting_Curves/meltCurve_P62191_PSMC1.pdf", "Melting_Curves/meltCurve_P62191_PSMC1.pdf")</f>
        <v>Melting_Curves/meltCurve_P62191_PSMC1.pdf</v>
      </c>
    </row>
    <row r="2613" spans="1:28" x14ac:dyDescent="0.25">
      <c r="A2613" t="s">
        <v>2617</v>
      </c>
      <c r="B2613">
        <v>0.99796759195183404</v>
      </c>
      <c r="C2613">
        <v>0.96197842577946302</v>
      </c>
      <c r="D2613">
        <v>0.92525624526316497</v>
      </c>
      <c r="E2613">
        <v>0.89062319442165605</v>
      </c>
      <c r="F2613">
        <v>0.67383130115911505</v>
      </c>
      <c r="G2613">
        <v>0.69899182488953904</v>
      </c>
      <c r="H2613">
        <v>0.45071316322251798</v>
      </c>
      <c r="I2613">
        <v>0.25772274208351198</v>
      </c>
      <c r="J2613">
        <v>0.16156282419808399</v>
      </c>
      <c r="K2613">
        <v>0.121783828512806</v>
      </c>
      <c r="L2613">
        <v>596.98954011631599</v>
      </c>
      <c r="M2613">
        <v>10.7107236770497</v>
      </c>
      <c r="N2613">
        <v>55.737570578726903</v>
      </c>
      <c r="O2613">
        <v>53.899994319610002</v>
      </c>
      <c r="P2613">
        <v>-4.96972526971107E-2</v>
      </c>
      <c r="Q2613">
        <v>0</v>
      </c>
      <c r="R2613">
        <v>0.97712465588159902</v>
      </c>
      <c r="S2613" t="s">
        <v>8196</v>
      </c>
      <c r="T2613" t="s">
        <v>11164</v>
      </c>
      <c r="U2613" t="s">
        <v>11164</v>
      </c>
      <c r="V2613" t="s">
        <v>11164</v>
      </c>
      <c r="W2613" t="s">
        <v>13740</v>
      </c>
      <c r="X2613">
        <v>13</v>
      </c>
      <c r="Y2613" t="s">
        <v>19243</v>
      </c>
      <c r="Z2613" t="s">
        <v>24763</v>
      </c>
      <c r="AA2613">
        <v>0.63381882492859265</v>
      </c>
      <c r="AB2613" t="str">
        <f>HYPERLINK("Melting_Curves/meltCurve_P62195_2_PSMC5.pdf", "Melting_Curves/meltCurve_P62195_2_PSMC5.pdf")</f>
        <v>Melting_Curves/meltCurve_P62195_2_PSMC5.pdf</v>
      </c>
    </row>
    <row r="2614" spans="1:28" x14ac:dyDescent="0.25">
      <c r="A2614" t="s">
        <v>2618</v>
      </c>
      <c r="B2614">
        <v>0.99796759195183404</v>
      </c>
      <c r="C2614">
        <v>1.11249899471317</v>
      </c>
      <c r="D2614">
        <v>1.09509910964061</v>
      </c>
      <c r="E2614">
        <v>0.87129602696686503</v>
      </c>
      <c r="F2614">
        <v>0.56196977517583002</v>
      </c>
      <c r="G2614">
        <v>0.59678593458029106</v>
      </c>
      <c r="H2614">
        <v>0.94634945133500203</v>
      </c>
      <c r="I2614">
        <v>0.84302081857178102</v>
      </c>
      <c r="J2614">
        <v>0.223671365771205</v>
      </c>
      <c r="K2614">
        <v>0.24265102224561899</v>
      </c>
      <c r="L2614">
        <v>449.966535018679</v>
      </c>
      <c r="M2614">
        <v>7.2454455632210504</v>
      </c>
      <c r="N2614">
        <v>62.103362271010901</v>
      </c>
      <c r="O2614">
        <v>57.896209880325699</v>
      </c>
      <c r="P2614">
        <v>-3.1337458427130802E-2</v>
      </c>
      <c r="Q2614">
        <v>0</v>
      </c>
      <c r="R2614">
        <v>0.59089865602393699</v>
      </c>
      <c r="S2614" t="s">
        <v>8197</v>
      </c>
      <c r="T2614" t="s">
        <v>11164</v>
      </c>
      <c r="U2614" t="s">
        <v>11164</v>
      </c>
      <c r="V2614" t="s">
        <v>11164</v>
      </c>
      <c r="W2614" t="s">
        <v>13741</v>
      </c>
      <c r="X2614">
        <v>2</v>
      </c>
      <c r="Y2614" t="s">
        <v>19244</v>
      </c>
      <c r="Z2614" t="s">
        <v>24764</v>
      </c>
      <c r="AA2614">
        <v>0.75576031217008732</v>
      </c>
      <c r="AB2614" t="str">
        <f>HYPERLINK("Melting_Curves/meltCurve_P62249_RPS16.pdf", "Melting_Curves/meltCurve_P62249_RPS16.pdf")</f>
        <v>Melting_Curves/meltCurve_P62249_RPS16.pdf</v>
      </c>
    </row>
    <row r="2615" spans="1:28" x14ac:dyDescent="0.25">
      <c r="A2615" t="s">
        <v>2619</v>
      </c>
      <c r="B2615">
        <v>0.99796759195183404</v>
      </c>
      <c r="C2615">
        <v>0.94733240593500001</v>
      </c>
      <c r="D2615">
        <v>0.96030845262703401</v>
      </c>
      <c r="E2615">
        <v>0.91866231520299202</v>
      </c>
      <c r="F2615">
        <v>0.82030806732804096</v>
      </c>
      <c r="G2615">
        <v>0.62476305315865799</v>
      </c>
      <c r="H2615">
        <v>0.64991124527357802</v>
      </c>
      <c r="I2615">
        <v>0.53249902252800596</v>
      </c>
      <c r="J2615">
        <v>0.27396241803536697</v>
      </c>
      <c r="K2615">
        <v>0.1393668325362</v>
      </c>
      <c r="L2615">
        <v>561.33699025667102</v>
      </c>
      <c r="M2615">
        <v>9.5289604566759607</v>
      </c>
      <c r="N2615">
        <v>58.9085378953313</v>
      </c>
      <c r="O2615">
        <v>56.489213097318</v>
      </c>
      <c r="P2615">
        <v>-4.2196250005223597E-2</v>
      </c>
      <c r="Q2615">
        <v>0</v>
      </c>
      <c r="R2615">
        <v>0.94763690172597004</v>
      </c>
      <c r="S2615" t="s">
        <v>8198</v>
      </c>
      <c r="T2615" t="s">
        <v>11164</v>
      </c>
      <c r="U2615" t="s">
        <v>11164</v>
      </c>
      <c r="V2615" t="s">
        <v>11164</v>
      </c>
      <c r="W2615" t="s">
        <v>13742</v>
      </c>
      <c r="X2615">
        <v>22</v>
      </c>
      <c r="Y2615" t="s">
        <v>19245</v>
      </c>
      <c r="Z2615" t="s">
        <v>24765</v>
      </c>
      <c r="AA2615">
        <v>0.71111103148019483</v>
      </c>
      <c r="AB2615" t="str">
        <f>HYPERLINK("Melting_Curves/meltCurve_P62258_YWHAE.pdf", "Melting_Curves/meltCurve_P62258_YWHAE.pdf")</f>
        <v>Melting_Curves/meltCurve_P62258_YWHAE.pdf</v>
      </c>
    </row>
    <row r="2616" spans="1:28" x14ac:dyDescent="0.25">
      <c r="A2616" t="s">
        <v>2620</v>
      </c>
      <c r="B2616">
        <v>0.99796759195183404</v>
      </c>
      <c r="C2616">
        <v>1.0600026361563899</v>
      </c>
      <c r="D2616">
        <v>1.0466534048366101</v>
      </c>
      <c r="E2616">
        <v>0.94186680414155499</v>
      </c>
      <c r="F2616">
        <v>0.62174950973896903</v>
      </c>
      <c r="G2616">
        <v>0.39102973567622001</v>
      </c>
      <c r="H2616">
        <v>0.33898892187248902</v>
      </c>
      <c r="I2616">
        <v>0.29994361797108099</v>
      </c>
      <c r="J2616">
        <v>0.190293062055892</v>
      </c>
      <c r="K2616">
        <v>0.15735685552543599</v>
      </c>
      <c r="L2616">
        <v>1100.79809395608</v>
      </c>
      <c r="M2616">
        <v>21.665957814960599</v>
      </c>
      <c r="N2616">
        <v>52.186826954757997</v>
      </c>
      <c r="O2616">
        <v>50.380828313195799</v>
      </c>
      <c r="P2616">
        <v>-8.4080150677576196E-2</v>
      </c>
      <c r="Q2616">
        <v>0.217957038173548</v>
      </c>
      <c r="R2616">
        <v>0.98106897946251803</v>
      </c>
      <c r="S2616" t="s">
        <v>8199</v>
      </c>
      <c r="T2616" t="s">
        <v>11164</v>
      </c>
      <c r="U2616" t="s">
        <v>11164</v>
      </c>
      <c r="V2616" t="s">
        <v>11164</v>
      </c>
      <c r="W2616" t="s">
        <v>13743</v>
      </c>
      <c r="X2616">
        <v>9</v>
      </c>
      <c r="Y2616" t="s">
        <v>19246</v>
      </c>
      <c r="Z2616" t="s">
        <v>24766</v>
      </c>
      <c r="AA2616">
        <v>0.58683418817925359</v>
      </c>
      <c r="AB2616" t="str">
        <f>HYPERLINK("Melting_Curves/meltCurve_P62263_RPS14.pdf", "Melting_Curves/meltCurve_P62263_RPS14.pdf")</f>
        <v>Melting_Curves/meltCurve_P62263_RPS14.pdf</v>
      </c>
    </row>
    <row r="2617" spans="1:28" x14ac:dyDescent="0.25">
      <c r="A2617" t="s">
        <v>2621</v>
      </c>
      <c r="B2617">
        <v>0.99796759195183404</v>
      </c>
      <c r="C2617">
        <v>1.0651356263933101</v>
      </c>
      <c r="D2617">
        <v>1.0248665589110399</v>
      </c>
      <c r="E2617">
        <v>0.94839520013127898</v>
      </c>
      <c r="F2617">
        <v>0.86638443003739396</v>
      </c>
      <c r="G2617">
        <v>0.94745470214722805</v>
      </c>
      <c r="H2617">
        <v>0.59055318820904501</v>
      </c>
      <c r="I2617">
        <v>0.52791063038682196</v>
      </c>
      <c r="J2617">
        <v>0.29049368204196502</v>
      </c>
      <c r="K2617">
        <v>0.26084725215280102</v>
      </c>
      <c r="L2617">
        <v>868.04200936672703</v>
      </c>
      <c r="M2617">
        <v>14.5779704991612</v>
      </c>
      <c r="N2617">
        <v>60.430179552516897</v>
      </c>
      <c r="O2617">
        <v>58.457951864304498</v>
      </c>
      <c r="P2617">
        <v>-5.6355160329229603E-2</v>
      </c>
      <c r="Q2617">
        <v>9.6160723542120297E-2</v>
      </c>
      <c r="R2617">
        <v>0.95920304445307003</v>
      </c>
      <c r="S2617" t="s">
        <v>8200</v>
      </c>
      <c r="T2617" t="s">
        <v>11164</v>
      </c>
      <c r="U2617" t="s">
        <v>11164</v>
      </c>
      <c r="V2617" t="s">
        <v>11164</v>
      </c>
      <c r="W2617" t="s">
        <v>13744</v>
      </c>
      <c r="X2617">
        <v>5</v>
      </c>
      <c r="Y2617" t="s">
        <v>19247</v>
      </c>
      <c r="Z2617" t="s">
        <v>24767</v>
      </c>
      <c r="AA2617">
        <v>0.77105744675031018</v>
      </c>
      <c r="AB2617" t="str">
        <f>HYPERLINK("Melting_Curves/meltCurve_P62266_RPS23.pdf", "Melting_Curves/meltCurve_P62266_RPS23.pdf")</f>
        <v>Melting_Curves/meltCurve_P62266_RPS23.pdf</v>
      </c>
    </row>
    <row r="2618" spans="1:28" x14ac:dyDescent="0.25">
      <c r="A2618" t="s">
        <v>2622</v>
      </c>
      <c r="B2618">
        <v>0.99796759195183404</v>
      </c>
      <c r="C2618">
        <v>1.0277721586059401</v>
      </c>
      <c r="D2618">
        <v>0.95289437228143603</v>
      </c>
      <c r="E2618">
        <v>1.08947957924641</v>
      </c>
      <c r="F2618">
        <v>1.0580247149755699</v>
      </c>
      <c r="G2618">
        <v>1.9012321870783</v>
      </c>
      <c r="H2618">
        <v>0.59865319381900906</v>
      </c>
      <c r="I2618">
        <v>0.59897826525271902</v>
      </c>
      <c r="J2618">
        <v>0.36271286625388399</v>
      </c>
      <c r="K2618">
        <v>0.372047447410361</v>
      </c>
      <c r="L2618">
        <v>14295.0460302477</v>
      </c>
      <c r="M2618">
        <v>250</v>
      </c>
      <c r="N2618">
        <v>57.687757821141403</v>
      </c>
      <c r="O2618">
        <v>57.176524992432</v>
      </c>
      <c r="P2618">
        <v>-0.60713364659448799</v>
      </c>
      <c r="Q2618">
        <v>0.44457932699165198</v>
      </c>
      <c r="R2618">
        <v>0.53149719910512505</v>
      </c>
      <c r="S2618" t="s">
        <v>8201</v>
      </c>
      <c r="T2618" t="s">
        <v>11164</v>
      </c>
      <c r="U2618" t="s">
        <v>11164</v>
      </c>
      <c r="V2618" t="s">
        <v>11164</v>
      </c>
      <c r="W2618" t="s">
        <v>13745</v>
      </c>
      <c r="X2618">
        <v>10</v>
      </c>
      <c r="Y2618" t="s">
        <v>19248</v>
      </c>
      <c r="Z2618" t="s">
        <v>24768</v>
      </c>
      <c r="AA2618">
        <v>0.81825144517169768</v>
      </c>
      <c r="AB2618" t="str">
        <f>HYPERLINK("Melting_Curves/meltCurve_P62269_RPS18.pdf", "Melting_Curves/meltCurve_P62269_RPS18.pdf")</f>
        <v>Melting_Curves/meltCurve_P62269_RPS18.pdf</v>
      </c>
    </row>
    <row r="2619" spans="1:28" x14ac:dyDescent="0.25">
      <c r="A2619" t="s">
        <v>2623</v>
      </c>
      <c r="B2619">
        <v>0.99796759195183404</v>
      </c>
      <c r="C2619">
        <v>1.1061679593102201</v>
      </c>
      <c r="D2619">
        <v>1.1029456970009699</v>
      </c>
      <c r="E2619">
        <v>0.95397797620976899</v>
      </c>
      <c r="F2619">
        <v>0.85150504101855995</v>
      </c>
      <c r="G2619">
        <v>1.39932526316908</v>
      </c>
      <c r="H2619">
        <v>1.53635888308297</v>
      </c>
      <c r="I2619">
        <v>0.992335628667803</v>
      </c>
      <c r="J2619">
        <v>0.95152077955888403</v>
      </c>
      <c r="K2619">
        <v>0.87883201611984396</v>
      </c>
      <c r="L2619">
        <v>5155.7811365661801</v>
      </c>
      <c r="M2619">
        <v>79.954517377777194</v>
      </c>
      <c r="O2619">
        <v>64.443619143876006</v>
      </c>
      <c r="P2619">
        <v>-3.94411109653581E-2</v>
      </c>
      <c r="Q2619">
        <v>0.87284132601061404</v>
      </c>
      <c r="R2619">
        <v>-9.4027143605154698E-2</v>
      </c>
      <c r="S2619" t="s">
        <v>8202</v>
      </c>
      <c r="T2619" t="s">
        <v>11164</v>
      </c>
      <c r="U2619" t="s">
        <v>11164</v>
      </c>
      <c r="V2619" t="s">
        <v>11164</v>
      </c>
      <c r="W2619" t="s">
        <v>13746</v>
      </c>
      <c r="X2619">
        <v>2</v>
      </c>
      <c r="Y2619" t="s">
        <v>19249</v>
      </c>
      <c r="Z2619" t="s">
        <v>24769</v>
      </c>
      <c r="AA2619">
        <v>0.98929251267382357</v>
      </c>
      <c r="AB2619" t="str">
        <f>HYPERLINK("Melting_Curves/meltCurve_P62273_RPS29.pdf", "Melting_Curves/meltCurve_P62273_RPS29.pdf")</f>
        <v>Melting_Curves/meltCurve_P62273_RPS29.pdf</v>
      </c>
    </row>
    <row r="2620" spans="1:28" x14ac:dyDescent="0.25">
      <c r="A2620" t="s">
        <v>2624</v>
      </c>
      <c r="B2620">
        <v>0.99796759195183404</v>
      </c>
      <c r="C2620">
        <v>1.0359402943674301</v>
      </c>
      <c r="D2620">
        <v>0.92808821271221598</v>
      </c>
      <c r="E2620">
        <v>0.904787490689417</v>
      </c>
      <c r="F2620">
        <v>0.78057231466452304</v>
      </c>
      <c r="G2620">
        <v>1.0084529221131799</v>
      </c>
      <c r="H2620">
        <v>1.0447330177949501</v>
      </c>
      <c r="I2620">
        <v>0.84648688840488095</v>
      </c>
      <c r="J2620">
        <v>0.35237404493932201</v>
      </c>
      <c r="K2620">
        <v>0.27476642655085598</v>
      </c>
      <c r="L2620">
        <v>4350.6579309811304</v>
      </c>
      <c r="M2620">
        <v>69.985462837414801</v>
      </c>
      <c r="N2620">
        <v>62.869480383667998</v>
      </c>
      <c r="O2620">
        <v>62.114472528225001</v>
      </c>
      <c r="P2620">
        <v>-0.20514165047129901</v>
      </c>
      <c r="Q2620">
        <v>0.27171952871470401</v>
      </c>
      <c r="R2620">
        <v>0.90594521664807504</v>
      </c>
      <c r="S2620" t="s">
        <v>8203</v>
      </c>
      <c r="T2620" t="s">
        <v>11164</v>
      </c>
      <c r="U2620" t="s">
        <v>11164</v>
      </c>
      <c r="V2620" t="s">
        <v>11164</v>
      </c>
      <c r="W2620" t="s">
        <v>13747</v>
      </c>
      <c r="X2620">
        <v>3</v>
      </c>
      <c r="Y2620" t="s">
        <v>19250</v>
      </c>
      <c r="Z2620" t="s">
        <v>24770</v>
      </c>
      <c r="AA2620">
        <v>0.88348086165221928</v>
      </c>
      <c r="AB2620" t="str">
        <f>HYPERLINK("Melting_Curves/meltCurve_P62280_RPS11.pdf", "Melting_Curves/meltCurve_P62280_RPS11.pdf")</f>
        <v>Melting_Curves/meltCurve_P62280_RPS11.pdf</v>
      </c>
    </row>
    <row r="2621" spans="1:28" x14ac:dyDescent="0.25">
      <c r="A2621" t="s">
        <v>2625</v>
      </c>
      <c r="B2621">
        <v>0.99796759195183404</v>
      </c>
      <c r="C2621">
        <v>0.97256648347457397</v>
      </c>
      <c r="D2621">
        <v>0.95631162076791099</v>
      </c>
      <c r="E2621">
        <v>0.83674228173637899</v>
      </c>
      <c r="F2621">
        <v>0.92277884341566796</v>
      </c>
      <c r="G2621">
        <v>0.82630724154841595</v>
      </c>
      <c r="H2621">
        <v>0.67100874140908595</v>
      </c>
      <c r="I2621">
        <v>0.53425678151869305</v>
      </c>
      <c r="J2621">
        <v>0.59390145281276596</v>
      </c>
      <c r="K2621">
        <v>0.47959595081399498</v>
      </c>
      <c r="L2621">
        <v>421.49920041779001</v>
      </c>
      <c r="M2621">
        <v>6.8516653010971504</v>
      </c>
      <c r="N2621">
        <v>66.138531996159898</v>
      </c>
      <c r="O2621">
        <v>56.916741853801</v>
      </c>
      <c r="P2621">
        <v>-2.4419811867537802E-2</v>
      </c>
      <c r="Q2621">
        <v>0.190202818974084</v>
      </c>
      <c r="R2621">
        <v>0.93501301648692703</v>
      </c>
      <c r="S2621" t="s">
        <v>8204</v>
      </c>
      <c r="T2621" t="s">
        <v>11164</v>
      </c>
      <c r="U2621" t="s">
        <v>11164</v>
      </c>
      <c r="V2621" t="s">
        <v>11164</v>
      </c>
      <c r="W2621" t="s">
        <v>13748</v>
      </c>
      <c r="X2621">
        <v>4</v>
      </c>
      <c r="Y2621" t="s">
        <v>19251</v>
      </c>
      <c r="Z2621" t="s">
        <v>24771</v>
      </c>
      <c r="AA2621">
        <v>0.78865406496077661</v>
      </c>
      <c r="AB2621" t="str">
        <f>HYPERLINK("Melting_Curves/meltCurve_P62304_SNRPE.pdf", "Melting_Curves/meltCurve_P62304_SNRPE.pdf")</f>
        <v>Melting_Curves/meltCurve_P62304_SNRPE.pdf</v>
      </c>
    </row>
    <row r="2622" spans="1:28" x14ac:dyDescent="0.25">
      <c r="A2622" t="s">
        <v>2626</v>
      </c>
      <c r="B2622">
        <v>0.99796759195183404</v>
      </c>
      <c r="C2622">
        <v>0.94829000152869303</v>
      </c>
      <c r="D2622">
        <v>1.0020823847331699</v>
      </c>
      <c r="E2622">
        <v>0.89541826767722998</v>
      </c>
      <c r="F2622">
        <v>0.81841908597795898</v>
      </c>
      <c r="G2622">
        <v>0.60955668183742395</v>
      </c>
      <c r="H2622">
        <v>0.67105507653322005</v>
      </c>
      <c r="I2622">
        <v>0.69094373582422897</v>
      </c>
      <c r="J2622">
        <v>0.71464901821480098</v>
      </c>
      <c r="K2622">
        <v>1.2244643337727701</v>
      </c>
      <c r="L2622">
        <v>2161.40471570613</v>
      </c>
      <c r="M2622">
        <v>46.300657109602</v>
      </c>
      <c r="O2622">
        <v>46.595111658589303</v>
      </c>
      <c r="P2622">
        <v>-5.3032423931228603E-2</v>
      </c>
      <c r="Q2622">
        <v>0.786521488347521</v>
      </c>
      <c r="R2622">
        <v>0.23177027485599799</v>
      </c>
      <c r="S2622" t="s">
        <v>8205</v>
      </c>
      <c r="T2622" t="s">
        <v>11164</v>
      </c>
      <c r="U2622" t="s">
        <v>11164</v>
      </c>
      <c r="V2622" t="s">
        <v>11164</v>
      </c>
      <c r="W2622" t="s">
        <v>13749</v>
      </c>
      <c r="X2622">
        <v>3</v>
      </c>
      <c r="Y2622" t="s">
        <v>19252</v>
      </c>
      <c r="Z2622" t="s">
        <v>24772</v>
      </c>
      <c r="AA2622">
        <v>0.85593085666128943</v>
      </c>
      <c r="AB2622" t="str">
        <f>HYPERLINK("Melting_Curves/meltCurve_P62306_SNRPF.pdf", "Melting_Curves/meltCurve_P62306_SNRPF.pdf")</f>
        <v>Melting_Curves/meltCurve_P62306_SNRPF.pdf</v>
      </c>
    </row>
    <row r="2623" spans="1:28" x14ac:dyDescent="0.25">
      <c r="A2623" t="s">
        <v>2627</v>
      </c>
      <c r="B2623">
        <v>0.99796759195183404</v>
      </c>
      <c r="C2623">
        <v>1.0781939668670499</v>
      </c>
      <c r="D2623">
        <v>0.98945278108335599</v>
      </c>
      <c r="E2623">
        <v>0.98179903707164395</v>
      </c>
      <c r="F2623">
        <v>0.85584074707923297</v>
      </c>
      <c r="G2623">
        <v>1.0321404965395999</v>
      </c>
      <c r="H2623">
        <v>1.2308995723504099</v>
      </c>
      <c r="I2623">
        <v>1.08547105027725</v>
      </c>
      <c r="J2623">
        <v>1.16284006297496</v>
      </c>
      <c r="K2623">
        <v>1.2196388807202001</v>
      </c>
      <c r="L2623">
        <v>13530.147010664599</v>
      </c>
      <c r="M2623">
        <v>250</v>
      </c>
      <c r="O2623">
        <v>54.117124697124197</v>
      </c>
      <c r="P2623">
        <v>0.201775778971925</v>
      </c>
      <c r="Q2623">
        <v>1.17471239961656</v>
      </c>
      <c r="R2623">
        <v>0.67113989081992498</v>
      </c>
      <c r="S2623" t="s">
        <v>8206</v>
      </c>
      <c r="T2623" t="s">
        <v>11164</v>
      </c>
      <c r="U2623" t="s">
        <v>11164</v>
      </c>
      <c r="V2623" t="s">
        <v>11164</v>
      </c>
      <c r="W2623" t="s">
        <v>13750</v>
      </c>
      <c r="X2623">
        <v>2</v>
      </c>
      <c r="Y2623" t="s">
        <v>19253</v>
      </c>
      <c r="Z2623" t="s">
        <v>24773</v>
      </c>
      <c r="AA2623">
        <v>1.0749898379688909</v>
      </c>
      <c r="AB2623" t="str">
        <f>HYPERLINK("Melting_Curves/meltCurve_P62308_SNRPG.pdf", "Melting_Curves/meltCurve_P62308_SNRPG.pdf")</f>
        <v>Melting_Curves/meltCurve_P62308_SNRPG.pdf</v>
      </c>
    </row>
    <row r="2624" spans="1:28" x14ac:dyDescent="0.25">
      <c r="A2624" t="s">
        <v>2628</v>
      </c>
      <c r="B2624">
        <v>0.99796759195183404</v>
      </c>
      <c r="C2624">
        <v>1.0646264428796199</v>
      </c>
      <c r="D2624">
        <v>1.01876763696533</v>
      </c>
      <c r="E2624">
        <v>0.98539870851571798</v>
      </c>
      <c r="F2624">
        <v>0.89273067043070597</v>
      </c>
      <c r="G2624">
        <v>0.916489596529939</v>
      </c>
      <c r="H2624">
        <v>0.98927048632366099</v>
      </c>
      <c r="I2624">
        <v>0.94855568327655404</v>
      </c>
      <c r="J2624">
        <v>1.1958731353436201</v>
      </c>
      <c r="K2624">
        <v>1.1984274114779001</v>
      </c>
      <c r="L2624">
        <v>15000</v>
      </c>
      <c r="M2624">
        <v>237.86033478760999</v>
      </c>
      <c r="O2624">
        <v>63.057758855186698</v>
      </c>
      <c r="P2624">
        <v>0.187857313307186</v>
      </c>
      <c r="Q2624">
        <v>1.1992070036137801</v>
      </c>
      <c r="R2624">
        <v>0.73846041526821704</v>
      </c>
      <c r="S2624" t="s">
        <v>8207</v>
      </c>
      <c r="T2624" t="s">
        <v>11164</v>
      </c>
      <c r="U2624" t="s">
        <v>11164</v>
      </c>
      <c r="V2624" t="s">
        <v>11164</v>
      </c>
      <c r="W2624" t="s">
        <v>13751</v>
      </c>
      <c r="X2624">
        <v>4</v>
      </c>
      <c r="Y2624" t="s">
        <v>19254</v>
      </c>
      <c r="Z2624" t="s">
        <v>24774</v>
      </c>
      <c r="AA2624">
        <v>1.026123446173608</v>
      </c>
      <c r="AB2624" t="str">
        <f>HYPERLINK("Melting_Curves/meltCurve_P62310_LSM3.pdf", "Melting_Curves/meltCurve_P62310_LSM3.pdf")</f>
        <v>Melting_Curves/meltCurve_P62310_LSM3.pdf</v>
      </c>
    </row>
    <row r="2625" spans="1:28" x14ac:dyDescent="0.25">
      <c r="A2625" t="s">
        <v>2629</v>
      </c>
      <c r="B2625">
        <v>0.99796759195183404</v>
      </c>
      <c r="C2625">
        <v>0.96563918799165605</v>
      </c>
      <c r="D2625">
        <v>1.0198035980029501</v>
      </c>
      <c r="E2625">
        <v>1.0080420622452599</v>
      </c>
      <c r="F2625">
        <v>0.83965072716841804</v>
      </c>
      <c r="G2625">
        <v>0.91049521213317297</v>
      </c>
      <c r="H2625">
        <v>1.1173969618080599</v>
      </c>
      <c r="I2625">
        <v>1.14033314374579</v>
      </c>
      <c r="J2625">
        <v>1.5690441728823299</v>
      </c>
      <c r="K2625">
        <v>2.0725147388466598</v>
      </c>
      <c r="L2625">
        <v>15000</v>
      </c>
      <c r="M2625">
        <v>244.960540220198</v>
      </c>
      <c r="O2625">
        <v>61.230247829014601</v>
      </c>
      <c r="P2625">
        <v>0.50008055041430899</v>
      </c>
      <c r="Q2625">
        <v>1.5</v>
      </c>
      <c r="R2625">
        <v>0.700328417164366</v>
      </c>
      <c r="S2625" t="s">
        <v>8208</v>
      </c>
      <c r="T2625" t="s">
        <v>11164</v>
      </c>
      <c r="U2625" t="s">
        <v>11164</v>
      </c>
      <c r="V2625" t="s">
        <v>11164</v>
      </c>
      <c r="W2625" t="s">
        <v>13752</v>
      </c>
      <c r="X2625">
        <v>8</v>
      </c>
      <c r="Y2625" t="s">
        <v>19255</v>
      </c>
      <c r="Z2625" t="s">
        <v>24775</v>
      </c>
      <c r="AA2625">
        <v>1.096038162901527</v>
      </c>
      <c r="AB2625" t="str">
        <f>HYPERLINK("Melting_Curves/meltCurve_P62312_LSM6.pdf", "Melting_Curves/meltCurve_P62312_LSM6.pdf")</f>
        <v>Melting_Curves/meltCurve_P62312_LSM6.pdf</v>
      </c>
    </row>
    <row r="2626" spans="1:28" x14ac:dyDescent="0.25">
      <c r="A2626" t="s">
        <v>2630</v>
      </c>
      <c r="B2626">
        <v>0.99796759195183404</v>
      </c>
      <c r="C2626">
        <v>1.03966370610338</v>
      </c>
      <c r="D2626">
        <v>0.98710660462748701</v>
      </c>
      <c r="E2626">
        <v>0.94121655552888295</v>
      </c>
      <c r="F2626">
        <v>0.84423704599179905</v>
      </c>
      <c r="G2626">
        <v>1.0510140732462601</v>
      </c>
      <c r="H2626">
        <v>1.21832433696179</v>
      </c>
      <c r="I2626">
        <v>1.0405938663108201</v>
      </c>
      <c r="J2626">
        <v>1.04713342451075</v>
      </c>
      <c r="K2626">
        <v>0.92819748678267799</v>
      </c>
      <c r="L2626">
        <v>13347.2008714535</v>
      </c>
      <c r="M2626">
        <v>250</v>
      </c>
      <c r="O2626">
        <v>53.385386871932901</v>
      </c>
      <c r="P2626">
        <v>6.8560788029908198E-2</v>
      </c>
      <c r="Q2626">
        <v>1.05856230711568</v>
      </c>
      <c r="R2626">
        <v>0.17542020976112699</v>
      </c>
      <c r="S2626" t="s">
        <v>8209</v>
      </c>
      <c r="T2626" t="s">
        <v>11164</v>
      </c>
      <c r="U2626" t="s">
        <v>11164</v>
      </c>
      <c r="V2626" t="s">
        <v>11164</v>
      </c>
      <c r="W2626" t="s">
        <v>13753</v>
      </c>
      <c r="X2626">
        <v>3</v>
      </c>
      <c r="Y2626" t="s">
        <v>19256</v>
      </c>
      <c r="Z2626" t="s">
        <v>24776</v>
      </c>
      <c r="AA2626">
        <v>1.0265646152648551</v>
      </c>
      <c r="AB2626" t="str">
        <f>HYPERLINK("Melting_Curves/meltCurve_P62314_SNRPD1.pdf", "Melting_Curves/meltCurve_P62314_SNRPD1.pdf")</f>
        <v>Melting_Curves/meltCurve_P62314_SNRPD1.pdf</v>
      </c>
    </row>
    <row r="2627" spans="1:28" x14ac:dyDescent="0.25">
      <c r="A2627" t="s">
        <v>2631</v>
      </c>
      <c r="B2627">
        <v>0.99796759195183404</v>
      </c>
      <c r="C2627">
        <v>0.91740093278456702</v>
      </c>
      <c r="D2627">
        <v>0.84279667586295604</v>
      </c>
      <c r="E2627">
        <v>0.805664998832614</v>
      </c>
      <c r="F2627">
        <v>0.97447484508962701</v>
      </c>
      <c r="G2627">
        <v>0.79946355338097097</v>
      </c>
      <c r="H2627">
        <v>0.90887408706727202</v>
      </c>
      <c r="I2627">
        <v>0.88942468715686096</v>
      </c>
      <c r="J2627">
        <v>0.85283578277026295</v>
      </c>
      <c r="K2627">
        <v>0.60937789396814601</v>
      </c>
      <c r="L2627">
        <v>148.35846050875301</v>
      </c>
      <c r="M2627">
        <v>1.02100105140699</v>
      </c>
      <c r="O2627">
        <v>52.866903936189402</v>
      </c>
      <c r="P2627">
        <v>-6.5299964061648697E-3</v>
      </c>
      <c r="Q2627">
        <v>0</v>
      </c>
      <c r="R2627">
        <v>0.327347806269838</v>
      </c>
      <c r="S2627" t="s">
        <v>8210</v>
      </c>
      <c r="T2627" t="s">
        <v>11164</v>
      </c>
      <c r="U2627" t="s">
        <v>11164</v>
      </c>
      <c r="V2627" t="s">
        <v>11164</v>
      </c>
      <c r="W2627" t="s">
        <v>13754</v>
      </c>
      <c r="X2627">
        <v>8</v>
      </c>
      <c r="Y2627" t="s">
        <v>19257</v>
      </c>
      <c r="Z2627" t="s">
        <v>24777</v>
      </c>
      <c r="AA2627">
        <v>0.86141355519800655</v>
      </c>
      <c r="AB2627" t="str">
        <f>HYPERLINK("Melting_Curves/meltCurve_P62316_SNRPD2.pdf", "Melting_Curves/meltCurve_P62316_SNRPD2.pdf")</f>
        <v>Melting_Curves/meltCurve_P62316_SNRPD2.pdf</v>
      </c>
    </row>
    <row r="2628" spans="1:28" x14ac:dyDescent="0.25">
      <c r="A2628" t="s">
        <v>2632</v>
      </c>
      <c r="B2628">
        <v>0.99796759195183404</v>
      </c>
      <c r="C2628">
        <v>0.99324822051984496</v>
      </c>
      <c r="D2628">
        <v>1.04874270471583</v>
      </c>
      <c r="E2628">
        <v>1.0479525446426601</v>
      </c>
      <c r="F2628">
        <v>0.93815698487397303</v>
      </c>
      <c r="G2628">
        <v>0.47621255736784701</v>
      </c>
      <c r="H2628">
        <v>0.60067432210184002</v>
      </c>
      <c r="I2628">
        <v>0.71816103565431</v>
      </c>
      <c r="J2628">
        <v>0.91045126930779396</v>
      </c>
      <c r="K2628">
        <v>0.83268792385589296</v>
      </c>
      <c r="L2628">
        <v>12616.049727355099</v>
      </c>
      <c r="M2628">
        <v>250</v>
      </c>
      <c r="O2628">
        <v>50.460969606024101</v>
      </c>
      <c r="P2628">
        <v>-0.36211473603057398</v>
      </c>
      <c r="Q2628">
        <v>0.70763742973208199</v>
      </c>
      <c r="R2628">
        <v>0.63999104147325703</v>
      </c>
      <c r="S2628" t="s">
        <v>8211</v>
      </c>
      <c r="T2628" t="s">
        <v>11164</v>
      </c>
      <c r="U2628" t="s">
        <v>11164</v>
      </c>
      <c r="V2628" t="s">
        <v>11164</v>
      </c>
      <c r="W2628" t="s">
        <v>13755</v>
      </c>
      <c r="X2628">
        <v>5</v>
      </c>
      <c r="Y2628" t="s">
        <v>19258</v>
      </c>
      <c r="Z2628" t="s">
        <v>24778</v>
      </c>
      <c r="AA2628">
        <v>0.83887758248863853</v>
      </c>
      <c r="AB2628" t="str">
        <f>HYPERLINK("Melting_Curves/meltCurve_P62328_TMSB4X.pdf", "Melting_Curves/meltCurve_P62328_TMSB4X.pdf")</f>
        <v>Melting_Curves/meltCurve_P62328_TMSB4X.pdf</v>
      </c>
    </row>
    <row r="2629" spans="1:28" x14ac:dyDescent="0.25">
      <c r="A2629" t="s">
        <v>2633</v>
      </c>
      <c r="B2629">
        <v>0.99796759195183404</v>
      </c>
      <c r="C2629">
        <v>1.02191127405362</v>
      </c>
      <c r="D2629">
        <v>1.0935779720927401</v>
      </c>
      <c r="E2629">
        <v>1.0074941159634201</v>
      </c>
      <c r="F2629">
        <v>1.0154621946261899</v>
      </c>
      <c r="G2629">
        <v>0.48260327367046202</v>
      </c>
      <c r="H2629">
        <v>0.40784823532754499</v>
      </c>
      <c r="I2629">
        <v>0.27978840963845197</v>
      </c>
      <c r="J2629">
        <v>0.27735235446998502</v>
      </c>
      <c r="K2629">
        <v>0.199566509865059</v>
      </c>
      <c r="L2629">
        <v>3680.69170072424</v>
      </c>
      <c r="M2629">
        <v>69.358599003394204</v>
      </c>
      <c r="N2629">
        <v>53.736527541538301</v>
      </c>
      <c r="O2629">
        <v>53.0234817397629</v>
      </c>
      <c r="P2629">
        <v>-0.23246201960603399</v>
      </c>
      <c r="Q2629">
        <v>0.28914675190815098</v>
      </c>
      <c r="R2629">
        <v>0.97520049182693902</v>
      </c>
      <c r="S2629" t="s">
        <v>8212</v>
      </c>
      <c r="T2629" t="s">
        <v>11164</v>
      </c>
      <c r="U2629" t="s">
        <v>11164</v>
      </c>
      <c r="V2629" t="s">
        <v>11164</v>
      </c>
      <c r="W2629" t="s">
        <v>13756</v>
      </c>
      <c r="X2629">
        <v>4</v>
      </c>
      <c r="Y2629" t="s">
        <v>19259</v>
      </c>
      <c r="Z2629" t="s">
        <v>24779</v>
      </c>
      <c r="AA2629">
        <v>0.67073176030622472</v>
      </c>
      <c r="AB2629" t="str">
        <f>HYPERLINK("Melting_Curves/meltCurve_P62330_ARF6.pdf", "Melting_Curves/meltCurve_P62330_ARF6.pdf")</f>
        <v>Melting_Curves/meltCurve_P62330_ARF6.pdf</v>
      </c>
    </row>
    <row r="2630" spans="1:28" x14ac:dyDescent="0.25">
      <c r="A2630" t="s">
        <v>2634</v>
      </c>
      <c r="B2630">
        <v>0.99796759195183404</v>
      </c>
      <c r="C2630">
        <v>0.95432542632087303</v>
      </c>
      <c r="D2630">
        <v>0.90932438201427701</v>
      </c>
      <c r="E2630">
        <v>0.84237838412020205</v>
      </c>
      <c r="F2630">
        <v>0.72099699222400904</v>
      </c>
      <c r="G2630">
        <v>0.56799715241204096</v>
      </c>
      <c r="H2630">
        <v>0.34549059250083902</v>
      </c>
      <c r="I2630">
        <v>0.219972114786047</v>
      </c>
      <c r="J2630">
        <v>0.152818252713848</v>
      </c>
      <c r="K2630">
        <v>0.118487281767148</v>
      </c>
      <c r="L2630">
        <v>586.04082703858103</v>
      </c>
      <c r="M2630">
        <v>10.778440689158099</v>
      </c>
      <c r="N2630">
        <v>54.371576415680501</v>
      </c>
      <c r="O2630">
        <v>52.600299543485598</v>
      </c>
      <c r="P2630">
        <v>-5.1246719517127698E-2</v>
      </c>
      <c r="Q2630">
        <v>0</v>
      </c>
      <c r="R2630">
        <v>0.99583413311875701</v>
      </c>
      <c r="S2630" t="s">
        <v>8213</v>
      </c>
      <c r="T2630" t="s">
        <v>11164</v>
      </c>
      <c r="U2630" t="s">
        <v>11164</v>
      </c>
      <c r="V2630" t="s">
        <v>11164</v>
      </c>
      <c r="W2630" t="s">
        <v>13757</v>
      </c>
      <c r="X2630">
        <v>22</v>
      </c>
      <c r="Y2630" t="s">
        <v>19260</v>
      </c>
      <c r="Z2630" t="s">
        <v>24780</v>
      </c>
      <c r="AA2630">
        <v>0.595327660057407</v>
      </c>
      <c r="AB2630" t="str">
        <f>HYPERLINK("Melting_Curves/meltCurve_P62333_PSMC6.pdf", "Melting_Curves/meltCurve_P62333_PSMC6.pdf")</f>
        <v>Melting_Curves/meltCurve_P62333_PSMC6.pdf</v>
      </c>
    </row>
    <row r="2631" spans="1:28" x14ac:dyDescent="0.25">
      <c r="A2631" t="s">
        <v>2635</v>
      </c>
      <c r="B2631">
        <v>0.99796759195183404</v>
      </c>
      <c r="C2631">
        <v>0.87190458797541703</v>
      </c>
      <c r="D2631">
        <v>0.91263192877728605</v>
      </c>
      <c r="E2631">
        <v>0.87113395123550297</v>
      </c>
      <c r="F2631">
        <v>0.74659527486305599</v>
      </c>
      <c r="G2631">
        <v>0.26510998613155201</v>
      </c>
      <c r="H2631">
        <v>0.19358567131246801</v>
      </c>
      <c r="I2631">
        <v>0.182798428321059</v>
      </c>
      <c r="J2631">
        <v>0.18017207753853001</v>
      </c>
      <c r="K2631">
        <v>0.123652571899175</v>
      </c>
      <c r="L2631">
        <v>1604.72839925105</v>
      </c>
      <c r="M2631">
        <v>31.349404215230699</v>
      </c>
      <c r="N2631">
        <v>51.803184512189297</v>
      </c>
      <c r="O2631">
        <v>50.981544342340101</v>
      </c>
      <c r="P2631">
        <v>-0.12985245193323799</v>
      </c>
      <c r="Q2631">
        <v>0.155321464404891</v>
      </c>
      <c r="R2631">
        <v>0.96941184048732199</v>
      </c>
      <c r="S2631" t="s">
        <v>8214</v>
      </c>
      <c r="T2631" t="s">
        <v>11164</v>
      </c>
      <c r="U2631" t="s">
        <v>11164</v>
      </c>
      <c r="V2631" t="s">
        <v>11164</v>
      </c>
      <c r="W2631" t="s">
        <v>13758</v>
      </c>
      <c r="X2631">
        <v>2</v>
      </c>
      <c r="Y2631" t="s">
        <v>19261</v>
      </c>
      <c r="Z2631" t="s">
        <v>24781</v>
      </c>
      <c r="AA2631">
        <v>0.55965367860248161</v>
      </c>
      <c r="AB2631" t="str">
        <f>HYPERLINK("Melting_Curves/meltCurve_P62380_TBPL1.pdf", "Melting_Curves/meltCurve_P62380_TBPL1.pdf")</f>
        <v>Melting_Curves/meltCurve_P62380_TBPL1.pdf</v>
      </c>
    </row>
    <row r="2632" spans="1:28" x14ac:dyDescent="0.25">
      <c r="A2632" t="s">
        <v>2636</v>
      </c>
      <c r="B2632">
        <v>0.99796759195183404</v>
      </c>
      <c r="C2632">
        <v>0.99958402619198194</v>
      </c>
      <c r="D2632">
        <v>1.06468147312206</v>
      </c>
      <c r="E2632">
        <v>0.91453389148994502</v>
      </c>
      <c r="F2632">
        <v>0.48227261227180401</v>
      </c>
      <c r="G2632">
        <v>0.30577991254307102</v>
      </c>
      <c r="H2632">
        <v>0.36969785970431501</v>
      </c>
      <c r="I2632">
        <v>0.50579841185627095</v>
      </c>
      <c r="J2632">
        <v>0.25626271098407999</v>
      </c>
      <c r="K2632">
        <v>0.14272992829364101</v>
      </c>
      <c r="L2632">
        <v>2064.4377720043599</v>
      </c>
      <c r="M2632">
        <v>42.273274528530997</v>
      </c>
      <c r="N2632">
        <v>50.002321819145799</v>
      </c>
      <c r="O2632">
        <v>48.726634564149201</v>
      </c>
      <c r="P2632">
        <v>-0.14888475577559099</v>
      </c>
      <c r="Q2632">
        <v>0.31354836259683999</v>
      </c>
      <c r="R2632">
        <v>0.93107057079265099</v>
      </c>
      <c r="S2632" t="s">
        <v>8215</v>
      </c>
      <c r="T2632" t="s">
        <v>11164</v>
      </c>
      <c r="U2632" t="s">
        <v>11164</v>
      </c>
      <c r="V2632" t="s">
        <v>11164</v>
      </c>
      <c r="W2632" t="s">
        <v>13759</v>
      </c>
      <c r="X2632">
        <v>7</v>
      </c>
      <c r="Y2632" t="s">
        <v>19262</v>
      </c>
      <c r="Z2632" t="s">
        <v>24782</v>
      </c>
      <c r="AA2632">
        <v>0.58643849022441608</v>
      </c>
      <c r="AB2632" t="str">
        <f>HYPERLINK("Melting_Curves/meltCurve_P62424_RPL7A.pdf", "Melting_Curves/meltCurve_P62424_RPL7A.pdf")</f>
        <v>Melting_Curves/meltCurve_P62424_RPL7A.pdf</v>
      </c>
    </row>
    <row r="2633" spans="1:28" x14ac:dyDescent="0.25">
      <c r="A2633" t="s">
        <v>2637</v>
      </c>
      <c r="B2633">
        <v>0.99796759195183404</v>
      </c>
      <c r="C2633">
        <v>0.94202672577157998</v>
      </c>
      <c r="D2633">
        <v>0.92716215844711702</v>
      </c>
      <c r="E2633">
        <v>0.90675748359302699</v>
      </c>
      <c r="F2633">
        <v>0.87676473784153197</v>
      </c>
      <c r="G2633">
        <v>0.67633033445998603</v>
      </c>
      <c r="H2633">
        <v>0.690013656678097</v>
      </c>
      <c r="I2633">
        <v>0.64452665096927697</v>
      </c>
      <c r="J2633">
        <v>0.71805690198477501</v>
      </c>
      <c r="K2633">
        <v>0.32969891823000402</v>
      </c>
      <c r="L2633">
        <v>340.73625908218497</v>
      </c>
      <c r="M2633">
        <v>5.1367037268492499</v>
      </c>
      <c r="N2633">
        <v>66.333642363225707</v>
      </c>
      <c r="O2633">
        <v>58.253037735075601</v>
      </c>
      <c r="P2633">
        <v>-2.2167920536500501E-2</v>
      </c>
      <c r="Q2633">
        <v>0</v>
      </c>
      <c r="R2633">
        <v>0.81571265743350896</v>
      </c>
      <c r="S2633" t="s">
        <v>8216</v>
      </c>
      <c r="T2633" t="s">
        <v>11164</v>
      </c>
      <c r="U2633" t="s">
        <v>11164</v>
      </c>
      <c r="V2633" t="s">
        <v>11164</v>
      </c>
      <c r="W2633" t="s">
        <v>13760</v>
      </c>
      <c r="X2633">
        <v>5</v>
      </c>
      <c r="Y2633" t="s">
        <v>19263</v>
      </c>
      <c r="Z2633" t="s">
        <v>24783</v>
      </c>
      <c r="AA2633">
        <v>0.77955048268579519</v>
      </c>
      <c r="AB2633" t="str">
        <f>HYPERLINK("Melting_Curves/meltCurve_P62487_POLR2G.pdf", "Melting_Curves/meltCurve_P62487_POLR2G.pdf")</f>
        <v>Melting_Curves/meltCurve_P62487_POLR2G.pdf</v>
      </c>
    </row>
    <row r="2634" spans="1:28" x14ac:dyDescent="0.25">
      <c r="A2634" t="s">
        <v>2638</v>
      </c>
      <c r="B2634">
        <v>0.99796759195183404</v>
      </c>
      <c r="C2634">
        <v>1.03846026327879</v>
      </c>
      <c r="D2634">
        <v>1.0600722123003801</v>
      </c>
      <c r="E2634">
        <v>0.94095851430080402</v>
      </c>
      <c r="F2634">
        <v>0.88675724652374999</v>
      </c>
      <c r="G2634">
        <v>0.57557976929937904</v>
      </c>
      <c r="H2634">
        <v>0.209800411444857</v>
      </c>
      <c r="I2634">
        <v>0.139778478433776</v>
      </c>
      <c r="J2634">
        <v>0.106888932511689</v>
      </c>
      <c r="K2634">
        <v>8.9100664717348899E-2</v>
      </c>
      <c r="L2634">
        <v>1480.26905016306</v>
      </c>
      <c r="M2634">
        <v>27.451682860313198</v>
      </c>
      <c r="N2634">
        <v>54.313430976251901</v>
      </c>
      <c r="O2634">
        <v>53.638998014341801</v>
      </c>
      <c r="P2634">
        <v>-0.116483072539458</v>
      </c>
      <c r="Q2634">
        <v>8.9603746893136604E-2</v>
      </c>
      <c r="R2634">
        <v>0.99470949607041803</v>
      </c>
      <c r="S2634" t="s">
        <v>8217</v>
      </c>
      <c r="T2634" t="s">
        <v>11164</v>
      </c>
      <c r="U2634" t="s">
        <v>11164</v>
      </c>
      <c r="V2634" t="s">
        <v>11164</v>
      </c>
      <c r="W2634" t="s">
        <v>13761</v>
      </c>
      <c r="X2634">
        <v>6</v>
      </c>
      <c r="Y2634" t="s">
        <v>19264</v>
      </c>
      <c r="Z2634" t="s">
        <v>24784</v>
      </c>
      <c r="AA2634">
        <v>0.6099518227412124</v>
      </c>
      <c r="AB2634" t="str">
        <f>HYPERLINK("Melting_Curves/meltCurve_P62495_ETF1.pdf", "Melting_Curves/meltCurve_P62495_ETF1.pdf")</f>
        <v>Melting_Curves/meltCurve_P62495_ETF1.pdf</v>
      </c>
    </row>
    <row r="2635" spans="1:28" x14ac:dyDescent="0.25">
      <c r="A2635" t="s">
        <v>2639</v>
      </c>
      <c r="B2635">
        <v>0.99796759195183404</v>
      </c>
      <c r="C2635">
        <v>1.09536876953364</v>
      </c>
      <c r="D2635">
        <v>1.1722750006806599</v>
      </c>
      <c r="E2635">
        <v>1.11708024437208</v>
      </c>
      <c r="F2635">
        <v>1.23597254739783</v>
      </c>
      <c r="G2635">
        <v>0.56544383189824099</v>
      </c>
      <c r="H2635">
        <v>0.56074253531835505</v>
      </c>
      <c r="I2635">
        <v>0.704885398618321</v>
      </c>
      <c r="J2635">
        <v>0.75645696658820105</v>
      </c>
      <c r="K2635">
        <v>0.621788081105482</v>
      </c>
      <c r="L2635">
        <v>4447.0482469743301</v>
      </c>
      <c r="M2635">
        <v>85.117261116904004</v>
      </c>
      <c r="O2635">
        <v>52.217326378479399</v>
      </c>
      <c r="P2635">
        <v>-0.146588648644777</v>
      </c>
      <c r="Q2635">
        <v>0.64028609582342599</v>
      </c>
      <c r="R2635">
        <v>0.76881408919071503</v>
      </c>
      <c r="S2635" t="s">
        <v>8218</v>
      </c>
      <c r="T2635" t="s">
        <v>11164</v>
      </c>
      <c r="U2635" t="s">
        <v>11164</v>
      </c>
      <c r="V2635" t="s">
        <v>11164</v>
      </c>
      <c r="W2635" t="s">
        <v>13762</v>
      </c>
      <c r="X2635">
        <v>23</v>
      </c>
      <c r="Y2635" t="s">
        <v>19265</v>
      </c>
      <c r="Z2635" t="s">
        <v>24785</v>
      </c>
      <c r="AA2635">
        <v>0.82337938015669143</v>
      </c>
      <c r="AB2635" t="str">
        <f>HYPERLINK("Melting_Curves/meltCurve_P62633_2_CNBP.pdf", "Melting_Curves/meltCurve_P62633_2_CNBP.pdf")</f>
        <v>Melting_Curves/meltCurve_P62633_2_CNBP.pdf</v>
      </c>
    </row>
    <row r="2636" spans="1:28" x14ac:dyDescent="0.25">
      <c r="A2636" t="s">
        <v>2640</v>
      </c>
      <c r="B2636">
        <v>0.99796759195183404</v>
      </c>
      <c r="C2636">
        <v>1.0971794547707701</v>
      </c>
      <c r="D2636">
        <v>1.1379103324212401</v>
      </c>
      <c r="E2636">
        <v>1.1995819921844799</v>
      </c>
      <c r="F2636">
        <v>0.92694018747931295</v>
      </c>
      <c r="G2636">
        <v>0.61453434011277797</v>
      </c>
      <c r="H2636">
        <v>0.608389777693911</v>
      </c>
      <c r="I2636">
        <v>0.62913511922612997</v>
      </c>
      <c r="J2636">
        <v>0.67356651726289396</v>
      </c>
      <c r="K2636">
        <v>0.58313560874281101</v>
      </c>
      <c r="L2636">
        <v>12621.7683880567</v>
      </c>
      <c r="M2636">
        <v>250</v>
      </c>
      <c r="O2636">
        <v>50.4838427310047</v>
      </c>
      <c r="P2636">
        <v>-0.46827821787553903</v>
      </c>
      <c r="Q2636">
        <v>0.621752258078481</v>
      </c>
      <c r="R2636">
        <v>0.86980350003588303</v>
      </c>
      <c r="S2636" t="s">
        <v>8219</v>
      </c>
      <c r="T2636" t="s">
        <v>11164</v>
      </c>
      <c r="U2636" t="s">
        <v>11164</v>
      </c>
      <c r="V2636" t="s">
        <v>11164</v>
      </c>
      <c r="W2636" t="s">
        <v>13763</v>
      </c>
      <c r="X2636">
        <v>22</v>
      </c>
      <c r="Y2636" t="s">
        <v>19265</v>
      </c>
      <c r="Z2636" t="s">
        <v>24786</v>
      </c>
      <c r="AA2636">
        <v>0.79183427622743019</v>
      </c>
      <c r="AB2636" t="str">
        <f>HYPERLINK("Melting_Curves/meltCurve_P62633_4_CNBP.pdf", "Melting_Curves/meltCurve_P62633_4_CNBP.pdf")</f>
        <v>Melting_Curves/meltCurve_P62633_4_CNBP.pdf</v>
      </c>
    </row>
    <row r="2637" spans="1:28" x14ac:dyDescent="0.25">
      <c r="A2637" t="s">
        <v>2641</v>
      </c>
      <c r="B2637">
        <v>0.99796759195183404</v>
      </c>
      <c r="C2637">
        <v>0.99301391614600398</v>
      </c>
      <c r="D2637">
        <v>0.93366178459864402</v>
      </c>
      <c r="E2637">
        <v>1.17309895827553</v>
      </c>
      <c r="F2637">
        <v>1.06633606338286</v>
      </c>
      <c r="G2637">
        <v>1.87899046656541</v>
      </c>
      <c r="H2637">
        <v>0.74623364814857396</v>
      </c>
      <c r="I2637">
        <v>0.65291270783376298</v>
      </c>
      <c r="J2637">
        <v>0.33104655329754001</v>
      </c>
      <c r="K2637">
        <v>0.34361041964188199</v>
      </c>
      <c r="L2637">
        <v>2357.5578752814799</v>
      </c>
      <c r="M2637">
        <v>38.995828468655198</v>
      </c>
      <c r="N2637">
        <v>61.982667761513198</v>
      </c>
      <c r="O2637">
        <v>60.298336332153902</v>
      </c>
      <c r="P2637">
        <v>-0.11178984828249799</v>
      </c>
      <c r="Q2637">
        <v>0.30856948760960101</v>
      </c>
      <c r="R2637">
        <v>0.52229954141899104</v>
      </c>
      <c r="S2637" t="s">
        <v>8220</v>
      </c>
      <c r="T2637" t="s">
        <v>11164</v>
      </c>
      <c r="U2637" t="s">
        <v>11164</v>
      </c>
      <c r="V2637" t="s">
        <v>11164</v>
      </c>
      <c r="W2637" t="s">
        <v>13764</v>
      </c>
      <c r="X2637">
        <v>9</v>
      </c>
      <c r="Y2637" t="s">
        <v>19266</v>
      </c>
      <c r="Z2637" t="s">
        <v>24787</v>
      </c>
      <c r="AA2637">
        <v>0.85121057999916472</v>
      </c>
      <c r="AB2637" t="str">
        <f>HYPERLINK("Melting_Curves/meltCurve_P62701_RPS4X.pdf", "Melting_Curves/meltCurve_P62701_RPS4X.pdf")</f>
        <v>Melting_Curves/meltCurve_P62701_RPS4X.pdf</v>
      </c>
    </row>
    <row r="2638" spans="1:28" x14ac:dyDescent="0.25">
      <c r="A2638" t="s">
        <v>2642</v>
      </c>
      <c r="B2638">
        <v>0.99796759195183404</v>
      </c>
      <c r="C2638">
        <v>1.37105549999385</v>
      </c>
      <c r="D2638">
        <v>0.80538305404174804</v>
      </c>
      <c r="E2638">
        <v>0.867196178860421</v>
      </c>
      <c r="F2638">
        <v>1.3136094993326399</v>
      </c>
      <c r="G2638">
        <v>1.86236057635436</v>
      </c>
      <c r="H2638">
        <v>1.7786099900591801</v>
      </c>
      <c r="I2638">
        <v>1.21659694165223</v>
      </c>
      <c r="J2638">
        <v>1.0258215230471099</v>
      </c>
      <c r="K2638">
        <v>0.35094130266197698</v>
      </c>
      <c r="L2638">
        <v>15000</v>
      </c>
      <c r="M2638">
        <v>224.495464350677</v>
      </c>
      <c r="N2638">
        <v>66.816480531120803</v>
      </c>
      <c r="O2638">
        <v>66.811191549314302</v>
      </c>
      <c r="P2638">
        <v>-0.84003689013553895</v>
      </c>
      <c r="Q2638">
        <v>0</v>
      </c>
      <c r="R2638">
        <v>9.0764995767993004E-2</v>
      </c>
      <c r="S2638" t="s">
        <v>8221</v>
      </c>
      <c r="T2638" t="s">
        <v>11164</v>
      </c>
      <c r="U2638" t="s">
        <v>11164</v>
      </c>
      <c r="V2638" t="s">
        <v>11164</v>
      </c>
      <c r="W2638" t="s">
        <v>13765</v>
      </c>
      <c r="X2638">
        <v>19</v>
      </c>
      <c r="Y2638" t="s">
        <v>19267</v>
      </c>
      <c r="Z2638" t="s">
        <v>24788</v>
      </c>
      <c r="AA2638">
        <v>0.98967319777115648</v>
      </c>
      <c r="AB2638" t="str">
        <f>HYPERLINK("Melting_Curves/meltCurve_P62714_PPP2CB.pdf", "Melting_Curves/meltCurve_P62714_PPP2CB.pdf")</f>
        <v>Melting_Curves/meltCurve_P62714_PPP2CB.pdf</v>
      </c>
    </row>
    <row r="2639" spans="1:28" x14ac:dyDescent="0.25">
      <c r="A2639" t="s">
        <v>2643</v>
      </c>
      <c r="B2639">
        <v>0.99796759195183404</v>
      </c>
      <c r="C2639">
        <v>1.00095035645141</v>
      </c>
      <c r="D2639">
        <v>1.00065916966172</v>
      </c>
      <c r="E2639">
        <v>0.99207888455112903</v>
      </c>
      <c r="F2639">
        <v>0.84108664430480395</v>
      </c>
      <c r="G2639">
        <v>0.65482678059837596</v>
      </c>
      <c r="H2639">
        <v>0.69414326866876197</v>
      </c>
      <c r="I2639">
        <v>0.58734133667217903</v>
      </c>
      <c r="J2639">
        <v>0.60788831917681696</v>
      </c>
      <c r="K2639">
        <v>0.36021655163239003</v>
      </c>
      <c r="L2639">
        <v>474.271424038205</v>
      </c>
      <c r="M2639">
        <v>7.9701537878595303</v>
      </c>
      <c r="N2639">
        <v>64.166533006485295</v>
      </c>
      <c r="O2639">
        <v>56.110024030136401</v>
      </c>
      <c r="P2639">
        <v>-2.77397261116119E-2</v>
      </c>
      <c r="Q2639">
        <v>0.21974219537894499</v>
      </c>
      <c r="R2639">
        <v>0.91587131570535396</v>
      </c>
      <c r="S2639" t="s">
        <v>8222</v>
      </c>
      <c r="T2639" t="s">
        <v>11164</v>
      </c>
      <c r="U2639" t="s">
        <v>11164</v>
      </c>
      <c r="V2639" t="s">
        <v>11164</v>
      </c>
      <c r="W2639" t="s">
        <v>13766</v>
      </c>
      <c r="X2639">
        <v>12</v>
      </c>
      <c r="Y2639" t="s">
        <v>19268</v>
      </c>
      <c r="Z2639" t="s">
        <v>24789</v>
      </c>
      <c r="AA2639">
        <v>0.7755985899379968</v>
      </c>
      <c r="AB2639" t="str">
        <f>HYPERLINK("Melting_Curves/meltCurve_P62745_RHOB.pdf", "Melting_Curves/meltCurve_P62745_RHOB.pdf")</f>
        <v>Melting_Curves/meltCurve_P62745_RHOB.pdf</v>
      </c>
    </row>
    <row r="2640" spans="1:28" x14ac:dyDescent="0.25">
      <c r="A2640" t="s">
        <v>2644</v>
      </c>
      <c r="B2640">
        <v>0.99796759195183404</v>
      </c>
      <c r="C2640">
        <v>1.0782127026366699</v>
      </c>
      <c r="D2640">
        <v>1.0464446165894099</v>
      </c>
      <c r="E2640">
        <v>1.0445237000079699</v>
      </c>
      <c r="F2640">
        <v>1.0683019782354399</v>
      </c>
      <c r="G2640">
        <v>0.99442521940474204</v>
      </c>
      <c r="H2640">
        <v>0.61219397924933705</v>
      </c>
      <c r="I2640">
        <v>0.50979584819732304</v>
      </c>
      <c r="J2640">
        <v>0.30956797519852602</v>
      </c>
      <c r="K2640">
        <v>0.161115111310176</v>
      </c>
      <c r="L2640">
        <v>1222.66186013939</v>
      </c>
      <c r="M2640">
        <v>20.514796444150502</v>
      </c>
      <c r="N2640">
        <v>60.351603906379196</v>
      </c>
      <c r="O2640">
        <v>59.041367797637903</v>
      </c>
      <c r="P2640">
        <v>-7.7064861318139499E-2</v>
      </c>
      <c r="Q2640">
        <v>0.11285845533243601</v>
      </c>
      <c r="R2640">
        <v>0.96217661054918702</v>
      </c>
      <c r="S2640" t="s">
        <v>8223</v>
      </c>
      <c r="T2640" t="s">
        <v>11164</v>
      </c>
      <c r="U2640" t="s">
        <v>11164</v>
      </c>
      <c r="V2640" t="s">
        <v>11164</v>
      </c>
      <c r="W2640" t="s">
        <v>13767</v>
      </c>
      <c r="X2640">
        <v>8</v>
      </c>
      <c r="Y2640" t="s">
        <v>19269</v>
      </c>
      <c r="Z2640" t="s">
        <v>24790</v>
      </c>
      <c r="AA2640">
        <v>0.78323075478408022</v>
      </c>
      <c r="AB2640" t="str">
        <f>HYPERLINK("Melting_Curves/meltCurve_P62750_RPL23A.pdf", "Melting_Curves/meltCurve_P62750_RPL23A.pdf")</f>
        <v>Melting_Curves/meltCurve_P62750_RPL23A.pdf</v>
      </c>
    </row>
    <row r="2641" spans="1:28" x14ac:dyDescent="0.25">
      <c r="A2641" t="s">
        <v>2645</v>
      </c>
      <c r="B2641">
        <v>0.99796759195183404</v>
      </c>
      <c r="C2641">
        <v>1.0535966318108401</v>
      </c>
      <c r="D2641">
        <v>0.950339424302313</v>
      </c>
      <c r="E2641">
        <v>0.88261572374543595</v>
      </c>
      <c r="F2641">
        <v>0.70549033649169202</v>
      </c>
      <c r="G2641">
        <v>0.563143146404678</v>
      </c>
      <c r="H2641">
        <v>0.647399940970112</v>
      </c>
      <c r="I2641">
        <v>0.54239875621692402</v>
      </c>
      <c r="J2641">
        <v>0.25961474519421002</v>
      </c>
      <c r="K2641">
        <v>0.21661888490432299</v>
      </c>
      <c r="L2641">
        <v>444.876253487795</v>
      </c>
      <c r="M2641">
        <v>7.6162952472443903</v>
      </c>
      <c r="N2641">
        <v>58.411108233798302</v>
      </c>
      <c r="O2641">
        <v>54.792478571629097</v>
      </c>
      <c r="P2641">
        <v>-3.4797828836141201E-2</v>
      </c>
      <c r="Q2641">
        <v>0</v>
      </c>
      <c r="R2641">
        <v>0.92534590494624103</v>
      </c>
      <c r="S2641" t="s">
        <v>8224</v>
      </c>
      <c r="T2641" t="s">
        <v>11164</v>
      </c>
      <c r="U2641" t="s">
        <v>11164</v>
      </c>
      <c r="V2641" t="s">
        <v>11164</v>
      </c>
      <c r="W2641" t="s">
        <v>13768</v>
      </c>
      <c r="X2641">
        <v>7</v>
      </c>
      <c r="Y2641" t="s">
        <v>19270</v>
      </c>
      <c r="Z2641" t="s">
        <v>24791</v>
      </c>
      <c r="AA2641">
        <v>0.68505763619431315</v>
      </c>
      <c r="AB2641" t="str">
        <f>HYPERLINK("Melting_Curves/meltCurve_P62753_RPS6.pdf", "Melting_Curves/meltCurve_P62753_RPS6.pdf")</f>
        <v>Melting_Curves/meltCurve_P62753_RPS6.pdf</v>
      </c>
    </row>
    <row r="2642" spans="1:28" x14ac:dyDescent="0.25">
      <c r="A2642" t="s">
        <v>2646</v>
      </c>
      <c r="B2642">
        <v>0.99796759195183404</v>
      </c>
      <c r="C2642">
        <v>0.91513643056620697</v>
      </c>
      <c r="D2642">
        <v>0.865872027740206</v>
      </c>
      <c r="E2642">
        <v>0.71245086073589803</v>
      </c>
      <c r="F2642">
        <v>0.52357708562359695</v>
      </c>
      <c r="G2642">
        <v>0.35822365342519902</v>
      </c>
      <c r="H2642">
        <v>0.245152461495765</v>
      </c>
      <c r="I2642">
        <v>0.21723517327612499</v>
      </c>
      <c r="J2642">
        <v>0.21918675330856999</v>
      </c>
      <c r="K2642">
        <v>0.146676521460335</v>
      </c>
      <c r="L2642">
        <v>575.21101188164903</v>
      </c>
      <c r="M2642">
        <v>11.6855176552326</v>
      </c>
      <c r="N2642">
        <v>50.522481710735498</v>
      </c>
      <c r="O2642">
        <v>47.848999423479199</v>
      </c>
      <c r="P2642">
        <v>-5.3150206739681197E-2</v>
      </c>
      <c r="Q2642">
        <v>0.129690267462715</v>
      </c>
      <c r="R2642">
        <v>0.99619215613867296</v>
      </c>
      <c r="S2642" t="s">
        <v>8225</v>
      </c>
      <c r="T2642" t="s">
        <v>11164</v>
      </c>
      <c r="U2642" t="s">
        <v>11164</v>
      </c>
      <c r="V2642" t="s">
        <v>11164</v>
      </c>
      <c r="W2642" t="s">
        <v>13769</v>
      </c>
      <c r="X2642">
        <v>11</v>
      </c>
      <c r="Y2642" t="s">
        <v>19271</v>
      </c>
      <c r="Z2642" t="s">
        <v>24792</v>
      </c>
      <c r="AA2642">
        <v>0.51074171543043567</v>
      </c>
      <c r="AB2642" t="str">
        <f>HYPERLINK("Melting_Curves/meltCurve_P62805_HIST1H4A.pdf", "Melting_Curves/meltCurve_P62805_HIST1H4A.pdf")</f>
        <v>Melting_Curves/meltCurve_P62805_HIST1H4A.pdf</v>
      </c>
    </row>
    <row r="2643" spans="1:28" x14ac:dyDescent="0.25">
      <c r="A2643" t="s">
        <v>2647</v>
      </c>
      <c r="B2643">
        <v>0.99796759195183404</v>
      </c>
      <c r="C2643">
        <v>3.3102247754461098</v>
      </c>
      <c r="D2643">
        <v>1.75592060360375</v>
      </c>
      <c r="E2643">
        <v>1.3283492361210001</v>
      </c>
      <c r="F2643">
        <v>1.76026422240228</v>
      </c>
      <c r="G2643">
        <v>1.98430508134928</v>
      </c>
      <c r="H2643">
        <v>0.65879299535022195</v>
      </c>
      <c r="I2643">
        <v>0.46730747148147</v>
      </c>
      <c r="J2643">
        <v>0.54293289076104201</v>
      </c>
      <c r="K2643">
        <v>0.291845771033726</v>
      </c>
      <c r="L2643">
        <v>14326.0393101142</v>
      </c>
      <c r="M2643">
        <v>250</v>
      </c>
      <c r="N2643">
        <v>57.772208697733703</v>
      </c>
      <c r="O2643">
        <v>57.300487963785102</v>
      </c>
      <c r="P2643">
        <v>-0.61732827231735199</v>
      </c>
      <c r="Q2643">
        <v>0.43402859921025999</v>
      </c>
      <c r="R2643">
        <v>1.5256165025352901E-2</v>
      </c>
      <c r="S2643" t="s">
        <v>8226</v>
      </c>
      <c r="T2643" t="s">
        <v>11164</v>
      </c>
      <c r="U2643" t="s">
        <v>11164</v>
      </c>
      <c r="V2643" t="s">
        <v>11164</v>
      </c>
      <c r="W2643" t="s">
        <v>13770</v>
      </c>
      <c r="X2643">
        <v>12</v>
      </c>
      <c r="Y2643" t="s">
        <v>19272</v>
      </c>
      <c r="Z2643" t="s">
        <v>24793</v>
      </c>
      <c r="AA2643">
        <v>0.81713792827570431</v>
      </c>
      <c r="AB2643" t="str">
        <f>HYPERLINK("Melting_Curves/meltCurve_P62807_HIST1H2BC.pdf", "Melting_Curves/meltCurve_P62807_HIST1H2BC.pdf")</f>
        <v>Melting_Curves/meltCurve_P62807_HIST1H2BC.pdf</v>
      </c>
    </row>
    <row r="2644" spans="1:28" x14ac:dyDescent="0.25">
      <c r="A2644" t="s">
        <v>2648</v>
      </c>
      <c r="B2644">
        <v>0.99796759195183404</v>
      </c>
      <c r="C2644">
        <v>0.98736372980936804</v>
      </c>
      <c r="D2644">
        <v>1.00121564501345</v>
      </c>
      <c r="E2644">
        <v>0.95006283532846503</v>
      </c>
      <c r="F2644">
        <v>0.82335797815485501</v>
      </c>
      <c r="G2644">
        <v>0.67818301995129604</v>
      </c>
      <c r="H2644">
        <v>0.61268016191142705</v>
      </c>
      <c r="I2644">
        <v>0.544130378186505</v>
      </c>
      <c r="J2644">
        <v>0.56279512061748505</v>
      </c>
      <c r="K2644">
        <v>0.42678533742774799</v>
      </c>
      <c r="L2644">
        <v>730.67651391532502</v>
      </c>
      <c r="M2644">
        <v>13.766113705974499</v>
      </c>
      <c r="N2644">
        <v>64.7079340210759</v>
      </c>
      <c r="O2644">
        <v>51.995449096614102</v>
      </c>
      <c r="P2644">
        <v>-3.5887162810946699E-2</v>
      </c>
      <c r="Q2644">
        <v>0.45788465502320402</v>
      </c>
      <c r="R2644">
        <v>0.97926872915402297</v>
      </c>
      <c r="S2644" t="s">
        <v>8227</v>
      </c>
      <c r="T2644" t="s">
        <v>11164</v>
      </c>
      <c r="U2644" t="s">
        <v>11164</v>
      </c>
      <c r="V2644" t="s">
        <v>11164</v>
      </c>
      <c r="W2644" t="s">
        <v>13771</v>
      </c>
      <c r="X2644">
        <v>18</v>
      </c>
      <c r="Y2644" t="s">
        <v>19273</v>
      </c>
      <c r="Z2644" t="s">
        <v>24794</v>
      </c>
      <c r="AA2644">
        <v>0.75877270660487184</v>
      </c>
      <c r="AB2644" t="str">
        <f>HYPERLINK("Melting_Curves/meltCurve_P62820_RAB1A.pdf", "Melting_Curves/meltCurve_P62820_RAB1A.pdf")</f>
        <v>Melting_Curves/meltCurve_P62820_RAB1A.pdf</v>
      </c>
    </row>
    <row r="2645" spans="1:28" x14ac:dyDescent="0.25">
      <c r="A2645" t="s">
        <v>2649</v>
      </c>
      <c r="B2645">
        <v>0.99796759195183404</v>
      </c>
      <c r="C2645">
        <v>1.0138049253711801</v>
      </c>
      <c r="D2645">
        <v>0.95744499886077805</v>
      </c>
      <c r="E2645">
        <v>0.83985110826846998</v>
      </c>
      <c r="F2645">
        <v>0.64425008122282401</v>
      </c>
      <c r="G2645">
        <v>0.53077138032493898</v>
      </c>
      <c r="H2645">
        <v>0.24028483187161601</v>
      </c>
      <c r="I2645">
        <v>0.19254018990660399</v>
      </c>
      <c r="J2645">
        <v>0.11703174956292001</v>
      </c>
      <c r="K2645">
        <v>9.4481344149669702E-2</v>
      </c>
      <c r="L2645">
        <v>660.75511584640799</v>
      </c>
      <c r="M2645">
        <v>12.4608246763441</v>
      </c>
      <c r="N2645">
        <v>53.1940214325762</v>
      </c>
      <c r="O2645">
        <v>51.716473297947601</v>
      </c>
      <c r="P2645">
        <v>-5.90902125754484E-2</v>
      </c>
      <c r="Q2645">
        <v>1.9230138026290901E-2</v>
      </c>
      <c r="R2645">
        <v>0.99285026269291798</v>
      </c>
      <c r="S2645" t="s">
        <v>8228</v>
      </c>
      <c r="T2645" t="s">
        <v>11164</v>
      </c>
      <c r="U2645" t="s">
        <v>11164</v>
      </c>
      <c r="V2645" t="s">
        <v>11164</v>
      </c>
      <c r="W2645" t="s">
        <v>13772</v>
      </c>
      <c r="X2645">
        <v>8</v>
      </c>
      <c r="Y2645" t="s">
        <v>19274</v>
      </c>
      <c r="Z2645" t="s">
        <v>24795</v>
      </c>
      <c r="AA2645">
        <v>0.56334862879528458</v>
      </c>
      <c r="AB2645" t="str">
        <f>HYPERLINK("Melting_Curves/meltCurve_P62829_RPL23.pdf", "Melting_Curves/meltCurve_P62829_RPL23.pdf")</f>
        <v>Melting_Curves/meltCurve_P62829_RPL23.pdf</v>
      </c>
    </row>
    <row r="2646" spans="1:28" x14ac:dyDescent="0.25">
      <c r="A2646" t="s">
        <v>2650</v>
      </c>
      <c r="B2646">
        <v>0.99796759195183404</v>
      </c>
      <c r="C2646">
        <v>0.92881146699333095</v>
      </c>
      <c r="D2646">
        <v>1.0253544472085301</v>
      </c>
      <c r="E2646">
        <v>0.96169451717480503</v>
      </c>
      <c r="F2646">
        <v>0.80731773161784104</v>
      </c>
      <c r="G2646">
        <v>0.65521518845489102</v>
      </c>
      <c r="H2646">
        <v>0.65816992596320001</v>
      </c>
      <c r="I2646">
        <v>0.51189941898187497</v>
      </c>
      <c r="J2646">
        <v>0.53048996342634702</v>
      </c>
      <c r="K2646">
        <v>0.42088080330669903</v>
      </c>
      <c r="L2646">
        <v>660.15577109430899</v>
      </c>
      <c r="M2646">
        <v>12.2793040531964</v>
      </c>
      <c r="N2646">
        <v>62.949374677737701</v>
      </c>
      <c r="O2646">
        <v>52.395445648781198</v>
      </c>
      <c r="P2646">
        <v>-3.4182554402010699E-2</v>
      </c>
      <c r="Q2646">
        <v>0.416704486721788</v>
      </c>
      <c r="R2646">
        <v>0.95872948491813104</v>
      </c>
      <c r="S2646" t="s">
        <v>8229</v>
      </c>
      <c r="T2646" t="s">
        <v>11164</v>
      </c>
      <c r="U2646" t="s">
        <v>11164</v>
      </c>
      <c r="V2646" t="s">
        <v>11164</v>
      </c>
      <c r="W2646" t="s">
        <v>13773</v>
      </c>
      <c r="X2646">
        <v>12</v>
      </c>
      <c r="Y2646" t="s">
        <v>19275</v>
      </c>
      <c r="Z2646" t="s">
        <v>24796</v>
      </c>
      <c r="AA2646">
        <v>0.75344947190853639</v>
      </c>
      <c r="AB2646" t="str">
        <f>HYPERLINK("Melting_Curves/meltCurve_P62834_RAP1A.pdf", "Melting_Curves/meltCurve_P62834_RAP1A.pdf")</f>
        <v>Melting_Curves/meltCurve_P62834_RAP1A.pdf</v>
      </c>
    </row>
    <row r="2647" spans="1:28" x14ac:dyDescent="0.25">
      <c r="A2647" t="s">
        <v>2651</v>
      </c>
      <c r="B2647">
        <v>0.99796759195183404</v>
      </c>
      <c r="C2647">
        <v>1.3207545286970199</v>
      </c>
      <c r="D2647">
        <v>1.2795414584407301</v>
      </c>
      <c r="E2647">
        <v>1.3582564851083301</v>
      </c>
      <c r="F2647">
        <v>1.2861891029907</v>
      </c>
      <c r="G2647">
        <v>0.64547740996667802</v>
      </c>
      <c r="H2647">
        <v>0.72912468591520496</v>
      </c>
      <c r="I2647">
        <v>0.50885412667030405</v>
      </c>
      <c r="J2647">
        <v>0.52324543861380601</v>
      </c>
      <c r="K2647">
        <v>0.28788092658703301</v>
      </c>
      <c r="L2647">
        <v>1203.6283371173699</v>
      </c>
      <c r="M2647">
        <v>20.977882940537299</v>
      </c>
      <c r="N2647">
        <v>61.041766114000197</v>
      </c>
      <c r="O2647">
        <v>56.862312617559503</v>
      </c>
      <c r="P2647">
        <v>-5.9200960728501797E-2</v>
      </c>
      <c r="Q2647">
        <v>0.35814060534140502</v>
      </c>
      <c r="R2647">
        <v>0.66406796453185801</v>
      </c>
      <c r="S2647" t="s">
        <v>8230</v>
      </c>
      <c r="T2647" t="s">
        <v>11164</v>
      </c>
      <c r="U2647" t="s">
        <v>11164</v>
      </c>
      <c r="V2647" t="s">
        <v>11164</v>
      </c>
      <c r="W2647" t="s">
        <v>13774</v>
      </c>
      <c r="X2647">
        <v>2</v>
      </c>
      <c r="Y2647" t="s">
        <v>19276</v>
      </c>
      <c r="Z2647" t="s">
        <v>24797</v>
      </c>
      <c r="AA2647">
        <v>0.7992280840590299</v>
      </c>
      <c r="AB2647" t="str">
        <f>HYPERLINK("Melting_Curves/meltCurve_P62837_UBE2D2.pdf", "Melting_Curves/meltCurve_P62837_UBE2D2.pdf")</f>
        <v>Melting_Curves/meltCurve_P62837_UBE2D2.pdf</v>
      </c>
    </row>
    <row r="2648" spans="1:28" x14ac:dyDescent="0.25">
      <c r="A2648" t="s">
        <v>2652</v>
      </c>
      <c r="B2648">
        <v>0.99796759195183404</v>
      </c>
      <c r="C2648">
        <v>0.98297623373422505</v>
      </c>
      <c r="D2648">
        <v>1.05834680239256</v>
      </c>
      <c r="E2648">
        <v>0.99538484465440902</v>
      </c>
      <c r="F2648">
        <v>0.83473143404663896</v>
      </c>
      <c r="G2648">
        <v>0.83888981122727702</v>
      </c>
      <c r="H2648">
        <v>0.90106679291992098</v>
      </c>
      <c r="I2648">
        <v>0.73068398055549</v>
      </c>
      <c r="J2648">
        <v>0.58844049614535698</v>
      </c>
      <c r="K2648">
        <v>0.37496915773713202</v>
      </c>
      <c r="L2648">
        <v>742.66204210886804</v>
      </c>
      <c r="M2648">
        <v>11.3475059027119</v>
      </c>
      <c r="N2648">
        <v>65.447160898772594</v>
      </c>
      <c r="O2648">
        <v>63.513460593335303</v>
      </c>
      <c r="P2648">
        <v>-4.46791202117401E-2</v>
      </c>
      <c r="Q2648">
        <v>0</v>
      </c>
      <c r="R2648">
        <v>0.904247476560192</v>
      </c>
      <c r="S2648" t="s">
        <v>8231</v>
      </c>
      <c r="T2648" t="s">
        <v>11164</v>
      </c>
      <c r="U2648" t="s">
        <v>11164</v>
      </c>
      <c r="V2648" t="s">
        <v>11164</v>
      </c>
      <c r="W2648" t="s">
        <v>13775</v>
      </c>
      <c r="X2648">
        <v>4</v>
      </c>
      <c r="Y2648" t="s">
        <v>19277</v>
      </c>
      <c r="Z2648" t="s">
        <v>24798</v>
      </c>
      <c r="AA2648">
        <v>0.86104644488153781</v>
      </c>
      <c r="AB2648" t="str">
        <f>HYPERLINK("Melting_Curves/meltCurve_P62851_RPS25.pdf", "Melting_Curves/meltCurve_P62851_RPS25.pdf")</f>
        <v>Melting_Curves/meltCurve_P62851_RPS25.pdf</v>
      </c>
    </row>
    <row r="2649" spans="1:28" x14ac:dyDescent="0.25">
      <c r="A2649" t="s">
        <v>2653</v>
      </c>
      <c r="B2649">
        <v>0.99796759195183404</v>
      </c>
      <c r="C2649">
        <v>0.92890072950140601</v>
      </c>
      <c r="D2649">
        <v>1.05232119304922</v>
      </c>
      <c r="E2649">
        <v>0.94914896469604804</v>
      </c>
      <c r="F2649">
        <v>0.81345384606859295</v>
      </c>
      <c r="G2649">
        <v>0.54880943181378505</v>
      </c>
      <c r="H2649">
        <v>0.55128564541920999</v>
      </c>
      <c r="I2649">
        <v>0.43016295855999398</v>
      </c>
      <c r="J2649">
        <v>0.36638741588969398</v>
      </c>
      <c r="K2649">
        <v>0.243289234782532</v>
      </c>
      <c r="L2649">
        <v>679.64820105112597</v>
      </c>
      <c r="M2649">
        <v>12.4860497522843</v>
      </c>
      <c r="N2649">
        <v>57.352820006277199</v>
      </c>
      <c r="O2649">
        <v>53.092940101905697</v>
      </c>
      <c r="P2649">
        <v>-4.4972662583152002E-2</v>
      </c>
      <c r="Q2649">
        <v>0.235230496034491</v>
      </c>
      <c r="R2649">
        <v>0.96221021960151099</v>
      </c>
      <c r="S2649" t="s">
        <v>8232</v>
      </c>
      <c r="T2649" t="s">
        <v>11164</v>
      </c>
      <c r="U2649" t="s">
        <v>11164</v>
      </c>
      <c r="V2649" t="s">
        <v>11164</v>
      </c>
      <c r="W2649" t="s">
        <v>13776</v>
      </c>
      <c r="X2649">
        <v>3</v>
      </c>
      <c r="Y2649" t="s">
        <v>19278</v>
      </c>
      <c r="Z2649" t="s">
        <v>24799</v>
      </c>
      <c r="AA2649">
        <v>0.69213971037668309</v>
      </c>
      <c r="AB2649" t="str">
        <f>HYPERLINK("Melting_Curves/meltCurve_P62854_RPS26.pdf", "Melting_Curves/meltCurve_P62854_RPS26.pdf")</f>
        <v>Melting_Curves/meltCurve_P62854_RPS26.pdf</v>
      </c>
    </row>
    <row r="2650" spans="1:28" x14ac:dyDescent="0.25">
      <c r="A2650" t="s">
        <v>2654</v>
      </c>
      <c r="B2650">
        <v>0.99796759195183404</v>
      </c>
      <c r="C2650">
        <v>1.0080918835088799</v>
      </c>
      <c r="D2650">
        <v>1.00371448002943</v>
      </c>
      <c r="E2650">
        <v>1.01495718436638</v>
      </c>
      <c r="F2650">
        <v>1.1491216433740199</v>
      </c>
      <c r="G2650">
        <v>0.73324721500747803</v>
      </c>
      <c r="H2650">
        <v>1.37790836099248</v>
      </c>
      <c r="I2650">
        <v>1.7846783382949201</v>
      </c>
      <c r="J2650">
        <v>3.3878803836003799</v>
      </c>
      <c r="K2650">
        <v>3.3326104946433599</v>
      </c>
      <c r="L2650">
        <v>14285.1449494424</v>
      </c>
      <c r="M2650">
        <v>250</v>
      </c>
      <c r="O2650">
        <v>57.136917688746898</v>
      </c>
      <c r="P2650">
        <v>0.54693179634183398</v>
      </c>
      <c r="Q2650">
        <v>1.5</v>
      </c>
      <c r="R2650">
        <v>0.17880690856925299</v>
      </c>
      <c r="S2650" t="s">
        <v>8233</v>
      </c>
      <c r="T2650" t="s">
        <v>11164</v>
      </c>
      <c r="U2650" t="s">
        <v>11164</v>
      </c>
      <c r="V2650" t="s">
        <v>11164</v>
      </c>
      <c r="W2650" t="s">
        <v>13777</v>
      </c>
      <c r="X2650">
        <v>13</v>
      </c>
      <c r="Y2650" t="s">
        <v>19279</v>
      </c>
      <c r="Z2650" t="s">
        <v>24800</v>
      </c>
      <c r="AA2650">
        <v>1.1642735296230531</v>
      </c>
      <c r="AB2650" t="str">
        <f>HYPERLINK("Melting_Curves/meltCurve_P62857_RPS28.pdf", "Melting_Curves/meltCurve_P62857_RPS28.pdf")</f>
        <v>Melting_Curves/meltCurve_P62857_RPS28.pdf</v>
      </c>
    </row>
    <row r="2651" spans="1:28" x14ac:dyDescent="0.25">
      <c r="A2651" t="s">
        <v>2655</v>
      </c>
      <c r="B2651">
        <v>0.99796759195183404</v>
      </c>
      <c r="C2651">
        <v>0.93627299106628104</v>
      </c>
      <c r="D2651">
        <v>0.93059874627612704</v>
      </c>
      <c r="E2651">
        <v>0.91598848491252904</v>
      </c>
      <c r="F2651">
        <v>0.82062066737251405</v>
      </c>
      <c r="G2651">
        <v>0.92026872880306798</v>
      </c>
      <c r="H2651">
        <v>0.73144601440632595</v>
      </c>
      <c r="I2651">
        <v>0.36939595306158501</v>
      </c>
      <c r="J2651">
        <v>0.11251149594778501</v>
      </c>
      <c r="K2651">
        <v>7.3595461987590594E-2</v>
      </c>
      <c r="L2651">
        <v>1424.4597823587401</v>
      </c>
      <c r="M2651">
        <v>23.931435364082201</v>
      </c>
      <c r="N2651">
        <v>59.522557487084001</v>
      </c>
      <c r="O2651">
        <v>59.111590792629102</v>
      </c>
      <c r="P2651">
        <v>-0.101214574565738</v>
      </c>
      <c r="Q2651">
        <v>0</v>
      </c>
      <c r="R2651">
        <v>0.959789139789473</v>
      </c>
      <c r="S2651" t="s">
        <v>8234</v>
      </c>
      <c r="T2651" t="s">
        <v>11164</v>
      </c>
      <c r="U2651" t="s">
        <v>11164</v>
      </c>
      <c r="V2651" t="s">
        <v>11164</v>
      </c>
      <c r="W2651" t="s">
        <v>13778</v>
      </c>
      <c r="X2651">
        <v>8</v>
      </c>
      <c r="Y2651" t="s">
        <v>19280</v>
      </c>
      <c r="Z2651" t="s">
        <v>24801</v>
      </c>
      <c r="AA2651">
        <v>0.7546200931745467</v>
      </c>
      <c r="AB2651" t="str">
        <f>HYPERLINK("Melting_Curves/meltCurve_P62873_GNB1.pdf", "Melting_Curves/meltCurve_P62873_GNB1.pdf")</f>
        <v>Melting_Curves/meltCurve_P62873_GNB1.pdf</v>
      </c>
    </row>
    <row r="2652" spans="1:28" x14ac:dyDescent="0.25">
      <c r="A2652" t="s">
        <v>2656</v>
      </c>
      <c r="B2652">
        <v>0.99796759195183404</v>
      </c>
      <c r="C2652">
        <v>0.95100965533365001</v>
      </c>
      <c r="D2652">
        <v>0.93931964984160699</v>
      </c>
      <c r="E2652">
        <v>0.96324873058423399</v>
      </c>
      <c r="F2652">
        <v>0.835901132416632</v>
      </c>
      <c r="G2652">
        <v>0.790611830073498</v>
      </c>
      <c r="H2652">
        <v>0.65543577247184703</v>
      </c>
      <c r="I2652">
        <v>0.275023181008625</v>
      </c>
      <c r="J2652">
        <v>0.15159348495656699</v>
      </c>
      <c r="K2652">
        <v>0.107806933468601</v>
      </c>
      <c r="L2652">
        <v>960.09037137019095</v>
      </c>
      <c r="M2652">
        <v>16.4744030924514</v>
      </c>
      <c r="N2652">
        <v>58.277703581344298</v>
      </c>
      <c r="O2652">
        <v>57.4393185934873</v>
      </c>
      <c r="P2652">
        <v>-7.1708522110487796E-2</v>
      </c>
      <c r="Q2652">
        <v>0</v>
      </c>
      <c r="R2652">
        <v>0.97533305208917997</v>
      </c>
      <c r="S2652" t="s">
        <v>8235</v>
      </c>
      <c r="T2652" t="s">
        <v>11164</v>
      </c>
      <c r="U2652" t="s">
        <v>11164</v>
      </c>
      <c r="V2652" t="s">
        <v>11164</v>
      </c>
      <c r="W2652" t="s">
        <v>13779</v>
      </c>
      <c r="X2652">
        <v>6</v>
      </c>
      <c r="Y2652" t="s">
        <v>19281</v>
      </c>
      <c r="Z2652" t="s">
        <v>24802</v>
      </c>
      <c r="AA2652">
        <v>0.7136806119746123</v>
      </c>
      <c r="AB2652" t="str">
        <f>HYPERLINK("Melting_Curves/meltCurve_P62879_GNB2.pdf", "Melting_Curves/meltCurve_P62879_GNB2.pdf")</f>
        <v>Melting_Curves/meltCurve_P62879_GNB2.pdf</v>
      </c>
    </row>
    <row r="2653" spans="1:28" x14ac:dyDescent="0.25">
      <c r="A2653" t="s">
        <v>2657</v>
      </c>
      <c r="B2653">
        <v>0.99796759195183404</v>
      </c>
      <c r="C2653">
        <v>0.88146624810605201</v>
      </c>
      <c r="D2653">
        <v>0.86202604509478098</v>
      </c>
      <c r="E2653">
        <v>0.90249661357968602</v>
      </c>
      <c r="F2653">
        <v>0.95668170346065995</v>
      </c>
      <c r="G2653">
        <v>0.80670372259803103</v>
      </c>
      <c r="H2653">
        <v>0.77628827732623096</v>
      </c>
      <c r="I2653">
        <v>1.0008664223032999</v>
      </c>
      <c r="J2653">
        <v>0.54892423784071998</v>
      </c>
      <c r="K2653">
        <v>0.39079829465657701</v>
      </c>
      <c r="L2653">
        <v>1230.3216276390101</v>
      </c>
      <c r="M2653">
        <v>18.746447305025299</v>
      </c>
      <c r="N2653">
        <v>65.629588781249296</v>
      </c>
      <c r="O2653">
        <v>64.896452427891106</v>
      </c>
      <c r="P2653">
        <v>-7.2219797296809399E-2</v>
      </c>
      <c r="Q2653">
        <v>0</v>
      </c>
      <c r="R2653">
        <v>0.59630096524992504</v>
      </c>
      <c r="S2653" t="s">
        <v>8236</v>
      </c>
      <c r="T2653" t="s">
        <v>11164</v>
      </c>
      <c r="U2653" t="s">
        <v>11164</v>
      </c>
      <c r="V2653" t="s">
        <v>11164</v>
      </c>
      <c r="W2653" t="s">
        <v>13780</v>
      </c>
      <c r="X2653">
        <v>3</v>
      </c>
      <c r="Y2653" t="s">
        <v>19282</v>
      </c>
      <c r="Z2653" t="s">
        <v>24803</v>
      </c>
      <c r="AA2653">
        <v>0.90284274611257986</v>
      </c>
      <c r="AB2653" t="str">
        <f>HYPERLINK("Melting_Curves/meltCurve_P62888_RPL30.pdf", "Melting_Curves/meltCurve_P62888_RPL30.pdf")</f>
        <v>Melting_Curves/meltCurve_P62888_RPL30.pdf</v>
      </c>
    </row>
    <row r="2654" spans="1:28" x14ac:dyDescent="0.25">
      <c r="A2654" t="s">
        <v>2658</v>
      </c>
      <c r="B2654">
        <v>0.99796759195183404</v>
      </c>
      <c r="C2654">
        <v>1.03639136913214</v>
      </c>
      <c r="D2654">
        <v>0.96309483879234103</v>
      </c>
      <c r="E2654">
        <v>1.0126686890074299</v>
      </c>
      <c r="F2654">
        <v>1.01412528382877</v>
      </c>
      <c r="G2654">
        <v>1.0422534813793001</v>
      </c>
      <c r="H2654">
        <v>0.72170246549817796</v>
      </c>
      <c r="I2654">
        <v>0.70198008575308601</v>
      </c>
      <c r="J2654">
        <v>0.29342162328037302</v>
      </c>
      <c r="K2654">
        <v>0.20627539341789</v>
      </c>
      <c r="L2654">
        <v>1246.6353579977899</v>
      </c>
      <c r="M2654">
        <v>20.038187944383399</v>
      </c>
      <c r="N2654">
        <v>62.212993667152801</v>
      </c>
      <c r="O2654">
        <v>61.603325683854003</v>
      </c>
      <c r="P2654">
        <v>-8.1322065704329496E-2</v>
      </c>
      <c r="Q2654">
        <v>0</v>
      </c>
      <c r="R2654">
        <v>0.95531483678318196</v>
      </c>
      <c r="S2654" t="s">
        <v>8237</v>
      </c>
      <c r="T2654" t="s">
        <v>11164</v>
      </c>
      <c r="U2654" t="s">
        <v>11164</v>
      </c>
      <c r="V2654" t="s">
        <v>11164</v>
      </c>
      <c r="W2654" t="s">
        <v>13781</v>
      </c>
      <c r="X2654">
        <v>4</v>
      </c>
      <c r="Y2654" t="s">
        <v>19283</v>
      </c>
      <c r="Z2654" t="s">
        <v>24804</v>
      </c>
      <c r="AA2654">
        <v>0.82880052568546325</v>
      </c>
      <c r="AB2654" t="str">
        <f>HYPERLINK("Melting_Curves/meltCurve_P62899_RPL31.pdf", "Melting_Curves/meltCurve_P62899_RPL31.pdf")</f>
        <v>Melting_Curves/meltCurve_P62899_RPL31.pdf</v>
      </c>
    </row>
    <row r="2655" spans="1:28" x14ac:dyDescent="0.25">
      <c r="A2655" t="s">
        <v>2659</v>
      </c>
      <c r="B2655">
        <v>0.99796759195183404</v>
      </c>
      <c r="C2655">
        <v>1.01697214436911</v>
      </c>
      <c r="D2655">
        <v>0.87722564756701404</v>
      </c>
      <c r="E2655">
        <v>1.28369802255369</v>
      </c>
      <c r="F2655">
        <v>1.5571584447501301</v>
      </c>
      <c r="G2655">
        <v>4.28934283850284</v>
      </c>
      <c r="H2655">
        <v>0.58220401382424303</v>
      </c>
      <c r="I2655">
        <v>0.993267342610202</v>
      </c>
      <c r="J2655">
        <v>0.743756550029125</v>
      </c>
      <c r="K2655">
        <v>1.0848461028494401</v>
      </c>
      <c r="L2655">
        <v>1650.7467063531501</v>
      </c>
      <c r="M2655">
        <v>26.751140110574099</v>
      </c>
      <c r="O2655">
        <v>61.365791390614902</v>
      </c>
      <c r="P2655">
        <v>-7.00039399402776E-3</v>
      </c>
      <c r="Q2655">
        <v>0.93576643199666898</v>
      </c>
      <c r="R2655">
        <v>-0.11336202292440101</v>
      </c>
      <c r="S2655" t="s">
        <v>8238</v>
      </c>
      <c r="T2655" t="s">
        <v>11164</v>
      </c>
      <c r="U2655" t="s">
        <v>11164</v>
      </c>
      <c r="V2655" t="s">
        <v>11164</v>
      </c>
      <c r="W2655" t="s">
        <v>13782</v>
      </c>
      <c r="X2655">
        <v>3</v>
      </c>
      <c r="Y2655" t="s">
        <v>19284</v>
      </c>
      <c r="Z2655" t="s">
        <v>24805</v>
      </c>
      <c r="AA2655">
        <v>0.98855978075888795</v>
      </c>
      <c r="AB2655" t="str">
        <f>HYPERLINK("Melting_Curves/meltCurve_P62906_RPL10A.pdf", "Melting_Curves/meltCurve_P62906_RPL10A.pdf")</f>
        <v>Melting_Curves/meltCurve_P62906_RPL10A.pdf</v>
      </c>
    </row>
    <row r="2656" spans="1:28" x14ac:dyDescent="0.25">
      <c r="A2656" t="s">
        <v>2660</v>
      </c>
      <c r="B2656">
        <v>0.99796759195183404</v>
      </c>
      <c r="C2656">
        <v>1.07771040916975</v>
      </c>
      <c r="D2656">
        <v>1.0592141561508399</v>
      </c>
      <c r="E2656">
        <v>0.96387703458894602</v>
      </c>
      <c r="F2656">
        <v>0.45376436016072702</v>
      </c>
      <c r="G2656">
        <v>0.35599014376083099</v>
      </c>
      <c r="H2656">
        <v>0.30572827510645001</v>
      </c>
      <c r="I2656">
        <v>0.27270254483411799</v>
      </c>
      <c r="J2656">
        <v>0.17399344720464599</v>
      </c>
      <c r="K2656">
        <v>0.15001791589094099</v>
      </c>
      <c r="L2656">
        <v>2099.9876267956201</v>
      </c>
      <c r="M2656">
        <v>42.652666683013003</v>
      </c>
      <c r="N2656">
        <v>50.0210557267445</v>
      </c>
      <c r="O2656">
        <v>49.126757986389698</v>
      </c>
      <c r="P2656">
        <v>-0.16402901327105601</v>
      </c>
      <c r="Q2656">
        <v>0.244295723797403</v>
      </c>
      <c r="R2656">
        <v>0.972893068729349</v>
      </c>
      <c r="S2656" t="s">
        <v>8239</v>
      </c>
      <c r="T2656" t="s">
        <v>11164</v>
      </c>
      <c r="U2656" t="s">
        <v>11164</v>
      </c>
      <c r="V2656" t="s">
        <v>11164</v>
      </c>
      <c r="W2656" t="s">
        <v>13783</v>
      </c>
      <c r="X2656">
        <v>5</v>
      </c>
      <c r="Y2656" t="s">
        <v>19285</v>
      </c>
      <c r="Z2656" t="s">
        <v>24806</v>
      </c>
      <c r="AA2656">
        <v>0.55474684643344918</v>
      </c>
      <c r="AB2656" t="str">
        <f>HYPERLINK("Melting_Curves/meltCurve_P62913_2_RPL11.pdf", "Melting_Curves/meltCurve_P62913_2_RPL11.pdf")</f>
        <v>Melting_Curves/meltCurve_P62913_2_RPL11.pdf</v>
      </c>
    </row>
    <row r="2657" spans="1:28" x14ac:dyDescent="0.25">
      <c r="A2657" t="s">
        <v>2661</v>
      </c>
      <c r="B2657">
        <v>0.99796759195183404</v>
      </c>
      <c r="C2657">
        <v>0.93585738108536198</v>
      </c>
      <c r="D2657">
        <v>0.92095131792523199</v>
      </c>
      <c r="E2657">
        <v>0.78459277440209896</v>
      </c>
      <c r="F2657">
        <v>0.59376158282446201</v>
      </c>
      <c r="G2657">
        <v>0.35579367902828501</v>
      </c>
      <c r="H2657">
        <v>0.16503208115486301</v>
      </c>
      <c r="I2657">
        <v>0.104104662853767</v>
      </c>
      <c r="J2657">
        <v>9.5208357223371204E-2</v>
      </c>
      <c r="K2657">
        <v>8.2826952629423495E-2</v>
      </c>
      <c r="L2657">
        <v>705.89670235354697</v>
      </c>
      <c r="M2657">
        <v>13.8398787406881</v>
      </c>
      <c r="N2657">
        <v>51.226449709587399</v>
      </c>
      <c r="O2657">
        <v>49.975056529619202</v>
      </c>
      <c r="P2657">
        <v>-6.7228876158569095E-2</v>
      </c>
      <c r="Q2657">
        <v>2.9094983995769701E-2</v>
      </c>
      <c r="R2657">
        <v>0.99634661060750196</v>
      </c>
      <c r="S2657" t="s">
        <v>8240</v>
      </c>
      <c r="T2657" t="s">
        <v>11164</v>
      </c>
      <c r="U2657" t="s">
        <v>11164</v>
      </c>
      <c r="V2657" t="s">
        <v>11164</v>
      </c>
      <c r="W2657" t="s">
        <v>13784</v>
      </c>
      <c r="X2657">
        <v>25</v>
      </c>
      <c r="Y2657" t="s">
        <v>19286</v>
      </c>
      <c r="Z2657" t="s">
        <v>24807</v>
      </c>
      <c r="AA2657">
        <v>0.5039464099576425</v>
      </c>
      <c r="AB2657" t="str">
        <f>HYPERLINK("Melting_Curves/meltCurve_P62937_PPIA.pdf", "Melting_Curves/meltCurve_P62937_PPIA.pdf")</f>
        <v>Melting_Curves/meltCurve_P62937_PPIA.pdf</v>
      </c>
    </row>
    <row r="2658" spans="1:28" x14ac:dyDescent="0.25">
      <c r="A2658" t="s">
        <v>2662</v>
      </c>
      <c r="B2658">
        <v>0.99796759195183404</v>
      </c>
      <c r="C2658">
        <v>0.89947387661933498</v>
      </c>
      <c r="D2658">
        <v>0.925852798987291</v>
      </c>
      <c r="E2658">
        <v>0.86256247534924901</v>
      </c>
      <c r="F2658">
        <v>0.73457815109468905</v>
      </c>
      <c r="G2658">
        <v>0.57366046413244698</v>
      </c>
      <c r="H2658">
        <v>0.579911080694266</v>
      </c>
      <c r="I2658">
        <v>0.41912074711005898</v>
      </c>
      <c r="J2658">
        <v>0.44733751037451303</v>
      </c>
      <c r="K2658">
        <v>0.35752927863337203</v>
      </c>
      <c r="L2658">
        <v>430.64605698749301</v>
      </c>
      <c r="M2658">
        <v>7.9875732041595997</v>
      </c>
      <c r="N2658">
        <v>58.817319960689503</v>
      </c>
      <c r="O2658">
        <v>50.849878268789503</v>
      </c>
      <c r="P2658">
        <v>-2.97586097364907E-2</v>
      </c>
      <c r="Q2658">
        <v>0.24307332207332999</v>
      </c>
      <c r="R2658">
        <v>0.97383440993241599</v>
      </c>
      <c r="S2658" t="s">
        <v>8241</v>
      </c>
      <c r="T2658" t="s">
        <v>11164</v>
      </c>
      <c r="U2658" t="s">
        <v>11164</v>
      </c>
      <c r="V2658" t="s">
        <v>11164</v>
      </c>
      <c r="W2658" t="s">
        <v>13785</v>
      </c>
      <c r="X2658">
        <v>4</v>
      </c>
      <c r="Y2658" t="s">
        <v>19287</v>
      </c>
      <c r="Z2658" t="s">
        <v>24808</v>
      </c>
      <c r="AA2658">
        <v>0.68135614359763619</v>
      </c>
      <c r="AB2658" t="str">
        <f>HYPERLINK("Melting_Curves/meltCurve_P62942_FKBP1A.pdf", "Melting_Curves/meltCurve_P62942_FKBP1A.pdf")</f>
        <v>Melting_Curves/meltCurve_P62942_FKBP1A.pdf</v>
      </c>
    </row>
    <row r="2659" spans="1:28" x14ac:dyDescent="0.25">
      <c r="A2659" t="s">
        <v>2663</v>
      </c>
      <c r="B2659">
        <v>0.99796759195183404</v>
      </c>
      <c r="C2659">
        <v>0.96588791126829299</v>
      </c>
      <c r="D2659">
        <v>0.96744492974458896</v>
      </c>
      <c r="E2659">
        <v>0.83844777116765101</v>
      </c>
      <c r="F2659">
        <v>0.68489922438402695</v>
      </c>
      <c r="G2659">
        <v>0.36787514249299103</v>
      </c>
      <c r="H2659">
        <v>0.44233330170347601</v>
      </c>
      <c r="I2659">
        <v>0.466025360752861</v>
      </c>
      <c r="J2659">
        <v>0.45066803927195698</v>
      </c>
      <c r="K2659">
        <v>0.41885668518305003</v>
      </c>
      <c r="L2659">
        <v>1230.2070551141001</v>
      </c>
      <c r="M2659">
        <v>25.1668232603562</v>
      </c>
      <c r="N2659">
        <v>52.827981758763201</v>
      </c>
      <c r="O2659">
        <v>48.576608582600201</v>
      </c>
      <c r="P2659">
        <v>-7.4645581983455597E-2</v>
      </c>
      <c r="Q2659">
        <v>0.42368877866930699</v>
      </c>
      <c r="R2659">
        <v>0.96643859806135002</v>
      </c>
      <c r="S2659" t="s">
        <v>8242</v>
      </c>
      <c r="T2659" t="s">
        <v>11164</v>
      </c>
      <c r="U2659" t="s">
        <v>11164</v>
      </c>
      <c r="V2659" t="s">
        <v>11164</v>
      </c>
      <c r="W2659" t="s">
        <v>13786</v>
      </c>
      <c r="X2659">
        <v>9</v>
      </c>
      <c r="Y2659" t="s">
        <v>19288</v>
      </c>
      <c r="Z2659" t="s">
        <v>24809</v>
      </c>
      <c r="AA2659">
        <v>0.65685647219791887</v>
      </c>
      <c r="AB2659" t="str">
        <f>HYPERLINK("Melting_Curves/meltCurve_P62979_RPS27A.pdf", "Melting_Curves/meltCurve_P62979_RPS27A.pdf")</f>
        <v>Melting_Curves/meltCurve_P62979_RPS27A.pdf</v>
      </c>
    </row>
    <row r="2660" spans="1:28" x14ac:dyDescent="0.25">
      <c r="A2660" t="s">
        <v>2664</v>
      </c>
      <c r="B2660">
        <v>0.99796759195183404</v>
      </c>
      <c r="C2660">
        <v>1.6041555713512501</v>
      </c>
      <c r="D2660">
        <v>1.1302067143685499</v>
      </c>
      <c r="E2660">
        <v>1.1402725223364201</v>
      </c>
      <c r="F2660">
        <v>1.0898556182899599</v>
      </c>
      <c r="G2660">
        <v>1.2979565371561299</v>
      </c>
      <c r="H2660">
        <v>1.0663377414808199</v>
      </c>
      <c r="I2660">
        <v>0.73015403385243505</v>
      </c>
      <c r="J2660">
        <v>0.91748246645450904</v>
      </c>
      <c r="K2660">
        <v>0.63499184910058004</v>
      </c>
      <c r="L2660">
        <v>1298.4787816939699</v>
      </c>
      <c r="M2660">
        <v>18.743079117536499</v>
      </c>
      <c r="Q2660">
        <v>0</v>
      </c>
      <c r="R2660">
        <v>0.178283440891157</v>
      </c>
      <c r="S2660" t="s">
        <v>8243</v>
      </c>
      <c r="T2660" t="s">
        <v>11164</v>
      </c>
      <c r="U2660" t="s">
        <v>11164</v>
      </c>
      <c r="V2660" t="s">
        <v>11164</v>
      </c>
      <c r="W2660" t="s">
        <v>13787</v>
      </c>
      <c r="X2660">
        <v>9</v>
      </c>
      <c r="Y2660" t="s">
        <v>19289</v>
      </c>
      <c r="Z2660" t="s">
        <v>24810</v>
      </c>
      <c r="AA2660">
        <v>0.95593286754342566</v>
      </c>
      <c r="AB2660" t="str">
        <f>HYPERLINK("Melting_Curves/meltCurve_P62987_UBA52.pdf", "Melting_Curves/meltCurve_P62987_UBA52.pdf")</f>
        <v>Melting_Curves/meltCurve_P62987_UBA52.pdf</v>
      </c>
    </row>
    <row r="2661" spans="1:28" x14ac:dyDescent="0.25">
      <c r="A2661" t="s">
        <v>2665</v>
      </c>
      <c r="B2661">
        <v>0.99796759195183404</v>
      </c>
      <c r="C2661">
        <v>1.0112038058122399</v>
      </c>
      <c r="D2661">
        <v>1.01975735548272</v>
      </c>
      <c r="E2661">
        <v>0.98697579518483702</v>
      </c>
      <c r="F2661">
        <v>0.89277058619948502</v>
      </c>
      <c r="G2661">
        <v>0.544407101527286</v>
      </c>
      <c r="H2661">
        <v>0.39698659024711802</v>
      </c>
      <c r="I2661">
        <v>0.24522559761815499</v>
      </c>
      <c r="J2661">
        <v>0.19942678013376</v>
      </c>
      <c r="K2661">
        <v>0.151594648871339</v>
      </c>
      <c r="L2661">
        <v>1117.5818178701199</v>
      </c>
      <c r="M2661">
        <v>20.6879392745332</v>
      </c>
      <c r="N2661">
        <v>55.0769459962318</v>
      </c>
      <c r="O2661">
        <v>53.523783318791601</v>
      </c>
      <c r="P2661">
        <v>-8.0811925229942405E-2</v>
      </c>
      <c r="Q2661">
        <v>0.16371822534055999</v>
      </c>
      <c r="R2661">
        <v>0.99360421635810503</v>
      </c>
      <c r="S2661" t="s">
        <v>8244</v>
      </c>
      <c r="T2661" t="s">
        <v>11164</v>
      </c>
      <c r="U2661" t="s">
        <v>11164</v>
      </c>
      <c r="V2661" t="s">
        <v>11164</v>
      </c>
      <c r="W2661" t="s">
        <v>13788</v>
      </c>
      <c r="X2661">
        <v>12</v>
      </c>
      <c r="Y2661" t="s">
        <v>19290</v>
      </c>
      <c r="Z2661" t="s">
        <v>24811</v>
      </c>
      <c r="AA2661">
        <v>0.64785883419914014</v>
      </c>
      <c r="AB2661" t="str">
        <f>HYPERLINK("Melting_Curves/meltCurve_P62993_GRB2.pdf", "Melting_Curves/meltCurve_P62993_GRB2.pdf")</f>
        <v>Melting_Curves/meltCurve_P62993_GRB2.pdf</v>
      </c>
    </row>
    <row r="2662" spans="1:28" x14ac:dyDescent="0.25">
      <c r="A2662" t="s">
        <v>2666</v>
      </c>
      <c r="B2662">
        <v>0.99796759195183404</v>
      </c>
      <c r="C2662">
        <v>1.1619553075782501</v>
      </c>
      <c r="D2662">
        <v>1.2730595997463501</v>
      </c>
      <c r="E2662">
        <v>0.99993899429272803</v>
      </c>
      <c r="F2662">
        <v>0.74735814663848399</v>
      </c>
      <c r="G2662">
        <v>0.57498820883337398</v>
      </c>
      <c r="H2662">
        <v>0.61439874983365195</v>
      </c>
      <c r="I2662">
        <v>0.71857158582463998</v>
      </c>
      <c r="J2662">
        <v>0.58255205004412502</v>
      </c>
      <c r="K2662">
        <v>0.40192180227929802</v>
      </c>
      <c r="L2662">
        <v>12529.7777426296</v>
      </c>
      <c r="M2662">
        <v>250</v>
      </c>
      <c r="O2662">
        <v>50.115906145538602</v>
      </c>
      <c r="P2662">
        <v>-0.52567335568753604</v>
      </c>
      <c r="Q2662">
        <v>0.57848647630705796</v>
      </c>
      <c r="R2662">
        <v>0.79157706171088205</v>
      </c>
      <c r="S2662" t="s">
        <v>8245</v>
      </c>
      <c r="T2662" t="s">
        <v>11164</v>
      </c>
      <c r="U2662" t="s">
        <v>11164</v>
      </c>
      <c r="V2662" t="s">
        <v>11164</v>
      </c>
      <c r="W2662" t="s">
        <v>13789</v>
      </c>
      <c r="X2662">
        <v>2</v>
      </c>
      <c r="Y2662" t="s">
        <v>19291</v>
      </c>
      <c r="Z2662" t="s">
        <v>24812</v>
      </c>
      <c r="AA2662">
        <v>0.76285297499978499</v>
      </c>
      <c r="AB2662" t="str">
        <f>HYPERLINK("Melting_Curves/meltCurve_P62995_3_TRA2B.pdf", "Melting_Curves/meltCurve_P62995_3_TRA2B.pdf")</f>
        <v>Melting_Curves/meltCurve_P62995_3_TRA2B.pdf</v>
      </c>
    </row>
    <row r="2663" spans="1:28" x14ac:dyDescent="0.25">
      <c r="A2663" t="s">
        <v>2667</v>
      </c>
      <c r="B2663">
        <v>0.99796759195183404</v>
      </c>
      <c r="C2663">
        <v>1.04783034546215</v>
      </c>
      <c r="D2663">
        <v>1.14915328157035</v>
      </c>
      <c r="E2663">
        <v>1.1219107930032399</v>
      </c>
      <c r="F2663">
        <v>0.85737657361112496</v>
      </c>
      <c r="G2663">
        <v>0.62653657964788501</v>
      </c>
      <c r="H2663">
        <v>0.554267504453685</v>
      </c>
      <c r="I2663">
        <v>0.37377848843799599</v>
      </c>
      <c r="J2663">
        <v>0.311607236231844</v>
      </c>
      <c r="K2663">
        <v>0.14160192012275999</v>
      </c>
      <c r="L2663">
        <v>834.246851550668</v>
      </c>
      <c r="M2663">
        <v>14.757601294789801</v>
      </c>
      <c r="N2663">
        <v>57.690781150641001</v>
      </c>
      <c r="O2663">
        <v>55.5224154469566</v>
      </c>
      <c r="P2663">
        <v>-5.7919358112349502E-2</v>
      </c>
      <c r="Q2663">
        <v>0.128455537470578</v>
      </c>
      <c r="R2663">
        <v>0.94126105260155501</v>
      </c>
      <c r="S2663" t="s">
        <v>8246</v>
      </c>
      <c r="T2663" t="s">
        <v>11164</v>
      </c>
      <c r="U2663" t="s">
        <v>11164</v>
      </c>
      <c r="V2663" t="s">
        <v>11164</v>
      </c>
      <c r="W2663" t="s">
        <v>13790</v>
      </c>
      <c r="X2663">
        <v>13</v>
      </c>
      <c r="Y2663" t="s">
        <v>19292</v>
      </c>
      <c r="Z2663" t="s">
        <v>24813</v>
      </c>
      <c r="AA2663">
        <v>0.70430593997390967</v>
      </c>
      <c r="AB2663" t="str">
        <f>HYPERLINK("Melting_Curves/meltCurve_P63000_RAC1.pdf", "Melting_Curves/meltCurve_P63000_RAC1.pdf")</f>
        <v>Melting_Curves/meltCurve_P63000_RAC1.pdf</v>
      </c>
    </row>
    <row r="2664" spans="1:28" x14ac:dyDescent="0.25">
      <c r="A2664" t="s">
        <v>2668</v>
      </c>
      <c r="B2664">
        <v>0.99796759195183404</v>
      </c>
      <c r="C2664">
        <v>0.99742728428628602</v>
      </c>
      <c r="D2664">
        <v>0.95620996193594798</v>
      </c>
      <c r="E2664">
        <v>0.92339601218988498</v>
      </c>
      <c r="F2664">
        <v>0.67746879624321099</v>
      </c>
      <c r="G2664">
        <v>0.77909976376309598</v>
      </c>
      <c r="H2664">
        <v>0.37131592637353</v>
      </c>
      <c r="I2664">
        <v>0.12542667036463601</v>
      </c>
      <c r="J2664">
        <v>8.9899103781918704E-2</v>
      </c>
      <c r="K2664">
        <v>6.0775790086828103E-2</v>
      </c>
      <c r="L2664">
        <v>853.52542150554598</v>
      </c>
      <c r="M2664">
        <v>15.385430937157601</v>
      </c>
      <c r="N2664">
        <v>55.476212264832697</v>
      </c>
      <c r="O2664">
        <v>54.5643590952116</v>
      </c>
      <c r="P2664">
        <v>-7.0498603108751001E-2</v>
      </c>
      <c r="Q2664">
        <v>0</v>
      </c>
      <c r="R2664">
        <v>0.95873730179655503</v>
      </c>
      <c r="S2664" t="s">
        <v>8247</v>
      </c>
      <c r="T2664" t="s">
        <v>11164</v>
      </c>
      <c r="U2664" t="s">
        <v>11164</v>
      </c>
      <c r="V2664" t="s">
        <v>11164</v>
      </c>
      <c r="W2664" t="s">
        <v>13791</v>
      </c>
      <c r="X2664">
        <v>18</v>
      </c>
      <c r="Y2664" t="s">
        <v>19293</v>
      </c>
      <c r="Z2664" t="s">
        <v>24814</v>
      </c>
      <c r="AA2664">
        <v>0.62872273009432245</v>
      </c>
      <c r="AB2664" t="str">
        <f>HYPERLINK("Melting_Curves/meltCurve_P63010_AP2B1.pdf", "Melting_Curves/meltCurve_P63010_AP2B1.pdf")</f>
        <v>Melting_Curves/meltCurve_P63010_AP2B1.pdf</v>
      </c>
    </row>
    <row r="2665" spans="1:28" x14ac:dyDescent="0.25">
      <c r="A2665" t="s">
        <v>2669</v>
      </c>
      <c r="B2665">
        <v>0.99796759195183404</v>
      </c>
      <c r="C2665">
        <v>0.94639789583268097</v>
      </c>
      <c r="D2665">
        <v>0.87922942465985299</v>
      </c>
      <c r="E2665">
        <v>0.85810990683729205</v>
      </c>
      <c r="F2665">
        <v>0.73801002814696104</v>
      </c>
      <c r="G2665">
        <v>0.72746067599125797</v>
      </c>
      <c r="H2665">
        <v>0.43114528734789298</v>
      </c>
      <c r="I2665">
        <v>0.220148298868654</v>
      </c>
      <c r="J2665">
        <v>0.14054084132192601</v>
      </c>
      <c r="K2665">
        <v>0.105289097699337</v>
      </c>
      <c r="L2665">
        <v>660.66382803835097</v>
      </c>
      <c r="M2665">
        <v>11.8424666726597</v>
      </c>
      <c r="N2665">
        <v>55.787687385619599</v>
      </c>
      <c r="O2665">
        <v>54.268251612545498</v>
      </c>
      <c r="P2665">
        <v>-5.4569067501781199E-2</v>
      </c>
      <c r="Q2665">
        <v>0</v>
      </c>
      <c r="R2665">
        <v>0.96850706338690495</v>
      </c>
      <c r="S2665" t="s">
        <v>8248</v>
      </c>
      <c r="T2665" t="s">
        <v>11164</v>
      </c>
      <c r="U2665" t="s">
        <v>11164</v>
      </c>
      <c r="V2665" t="s">
        <v>11164</v>
      </c>
      <c r="W2665" t="s">
        <v>13792</v>
      </c>
      <c r="X2665">
        <v>14</v>
      </c>
      <c r="Y2665" t="s">
        <v>19294</v>
      </c>
      <c r="Z2665" t="s">
        <v>24815</v>
      </c>
      <c r="AA2665">
        <v>0.63687179743747413</v>
      </c>
      <c r="AB2665" t="str">
        <f>HYPERLINK("Melting_Curves/meltCurve_P63092_GNAS.pdf", "Melting_Curves/meltCurve_P63092_GNAS.pdf")</f>
        <v>Melting_Curves/meltCurve_P63092_GNAS.pdf</v>
      </c>
    </row>
    <row r="2666" spans="1:28" x14ac:dyDescent="0.25">
      <c r="A2666" t="s">
        <v>2670</v>
      </c>
      <c r="B2666">
        <v>0.99796759195183404</v>
      </c>
      <c r="C2666">
        <v>0.95237386562334103</v>
      </c>
      <c r="D2666">
        <v>0.90471500453954201</v>
      </c>
      <c r="E2666">
        <v>0.89080533393915495</v>
      </c>
      <c r="F2666">
        <v>0.88191885848210305</v>
      </c>
      <c r="G2666">
        <v>0.83632348766249498</v>
      </c>
      <c r="H2666">
        <v>0.74962376488554405</v>
      </c>
      <c r="I2666">
        <v>0.44146026880593497</v>
      </c>
      <c r="J2666">
        <v>0.13462377764118399</v>
      </c>
      <c r="K2666">
        <v>0.10197834103794599</v>
      </c>
      <c r="L2666">
        <v>1183.2051546304399</v>
      </c>
      <c r="M2666">
        <v>19.790654975102999</v>
      </c>
      <c r="N2666">
        <v>59.786066144308002</v>
      </c>
      <c r="O2666">
        <v>59.185666062735201</v>
      </c>
      <c r="P2666">
        <v>-8.3598471964520804E-2</v>
      </c>
      <c r="Q2666">
        <v>0</v>
      </c>
      <c r="R2666">
        <v>0.95554076740543104</v>
      </c>
      <c r="S2666" t="s">
        <v>8249</v>
      </c>
      <c r="T2666" t="s">
        <v>11164</v>
      </c>
      <c r="U2666" t="s">
        <v>11164</v>
      </c>
      <c r="V2666" t="s">
        <v>11164</v>
      </c>
      <c r="W2666" t="s">
        <v>13793</v>
      </c>
      <c r="X2666">
        <v>15</v>
      </c>
      <c r="Y2666" t="s">
        <v>19295</v>
      </c>
      <c r="Z2666" t="s">
        <v>24816</v>
      </c>
      <c r="AA2666">
        <v>0.76070048380097233</v>
      </c>
      <c r="AB2666" t="str">
        <f>HYPERLINK("Melting_Curves/meltCurve_P63096_GNAI1.pdf", "Melting_Curves/meltCurve_P63096_GNAI1.pdf")</f>
        <v>Melting_Curves/meltCurve_P63096_GNAI1.pdf</v>
      </c>
    </row>
    <row r="2667" spans="1:28" x14ac:dyDescent="0.25">
      <c r="A2667" t="s">
        <v>2671</v>
      </c>
      <c r="B2667">
        <v>0.99796759195183404</v>
      </c>
      <c r="C2667">
        <v>1.0284295772743699</v>
      </c>
      <c r="D2667">
        <v>0.93659635527668095</v>
      </c>
      <c r="E2667">
        <v>0.90093705073498798</v>
      </c>
      <c r="F2667">
        <v>0.82858530244224704</v>
      </c>
      <c r="G2667">
        <v>0.65593708437023501</v>
      </c>
      <c r="H2667">
        <v>0.535340101060645</v>
      </c>
      <c r="I2667">
        <v>0.44854087110686502</v>
      </c>
      <c r="J2667">
        <v>0.25936062976283403</v>
      </c>
      <c r="K2667">
        <v>0.119788155286432</v>
      </c>
      <c r="L2667">
        <v>593.55318695031997</v>
      </c>
      <c r="M2667">
        <v>10.260900682891201</v>
      </c>
      <c r="N2667">
        <v>57.846109762749897</v>
      </c>
      <c r="O2667">
        <v>55.778173650753097</v>
      </c>
      <c r="P2667">
        <v>-4.6010035263596601E-2</v>
      </c>
      <c r="Q2667">
        <v>0</v>
      </c>
      <c r="R2667">
        <v>0.98222573246517797</v>
      </c>
      <c r="S2667" t="s">
        <v>8250</v>
      </c>
      <c r="T2667" t="s">
        <v>11164</v>
      </c>
      <c r="U2667" t="s">
        <v>11164</v>
      </c>
      <c r="V2667" t="s">
        <v>11164</v>
      </c>
      <c r="W2667" t="s">
        <v>13794</v>
      </c>
      <c r="X2667">
        <v>25</v>
      </c>
      <c r="Y2667" t="s">
        <v>19296</v>
      </c>
      <c r="Z2667" t="s">
        <v>24817</v>
      </c>
      <c r="AA2667">
        <v>0.6886828964618622</v>
      </c>
      <c r="AB2667" t="str">
        <f>HYPERLINK("Melting_Curves/meltCurve_P63104_YWHAZ.pdf", "Melting_Curves/meltCurve_P63104_YWHAZ.pdf")</f>
        <v>Melting_Curves/meltCurve_P63104_YWHAZ.pdf</v>
      </c>
    </row>
    <row r="2668" spans="1:28" x14ac:dyDescent="0.25">
      <c r="A2668" t="s">
        <v>2672</v>
      </c>
      <c r="B2668">
        <v>0.99796759195183404</v>
      </c>
      <c r="C2668">
        <v>1.0123685039838</v>
      </c>
      <c r="D2668">
        <v>0.97195670608512397</v>
      </c>
      <c r="E2668">
        <v>0.98282594980807403</v>
      </c>
      <c r="F2668">
        <v>0.92487095753126602</v>
      </c>
      <c r="G2668">
        <v>1.0236991374331501</v>
      </c>
      <c r="H2668">
        <v>0.93171122393614703</v>
      </c>
      <c r="I2668">
        <v>0.51788831847828698</v>
      </c>
      <c r="J2668">
        <v>0.22419008330262999</v>
      </c>
      <c r="K2668">
        <v>0.171990124009507</v>
      </c>
      <c r="L2668">
        <v>2710.0666362137799</v>
      </c>
      <c r="M2668">
        <v>44.7290024999715</v>
      </c>
      <c r="N2668">
        <v>61.1125917069336</v>
      </c>
      <c r="O2668">
        <v>60.467844754047903</v>
      </c>
      <c r="P2668">
        <v>-0.15547420078631399</v>
      </c>
      <c r="Q2668">
        <v>0.15927682611496</v>
      </c>
      <c r="R2668">
        <v>0.992620471293716</v>
      </c>
      <c r="S2668" t="s">
        <v>8251</v>
      </c>
      <c r="T2668" t="s">
        <v>11164</v>
      </c>
      <c r="U2668" t="s">
        <v>11164</v>
      </c>
      <c r="V2668" t="s">
        <v>11164</v>
      </c>
      <c r="W2668" t="s">
        <v>13795</v>
      </c>
      <c r="X2668">
        <v>16</v>
      </c>
      <c r="Y2668" t="s">
        <v>19297</v>
      </c>
      <c r="Z2668" t="s">
        <v>24818</v>
      </c>
      <c r="AA2668">
        <v>0.82246497618398073</v>
      </c>
      <c r="AB2668" t="str">
        <f>HYPERLINK("Melting_Curves/meltCurve_P63151_PPP2R2A.pdf", "Melting_Curves/meltCurve_P63151_PPP2R2A.pdf")</f>
        <v>Melting_Curves/meltCurve_P63151_PPP2R2A.pdf</v>
      </c>
    </row>
    <row r="2669" spans="1:28" x14ac:dyDescent="0.25">
      <c r="A2669" t="s">
        <v>2673</v>
      </c>
      <c r="B2669">
        <v>0.99796759195183404</v>
      </c>
      <c r="C2669">
        <v>0.99575764813643997</v>
      </c>
      <c r="D2669">
        <v>1.0204669811440501</v>
      </c>
      <c r="E2669">
        <v>1.0092728739065999</v>
      </c>
      <c r="F2669">
        <v>0.77481322075849801</v>
      </c>
      <c r="G2669">
        <v>0.54748801958540305</v>
      </c>
      <c r="H2669">
        <v>0.37175068085685697</v>
      </c>
      <c r="I2669">
        <v>0.38144836332526699</v>
      </c>
      <c r="J2669">
        <v>0.34101573308150701</v>
      </c>
      <c r="K2669">
        <v>0.41569504716233302</v>
      </c>
      <c r="L2669">
        <v>1463.11519172011</v>
      </c>
      <c r="M2669">
        <v>28.383135029544398</v>
      </c>
      <c r="N2669">
        <v>54.133210935221797</v>
      </c>
      <c r="O2669">
        <v>51.294899563943197</v>
      </c>
      <c r="P2669">
        <v>-8.7007180082355598E-2</v>
      </c>
      <c r="Q2669">
        <v>0.37103660261025501</v>
      </c>
      <c r="R2669">
        <v>0.99079475990379295</v>
      </c>
      <c r="S2669" t="s">
        <v>8252</v>
      </c>
      <c r="T2669" t="s">
        <v>11164</v>
      </c>
      <c r="U2669" t="s">
        <v>11164</v>
      </c>
      <c r="V2669" t="s">
        <v>11164</v>
      </c>
      <c r="W2669" t="s">
        <v>13796</v>
      </c>
      <c r="X2669">
        <v>4</v>
      </c>
      <c r="Y2669" t="s">
        <v>19298</v>
      </c>
      <c r="Z2669" t="s">
        <v>24819</v>
      </c>
      <c r="AA2669">
        <v>0.68044805378514606</v>
      </c>
      <c r="AB2669" t="str">
        <f>HYPERLINK("Melting_Curves/meltCurve_P63167_DYNLL1.pdf", "Melting_Curves/meltCurve_P63167_DYNLL1.pdf")</f>
        <v>Melting_Curves/meltCurve_P63167_DYNLL1.pdf</v>
      </c>
    </row>
    <row r="2670" spans="1:28" x14ac:dyDescent="0.25">
      <c r="A2670" t="s">
        <v>2674</v>
      </c>
      <c r="B2670">
        <v>0.99796759195183404</v>
      </c>
      <c r="C2670">
        <v>0.92386957497188604</v>
      </c>
      <c r="D2670">
        <v>0.83099585514711405</v>
      </c>
      <c r="E2670">
        <v>0.83035272420147099</v>
      </c>
      <c r="F2670">
        <v>0.81351985749700695</v>
      </c>
      <c r="G2670">
        <v>1.8171395318917101</v>
      </c>
      <c r="H2670">
        <v>0.42080777574573403</v>
      </c>
      <c r="I2670">
        <v>0.38021924696995302</v>
      </c>
      <c r="J2670">
        <v>0.32309197873502599</v>
      </c>
      <c r="K2670">
        <v>0.296528485846968</v>
      </c>
      <c r="L2670">
        <v>14241.5354393979</v>
      </c>
      <c r="M2670">
        <v>250</v>
      </c>
      <c r="N2670">
        <v>57.217494047560798</v>
      </c>
      <c r="O2670">
        <v>56.962496157972097</v>
      </c>
      <c r="P2670">
        <v>-0.73153495303980798</v>
      </c>
      <c r="Q2670">
        <v>0.33327908786009097</v>
      </c>
      <c r="R2670">
        <v>0.59052743808365604</v>
      </c>
      <c r="S2670" t="s">
        <v>8253</v>
      </c>
      <c r="T2670" t="s">
        <v>11164</v>
      </c>
      <c r="U2670" t="s">
        <v>11164</v>
      </c>
      <c r="V2670" t="s">
        <v>11164</v>
      </c>
      <c r="W2670" t="s">
        <v>13797</v>
      </c>
      <c r="X2670">
        <v>5</v>
      </c>
      <c r="Y2670" t="s">
        <v>19299</v>
      </c>
      <c r="Z2670" t="s">
        <v>24820</v>
      </c>
      <c r="AA2670">
        <v>0.77707388456260251</v>
      </c>
      <c r="AB2670" t="str">
        <f>HYPERLINK("Melting_Curves/meltCurve_P63173_RPL38.pdf", "Melting_Curves/meltCurve_P63173_RPL38.pdf")</f>
        <v>Melting_Curves/meltCurve_P63173_RPL38.pdf</v>
      </c>
    </row>
    <row r="2671" spans="1:28" x14ac:dyDescent="0.25">
      <c r="A2671" t="s">
        <v>2675</v>
      </c>
      <c r="B2671">
        <v>0.99796759195183404</v>
      </c>
      <c r="C2671">
        <v>0.87007910556019596</v>
      </c>
      <c r="D2671">
        <v>0.74061556746021995</v>
      </c>
      <c r="E2671">
        <v>0.681934072155159</v>
      </c>
      <c r="F2671">
        <v>1.0071140072893401</v>
      </c>
      <c r="G2671">
        <v>0.76244045840016295</v>
      </c>
      <c r="H2671">
        <v>0.80517027943267505</v>
      </c>
      <c r="I2671">
        <v>0.55310264885615301</v>
      </c>
      <c r="J2671">
        <v>0.56730404277097302</v>
      </c>
      <c r="K2671">
        <v>0.50289376830177301</v>
      </c>
      <c r="L2671">
        <v>209.591826946401</v>
      </c>
      <c r="M2671">
        <v>2.9028194102696201</v>
      </c>
      <c r="O2671">
        <v>52.383869814479702</v>
      </c>
      <c r="P2671">
        <v>-1.4323783863940001E-2</v>
      </c>
      <c r="Q2671">
        <v>0</v>
      </c>
      <c r="R2671">
        <v>0.56321850939088303</v>
      </c>
      <c r="S2671" t="s">
        <v>8254</v>
      </c>
      <c r="T2671" t="s">
        <v>11164</v>
      </c>
      <c r="U2671" t="s">
        <v>11164</v>
      </c>
      <c r="V2671" t="s">
        <v>11164</v>
      </c>
      <c r="W2671" t="s">
        <v>13798</v>
      </c>
      <c r="X2671">
        <v>5</v>
      </c>
      <c r="Y2671" t="s">
        <v>19300</v>
      </c>
      <c r="Z2671" t="s">
        <v>24821</v>
      </c>
      <c r="AA2671">
        <v>0.75369869386668242</v>
      </c>
      <c r="AB2671" t="str">
        <f>HYPERLINK("Melting_Curves/meltCurve_P63218_GNG5.pdf", "Melting_Curves/meltCurve_P63218_GNG5.pdf")</f>
        <v>Melting_Curves/meltCurve_P63218_GNG5.pdf</v>
      </c>
    </row>
    <row r="2672" spans="1:28" x14ac:dyDescent="0.25">
      <c r="A2672" t="s">
        <v>2676</v>
      </c>
      <c r="B2672">
        <v>0.99796759195183404</v>
      </c>
      <c r="C2672">
        <v>1.0944879572267101</v>
      </c>
      <c r="D2672">
        <v>1.0236600197824199</v>
      </c>
      <c r="E2672">
        <v>1.0415778043703701</v>
      </c>
      <c r="F2672">
        <v>1.10633050149943</v>
      </c>
      <c r="G2672">
        <v>0.77418917569155798</v>
      </c>
      <c r="H2672">
        <v>1.2174873113297</v>
      </c>
      <c r="I2672">
        <v>1.46389983647274</v>
      </c>
      <c r="J2672">
        <v>2.9702704118606502</v>
      </c>
      <c r="K2672">
        <v>3.31900489350339</v>
      </c>
      <c r="L2672">
        <v>10647.1430279787</v>
      </c>
      <c r="M2672">
        <v>185.228657932467</v>
      </c>
      <c r="O2672">
        <v>57.474382044521199</v>
      </c>
      <c r="P2672">
        <v>0.40285050497417801</v>
      </c>
      <c r="Q2672">
        <v>1.5</v>
      </c>
      <c r="R2672">
        <v>0.21752747292602401</v>
      </c>
      <c r="S2672" t="s">
        <v>8255</v>
      </c>
      <c r="T2672" t="s">
        <v>11164</v>
      </c>
      <c r="U2672" t="s">
        <v>11164</v>
      </c>
      <c r="V2672" t="s">
        <v>11164</v>
      </c>
      <c r="W2672" t="s">
        <v>13799</v>
      </c>
      <c r="X2672">
        <v>11</v>
      </c>
      <c r="Y2672" t="s">
        <v>19301</v>
      </c>
      <c r="Z2672" t="s">
        <v>24822</v>
      </c>
      <c r="AA2672">
        <v>1.1585567925783831</v>
      </c>
      <c r="AB2672" t="str">
        <f>HYPERLINK("Melting_Curves/meltCurve_P63220_RPS21.pdf", "Melting_Curves/meltCurve_P63220_RPS21.pdf")</f>
        <v>Melting_Curves/meltCurve_P63220_RPS21.pdf</v>
      </c>
    </row>
    <row r="2673" spans="1:28" x14ac:dyDescent="0.25">
      <c r="A2673" t="s">
        <v>2677</v>
      </c>
      <c r="B2673">
        <v>0.99796759195183404</v>
      </c>
      <c r="C2673">
        <v>0.98276306931287405</v>
      </c>
      <c r="D2673">
        <v>0.98310588237868102</v>
      </c>
      <c r="E2673">
        <v>0.92020524803386405</v>
      </c>
      <c r="F2673">
        <v>0.70840336823404404</v>
      </c>
      <c r="G2673">
        <v>0.30658815977592102</v>
      </c>
      <c r="H2673">
        <v>0.200399439406513</v>
      </c>
      <c r="I2673">
        <v>0.15400496795688001</v>
      </c>
      <c r="J2673">
        <v>0.16109162683824399</v>
      </c>
      <c r="K2673">
        <v>0.15718522892020401</v>
      </c>
      <c r="L2673">
        <v>1450.2016959433399</v>
      </c>
      <c r="M2673">
        <v>28.3360768561848</v>
      </c>
      <c r="N2673">
        <v>51.848819653262403</v>
      </c>
      <c r="O2673">
        <v>50.925780198852699</v>
      </c>
      <c r="P2673">
        <v>-0.117774853176235</v>
      </c>
      <c r="Q2673">
        <v>0.15334415046667199</v>
      </c>
      <c r="R2673">
        <v>0.99842167920686797</v>
      </c>
      <c r="S2673" t="s">
        <v>8256</v>
      </c>
      <c r="T2673" t="s">
        <v>11164</v>
      </c>
      <c r="U2673" t="s">
        <v>11164</v>
      </c>
      <c r="V2673" t="s">
        <v>11164</v>
      </c>
      <c r="W2673" t="s">
        <v>13800</v>
      </c>
      <c r="X2673">
        <v>15</v>
      </c>
      <c r="Y2673" t="s">
        <v>19302</v>
      </c>
      <c r="Z2673" t="s">
        <v>24823</v>
      </c>
      <c r="AA2673">
        <v>0.55939601580827103</v>
      </c>
      <c r="AB2673" t="str">
        <f>HYPERLINK("Melting_Curves/meltCurve_P63241_EIF5A.pdf", "Melting_Curves/meltCurve_P63241_EIF5A.pdf")</f>
        <v>Melting_Curves/meltCurve_P63241_EIF5A.pdf</v>
      </c>
    </row>
    <row r="2674" spans="1:28" x14ac:dyDescent="0.25">
      <c r="A2674" t="s">
        <v>2678</v>
      </c>
      <c r="B2674">
        <v>0.99796759195183404</v>
      </c>
      <c r="C2674">
        <v>1.0127669030070601</v>
      </c>
      <c r="D2674">
        <v>1.04472653816403</v>
      </c>
      <c r="E2674">
        <v>0.95651176147811301</v>
      </c>
      <c r="F2674">
        <v>0.68901216141395905</v>
      </c>
      <c r="G2674">
        <v>0.33532208966691501</v>
      </c>
      <c r="H2674">
        <v>0.24613353050818801</v>
      </c>
      <c r="I2674">
        <v>0.18179430309231101</v>
      </c>
      <c r="J2674">
        <v>0.122749469206827</v>
      </c>
      <c r="K2674">
        <v>8.8139561383289794E-2</v>
      </c>
      <c r="L2674">
        <v>1234.6668619541399</v>
      </c>
      <c r="M2674">
        <v>23.978006289448601</v>
      </c>
      <c r="N2674">
        <v>52.143505049191504</v>
      </c>
      <c r="O2674">
        <v>51.137502436347802</v>
      </c>
      <c r="P2674">
        <v>-0.102044269731849</v>
      </c>
      <c r="Q2674">
        <v>0.129501234085868</v>
      </c>
      <c r="R2674">
        <v>0.99366546359428098</v>
      </c>
      <c r="S2674" t="s">
        <v>8257</v>
      </c>
      <c r="T2674" t="s">
        <v>11164</v>
      </c>
      <c r="U2674" t="s">
        <v>11164</v>
      </c>
      <c r="V2674" t="s">
        <v>11164</v>
      </c>
      <c r="W2674" t="s">
        <v>13801</v>
      </c>
      <c r="X2674">
        <v>12</v>
      </c>
      <c r="Y2674" t="s">
        <v>19303</v>
      </c>
      <c r="Z2674" t="s">
        <v>24824</v>
      </c>
      <c r="AA2674">
        <v>0.55830640424887779</v>
      </c>
      <c r="AB2674" t="str">
        <f>HYPERLINK("Melting_Curves/meltCurve_P63244_GNB2L1.pdf", "Melting_Curves/meltCurve_P63244_GNB2L1.pdf")</f>
        <v>Melting_Curves/meltCurve_P63244_GNB2L1.pdf</v>
      </c>
    </row>
    <row r="2675" spans="1:28" x14ac:dyDescent="0.25">
      <c r="A2675" t="s">
        <v>2679</v>
      </c>
      <c r="B2675">
        <v>0.99796759195183404</v>
      </c>
      <c r="C2675">
        <v>1.1520638073382099</v>
      </c>
      <c r="D2675">
        <v>1.1757028771793101</v>
      </c>
      <c r="E2675">
        <v>1.0681341126010999</v>
      </c>
      <c r="F2675">
        <v>0.89440849322803995</v>
      </c>
      <c r="G2675">
        <v>0.76804378603700596</v>
      </c>
      <c r="H2675">
        <v>0.390369933129605</v>
      </c>
      <c r="I2675">
        <v>0.206326031413781</v>
      </c>
      <c r="J2675">
        <v>0.23248931576870599</v>
      </c>
      <c r="K2675">
        <v>0.20796415569652599</v>
      </c>
      <c r="L2675">
        <v>1644.1812269647901</v>
      </c>
      <c r="M2675">
        <v>29.7803990626402</v>
      </c>
      <c r="N2675">
        <v>56.150466117271002</v>
      </c>
      <c r="O2675">
        <v>54.9630262135111</v>
      </c>
      <c r="P2675">
        <v>-0.10886180889158199</v>
      </c>
      <c r="Q2675">
        <v>0.19633927015289701</v>
      </c>
      <c r="R2675">
        <v>0.95602246731412099</v>
      </c>
      <c r="S2675" t="s">
        <v>8258</v>
      </c>
      <c r="T2675" t="s">
        <v>11164</v>
      </c>
      <c r="U2675" t="s">
        <v>11164</v>
      </c>
      <c r="V2675" t="s">
        <v>11164</v>
      </c>
      <c r="W2675" t="s">
        <v>13802</v>
      </c>
      <c r="X2675">
        <v>2</v>
      </c>
      <c r="Y2675" t="s">
        <v>19304</v>
      </c>
      <c r="Z2675" t="s">
        <v>24825</v>
      </c>
      <c r="AA2675">
        <v>0.68931861802971595</v>
      </c>
      <c r="AB2675" t="str">
        <f>HYPERLINK("Melting_Curves/meltCurve_P63272_SUPT4H1.pdf", "Melting_Curves/meltCurve_P63272_SUPT4H1.pdf")</f>
        <v>Melting_Curves/meltCurve_P63272_SUPT4H1.pdf</v>
      </c>
    </row>
    <row r="2676" spans="1:28" x14ac:dyDescent="0.25">
      <c r="A2676" t="s">
        <v>2680</v>
      </c>
      <c r="B2676">
        <v>0.99796759195183404</v>
      </c>
      <c r="C2676">
        <v>1.0482211065537099</v>
      </c>
      <c r="D2676">
        <v>1.0192834405311999</v>
      </c>
      <c r="E2676">
        <v>0.96295753769280801</v>
      </c>
      <c r="F2676">
        <v>0.93603584912583704</v>
      </c>
      <c r="G2676">
        <v>1.0715739576405701</v>
      </c>
      <c r="H2676">
        <v>0.85388242357147603</v>
      </c>
      <c r="I2676">
        <v>0.67254749667362401</v>
      </c>
      <c r="J2676">
        <v>0.57775229571158904</v>
      </c>
      <c r="K2676">
        <v>0.225973400483376</v>
      </c>
      <c r="L2676">
        <v>1242.2666399416901</v>
      </c>
      <c r="M2676">
        <v>19.445262152332599</v>
      </c>
      <c r="N2676">
        <v>63.885331823628597</v>
      </c>
      <c r="O2676">
        <v>63.221180414724898</v>
      </c>
      <c r="P2676">
        <v>-7.6896593532726598E-2</v>
      </c>
      <c r="Q2676">
        <v>0</v>
      </c>
      <c r="R2676">
        <v>0.94854960811391698</v>
      </c>
      <c r="S2676" t="s">
        <v>8259</v>
      </c>
      <c r="T2676" t="s">
        <v>11164</v>
      </c>
      <c r="U2676" t="s">
        <v>11164</v>
      </c>
      <c r="V2676" t="s">
        <v>11164</v>
      </c>
      <c r="W2676" t="s">
        <v>13803</v>
      </c>
      <c r="X2676">
        <v>21</v>
      </c>
      <c r="Y2676" t="s">
        <v>19305</v>
      </c>
      <c r="Z2676" t="s">
        <v>24826</v>
      </c>
      <c r="AA2676">
        <v>0.86861916392473404</v>
      </c>
      <c r="AB2676" t="str">
        <f>HYPERLINK("Melting_Curves/meltCurve_P67775_PPP2CA.pdf", "Melting_Curves/meltCurve_P67775_PPP2CA.pdf")</f>
        <v>Melting_Curves/meltCurve_P67775_PPP2CA.pdf</v>
      </c>
    </row>
    <row r="2677" spans="1:28" x14ac:dyDescent="0.25">
      <c r="A2677" t="s">
        <v>2681</v>
      </c>
      <c r="B2677">
        <v>0.99796759195183404</v>
      </c>
      <c r="C2677">
        <v>1.0566788310069399</v>
      </c>
      <c r="D2677">
        <v>1.0997898142867499</v>
      </c>
      <c r="E2677">
        <v>1.1141713445796799</v>
      </c>
      <c r="F2677">
        <v>0.96405849860136095</v>
      </c>
      <c r="G2677">
        <v>0.66099819088937095</v>
      </c>
      <c r="H2677">
        <v>0.36240085849039599</v>
      </c>
      <c r="I2677">
        <v>0.28230896716625697</v>
      </c>
      <c r="J2677">
        <v>0.25157512606895299</v>
      </c>
      <c r="K2677">
        <v>0.21534927705860599</v>
      </c>
      <c r="L2677">
        <v>1786.4858578138601</v>
      </c>
      <c r="M2677">
        <v>32.924653529129799</v>
      </c>
      <c r="N2677">
        <v>55.379533866806398</v>
      </c>
      <c r="O2677">
        <v>54.060829923800704</v>
      </c>
      <c r="P2677">
        <v>-0.115252709908695</v>
      </c>
      <c r="Q2677">
        <v>0.243043917907344</v>
      </c>
      <c r="R2677">
        <v>0.97857012120511999</v>
      </c>
      <c r="S2677" t="s">
        <v>8260</v>
      </c>
      <c r="T2677" t="s">
        <v>11164</v>
      </c>
      <c r="U2677" t="s">
        <v>11164</v>
      </c>
      <c r="V2677" t="s">
        <v>11164</v>
      </c>
      <c r="W2677" t="s">
        <v>13804</v>
      </c>
      <c r="X2677">
        <v>9</v>
      </c>
      <c r="Y2677" t="s">
        <v>19306</v>
      </c>
      <c r="Z2677" t="s">
        <v>24827</v>
      </c>
      <c r="AA2677">
        <v>0.68261974580659912</v>
      </c>
      <c r="AB2677" t="str">
        <f>HYPERLINK("Melting_Curves/meltCurve_P67809_YBX1.pdf", "Melting_Curves/meltCurve_P67809_YBX1.pdf")</f>
        <v>Melting_Curves/meltCurve_P67809_YBX1.pdf</v>
      </c>
    </row>
    <row r="2678" spans="1:28" x14ac:dyDescent="0.25">
      <c r="A2678" t="s">
        <v>2682</v>
      </c>
      <c r="B2678">
        <v>0.99796759195183404</v>
      </c>
      <c r="C2678">
        <v>1.0189716338325501</v>
      </c>
      <c r="D2678">
        <v>1.0179917163563501</v>
      </c>
      <c r="E2678">
        <v>0.98455772872670699</v>
      </c>
      <c r="F2678">
        <v>0.88628163620558698</v>
      </c>
      <c r="G2678">
        <v>0.57477609613237302</v>
      </c>
      <c r="H2678">
        <v>0.66988557950882899</v>
      </c>
      <c r="I2678">
        <v>0.64118728846260198</v>
      </c>
      <c r="J2678">
        <v>0.81810054394582199</v>
      </c>
      <c r="K2678">
        <v>0.75170619710732001</v>
      </c>
      <c r="L2678">
        <v>12577.1102865015</v>
      </c>
      <c r="M2678">
        <v>250</v>
      </c>
      <c r="O2678">
        <v>50.305221714951799</v>
      </c>
      <c r="P2678">
        <v>-0.38374353731549499</v>
      </c>
      <c r="Q2678">
        <v>0.691131140590176</v>
      </c>
      <c r="R2678">
        <v>0.85616684210545901</v>
      </c>
      <c r="S2678" t="s">
        <v>8261</v>
      </c>
      <c r="T2678" t="s">
        <v>11164</v>
      </c>
      <c r="U2678" t="s">
        <v>11164</v>
      </c>
      <c r="V2678" t="s">
        <v>11164</v>
      </c>
      <c r="W2678" t="s">
        <v>13805</v>
      </c>
      <c r="X2678">
        <v>40</v>
      </c>
      <c r="Y2678" t="s">
        <v>17799</v>
      </c>
      <c r="Z2678" t="s">
        <v>24828</v>
      </c>
      <c r="AA2678">
        <v>0.82817717869551055</v>
      </c>
      <c r="AB2678" t="str">
        <f>HYPERLINK("Melting_Curves/meltCurve_P67936_TPM4.pdf", "Melting_Curves/meltCurve_P67936_TPM4.pdf")</f>
        <v>Melting_Curves/meltCurve_P67936_TPM4.pdf</v>
      </c>
    </row>
    <row r="2679" spans="1:28" x14ac:dyDescent="0.25">
      <c r="A2679" t="s">
        <v>2683</v>
      </c>
      <c r="B2679">
        <v>0.99796759195183404</v>
      </c>
      <c r="C2679">
        <v>1.14579751722703</v>
      </c>
      <c r="D2679">
        <v>1.2596963858132399</v>
      </c>
      <c r="E2679">
        <v>1.1426733667017299</v>
      </c>
      <c r="F2679">
        <v>1.13490503427247</v>
      </c>
      <c r="G2679">
        <v>0.43968167608987002</v>
      </c>
      <c r="H2679">
        <v>0.39832535632763699</v>
      </c>
      <c r="I2679">
        <v>0.41740498388283598</v>
      </c>
      <c r="J2679">
        <v>0.42730761329241002</v>
      </c>
      <c r="K2679">
        <v>0.30842488533992102</v>
      </c>
      <c r="L2679">
        <v>13321.9131335572</v>
      </c>
      <c r="M2679">
        <v>250</v>
      </c>
      <c r="N2679">
        <v>53.608211238536697</v>
      </c>
      <c r="O2679">
        <v>53.284243613080001</v>
      </c>
      <c r="P2679">
        <v>-0.71800586355908402</v>
      </c>
      <c r="Q2679">
        <v>0.38786562416207898</v>
      </c>
      <c r="R2679">
        <v>0.90326619115650197</v>
      </c>
      <c r="S2679" t="s">
        <v>8262</v>
      </c>
      <c r="T2679" t="s">
        <v>11164</v>
      </c>
      <c r="U2679" t="s">
        <v>11164</v>
      </c>
      <c r="V2679" t="s">
        <v>11164</v>
      </c>
      <c r="W2679" t="s">
        <v>13806</v>
      </c>
      <c r="X2679">
        <v>30</v>
      </c>
      <c r="Y2679" t="s">
        <v>19307</v>
      </c>
      <c r="Z2679" t="s">
        <v>24829</v>
      </c>
      <c r="AA2679">
        <v>0.72026393762080176</v>
      </c>
      <c r="AB2679" t="str">
        <f>HYPERLINK("Melting_Curves/meltCurve_P68032_ACTC1.pdf", "Melting_Curves/meltCurve_P68032_ACTC1.pdf")</f>
        <v>Melting_Curves/meltCurve_P68032_ACTC1.pdf</v>
      </c>
    </row>
    <row r="2680" spans="1:28" x14ac:dyDescent="0.25">
      <c r="A2680" t="s">
        <v>2684</v>
      </c>
      <c r="B2680">
        <v>0.99796759195183404</v>
      </c>
      <c r="C2680">
        <v>0.99371393587568302</v>
      </c>
      <c r="D2680">
        <v>0.97417366488710699</v>
      </c>
      <c r="E2680">
        <v>0.95640495129204395</v>
      </c>
      <c r="F2680">
        <v>0.77682694420196197</v>
      </c>
      <c r="G2680">
        <v>0.58478417303232799</v>
      </c>
      <c r="H2680">
        <v>0.51040496747229402</v>
      </c>
      <c r="I2680">
        <v>0.38220923242293497</v>
      </c>
      <c r="J2680">
        <v>0.311523776525506</v>
      </c>
      <c r="K2680">
        <v>0.226934004936929</v>
      </c>
      <c r="L2680">
        <v>643.50085801588796</v>
      </c>
      <c r="M2680">
        <v>11.720626959423999</v>
      </c>
      <c r="N2680">
        <v>56.869146388009703</v>
      </c>
      <c r="O2680">
        <v>53.378107107330699</v>
      </c>
      <c r="P2680">
        <v>-4.5762968315489101E-2</v>
      </c>
      <c r="Q2680">
        <v>0.166564825035668</v>
      </c>
      <c r="R2680">
        <v>0.99130219962885802</v>
      </c>
      <c r="S2680" t="s">
        <v>8263</v>
      </c>
      <c r="T2680" t="s">
        <v>11164</v>
      </c>
      <c r="U2680" t="s">
        <v>11164</v>
      </c>
      <c r="V2680" t="s">
        <v>11164</v>
      </c>
      <c r="W2680" t="s">
        <v>13807</v>
      </c>
      <c r="X2680">
        <v>11</v>
      </c>
      <c r="Y2680" t="s">
        <v>19308</v>
      </c>
      <c r="Z2680" t="s">
        <v>24830</v>
      </c>
      <c r="AA2680">
        <v>0.67597997562092982</v>
      </c>
      <c r="AB2680" t="str">
        <f>HYPERLINK("Melting_Curves/meltCurve_P68036_UBE2L3.pdf", "Melting_Curves/meltCurve_P68036_UBE2L3.pdf")</f>
        <v>Melting_Curves/meltCurve_P68036_UBE2L3.pdf</v>
      </c>
    </row>
    <row r="2681" spans="1:28" x14ac:dyDescent="0.25">
      <c r="A2681" t="s">
        <v>2685</v>
      </c>
      <c r="B2681">
        <v>0.99796759195183404</v>
      </c>
      <c r="C2681">
        <v>1.0740679200547301</v>
      </c>
      <c r="D2681">
        <v>1.07012391185842</v>
      </c>
      <c r="E2681">
        <v>1.04741145773471</v>
      </c>
      <c r="F2681">
        <v>0.87653706359361105</v>
      </c>
      <c r="G2681">
        <v>0.70158598992278498</v>
      </c>
      <c r="H2681">
        <v>0.28586714953110198</v>
      </c>
      <c r="I2681">
        <v>0.107511667418765</v>
      </c>
      <c r="J2681">
        <v>7.3804917102891596E-2</v>
      </c>
      <c r="K2681">
        <v>5.8830035620086103E-2</v>
      </c>
      <c r="L2681">
        <v>1442.68171221073</v>
      </c>
      <c r="M2681">
        <v>26.1507992440139</v>
      </c>
      <c r="N2681">
        <v>55.3614989930986</v>
      </c>
      <c r="O2681">
        <v>54.848215089178197</v>
      </c>
      <c r="P2681">
        <v>-0.113986170074135</v>
      </c>
      <c r="Q2681">
        <v>4.37206045565759E-2</v>
      </c>
      <c r="R2681">
        <v>0.99011921282050896</v>
      </c>
      <c r="S2681" t="s">
        <v>8264</v>
      </c>
      <c r="T2681" t="s">
        <v>11164</v>
      </c>
      <c r="U2681" t="s">
        <v>11164</v>
      </c>
      <c r="V2681" t="s">
        <v>11164</v>
      </c>
      <c r="W2681" t="s">
        <v>13808</v>
      </c>
      <c r="X2681">
        <v>36</v>
      </c>
      <c r="Y2681" t="s">
        <v>19309</v>
      </c>
      <c r="Z2681" t="s">
        <v>24831</v>
      </c>
      <c r="AA2681">
        <v>0.63039526017088565</v>
      </c>
      <c r="AB2681" t="str">
        <f>HYPERLINK("Melting_Curves/meltCurve_P68104_EEF1A1.pdf", "Melting_Curves/meltCurve_P68104_EEF1A1.pdf")</f>
        <v>Melting_Curves/meltCurve_P68104_EEF1A1.pdf</v>
      </c>
    </row>
    <row r="2682" spans="1:28" x14ac:dyDescent="0.25">
      <c r="A2682" t="s">
        <v>2686</v>
      </c>
      <c r="B2682">
        <v>0.99796759195183404</v>
      </c>
      <c r="C2682">
        <v>1.0250739441225301</v>
      </c>
      <c r="D2682">
        <v>1.01751600509481</v>
      </c>
      <c r="E2682">
        <v>0.94439455135027595</v>
      </c>
      <c r="F2682">
        <v>0.81789380243825105</v>
      </c>
      <c r="G2682">
        <v>0.60879826056841302</v>
      </c>
      <c r="H2682">
        <v>0.56711398600605301</v>
      </c>
      <c r="I2682">
        <v>0.37746541848960202</v>
      </c>
      <c r="J2682">
        <v>0.44847339363309202</v>
      </c>
      <c r="K2682">
        <v>0.407475344118025</v>
      </c>
      <c r="L2682">
        <v>944.02858349149199</v>
      </c>
      <c r="M2682">
        <v>17.977161309004</v>
      </c>
      <c r="N2682">
        <v>57.598832557568699</v>
      </c>
      <c r="O2682">
        <v>51.875789026477101</v>
      </c>
      <c r="P2682">
        <v>-5.2176589873206301E-2</v>
      </c>
      <c r="Q2682">
        <v>0.397776242926763</v>
      </c>
      <c r="R2682">
        <v>0.98248204123184601</v>
      </c>
      <c r="S2682" t="s">
        <v>8265</v>
      </c>
      <c r="T2682" t="s">
        <v>11164</v>
      </c>
      <c r="U2682" t="s">
        <v>11164</v>
      </c>
      <c r="V2682" t="s">
        <v>11164</v>
      </c>
      <c r="W2682" t="s">
        <v>13809</v>
      </c>
      <c r="X2682">
        <v>2</v>
      </c>
      <c r="Y2682" t="s">
        <v>19310</v>
      </c>
      <c r="Z2682" t="s">
        <v>24832</v>
      </c>
      <c r="AA2682">
        <v>0.71813815238113554</v>
      </c>
      <c r="AB2682" t="str">
        <f>HYPERLINK("Melting_Curves/meltCurve_P68106_FKBP1B.pdf", "Melting_Curves/meltCurve_P68106_FKBP1B.pdf")</f>
        <v>Melting_Curves/meltCurve_P68106_FKBP1B.pdf</v>
      </c>
    </row>
    <row r="2683" spans="1:28" x14ac:dyDescent="0.25">
      <c r="A2683" t="s">
        <v>2687</v>
      </c>
      <c r="B2683">
        <v>0.99796759195183404</v>
      </c>
      <c r="C2683">
        <v>1.17811137112666</v>
      </c>
      <c r="D2683">
        <v>1.0785269438565399</v>
      </c>
      <c r="E2683">
        <v>1.0102121270915301</v>
      </c>
      <c r="F2683">
        <v>0.80621369000936405</v>
      </c>
      <c r="G2683">
        <v>0.876370390890574</v>
      </c>
      <c r="H2683">
        <v>0.611227319479973</v>
      </c>
      <c r="I2683">
        <v>0.349206090200258</v>
      </c>
      <c r="J2683">
        <v>0.49007197005888098</v>
      </c>
      <c r="K2683">
        <v>0.33885909233928002</v>
      </c>
      <c r="L2683">
        <v>1049.3928008748901</v>
      </c>
      <c r="M2683">
        <v>18.676576247777199</v>
      </c>
      <c r="N2683">
        <v>59.648743772671402</v>
      </c>
      <c r="O2683">
        <v>55.5553644855936</v>
      </c>
      <c r="P2683">
        <v>-5.6242745139410598E-2</v>
      </c>
      <c r="Q2683">
        <v>0.33082959938655598</v>
      </c>
      <c r="R2683">
        <v>0.90175363452747503</v>
      </c>
      <c r="S2683" t="s">
        <v>8266</v>
      </c>
      <c r="T2683" t="s">
        <v>11164</v>
      </c>
      <c r="U2683" t="s">
        <v>11164</v>
      </c>
      <c r="V2683" t="s">
        <v>11164</v>
      </c>
      <c r="W2683" t="s">
        <v>13810</v>
      </c>
      <c r="X2683">
        <v>30</v>
      </c>
      <c r="Y2683" t="s">
        <v>19311</v>
      </c>
      <c r="Z2683" t="s">
        <v>24833</v>
      </c>
      <c r="AA2683">
        <v>0.7658414498460151</v>
      </c>
      <c r="AB2683" t="str">
        <f>HYPERLINK("Melting_Curves/meltCurve_P68133_ACTA1.pdf", "Melting_Curves/meltCurve_P68133_ACTA1.pdf")</f>
        <v>Melting_Curves/meltCurve_P68133_ACTA1.pdf</v>
      </c>
    </row>
    <row r="2684" spans="1:28" x14ac:dyDescent="0.25">
      <c r="A2684" t="s">
        <v>2688</v>
      </c>
      <c r="B2684">
        <v>0.99796759195183404</v>
      </c>
      <c r="C2684">
        <v>0.996737009921985</v>
      </c>
      <c r="D2684">
        <v>0.96606255688611697</v>
      </c>
      <c r="E2684">
        <v>0.96628088451013106</v>
      </c>
      <c r="F2684">
        <v>0.82029815471540601</v>
      </c>
      <c r="G2684">
        <v>0.78999845659321399</v>
      </c>
      <c r="H2684">
        <v>0.54589836192174102</v>
      </c>
      <c r="I2684">
        <v>0.38938333752341803</v>
      </c>
      <c r="J2684">
        <v>0.17622619500887701</v>
      </c>
      <c r="K2684">
        <v>8.5061212154257299E-2</v>
      </c>
      <c r="L2684">
        <v>820.53069197044204</v>
      </c>
      <c r="M2684">
        <v>14.123708430665401</v>
      </c>
      <c r="N2684">
        <v>58.095980721322803</v>
      </c>
      <c r="O2684">
        <v>56.968531974897701</v>
      </c>
      <c r="P2684">
        <v>-6.1988244333878E-2</v>
      </c>
      <c r="Q2684">
        <v>0</v>
      </c>
      <c r="R2684">
        <v>0.98668527080452495</v>
      </c>
      <c r="S2684" t="s">
        <v>8267</v>
      </c>
      <c r="T2684" t="s">
        <v>11164</v>
      </c>
      <c r="U2684" t="s">
        <v>11164</v>
      </c>
      <c r="V2684" t="s">
        <v>11164</v>
      </c>
      <c r="W2684" t="s">
        <v>13811</v>
      </c>
      <c r="X2684">
        <v>36</v>
      </c>
      <c r="Y2684" t="s">
        <v>19312</v>
      </c>
      <c r="Z2684" t="s">
        <v>24834</v>
      </c>
      <c r="AA2684">
        <v>0.70572589845192402</v>
      </c>
      <c r="AB2684" t="str">
        <f>HYPERLINK("Melting_Curves/meltCurve_P68363_TUBA1B.pdf", "Melting_Curves/meltCurve_P68363_TUBA1B.pdf")</f>
        <v>Melting_Curves/meltCurve_P68363_TUBA1B.pdf</v>
      </c>
    </row>
    <row r="2685" spans="1:28" x14ac:dyDescent="0.25">
      <c r="A2685" t="s">
        <v>2689</v>
      </c>
      <c r="B2685">
        <v>0.99796759195183404</v>
      </c>
      <c r="C2685">
        <v>0.99916798095248305</v>
      </c>
      <c r="D2685">
        <v>1.0084211944945101</v>
      </c>
      <c r="E2685">
        <v>0.96878142660889099</v>
      </c>
      <c r="F2685">
        <v>0.846212997551548</v>
      </c>
      <c r="G2685">
        <v>0.83050054497376302</v>
      </c>
      <c r="H2685">
        <v>0.66639682539690404</v>
      </c>
      <c r="I2685">
        <v>0.45023422728248003</v>
      </c>
      <c r="J2685">
        <v>0.19966523161606201</v>
      </c>
      <c r="K2685">
        <v>7.4310207399014797E-2</v>
      </c>
      <c r="L2685">
        <v>966.68010717419395</v>
      </c>
      <c r="M2685">
        <v>16.276028896920899</v>
      </c>
      <c r="N2685">
        <v>59.392873026849998</v>
      </c>
      <c r="O2685">
        <v>58.5180017837286</v>
      </c>
      <c r="P2685">
        <v>-6.9539379847746302E-2</v>
      </c>
      <c r="Q2685">
        <v>0</v>
      </c>
      <c r="R2685">
        <v>0.98103323996242897</v>
      </c>
      <c r="S2685" t="s">
        <v>8268</v>
      </c>
      <c r="T2685" t="s">
        <v>11164</v>
      </c>
      <c r="U2685" t="s">
        <v>11164</v>
      </c>
      <c r="V2685" t="s">
        <v>11164</v>
      </c>
      <c r="W2685" t="s">
        <v>13812</v>
      </c>
      <c r="X2685">
        <v>41</v>
      </c>
      <c r="Y2685" t="s">
        <v>19313</v>
      </c>
      <c r="Z2685" t="s">
        <v>24835</v>
      </c>
      <c r="AA2685">
        <v>0.74558709618801877</v>
      </c>
      <c r="AB2685" t="str">
        <f>HYPERLINK("Melting_Curves/meltCurve_P68371_TUBB4B.pdf", "Melting_Curves/meltCurve_P68371_TUBB4B.pdf")</f>
        <v>Melting_Curves/meltCurve_P68371_TUBB4B.pdf</v>
      </c>
    </row>
    <row r="2686" spans="1:28" x14ac:dyDescent="0.25">
      <c r="A2686" t="s">
        <v>2690</v>
      </c>
      <c r="B2686">
        <v>0.99796759195183404</v>
      </c>
      <c r="C2686">
        <v>1.07605540373341</v>
      </c>
      <c r="D2686">
        <v>0.88411175563434896</v>
      </c>
      <c r="E2686">
        <v>0.68837557590444998</v>
      </c>
      <c r="F2686">
        <v>0.715536337645715</v>
      </c>
      <c r="G2686">
        <v>0.43735126788651002</v>
      </c>
      <c r="H2686">
        <v>0.26091365947967399</v>
      </c>
      <c r="I2686">
        <v>0.19633683949226899</v>
      </c>
      <c r="J2686">
        <v>0.17900602111068301</v>
      </c>
      <c r="K2686">
        <v>0.136418447822654</v>
      </c>
      <c r="L2686">
        <v>572.13916642167396</v>
      </c>
      <c r="M2686">
        <v>11.019125813152501</v>
      </c>
      <c r="N2686">
        <v>52.495247182426702</v>
      </c>
      <c r="O2686">
        <v>50.300234964716097</v>
      </c>
      <c r="P2686">
        <v>-5.1681505713622497E-2</v>
      </c>
      <c r="Q2686">
        <v>5.6650774240662699E-2</v>
      </c>
      <c r="R2686">
        <v>0.96962583504495004</v>
      </c>
      <c r="S2686" t="s">
        <v>8269</v>
      </c>
      <c r="T2686" t="s">
        <v>11164</v>
      </c>
      <c r="U2686" t="s">
        <v>11164</v>
      </c>
      <c r="V2686" t="s">
        <v>11164</v>
      </c>
      <c r="W2686" t="s">
        <v>13813</v>
      </c>
      <c r="X2686">
        <v>6</v>
      </c>
      <c r="Y2686" t="s">
        <v>19314</v>
      </c>
      <c r="Z2686" t="s">
        <v>24836</v>
      </c>
      <c r="AA2686">
        <v>0.54992860838745039</v>
      </c>
      <c r="AB2686" t="str">
        <f>HYPERLINK("Melting_Curves/meltCurve_P68402_PAFAH1B2.pdf", "Melting_Curves/meltCurve_P68402_PAFAH1B2.pdf")</f>
        <v>Melting_Curves/meltCurve_P68402_PAFAH1B2.pdf</v>
      </c>
    </row>
    <row r="2687" spans="1:28" x14ac:dyDescent="0.25">
      <c r="A2687" t="s">
        <v>2691</v>
      </c>
      <c r="B2687">
        <v>0.99796759195183404</v>
      </c>
      <c r="C2687">
        <v>0.99712079006558196</v>
      </c>
      <c r="D2687">
        <v>0.85074156906254395</v>
      </c>
      <c r="E2687">
        <v>0.94885404079897095</v>
      </c>
      <c r="F2687">
        <v>1.05384972322934</v>
      </c>
      <c r="G2687">
        <v>1.14549130879535</v>
      </c>
      <c r="H2687">
        <v>1.2673139049134801</v>
      </c>
      <c r="I2687">
        <v>1.08246005097022</v>
      </c>
      <c r="J2687">
        <v>0.77439909757327796</v>
      </c>
      <c r="K2687">
        <v>0.312827643928483</v>
      </c>
      <c r="L2687">
        <v>15000</v>
      </c>
      <c r="M2687">
        <v>233.29336087951199</v>
      </c>
      <c r="N2687">
        <v>64.568594132566403</v>
      </c>
      <c r="O2687">
        <v>64.292004410386397</v>
      </c>
      <c r="P2687">
        <v>-0.62342851627122997</v>
      </c>
      <c r="Q2687">
        <v>0.31277137922472598</v>
      </c>
      <c r="R2687">
        <v>0.79411136125522697</v>
      </c>
      <c r="S2687" t="s">
        <v>8270</v>
      </c>
      <c r="T2687" t="s">
        <v>11164</v>
      </c>
      <c r="U2687" t="s">
        <v>11164</v>
      </c>
      <c r="V2687" t="s">
        <v>11164</v>
      </c>
      <c r="W2687" t="s">
        <v>13814</v>
      </c>
      <c r="X2687">
        <v>4</v>
      </c>
      <c r="Y2687" t="s">
        <v>19315</v>
      </c>
      <c r="Z2687" t="s">
        <v>24837</v>
      </c>
      <c r="AA2687">
        <v>0.93816298203230286</v>
      </c>
      <c r="AB2687" t="str">
        <f>HYPERLINK("Melting_Curves/meltCurve_P68871_HBB.pdf", "Melting_Curves/meltCurve_P68871_HBB.pdf")</f>
        <v>Melting_Curves/meltCurve_P68871_HBB.pdf</v>
      </c>
    </row>
    <row r="2688" spans="1:28" x14ac:dyDescent="0.25">
      <c r="A2688" t="s">
        <v>2692</v>
      </c>
      <c r="B2688">
        <v>0.99796759195183404</v>
      </c>
      <c r="C2688">
        <v>1.0093999714515001</v>
      </c>
      <c r="D2688">
        <v>0.90361292683866301</v>
      </c>
      <c r="E2688">
        <v>0.88720195403499902</v>
      </c>
      <c r="F2688">
        <v>0.80779357903997195</v>
      </c>
      <c r="G2688">
        <v>0.85222169717749496</v>
      </c>
      <c r="H2688">
        <v>0.654928542077024</v>
      </c>
      <c r="I2688">
        <v>0.50390107649215199</v>
      </c>
      <c r="J2688">
        <v>0.30873784936555398</v>
      </c>
      <c r="K2688">
        <v>0.19681147073220401</v>
      </c>
      <c r="L2688">
        <v>658.71395584953098</v>
      </c>
      <c r="M2688">
        <v>10.949059093389399</v>
      </c>
      <c r="N2688">
        <v>60.161695213408599</v>
      </c>
      <c r="O2688">
        <v>58.2592523538774</v>
      </c>
      <c r="P2688">
        <v>-4.7000333808709598E-2</v>
      </c>
      <c r="Q2688">
        <v>0</v>
      </c>
      <c r="R2688">
        <v>0.95829873823766598</v>
      </c>
      <c r="S2688" t="s">
        <v>8271</v>
      </c>
      <c r="T2688" t="s">
        <v>11164</v>
      </c>
      <c r="U2688" t="s">
        <v>11164</v>
      </c>
      <c r="V2688" t="s">
        <v>11164</v>
      </c>
      <c r="W2688" t="s">
        <v>13815</v>
      </c>
      <c r="X2688">
        <v>5</v>
      </c>
      <c r="Y2688" t="s">
        <v>19316</v>
      </c>
      <c r="Z2688" t="s">
        <v>24838</v>
      </c>
      <c r="AA2688">
        <v>0.74923618829007244</v>
      </c>
      <c r="AB2688" t="str">
        <f>HYPERLINK("Melting_Curves/meltCurve_P69892_HBG2.pdf", "Melting_Curves/meltCurve_P69892_HBG2.pdf")</f>
        <v>Melting_Curves/meltCurve_P69892_HBG2.pdf</v>
      </c>
    </row>
    <row r="2689" spans="1:28" x14ac:dyDescent="0.25">
      <c r="A2689" t="s">
        <v>2693</v>
      </c>
      <c r="B2689">
        <v>0.99796759195183404</v>
      </c>
      <c r="C2689">
        <v>1.0186552788257299</v>
      </c>
      <c r="D2689">
        <v>1.0173112997918501</v>
      </c>
      <c r="E2689">
        <v>0.99569584969083202</v>
      </c>
      <c r="F2689">
        <v>0.85092383077431799</v>
      </c>
      <c r="G2689">
        <v>0.57585522282192003</v>
      </c>
      <c r="H2689">
        <v>0.61231522592865095</v>
      </c>
      <c r="I2689">
        <v>0.56184930208143402</v>
      </c>
      <c r="J2689">
        <v>0.76306563349728695</v>
      </c>
      <c r="K2689">
        <v>0.72676198324663099</v>
      </c>
      <c r="L2689">
        <v>12565.487880380901</v>
      </c>
      <c r="M2689">
        <v>250</v>
      </c>
      <c r="O2689">
        <v>50.258735104028702</v>
      </c>
      <c r="P2689">
        <v>-0.43777281785690197</v>
      </c>
      <c r="Q2689">
        <v>0.64796947109621805</v>
      </c>
      <c r="R2689">
        <v>0.89455474712614302</v>
      </c>
      <c r="S2689" t="s">
        <v>8272</v>
      </c>
      <c r="T2689" t="s">
        <v>11164</v>
      </c>
      <c r="U2689" t="s">
        <v>11164</v>
      </c>
      <c r="V2689" t="s">
        <v>11164</v>
      </c>
      <c r="W2689" t="s">
        <v>13816</v>
      </c>
      <c r="X2689">
        <v>12</v>
      </c>
      <c r="Y2689" t="s">
        <v>19317</v>
      </c>
      <c r="Z2689" t="s">
        <v>24839</v>
      </c>
      <c r="AA2689">
        <v>0.80362091695090343</v>
      </c>
      <c r="AB2689" t="str">
        <f>HYPERLINK("Melting_Curves/meltCurve_P78310_CXADR.pdf", "Melting_Curves/meltCurve_P78310_CXADR.pdf")</f>
        <v>Melting_Curves/meltCurve_P78310_CXADR.pdf</v>
      </c>
    </row>
    <row r="2690" spans="1:28" x14ac:dyDescent="0.25">
      <c r="A2690" t="s">
        <v>2694</v>
      </c>
      <c r="B2690">
        <v>0.99796759195183404</v>
      </c>
      <c r="C2690">
        <v>0.97122894212015298</v>
      </c>
      <c r="D2690">
        <v>0.97802718025810598</v>
      </c>
      <c r="E2690">
        <v>0.90300927247725904</v>
      </c>
      <c r="F2690">
        <v>0.75205226553618698</v>
      </c>
      <c r="G2690">
        <v>0.44706074547362601</v>
      </c>
      <c r="H2690">
        <v>0.29268737660151301</v>
      </c>
      <c r="I2690">
        <v>0.201066668881623</v>
      </c>
      <c r="J2690">
        <v>0.14264115460389501</v>
      </c>
      <c r="K2690">
        <v>0.124011017536583</v>
      </c>
      <c r="L2690">
        <v>899.91627138726597</v>
      </c>
      <c r="M2690">
        <v>17.096977400017099</v>
      </c>
      <c r="N2690">
        <v>53.400487547491302</v>
      </c>
      <c r="O2690">
        <v>51.931719083008701</v>
      </c>
      <c r="P2690">
        <v>-7.3374790551925001E-2</v>
      </c>
      <c r="Q2690">
        <v>0.10855633078041201</v>
      </c>
      <c r="R2690">
        <v>0.99817756832222104</v>
      </c>
      <c r="S2690" t="s">
        <v>8273</v>
      </c>
      <c r="T2690" t="s">
        <v>11164</v>
      </c>
      <c r="U2690" t="s">
        <v>11164</v>
      </c>
      <c r="V2690" t="s">
        <v>11164</v>
      </c>
      <c r="W2690" t="s">
        <v>13817</v>
      </c>
      <c r="X2690">
        <v>14</v>
      </c>
      <c r="Y2690" t="s">
        <v>19318</v>
      </c>
      <c r="Z2690" t="s">
        <v>24840</v>
      </c>
      <c r="AA2690">
        <v>0.58725859758088816</v>
      </c>
      <c r="AB2690" t="str">
        <f>HYPERLINK("Melting_Curves/meltCurve_P78318_IGBP1.pdf", "Melting_Curves/meltCurve_P78318_IGBP1.pdf")</f>
        <v>Melting_Curves/meltCurve_P78318_IGBP1.pdf</v>
      </c>
    </row>
    <row r="2691" spans="1:28" x14ac:dyDescent="0.25">
      <c r="A2691" t="s">
        <v>2695</v>
      </c>
      <c r="B2691">
        <v>0.99796759195183404</v>
      </c>
      <c r="C2691">
        <v>0.95725884211984102</v>
      </c>
      <c r="D2691">
        <v>0.98015464954328602</v>
      </c>
      <c r="E2691">
        <v>0.92683120473266101</v>
      </c>
      <c r="F2691">
        <v>0.82304068085409499</v>
      </c>
      <c r="G2691">
        <v>0.63113852434883</v>
      </c>
      <c r="H2691">
        <v>0.61076200128667801</v>
      </c>
      <c r="I2691">
        <v>0.555457928752914</v>
      </c>
      <c r="J2691">
        <v>0.69629425452053495</v>
      </c>
      <c r="K2691">
        <v>0.572869270825624</v>
      </c>
      <c r="L2691">
        <v>1327.7513015161001</v>
      </c>
      <c r="M2691">
        <v>26.481771878491799</v>
      </c>
      <c r="O2691">
        <v>49.855011085912103</v>
      </c>
      <c r="P2691">
        <v>-5.2983811578958498E-2</v>
      </c>
      <c r="Q2691">
        <v>0.60101148416384498</v>
      </c>
      <c r="R2691">
        <v>0.94495606201915106</v>
      </c>
      <c r="S2691" t="s">
        <v>8274</v>
      </c>
      <c r="T2691" t="s">
        <v>11164</v>
      </c>
      <c r="U2691" t="s">
        <v>11164</v>
      </c>
      <c r="V2691" t="s">
        <v>11164</v>
      </c>
      <c r="W2691" t="s">
        <v>13818</v>
      </c>
      <c r="X2691">
        <v>10</v>
      </c>
      <c r="Y2691" t="s">
        <v>19319</v>
      </c>
      <c r="Z2691" t="s">
        <v>24841</v>
      </c>
      <c r="AA2691">
        <v>0.77887567316766659</v>
      </c>
      <c r="AB2691" t="str">
        <f>HYPERLINK("Melting_Curves/meltCurve_P78330_PSPH.pdf", "Melting_Curves/meltCurve_P78330_PSPH.pdf")</f>
        <v>Melting_Curves/meltCurve_P78330_PSPH.pdf</v>
      </c>
    </row>
    <row r="2692" spans="1:28" x14ac:dyDescent="0.25">
      <c r="A2692" t="s">
        <v>2696</v>
      </c>
      <c r="B2692">
        <v>0.99796759195183404</v>
      </c>
      <c r="C2692">
        <v>1.21043547206121</v>
      </c>
      <c r="D2692">
        <v>0.998701046422657</v>
      </c>
      <c r="E2692">
        <v>1.13524301363279</v>
      </c>
      <c r="F2692">
        <v>0.91316511777539899</v>
      </c>
      <c r="G2692">
        <v>0.75305619972108195</v>
      </c>
      <c r="H2692">
        <v>0.82740887684303399</v>
      </c>
      <c r="I2692">
        <v>0.65366212173548999</v>
      </c>
      <c r="J2692">
        <v>0.30561045150763999</v>
      </c>
      <c r="K2692">
        <v>0.33945555362483398</v>
      </c>
      <c r="L2692">
        <v>786.79052943574504</v>
      </c>
      <c r="M2692">
        <v>12.5925911518697</v>
      </c>
      <c r="N2692">
        <v>62.480431572661402</v>
      </c>
      <c r="O2692">
        <v>60.967576483587202</v>
      </c>
      <c r="P2692">
        <v>-5.1646751436300202E-2</v>
      </c>
      <c r="Q2692">
        <v>0</v>
      </c>
      <c r="R2692">
        <v>0.86809716755274602</v>
      </c>
      <c r="S2692" t="s">
        <v>8275</v>
      </c>
      <c r="T2692" t="s">
        <v>11164</v>
      </c>
      <c r="U2692" t="s">
        <v>11164</v>
      </c>
      <c r="V2692" t="s">
        <v>11164</v>
      </c>
      <c r="W2692" t="s">
        <v>13819</v>
      </c>
      <c r="X2692">
        <v>2</v>
      </c>
      <c r="Y2692" t="s">
        <v>19320</v>
      </c>
      <c r="Z2692" t="s">
        <v>24842</v>
      </c>
      <c r="AA2692">
        <v>0.81147277366150994</v>
      </c>
      <c r="AB2692" t="str">
        <f>HYPERLINK("Melting_Curves/meltCurve_P78346_RPP30.pdf", "Melting_Curves/meltCurve_P78346_RPP30.pdf")</f>
        <v>Melting_Curves/meltCurve_P78346_RPP30.pdf</v>
      </c>
    </row>
    <row r="2693" spans="1:28" x14ac:dyDescent="0.25">
      <c r="A2693" t="s">
        <v>2697</v>
      </c>
      <c r="B2693">
        <v>0.99796759195183404</v>
      </c>
      <c r="C2693">
        <v>0.91308828271416598</v>
      </c>
      <c r="D2693">
        <v>0.89492540381047503</v>
      </c>
      <c r="E2693">
        <v>0.83177467170825103</v>
      </c>
      <c r="F2693">
        <v>0.34192720121390102</v>
      </c>
      <c r="G2693">
        <v>0.21194049024521999</v>
      </c>
      <c r="H2693">
        <v>0.160397878310062</v>
      </c>
      <c r="I2693">
        <v>0.13072521795362399</v>
      </c>
      <c r="J2693">
        <v>0.113411979246874</v>
      </c>
      <c r="K2693">
        <v>9.2501265761482501E-2</v>
      </c>
      <c r="L2693">
        <v>1321.95249894468</v>
      </c>
      <c r="M2693">
        <v>27.217567526729098</v>
      </c>
      <c r="N2693">
        <v>49.075821217710001</v>
      </c>
      <c r="O2693">
        <v>48.309903999510396</v>
      </c>
      <c r="P2693">
        <v>-0.123617840607919</v>
      </c>
      <c r="Q2693">
        <v>0.12234498172496699</v>
      </c>
      <c r="R2693">
        <v>0.98562660592985996</v>
      </c>
      <c r="S2693" t="s">
        <v>8276</v>
      </c>
      <c r="T2693" t="s">
        <v>11164</v>
      </c>
      <c r="U2693" t="s">
        <v>11164</v>
      </c>
      <c r="V2693" t="s">
        <v>11164</v>
      </c>
      <c r="W2693" t="s">
        <v>13820</v>
      </c>
      <c r="X2693">
        <v>26</v>
      </c>
      <c r="Y2693" t="s">
        <v>19321</v>
      </c>
      <c r="Z2693" t="s">
        <v>24843</v>
      </c>
      <c r="AA2693">
        <v>0.46719892767029458</v>
      </c>
      <c r="AB2693" t="str">
        <f>HYPERLINK("Melting_Curves/meltCurve_P78347_2_GTF2I.pdf", "Melting_Curves/meltCurve_P78347_2_GTF2I.pdf")</f>
        <v>Melting_Curves/meltCurve_P78347_2_GTF2I.pdf</v>
      </c>
    </row>
    <row r="2694" spans="1:28" x14ac:dyDescent="0.25">
      <c r="A2694" t="s">
        <v>2698</v>
      </c>
      <c r="B2694">
        <v>0.99796759195183404</v>
      </c>
      <c r="C2694">
        <v>0.922571230056495</v>
      </c>
      <c r="D2694">
        <v>0.80991863356827198</v>
      </c>
      <c r="E2694">
        <v>0.76881243531911303</v>
      </c>
      <c r="F2694">
        <v>0.63538986831733602</v>
      </c>
      <c r="G2694">
        <v>0.59549618116894998</v>
      </c>
      <c r="H2694">
        <v>0.63164624011771797</v>
      </c>
      <c r="I2694">
        <v>0.57735644786946105</v>
      </c>
      <c r="J2694">
        <v>0.37240144377753498</v>
      </c>
      <c r="K2694">
        <v>0.162335660473444</v>
      </c>
      <c r="L2694">
        <v>306.24851349532003</v>
      </c>
      <c r="M2694">
        <v>5.2646595499793296</v>
      </c>
      <c r="N2694">
        <v>58.170623952464297</v>
      </c>
      <c r="O2694">
        <v>51.362210578990499</v>
      </c>
      <c r="P2694">
        <v>-2.5756612013987101E-2</v>
      </c>
      <c r="Q2694">
        <v>0</v>
      </c>
      <c r="R2694">
        <v>0.87346637935948401</v>
      </c>
      <c r="S2694" t="s">
        <v>8277</v>
      </c>
      <c r="T2694" t="s">
        <v>11164</v>
      </c>
      <c r="U2694" t="s">
        <v>11164</v>
      </c>
      <c r="V2694" t="s">
        <v>11164</v>
      </c>
      <c r="W2694" t="s">
        <v>13821</v>
      </c>
      <c r="X2694">
        <v>26</v>
      </c>
      <c r="Y2694" t="s">
        <v>19322</v>
      </c>
      <c r="Z2694" t="s">
        <v>24844</v>
      </c>
      <c r="AA2694">
        <v>0.65069255915389979</v>
      </c>
      <c r="AB2694" t="str">
        <f>HYPERLINK("Melting_Curves/meltCurve_P78371_CCT2.pdf", "Melting_Curves/meltCurve_P78371_CCT2.pdf")</f>
        <v>Melting_Curves/meltCurve_P78371_CCT2.pdf</v>
      </c>
    </row>
    <row r="2695" spans="1:28" x14ac:dyDescent="0.25">
      <c r="A2695" t="s">
        <v>2699</v>
      </c>
      <c r="B2695">
        <v>0.99796759195183404</v>
      </c>
      <c r="C2695">
        <v>0.97817175492398001</v>
      </c>
      <c r="D2695">
        <v>0.94093801802278598</v>
      </c>
      <c r="E2695">
        <v>0.87588466218335903</v>
      </c>
      <c r="F2695">
        <v>0.65536436877299598</v>
      </c>
      <c r="G2695">
        <v>0.34650396363895403</v>
      </c>
      <c r="H2695">
        <v>0.18581810702815801</v>
      </c>
      <c r="I2695">
        <v>0.123103117312345</v>
      </c>
      <c r="J2695">
        <v>9.4409065059237393E-2</v>
      </c>
      <c r="K2695">
        <v>5.7165282730332202E-2</v>
      </c>
      <c r="L2695">
        <v>906.65318418843106</v>
      </c>
      <c r="M2695">
        <v>17.579508551481599</v>
      </c>
      <c r="N2695">
        <v>51.910062073071501</v>
      </c>
      <c r="O2695">
        <v>50.920940617456999</v>
      </c>
      <c r="P2695">
        <v>-8.1675830106457598E-2</v>
      </c>
      <c r="Q2695">
        <v>5.3719909548113801E-2</v>
      </c>
      <c r="R2695">
        <v>0.998486468202191</v>
      </c>
      <c r="S2695" t="s">
        <v>8278</v>
      </c>
      <c r="T2695" t="s">
        <v>11164</v>
      </c>
      <c r="U2695" t="s">
        <v>11164</v>
      </c>
      <c r="V2695" t="s">
        <v>11164</v>
      </c>
      <c r="W2695" t="s">
        <v>13822</v>
      </c>
      <c r="X2695">
        <v>10</v>
      </c>
      <c r="Y2695" t="s">
        <v>19323</v>
      </c>
      <c r="Z2695" t="s">
        <v>24845</v>
      </c>
      <c r="AA2695">
        <v>0.52843060974373834</v>
      </c>
      <c r="AB2695" t="str">
        <f>HYPERLINK("Melting_Curves/meltCurve_P78406_RAE1.pdf", "Melting_Curves/meltCurve_P78406_RAE1.pdf")</f>
        <v>Melting_Curves/meltCurve_P78406_RAE1.pdf</v>
      </c>
    </row>
    <row r="2696" spans="1:28" x14ac:dyDescent="0.25">
      <c r="A2696" t="s">
        <v>2700</v>
      </c>
      <c r="B2696">
        <v>0.99796759195183404</v>
      </c>
      <c r="C2696">
        <v>1.0223231012737499</v>
      </c>
      <c r="D2696">
        <v>0.96952009763932601</v>
      </c>
      <c r="E2696">
        <v>0.94400608417669796</v>
      </c>
      <c r="F2696">
        <v>0.76465668998946501</v>
      </c>
      <c r="G2696">
        <v>0.56772239862792695</v>
      </c>
      <c r="H2696">
        <v>0.40684007171277697</v>
      </c>
      <c r="I2696">
        <v>0.18459950603271599</v>
      </c>
      <c r="J2696">
        <v>0.118742786861048</v>
      </c>
      <c r="K2696">
        <v>8.0899956276454493E-2</v>
      </c>
      <c r="L2696">
        <v>748.92181824463398</v>
      </c>
      <c r="M2696">
        <v>13.6058518274578</v>
      </c>
      <c r="N2696">
        <v>55.044096443158601</v>
      </c>
      <c r="O2696">
        <v>53.895851260134002</v>
      </c>
      <c r="P2696">
        <v>-6.31211137880614E-2</v>
      </c>
      <c r="Q2696">
        <v>0</v>
      </c>
      <c r="R2696">
        <v>0.996580093784037</v>
      </c>
      <c r="S2696" t="s">
        <v>8279</v>
      </c>
      <c r="T2696" t="s">
        <v>11164</v>
      </c>
      <c r="U2696" t="s">
        <v>11164</v>
      </c>
      <c r="V2696" t="s">
        <v>11164</v>
      </c>
      <c r="W2696" t="s">
        <v>13823</v>
      </c>
      <c r="X2696">
        <v>19</v>
      </c>
      <c r="Y2696" t="s">
        <v>19324</v>
      </c>
      <c r="Z2696" t="s">
        <v>24846</v>
      </c>
      <c r="AA2696">
        <v>0.61577116807906629</v>
      </c>
      <c r="AB2696" t="str">
        <f>HYPERLINK("Melting_Curves/meltCurve_P78417_GSTO1.pdf", "Melting_Curves/meltCurve_P78417_GSTO1.pdf")</f>
        <v>Melting_Curves/meltCurve_P78417_GSTO1.pdf</v>
      </c>
    </row>
    <row r="2697" spans="1:28" x14ac:dyDescent="0.25">
      <c r="A2697" t="s">
        <v>2701</v>
      </c>
      <c r="B2697">
        <v>0.99796759195183404</v>
      </c>
      <c r="C2697">
        <v>1.0008184123822801</v>
      </c>
      <c r="D2697">
        <v>0.98828928937279603</v>
      </c>
      <c r="E2697">
        <v>0.931716236941738</v>
      </c>
      <c r="F2697">
        <v>0.90096031534152798</v>
      </c>
      <c r="G2697">
        <v>1.38032437639135</v>
      </c>
      <c r="H2697">
        <v>0.23423553393100799</v>
      </c>
      <c r="I2697">
        <v>0.21235781817429999</v>
      </c>
      <c r="J2697">
        <v>0.160024915077291</v>
      </c>
      <c r="K2697">
        <v>0.123939131884715</v>
      </c>
      <c r="L2697">
        <v>14211.6850430995</v>
      </c>
      <c r="M2697">
        <v>250</v>
      </c>
      <c r="N2697">
        <v>56.938224308912702</v>
      </c>
      <c r="O2697">
        <v>56.8431019204479</v>
      </c>
      <c r="P2697">
        <v>-0.91761405237590199</v>
      </c>
      <c r="Q2697">
        <v>0.16543952890670599</v>
      </c>
      <c r="R2697">
        <v>0.913961200856239</v>
      </c>
      <c r="S2697" t="s">
        <v>8280</v>
      </c>
      <c r="T2697" t="s">
        <v>11164</v>
      </c>
      <c r="U2697" t="s">
        <v>11164</v>
      </c>
      <c r="V2697" t="s">
        <v>11164</v>
      </c>
      <c r="W2697" t="s">
        <v>13824</v>
      </c>
      <c r="X2697">
        <v>37</v>
      </c>
      <c r="Y2697" t="s">
        <v>19325</v>
      </c>
      <c r="Z2697" t="s">
        <v>24847</v>
      </c>
      <c r="AA2697">
        <v>0.71763294988393078</v>
      </c>
      <c r="AB2697" t="str">
        <f>HYPERLINK("Melting_Curves/meltCurve_P78527_PRKDC.pdf", "Melting_Curves/meltCurve_P78527_PRKDC.pdf")</f>
        <v>Melting_Curves/meltCurve_P78527_PRKDC.pdf</v>
      </c>
    </row>
    <row r="2698" spans="1:28" x14ac:dyDescent="0.25">
      <c r="A2698" t="s">
        <v>2702</v>
      </c>
      <c r="B2698">
        <v>0.99796759195183404</v>
      </c>
      <c r="C2698">
        <v>1.0335054394468299</v>
      </c>
      <c r="D2698">
        <v>0.94589774523397097</v>
      </c>
      <c r="E2698">
        <v>0.90359554617524795</v>
      </c>
      <c r="F2698">
        <v>0.83127283688338105</v>
      </c>
      <c r="G2698">
        <v>0.74795857248850395</v>
      </c>
      <c r="H2698">
        <v>0.58447387904048398</v>
      </c>
      <c r="I2698">
        <v>0.39666804888782198</v>
      </c>
      <c r="J2698">
        <v>0.29427757738879501</v>
      </c>
      <c r="K2698">
        <v>0.18942098627030399</v>
      </c>
      <c r="L2698">
        <v>616.28088433245</v>
      </c>
      <c r="M2698">
        <v>10.495273218475701</v>
      </c>
      <c r="N2698">
        <v>58.719851478720003</v>
      </c>
      <c r="O2698">
        <v>56.708187196172503</v>
      </c>
      <c r="P2698">
        <v>-4.6287474344719803E-2</v>
      </c>
      <c r="Q2698">
        <v>0</v>
      </c>
      <c r="R2698">
        <v>0.99240315630098497</v>
      </c>
      <c r="S2698" t="s">
        <v>8281</v>
      </c>
      <c r="T2698" t="s">
        <v>11164</v>
      </c>
      <c r="U2698" t="s">
        <v>11164</v>
      </c>
      <c r="V2698" t="s">
        <v>11164</v>
      </c>
      <c r="W2698" t="s">
        <v>13825</v>
      </c>
      <c r="X2698">
        <v>9</v>
      </c>
      <c r="Y2698" t="s">
        <v>19326</v>
      </c>
      <c r="Z2698" t="s">
        <v>24848</v>
      </c>
      <c r="AA2698">
        <v>0.71178061689775851</v>
      </c>
      <c r="AB2698" t="str">
        <f>HYPERLINK("Melting_Curves/meltCurve_P78536_ADAM17.pdf", "Melting_Curves/meltCurve_P78536_ADAM17.pdf")</f>
        <v>Melting_Curves/meltCurve_P78536_ADAM17.pdf</v>
      </c>
    </row>
    <row r="2699" spans="1:28" x14ac:dyDescent="0.25">
      <c r="A2699" t="s">
        <v>2703</v>
      </c>
      <c r="B2699">
        <v>0.99796759195183404</v>
      </c>
      <c r="C2699">
        <v>1.03938887206972</v>
      </c>
      <c r="D2699">
        <v>0.98342312124627795</v>
      </c>
      <c r="E2699">
        <v>0.95982115775933297</v>
      </c>
      <c r="F2699">
        <v>0.87964969422650996</v>
      </c>
      <c r="G2699">
        <v>0.74160959101550705</v>
      </c>
      <c r="H2699">
        <v>0.67968048854255803</v>
      </c>
      <c r="I2699">
        <v>0.50096161672313</v>
      </c>
      <c r="J2699">
        <v>0.31068584962080797</v>
      </c>
      <c r="K2699">
        <v>0.18698223355810401</v>
      </c>
      <c r="L2699">
        <v>691.48432086335401</v>
      </c>
      <c r="M2699">
        <v>11.511370838503099</v>
      </c>
      <c r="N2699">
        <v>60.0696763940769</v>
      </c>
      <c r="O2699">
        <v>58.342637572172897</v>
      </c>
      <c r="P2699">
        <v>-4.9340527761196698E-2</v>
      </c>
      <c r="Q2699">
        <v>0</v>
      </c>
      <c r="R2699">
        <v>0.98566027392639499</v>
      </c>
      <c r="S2699" t="s">
        <v>8282</v>
      </c>
      <c r="T2699" t="s">
        <v>11164</v>
      </c>
      <c r="U2699" t="s">
        <v>11164</v>
      </c>
      <c r="V2699" t="s">
        <v>11164</v>
      </c>
      <c r="W2699" t="s">
        <v>13826</v>
      </c>
      <c r="X2699">
        <v>4</v>
      </c>
      <c r="Y2699" t="s">
        <v>19327</v>
      </c>
      <c r="Z2699" t="s">
        <v>24849</v>
      </c>
      <c r="AA2699">
        <v>0.74989484036775633</v>
      </c>
      <c r="AB2699" t="str">
        <f>HYPERLINK("Melting_Curves/meltCurve_P78537_BLOC1S1.pdf", "Melting_Curves/meltCurve_P78537_BLOC1S1.pdf")</f>
        <v>Melting_Curves/meltCurve_P78537_BLOC1S1.pdf</v>
      </c>
    </row>
    <row r="2700" spans="1:28" x14ac:dyDescent="0.25">
      <c r="A2700" t="s">
        <v>2704</v>
      </c>
      <c r="B2700">
        <v>0.99796759195183404</v>
      </c>
      <c r="C2700">
        <v>0.89635133544332102</v>
      </c>
      <c r="D2700">
        <v>0.89197297581740598</v>
      </c>
      <c r="E2700">
        <v>0.834905016338234</v>
      </c>
      <c r="F2700">
        <v>0.80994387082444097</v>
      </c>
      <c r="G2700">
        <v>0.73083906606242899</v>
      </c>
      <c r="H2700">
        <v>0.68563757947520398</v>
      </c>
      <c r="I2700">
        <v>0.67579527214323398</v>
      </c>
      <c r="J2700">
        <v>0.62780570760813104</v>
      </c>
      <c r="K2700">
        <v>0.28630748093259001</v>
      </c>
      <c r="L2700">
        <v>311.75382852530902</v>
      </c>
      <c r="M2700">
        <v>4.7728385848934796</v>
      </c>
      <c r="N2700">
        <v>65.318330227034906</v>
      </c>
      <c r="O2700">
        <v>56.371153416451698</v>
      </c>
      <c r="P2700">
        <v>-2.1318975762877598E-2</v>
      </c>
      <c r="Q2700">
        <v>0</v>
      </c>
      <c r="R2700">
        <v>0.82950991574033806</v>
      </c>
      <c r="S2700" t="s">
        <v>8283</v>
      </c>
      <c r="T2700" t="s">
        <v>11164</v>
      </c>
      <c r="U2700" t="s">
        <v>11164</v>
      </c>
      <c r="V2700" t="s">
        <v>11164</v>
      </c>
      <c r="W2700" t="s">
        <v>13827</v>
      </c>
      <c r="X2700">
        <v>6</v>
      </c>
      <c r="Y2700" t="s">
        <v>19328</v>
      </c>
      <c r="Z2700" t="s">
        <v>24850</v>
      </c>
      <c r="AA2700">
        <v>0.755008575579309</v>
      </c>
      <c r="AB2700" t="str">
        <f>HYPERLINK("Melting_Curves/meltCurve_P78540_ARG2.pdf", "Melting_Curves/meltCurve_P78540_ARG2.pdf")</f>
        <v>Melting_Curves/meltCurve_P78540_ARG2.pdf</v>
      </c>
    </row>
    <row r="2701" spans="1:28" x14ac:dyDescent="0.25">
      <c r="A2701" t="s">
        <v>2705</v>
      </c>
      <c r="B2701">
        <v>0.99796759195183404</v>
      </c>
      <c r="C2701">
        <v>0.97412853504535002</v>
      </c>
      <c r="D2701">
        <v>0.77268893864661903</v>
      </c>
      <c r="E2701">
        <v>0.88103792425673499</v>
      </c>
      <c r="F2701">
        <v>0.95925920740180404</v>
      </c>
      <c r="G2701">
        <v>0.49040418263961699</v>
      </c>
      <c r="H2701">
        <v>0.62209751681475001</v>
      </c>
      <c r="I2701">
        <v>0.48071143143449002</v>
      </c>
      <c r="J2701">
        <v>0.11774208219931</v>
      </c>
      <c r="K2701">
        <v>8.5424080745126696E-2</v>
      </c>
      <c r="L2701">
        <v>621.059502681288</v>
      </c>
      <c r="M2701">
        <v>10.837601266401199</v>
      </c>
      <c r="N2701">
        <v>57.305993072038198</v>
      </c>
      <c r="O2701">
        <v>55.458382543951402</v>
      </c>
      <c r="P2701">
        <v>-4.8872112198393103E-2</v>
      </c>
      <c r="Q2701">
        <v>0</v>
      </c>
      <c r="R2701">
        <v>0.85533208770959901</v>
      </c>
      <c r="S2701" t="s">
        <v>8284</v>
      </c>
      <c r="T2701" t="s">
        <v>11164</v>
      </c>
      <c r="U2701" t="s">
        <v>11164</v>
      </c>
      <c r="V2701" t="s">
        <v>11164</v>
      </c>
      <c r="W2701" t="s">
        <v>13828</v>
      </c>
      <c r="X2701">
        <v>1</v>
      </c>
      <c r="Y2701" t="s">
        <v>19329</v>
      </c>
      <c r="Z2701" t="s">
        <v>24851</v>
      </c>
      <c r="AA2701">
        <v>0.67672140819704352</v>
      </c>
      <c r="AB2701" t="str">
        <f>HYPERLINK("Melting_Curves/meltCurve_P80217_IFI35.pdf", "Melting_Curves/meltCurve_P80217_IFI35.pdf")</f>
        <v>Melting_Curves/meltCurve_P80217_IFI35.pdf</v>
      </c>
    </row>
    <row r="2702" spans="1:28" x14ac:dyDescent="0.25">
      <c r="A2702" t="s">
        <v>2706</v>
      </c>
      <c r="B2702">
        <v>0.99796759195183404</v>
      </c>
      <c r="C2702">
        <v>1.0787089251865201</v>
      </c>
      <c r="D2702">
        <v>1.02169633720757</v>
      </c>
      <c r="E2702">
        <v>1.25001642795404</v>
      </c>
      <c r="F2702">
        <v>1.03930622782251</v>
      </c>
      <c r="G2702">
        <v>0.65587009904392901</v>
      </c>
      <c r="H2702">
        <v>0.97065714046476603</v>
      </c>
      <c r="I2702">
        <v>0.73045544774674798</v>
      </c>
      <c r="J2702">
        <v>1.1827746954730201</v>
      </c>
      <c r="K2702">
        <v>1.2536618904866801</v>
      </c>
      <c r="L2702">
        <v>15000</v>
      </c>
      <c r="M2702">
        <v>234.95583484806801</v>
      </c>
      <c r="O2702">
        <v>63.837160160590898</v>
      </c>
      <c r="P2702">
        <v>0.23341867462986099</v>
      </c>
      <c r="Q2702">
        <v>1.25367806334863</v>
      </c>
      <c r="R2702">
        <v>0.264517364517871</v>
      </c>
      <c r="S2702" t="s">
        <v>8285</v>
      </c>
      <c r="T2702" t="s">
        <v>11164</v>
      </c>
      <c r="U2702" t="s">
        <v>11164</v>
      </c>
      <c r="V2702" t="s">
        <v>11164</v>
      </c>
      <c r="W2702" t="s">
        <v>13829</v>
      </c>
      <c r="X2702">
        <v>8</v>
      </c>
      <c r="Y2702" t="s">
        <v>19330</v>
      </c>
      <c r="Z2702" t="s">
        <v>24852</v>
      </c>
      <c r="AA2702">
        <v>1.026673518201723</v>
      </c>
      <c r="AB2702" t="str">
        <f>HYPERLINK("Melting_Curves/meltCurve_P80297_MT1X.pdf", "Melting_Curves/meltCurve_P80297_MT1X.pdf")</f>
        <v>Melting_Curves/meltCurve_P80297_MT1X.pdf</v>
      </c>
    </row>
    <row r="2703" spans="1:28" x14ac:dyDescent="0.25">
      <c r="A2703" t="s">
        <v>2707</v>
      </c>
      <c r="B2703">
        <v>0.99796759195183404</v>
      </c>
      <c r="C2703">
        <v>0.96968037896546999</v>
      </c>
      <c r="D2703">
        <v>0.98012043077789202</v>
      </c>
      <c r="E2703">
        <v>0.96547548184788401</v>
      </c>
      <c r="F2703">
        <v>0.84151443003400295</v>
      </c>
      <c r="G2703">
        <v>0.55447164112175795</v>
      </c>
      <c r="H2703">
        <v>0.54253653266406199</v>
      </c>
      <c r="I2703">
        <v>0.51988293778550299</v>
      </c>
      <c r="J2703">
        <v>0.63415280511859196</v>
      </c>
      <c r="K2703">
        <v>0.51490000248451395</v>
      </c>
      <c r="L2703">
        <v>3399.9660225131101</v>
      </c>
      <c r="M2703">
        <v>67.132938825184993</v>
      </c>
      <c r="O2703">
        <v>50.600390843372502</v>
      </c>
      <c r="P2703">
        <v>-0.14875798305731999</v>
      </c>
      <c r="Q2703">
        <v>0.55150421975494801</v>
      </c>
      <c r="R2703">
        <v>0.97214955377561196</v>
      </c>
      <c r="S2703" t="s">
        <v>8286</v>
      </c>
      <c r="T2703" t="s">
        <v>11164</v>
      </c>
      <c r="U2703" t="s">
        <v>11164</v>
      </c>
      <c r="V2703" t="s">
        <v>11164</v>
      </c>
      <c r="W2703" t="s">
        <v>13830</v>
      </c>
      <c r="X2703">
        <v>15</v>
      </c>
      <c r="Y2703" t="s">
        <v>19331</v>
      </c>
      <c r="Z2703" t="s">
        <v>24853</v>
      </c>
      <c r="AA2703">
        <v>0.75605353048867663</v>
      </c>
      <c r="AB2703" t="str">
        <f>HYPERLINK("Melting_Curves/meltCurve_P80303_NUCB2.pdf", "Melting_Curves/meltCurve_P80303_NUCB2.pdf")</f>
        <v>Melting_Curves/meltCurve_P80303_NUCB2.pdf</v>
      </c>
    </row>
    <row r="2704" spans="1:28" x14ac:dyDescent="0.25">
      <c r="A2704" t="s">
        <v>2708</v>
      </c>
      <c r="B2704">
        <v>0.99796759195183404</v>
      </c>
      <c r="C2704">
        <v>1.1016627489409501</v>
      </c>
      <c r="D2704">
        <v>1.0519173630463501</v>
      </c>
      <c r="E2704">
        <v>1.11265713883849</v>
      </c>
      <c r="F2704">
        <v>1.0820436607291899</v>
      </c>
      <c r="G2704">
        <v>0.54116091096347496</v>
      </c>
      <c r="H2704">
        <v>0.82270127960310901</v>
      </c>
      <c r="I2704">
        <v>0.88992730861797598</v>
      </c>
      <c r="J2704">
        <v>1.2319592792031899</v>
      </c>
      <c r="K2704">
        <v>0.96329167227434198</v>
      </c>
      <c r="L2704">
        <v>3035.4923248745799</v>
      </c>
      <c r="M2704">
        <v>59.242757290746198</v>
      </c>
      <c r="O2704">
        <v>51.179932586061703</v>
      </c>
      <c r="P2704">
        <v>-2.9675873430546802E-2</v>
      </c>
      <c r="Q2704">
        <v>0.89745189979056905</v>
      </c>
      <c r="R2704">
        <v>0.14114422677517699</v>
      </c>
      <c r="S2704" t="s">
        <v>8287</v>
      </c>
      <c r="T2704" t="s">
        <v>11164</v>
      </c>
      <c r="U2704" t="s">
        <v>11164</v>
      </c>
      <c r="V2704" t="s">
        <v>11164</v>
      </c>
      <c r="W2704" t="s">
        <v>13831</v>
      </c>
      <c r="X2704">
        <v>19</v>
      </c>
      <c r="Y2704" t="s">
        <v>19332</v>
      </c>
      <c r="Z2704" t="s">
        <v>24854</v>
      </c>
      <c r="AA2704">
        <v>0.94628673926750428</v>
      </c>
      <c r="AB2704" t="str">
        <f>HYPERLINK("Melting_Curves/meltCurve_P80723_BASP1.pdf", "Melting_Curves/meltCurve_P80723_BASP1.pdf")</f>
        <v>Melting_Curves/meltCurve_P80723_BASP1.pdf</v>
      </c>
    </row>
    <row r="2705" spans="1:28" x14ac:dyDescent="0.25">
      <c r="A2705" t="s">
        <v>2709</v>
      </c>
      <c r="B2705">
        <v>0.99796759195183404</v>
      </c>
      <c r="C2705">
        <v>1.04285036563601</v>
      </c>
      <c r="D2705">
        <v>0.964916545354087</v>
      </c>
      <c r="E2705">
        <v>0.93702911691776702</v>
      </c>
      <c r="F2705">
        <v>0.57686097130944503</v>
      </c>
      <c r="G2705">
        <v>0.32923339752999198</v>
      </c>
      <c r="H2705">
        <v>0.22308436784483501</v>
      </c>
      <c r="I2705">
        <v>0.19464220734155699</v>
      </c>
      <c r="J2705">
        <v>0.168586581901356</v>
      </c>
      <c r="K2705">
        <v>0.156123245798892</v>
      </c>
      <c r="L2705">
        <v>1263.1327068631199</v>
      </c>
      <c r="M2705">
        <v>25.0890596342682</v>
      </c>
      <c r="N2705">
        <v>51.219679378481501</v>
      </c>
      <c r="O2705">
        <v>50.029373622479802</v>
      </c>
      <c r="P2705">
        <v>-0.10354743913866001</v>
      </c>
      <c r="Q2705">
        <v>0.174087047317523</v>
      </c>
      <c r="R2705">
        <v>0.99602498211811796</v>
      </c>
      <c r="S2705" t="s">
        <v>8288</v>
      </c>
      <c r="T2705" t="s">
        <v>11164</v>
      </c>
      <c r="U2705" t="s">
        <v>11164</v>
      </c>
      <c r="V2705" t="s">
        <v>11164</v>
      </c>
      <c r="W2705" t="s">
        <v>13832</v>
      </c>
      <c r="X2705">
        <v>5</v>
      </c>
      <c r="Y2705" t="s">
        <v>19333</v>
      </c>
      <c r="Z2705" t="s">
        <v>24855</v>
      </c>
      <c r="AA2705">
        <v>0.54870641800098763</v>
      </c>
      <c r="AB2705" t="str">
        <f>HYPERLINK("Melting_Curves/meltCurve_P81274_GPSM2.pdf", "Melting_Curves/meltCurve_P81274_GPSM2.pdf")</f>
        <v>Melting_Curves/meltCurve_P81274_GPSM2.pdf</v>
      </c>
    </row>
    <row r="2706" spans="1:28" x14ac:dyDescent="0.25">
      <c r="A2706" t="s">
        <v>2710</v>
      </c>
      <c r="B2706">
        <v>0.99796759195183404</v>
      </c>
      <c r="C2706">
        <v>0.97550482744856803</v>
      </c>
      <c r="D2706">
        <v>0.97108254173320496</v>
      </c>
      <c r="E2706">
        <v>0.91816877458629798</v>
      </c>
      <c r="F2706">
        <v>0.82679875366222999</v>
      </c>
      <c r="G2706">
        <v>0.62706941446950104</v>
      </c>
      <c r="H2706">
        <v>0.63640794237002596</v>
      </c>
      <c r="I2706">
        <v>0.56572276892999596</v>
      </c>
      <c r="J2706">
        <v>0.69269302913205</v>
      </c>
      <c r="K2706">
        <v>0.59968480390746504</v>
      </c>
      <c r="L2706">
        <v>1249.9029734877699</v>
      </c>
      <c r="M2706">
        <v>25.043112211492399</v>
      </c>
      <c r="O2706">
        <v>49.595042074419197</v>
      </c>
      <c r="P2706">
        <v>-4.8814681244008798E-2</v>
      </c>
      <c r="Q2706">
        <v>0.61331722071605499</v>
      </c>
      <c r="R2706">
        <v>0.95044632990366595</v>
      </c>
      <c r="S2706" t="s">
        <v>8289</v>
      </c>
      <c r="T2706" t="s">
        <v>11164</v>
      </c>
      <c r="U2706" t="s">
        <v>11164</v>
      </c>
      <c r="V2706" t="s">
        <v>11164</v>
      </c>
      <c r="W2706" t="s">
        <v>13833</v>
      </c>
      <c r="X2706">
        <v>36</v>
      </c>
      <c r="Y2706" t="s">
        <v>19334</v>
      </c>
      <c r="Z2706" t="s">
        <v>24856</v>
      </c>
      <c r="AA2706">
        <v>0.78308766124773377</v>
      </c>
      <c r="AB2706" t="str">
        <f>HYPERLINK("Melting_Curves/meltCurve_P82094_TMF1.pdf", "Melting_Curves/meltCurve_P82094_TMF1.pdf")</f>
        <v>Melting_Curves/meltCurve_P82094_TMF1.pdf</v>
      </c>
    </row>
    <row r="2707" spans="1:28" x14ac:dyDescent="0.25">
      <c r="A2707" t="s">
        <v>2711</v>
      </c>
      <c r="B2707">
        <v>0.99796759195183404</v>
      </c>
      <c r="C2707">
        <v>1.1533486098007599</v>
      </c>
      <c r="D2707">
        <v>1.11998647036139</v>
      </c>
      <c r="E2707">
        <v>1.1401563438031801</v>
      </c>
      <c r="F2707">
        <v>0.95227112058169905</v>
      </c>
      <c r="G2707">
        <v>0.75349039328939904</v>
      </c>
      <c r="H2707">
        <v>0.462584671852587</v>
      </c>
      <c r="I2707">
        <v>0.332645309361009</v>
      </c>
      <c r="J2707">
        <v>0.30141360586569099</v>
      </c>
      <c r="K2707">
        <v>0.31668790998733398</v>
      </c>
      <c r="L2707">
        <v>1667.2061675417699</v>
      </c>
      <c r="M2707">
        <v>30.346914937767</v>
      </c>
      <c r="N2707">
        <v>56.687784946308</v>
      </c>
      <c r="O2707">
        <v>54.701338852618001</v>
      </c>
      <c r="P2707">
        <v>-9.6528519912271293E-2</v>
      </c>
      <c r="Q2707">
        <v>0.30402070060900099</v>
      </c>
      <c r="R2707">
        <v>0.95087569213992695</v>
      </c>
      <c r="S2707" t="s">
        <v>8290</v>
      </c>
      <c r="T2707" t="s">
        <v>11164</v>
      </c>
      <c r="U2707" t="s">
        <v>11164</v>
      </c>
      <c r="V2707" t="s">
        <v>11164</v>
      </c>
      <c r="W2707" t="s">
        <v>13834</v>
      </c>
      <c r="X2707">
        <v>1</v>
      </c>
      <c r="Y2707" t="s">
        <v>19335</v>
      </c>
      <c r="Z2707" t="s">
        <v>24857</v>
      </c>
      <c r="AA2707">
        <v>0.72451072590535304</v>
      </c>
      <c r="AB2707" t="str">
        <f>HYPERLINK("Melting_Curves/meltCurve_P82664_MRPS10.pdf", "Melting_Curves/meltCurve_P82664_MRPS10.pdf")</f>
        <v>Melting_Curves/meltCurve_P82664_MRPS10.pdf</v>
      </c>
    </row>
    <row r="2708" spans="1:28" x14ac:dyDescent="0.25">
      <c r="A2708" t="s">
        <v>2712</v>
      </c>
      <c r="B2708">
        <v>0.99796759195183404</v>
      </c>
      <c r="C2708">
        <v>1.00347941549169</v>
      </c>
      <c r="D2708">
        <v>0.98335591338267003</v>
      </c>
      <c r="E2708">
        <v>0.91780302854044304</v>
      </c>
      <c r="F2708">
        <v>0.84442040943219798</v>
      </c>
      <c r="G2708">
        <v>0.77648218794246704</v>
      </c>
      <c r="H2708">
        <v>1.05539753468638</v>
      </c>
      <c r="I2708">
        <v>0.98728923000484003</v>
      </c>
      <c r="J2708">
        <v>1.12716517941987</v>
      </c>
      <c r="K2708">
        <v>0.98509775050959503</v>
      </c>
      <c r="L2708">
        <v>15000</v>
      </c>
      <c r="M2708">
        <v>240.80841160769501</v>
      </c>
      <c r="O2708">
        <v>62.285904737155903</v>
      </c>
      <c r="P2708">
        <v>5.4206991269078901E-2</v>
      </c>
      <c r="Q2708">
        <v>1.05608326538261</v>
      </c>
      <c r="R2708">
        <v>-4.4808343853398797E-2</v>
      </c>
      <c r="S2708" t="s">
        <v>8291</v>
      </c>
      <c r="T2708" t="s">
        <v>11164</v>
      </c>
      <c r="U2708" t="s">
        <v>11164</v>
      </c>
      <c r="V2708" t="s">
        <v>11164</v>
      </c>
      <c r="W2708" t="s">
        <v>13835</v>
      </c>
      <c r="X2708">
        <v>4</v>
      </c>
      <c r="Y2708" t="s">
        <v>19336</v>
      </c>
      <c r="Z2708" t="s">
        <v>24858</v>
      </c>
      <c r="AA2708">
        <v>1.0087981227868761</v>
      </c>
      <c r="AB2708" t="str">
        <f>HYPERLINK("Melting_Curves/meltCurve_P82909_MRPS36.pdf", "Melting_Curves/meltCurve_P82909_MRPS36.pdf")</f>
        <v>Melting_Curves/meltCurve_P82909_MRPS36.pdf</v>
      </c>
    </row>
    <row r="2709" spans="1:28" x14ac:dyDescent="0.25">
      <c r="A2709" t="s">
        <v>2713</v>
      </c>
      <c r="B2709">
        <v>0.99796759195183404</v>
      </c>
      <c r="C2709">
        <v>0.84188619828128397</v>
      </c>
      <c r="D2709">
        <v>0.82765358891851104</v>
      </c>
      <c r="E2709">
        <v>0.79030738663518796</v>
      </c>
      <c r="F2709">
        <v>0.59189502600764099</v>
      </c>
      <c r="G2709">
        <v>0.56001799826338705</v>
      </c>
      <c r="H2709">
        <v>0.233466825995716</v>
      </c>
      <c r="I2709">
        <v>0.17847447963948901</v>
      </c>
      <c r="J2709">
        <v>0.16248562983253401</v>
      </c>
      <c r="K2709">
        <v>9.7933131569712895E-2</v>
      </c>
      <c r="L2709">
        <v>477.64874221391301</v>
      </c>
      <c r="M2709">
        <v>9.1214713895053592</v>
      </c>
      <c r="N2709">
        <v>52.365317141480901</v>
      </c>
      <c r="O2709">
        <v>50.032559609089397</v>
      </c>
      <c r="P2709">
        <v>-4.5609137588327797E-2</v>
      </c>
      <c r="Q2709">
        <v>0</v>
      </c>
      <c r="R2709">
        <v>0.963107563290165</v>
      </c>
      <c r="S2709" t="s">
        <v>8292</v>
      </c>
      <c r="T2709" t="s">
        <v>11164</v>
      </c>
      <c r="U2709" t="s">
        <v>11164</v>
      </c>
      <c r="V2709" t="s">
        <v>11164</v>
      </c>
      <c r="W2709" t="s">
        <v>13836</v>
      </c>
      <c r="X2709">
        <v>1</v>
      </c>
      <c r="Y2709" t="s">
        <v>19337</v>
      </c>
      <c r="Z2709" t="s">
        <v>24859</v>
      </c>
      <c r="AA2709">
        <v>0.53801218258461292</v>
      </c>
      <c r="AB2709" t="str">
        <f>HYPERLINK("Melting_Curves/meltCurve_P82930_MRPS34.pdf", "Melting_Curves/meltCurve_P82930_MRPS34.pdf")</f>
        <v>Melting_Curves/meltCurve_P82930_MRPS34.pdf</v>
      </c>
    </row>
    <row r="2710" spans="1:28" x14ac:dyDescent="0.25">
      <c r="A2710" t="s">
        <v>2714</v>
      </c>
      <c r="B2710">
        <v>0.99796759195183404</v>
      </c>
      <c r="C2710">
        <v>0.94382639714590499</v>
      </c>
      <c r="D2710">
        <v>0.95253058088899101</v>
      </c>
      <c r="E2710">
        <v>0.82665849572824701</v>
      </c>
      <c r="F2710">
        <v>0.66833928752671501</v>
      </c>
      <c r="G2710">
        <v>0.53779719855693597</v>
      </c>
      <c r="H2710">
        <v>0.47701380222739298</v>
      </c>
      <c r="I2710">
        <v>0.35165651566504502</v>
      </c>
      <c r="J2710">
        <v>0.40050073383559898</v>
      </c>
      <c r="K2710">
        <v>0.29986331362434199</v>
      </c>
      <c r="L2710">
        <v>578.93281829622697</v>
      </c>
      <c r="M2710">
        <v>11.308487988828499</v>
      </c>
      <c r="N2710">
        <v>55.320167908371602</v>
      </c>
      <c r="O2710">
        <v>49.671996618985702</v>
      </c>
      <c r="P2710">
        <v>-4.0714654989459698E-2</v>
      </c>
      <c r="Q2710">
        <v>0.28486809193482798</v>
      </c>
      <c r="R2710">
        <v>0.98884325641748505</v>
      </c>
      <c r="S2710" t="s">
        <v>8293</v>
      </c>
      <c r="T2710" t="s">
        <v>11164</v>
      </c>
      <c r="U2710" t="s">
        <v>11164</v>
      </c>
      <c r="V2710" t="s">
        <v>11164</v>
      </c>
      <c r="W2710" t="s">
        <v>13837</v>
      </c>
      <c r="X2710">
        <v>2</v>
      </c>
      <c r="Y2710" t="s">
        <v>19338</v>
      </c>
      <c r="Z2710" t="s">
        <v>24860</v>
      </c>
      <c r="AA2710">
        <v>0.64257245588807366</v>
      </c>
      <c r="AB2710" t="str">
        <f>HYPERLINK("Melting_Curves/meltCurve_P82932_MRPS6.pdf", "Melting_Curves/meltCurve_P82932_MRPS6.pdf")</f>
        <v>Melting_Curves/meltCurve_P82932_MRPS6.pdf</v>
      </c>
    </row>
    <row r="2711" spans="1:28" x14ac:dyDescent="0.25">
      <c r="A2711" t="s">
        <v>2715</v>
      </c>
      <c r="B2711">
        <v>0.99796759195183404</v>
      </c>
      <c r="C2711">
        <v>0.96378232523567997</v>
      </c>
      <c r="D2711">
        <v>1.0026496745162199</v>
      </c>
      <c r="E2711">
        <v>1.05817509978877</v>
      </c>
      <c r="F2711">
        <v>0.94524592860901502</v>
      </c>
      <c r="G2711">
        <v>0.85894238614130103</v>
      </c>
      <c r="H2711">
        <v>1.0742007471284301</v>
      </c>
      <c r="I2711">
        <v>1.0312428912393199</v>
      </c>
      <c r="J2711">
        <v>1.2563905403064699</v>
      </c>
      <c r="K2711">
        <v>1.0589329760275501</v>
      </c>
      <c r="L2711">
        <v>15000</v>
      </c>
      <c r="M2711">
        <v>244.50452427929201</v>
      </c>
      <c r="O2711">
        <v>61.344455988114902</v>
      </c>
      <c r="P2711">
        <v>0.157099760803635</v>
      </c>
      <c r="Q2711">
        <v>1.1576608697886801</v>
      </c>
      <c r="R2711">
        <v>0.45862136170010298</v>
      </c>
      <c r="S2711" t="s">
        <v>8294</v>
      </c>
      <c r="T2711" t="s">
        <v>11164</v>
      </c>
      <c r="U2711" t="s">
        <v>11164</v>
      </c>
      <c r="V2711" t="s">
        <v>11164</v>
      </c>
      <c r="W2711" t="s">
        <v>13838</v>
      </c>
      <c r="X2711">
        <v>20</v>
      </c>
      <c r="Y2711" t="s">
        <v>19339</v>
      </c>
      <c r="Z2711" t="s">
        <v>24861</v>
      </c>
      <c r="AA2711">
        <v>1.0296826286652729</v>
      </c>
      <c r="AB2711" t="str">
        <f>HYPERLINK("Melting_Curves/meltCurve_P82979_SARNP.pdf", "Melting_Curves/meltCurve_P82979_SARNP.pdf")</f>
        <v>Melting_Curves/meltCurve_P82979_SARNP.pdf</v>
      </c>
    </row>
    <row r="2712" spans="1:28" x14ac:dyDescent="0.25">
      <c r="A2712" t="s">
        <v>2716</v>
      </c>
      <c r="B2712">
        <v>0.99796759195183404</v>
      </c>
      <c r="C2712">
        <v>0.81359884714002095</v>
      </c>
      <c r="D2712">
        <v>0.444934619908956</v>
      </c>
      <c r="E2712">
        <v>0.31794739988993997</v>
      </c>
      <c r="F2712">
        <v>0.27974476096527201</v>
      </c>
      <c r="G2712">
        <v>0.21530135240319201</v>
      </c>
      <c r="H2712">
        <v>0.14753765807782701</v>
      </c>
      <c r="I2712">
        <v>0.11437269645823001</v>
      </c>
      <c r="J2712">
        <v>8.1580190417906595E-2</v>
      </c>
      <c r="K2712">
        <v>6.3194588015720601E-2</v>
      </c>
      <c r="L2712">
        <v>670.32098704396105</v>
      </c>
      <c r="M2712">
        <v>15.7112920520979</v>
      </c>
      <c r="N2712">
        <v>43.436373579677998</v>
      </c>
      <c r="O2712">
        <v>41.991655450348198</v>
      </c>
      <c r="P2712">
        <v>-8.2157124261675707E-2</v>
      </c>
      <c r="Q2712">
        <v>0.121746659710227</v>
      </c>
      <c r="R2712">
        <v>0.96642647887302202</v>
      </c>
      <c r="S2712" t="s">
        <v>8295</v>
      </c>
      <c r="T2712" t="s">
        <v>11164</v>
      </c>
      <c r="U2712" t="s">
        <v>11164</v>
      </c>
      <c r="V2712" t="s">
        <v>11164</v>
      </c>
      <c r="W2712" t="s">
        <v>13839</v>
      </c>
      <c r="X2712">
        <v>6</v>
      </c>
      <c r="Y2712" t="s">
        <v>19340</v>
      </c>
      <c r="Z2712" t="s">
        <v>24862</v>
      </c>
      <c r="AA2712">
        <v>0.30913681516607139</v>
      </c>
      <c r="AB2712" t="str">
        <f>HYPERLINK("Melting_Curves/meltCurve_P83436_COG7.pdf", "Melting_Curves/meltCurve_P83436_COG7.pdf")</f>
        <v>Melting_Curves/meltCurve_P83436_COG7.pdf</v>
      </c>
    </row>
    <row r="2713" spans="1:28" x14ac:dyDescent="0.25">
      <c r="A2713" t="s">
        <v>2717</v>
      </c>
      <c r="B2713">
        <v>0.99796759195183404</v>
      </c>
      <c r="C2713">
        <v>0.92026009432850198</v>
      </c>
      <c r="D2713">
        <v>0.88614767256674698</v>
      </c>
      <c r="E2713">
        <v>0.98080397390475405</v>
      </c>
      <c r="F2713">
        <v>0.83047833382721903</v>
      </c>
      <c r="G2713">
        <v>0.48663568924289102</v>
      </c>
      <c r="H2713">
        <v>0.54980687321334598</v>
      </c>
      <c r="I2713">
        <v>0.53048468931914405</v>
      </c>
      <c r="J2713">
        <v>0.59729177423632696</v>
      </c>
      <c r="K2713">
        <v>0.37670046636694599</v>
      </c>
      <c r="L2713">
        <v>12582.2527332758</v>
      </c>
      <c r="M2713">
        <v>250</v>
      </c>
      <c r="O2713">
        <v>50.325785812355001</v>
      </c>
      <c r="P2713">
        <v>-0.61079034813662103</v>
      </c>
      <c r="Q2713">
        <v>0.50818388975342799</v>
      </c>
      <c r="R2713">
        <v>0.90023189472675202</v>
      </c>
      <c r="S2713" t="s">
        <v>8296</v>
      </c>
      <c r="T2713" t="s">
        <v>11164</v>
      </c>
      <c r="U2713" t="s">
        <v>11164</v>
      </c>
      <c r="V2713" t="s">
        <v>11164</v>
      </c>
      <c r="W2713" t="s">
        <v>13840</v>
      </c>
      <c r="X2713">
        <v>2</v>
      </c>
      <c r="Y2713" t="s">
        <v>19341</v>
      </c>
      <c r="Z2713" t="s">
        <v>24863</v>
      </c>
      <c r="AA2713">
        <v>0.72674140723189418</v>
      </c>
      <c r="AB2713" t="str">
        <f>HYPERLINK("Melting_Curves/meltCurve_P84074_HPCA.pdf", "Melting_Curves/meltCurve_P84074_HPCA.pdf")</f>
        <v>Melting_Curves/meltCurve_P84074_HPCA.pdf</v>
      </c>
    </row>
    <row r="2714" spans="1:28" x14ac:dyDescent="0.25">
      <c r="A2714" t="s">
        <v>2718</v>
      </c>
      <c r="B2714">
        <v>0.99796759195183404</v>
      </c>
      <c r="C2714">
        <v>1.0115793994700299</v>
      </c>
      <c r="D2714">
        <v>1.0073071338770401</v>
      </c>
      <c r="E2714">
        <v>0.94671797516473599</v>
      </c>
      <c r="F2714">
        <v>0.97719366586649903</v>
      </c>
      <c r="G2714">
        <v>0.51767864485717197</v>
      </c>
      <c r="H2714">
        <v>0.48224765156403099</v>
      </c>
      <c r="I2714">
        <v>0.44662449401758503</v>
      </c>
      <c r="J2714">
        <v>0.359302400997147</v>
      </c>
      <c r="K2714">
        <v>0.177653851673062</v>
      </c>
      <c r="S2714" t="s">
        <v>8297</v>
      </c>
      <c r="T2714" t="s">
        <v>11164</v>
      </c>
      <c r="U2714" t="s">
        <v>11165</v>
      </c>
      <c r="V2714" t="s">
        <v>11164</v>
      </c>
      <c r="W2714" t="s">
        <v>13841</v>
      </c>
      <c r="X2714">
        <v>9</v>
      </c>
      <c r="Y2714" t="s">
        <v>19342</v>
      </c>
      <c r="Z2714" t="s">
        <v>24864</v>
      </c>
      <c r="AB2714" t="str">
        <f>HYPERLINK("Melting_Curves/meltCurve_P84077_ARF1.pdf", "Melting_Curves/meltCurve_P84077_ARF1.pdf")</f>
        <v>Melting_Curves/meltCurve_P84077_ARF1.pdf</v>
      </c>
    </row>
    <row r="2715" spans="1:28" x14ac:dyDescent="0.25">
      <c r="A2715" t="s">
        <v>2719</v>
      </c>
      <c r="B2715">
        <v>0.99796759195183404</v>
      </c>
      <c r="C2715">
        <v>0.99597269263094901</v>
      </c>
      <c r="D2715">
        <v>0.95909997285289905</v>
      </c>
      <c r="E2715">
        <v>1.0635766120365699</v>
      </c>
      <c r="F2715">
        <v>0.92817265644923097</v>
      </c>
      <c r="G2715">
        <v>0.523735911454559</v>
      </c>
      <c r="H2715">
        <v>0.53198796051578701</v>
      </c>
      <c r="I2715">
        <v>0.32109028903635201</v>
      </c>
      <c r="J2715">
        <v>0.16256559736173201</v>
      </c>
      <c r="K2715">
        <v>0.13853515893212801</v>
      </c>
      <c r="L2715">
        <v>847.11802381839095</v>
      </c>
      <c r="M2715">
        <v>15.145224821373001</v>
      </c>
      <c r="N2715">
        <v>56.5779856885475</v>
      </c>
      <c r="O2715">
        <v>54.985056694451799</v>
      </c>
      <c r="P2715">
        <v>-6.3407224681598998E-2</v>
      </c>
      <c r="Q2715">
        <v>7.9284530743962203E-2</v>
      </c>
      <c r="R2715">
        <v>0.96039762941347795</v>
      </c>
      <c r="S2715" t="s">
        <v>8298</v>
      </c>
      <c r="T2715" t="s">
        <v>11164</v>
      </c>
      <c r="U2715" t="s">
        <v>11164</v>
      </c>
      <c r="V2715" t="s">
        <v>11164</v>
      </c>
      <c r="W2715" t="s">
        <v>13842</v>
      </c>
      <c r="X2715">
        <v>7</v>
      </c>
      <c r="Y2715" t="s">
        <v>19343</v>
      </c>
      <c r="Z2715" t="s">
        <v>24865</v>
      </c>
      <c r="AA2715">
        <v>0.67109292795754028</v>
      </c>
      <c r="AB2715" t="str">
        <f>HYPERLINK("Melting_Curves/meltCurve_P84085_ARF5.pdf", "Melting_Curves/meltCurve_P84085_ARF5.pdf")</f>
        <v>Melting_Curves/meltCurve_P84085_ARF5.pdf</v>
      </c>
    </row>
    <row r="2716" spans="1:28" x14ac:dyDescent="0.25">
      <c r="A2716" t="s">
        <v>2720</v>
      </c>
      <c r="B2716">
        <v>0.99796759195183404</v>
      </c>
      <c r="C2716">
        <v>0.92125719452249299</v>
      </c>
      <c r="D2716">
        <v>0.96254684341529895</v>
      </c>
      <c r="E2716">
        <v>0.93477635889422395</v>
      </c>
      <c r="F2716">
        <v>0.834031577436392</v>
      </c>
      <c r="G2716">
        <v>0.69548600705876196</v>
      </c>
      <c r="H2716">
        <v>0.86567116885002704</v>
      </c>
      <c r="I2716">
        <v>0.89969173194076701</v>
      </c>
      <c r="J2716">
        <v>1.29035160375999</v>
      </c>
      <c r="K2716">
        <v>1.40215347267831</v>
      </c>
      <c r="L2716">
        <v>15000</v>
      </c>
      <c r="M2716">
        <v>234.963518036306</v>
      </c>
      <c r="O2716">
        <v>63.835073021487702</v>
      </c>
      <c r="P2716">
        <v>0.37007059927590502</v>
      </c>
      <c r="Q2716">
        <v>1.4021642828812499</v>
      </c>
      <c r="R2716">
        <v>0.60181014543826805</v>
      </c>
      <c r="S2716" t="s">
        <v>8299</v>
      </c>
      <c r="T2716" t="s">
        <v>11164</v>
      </c>
      <c r="U2716" t="s">
        <v>11164</v>
      </c>
      <c r="V2716" t="s">
        <v>11164</v>
      </c>
      <c r="W2716" t="s">
        <v>13843</v>
      </c>
      <c r="X2716">
        <v>7</v>
      </c>
      <c r="Y2716" t="s">
        <v>19344</v>
      </c>
      <c r="Z2716" t="s">
        <v>24866</v>
      </c>
      <c r="AA2716">
        <v>1.042314406517092</v>
      </c>
      <c r="AB2716" t="str">
        <f>HYPERLINK("Melting_Curves/meltCurve_P84090_ERH.pdf", "Melting_Curves/meltCurve_P84090_ERH.pdf")</f>
        <v>Melting_Curves/meltCurve_P84090_ERH.pdf</v>
      </c>
    </row>
    <row r="2717" spans="1:28" x14ac:dyDescent="0.25">
      <c r="A2717" t="s">
        <v>2721</v>
      </c>
      <c r="B2717">
        <v>0.99796759195183404</v>
      </c>
      <c r="C2717">
        <v>1.04865896608953</v>
      </c>
      <c r="D2717">
        <v>1.0523862653498199</v>
      </c>
      <c r="E2717">
        <v>0.98223989340831597</v>
      </c>
      <c r="F2717">
        <v>0.96445600164746803</v>
      </c>
      <c r="G2717">
        <v>0.68323675828287</v>
      </c>
      <c r="H2717">
        <v>0.53831776351059102</v>
      </c>
      <c r="I2717">
        <v>0.42494140361142702</v>
      </c>
      <c r="J2717">
        <v>0.25349285282439998</v>
      </c>
      <c r="K2717">
        <v>0.15632933035400301</v>
      </c>
      <c r="L2717">
        <v>797.19835226986299</v>
      </c>
      <c r="M2717">
        <v>13.7776851865311</v>
      </c>
      <c r="N2717">
        <v>58.3698466387388</v>
      </c>
      <c r="O2717">
        <v>56.683455917389303</v>
      </c>
      <c r="P2717">
        <v>-5.7338920843616602E-2</v>
      </c>
      <c r="Q2717">
        <v>5.6529344485633001E-2</v>
      </c>
      <c r="R2717">
        <v>0.98143132389644905</v>
      </c>
      <c r="S2717" t="s">
        <v>8300</v>
      </c>
      <c r="T2717" t="s">
        <v>11164</v>
      </c>
      <c r="U2717" t="s">
        <v>11164</v>
      </c>
      <c r="V2717" t="s">
        <v>11164</v>
      </c>
      <c r="W2717" t="s">
        <v>13844</v>
      </c>
      <c r="X2717">
        <v>11</v>
      </c>
      <c r="Y2717" t="s">
        <v>19345</v>
      </c>
      <c r="Z2717" t="s">
        <v>24867</v>
      </c>
      <c r="AA2717">
        <v>0.71560281893833166</v>
      </c>
      <c r="AB2717" t="str">
        <f>HYPERLINK("Melting_Curves/meltCurve_P84095_RHOG.pdf", "Melting_Curves/meltCurve_P84095_RHOG.pdf")</f>
        <v>Melting_Curves/meltCurve_P84095_RHOG.pdf</v>
      </c>
    </row>
    <row r="2718" spans="1:28" x14ac:dyDescent="0.25">
      <c r="A2718" t="s">
        <v>2722</v>
      </c>
      <c r="B2718">
        <v>0.99796759195183404</v>
      </c>
      <c r="C2718">
        <v>1.06095831223434</v>
      </c>
      <c r="D2718">
        <v>0.73440474742076201</v>
      </c>
      <c r="E2718">
        <v>0.701144157438507</v>
      </c>
      <c r="F2718">
        <v>0.99184535125670004</v>
      </c>
      <c r="G2718">
        <v>0.92294853810848898</v>
      </c>
      <c r="H2718">
        <v>0.742129325262467</v>
      </c>
      <c r="I2718">
        <v>0.782311284275788</v>
      </c>
      <c r="J2718">
        <v>0.98379732318852997</v>
      </c>
      <c r="K2718">
        <v>0.66224574506397205</v>
      </c>
      <c r="L2718">
        <v>10343.753614658201</v>
      </c>
      <c r="M2718">
        <v>250</v>
      </c>
      <c r="O2718">
        <v>41.372366938722301</v>
      </c>
      <c r="P2718">
        <v>-0.27931852491471598</v>
      </c>
      <c r="Q2718">
        <v>0.81510290505101801</v>
      </c>
      <c r="R2718">
        <v>0.36604426849523197</v>
      </c>
      <c r="S2718" t="s">
        <v>8301</v>
      </c>
      <c r="T2718" t="s">
        <v>11164</v>
      </c>
      <c r="U2718" t="s">
        <v>11164</v>
      </c>
      <c r="V2718" t="s">
        <v>11164</v>
      </c>
      <c r="W2718" t="s">
        <v>13845</v>
      </c>
      <c r="X2718">
        <v>6</v>
      </c>
      <c r="Y2718" t="s">
        <v>19346</v>
      </c>
      <c r="Z2718" t="s">
        <v>24868</v>
      </c>
      <c r="AA2718">
        <v>0.84208057968450689</v>
      </c>
      <c r="AB2718" t="str">
        <f>HYPERLINK("Melting_Curves/meltCurve_P84101_SERF2.pdf", "Melting_Curves/meltCurve_P84101_SERF2.pdf")</f>
        <v>Melting_Curves/meltCurve_P84101_SERF2.pdf</v>
      </c>
    </row>
    <row r="2719" spans="1:28" x14ac:dyDescent="0.25">
      <c r="A2719" t="s">
        <v>2723</v>
      </c>
      <c r="B2719">
        <v>0.99796759195183404</v>
      </c>
      <c r="C2719">
        <v>0.88160804574489104</v>
      </c>
      <c r="D2719">
        <v>0.90831950694470898</v>
      </c>
      <c r="E2719">
        <v>0.96600873321997005</v>
      </c>
      <c r="F2719">
        <v>0.95129219822683497</v>
      </c>
      <c r="G2719">
        <v>0.54539830299402803</v>
      </c>
      <c r="H2719">
        <v>0.53519180241984599</v>
      </c>
      <c r="I2719">
        <v>0.53145431299927204</v>
      </c>
      <c r="J2719">
        <v>0.59700139723415602</v>
      </c>
      <c r="K2719">
        <v>0.50863818118437898</v>
      </c>
      <c r="L2719">
        <v>5490.5189973307197</v>
      </c>
      <c r="M2719">
        <v>107.247257490658</v>
      </c>
      <c r="O2719">
        <v>51.177166041073498</v>
      </c>
      <c r="P2719">
        <v>-0.23940669666352599</v>
      </c>
      <c r="Q2719">
        <v>0.54303145766344596</v>
      </c>
      <c r="R2719">
        <v>0.93166764774201705</v>
      </c>
      <c r="S2719" t="s">
        <v>8302</v>
      </c>
      <c r="T2719" t="s">
        <v>11164</v>
      </c>
      <c r="U2719" t="s">
        <v>11164</v>
      </c>
      <c r="V2719" t="s">
        <v>11164</v>
      </c>
      <c r="W2719" t="s">
        <v>13846</v>
      </c>
      <c r="X2719">
        <v>4</v>
      </c>
      <c r="Y2719" t="s">
        <v>19347</v>
      </c>
      <c r="Z2719" t="s">
        <v>24869</v>
      </c>
      <c r="AA2719">
        <v>0.75947643848811663</v>
      </c>
      <c r="AB2719" t="str">
        <f>HYPERLINK("Melting_Curves/meltCurve_P84157_MXRA7.pdf", "Melting_Curves/meltCurve_P84157_MXRA7.pdf")</f>
        <v>Melting_Curves/meltCurve_P84157_MXRA7.pdf</v>
      </c>
    </row>
    <row r="2720" spans="1:28" x14ac:dyDescent="0.25">
      <c r="A2720" t="s">
        <v>2724</v>
      </c>
      <c r="B2720">
        <v>0.99796759195183404</v>
      </c>
      <c r="C2720">
        <v>1.23926604739601</v>
      </c>
      <c r="D2720">
        <v>1.1391730006213401</v>
      </c>
      <c r="E2720">
        <v>1.1831167463721399</v>
      </c>
      <c r="F2720">
        <v>1.0910048155354499</v>
      </c>
      <c r="G2720">
        <v>0.82474851593142695</v>
      </c>
      <c r="H2720">
        <v>0.64230117120410701</v>
      </c>
      <c r="I2720">
        <v>0.90766161227788</v>
      </c>
      <c r="J2720">
        <v>0.91154472010503895</v>
      </c>
      <c r="K2720">
        <v>0.96781045771462704</v>
      </c>
      <c r="L2720">
        <v>4729.0162639294203</v>
      </c>
      <c r="M2720">
        <v>90.497649562790698</v>
      </c>
      <c r="O2720">
        <v>52.2302010901995</v>
      </c>
      <c r="P2720">
        <v>-6.5079989359511606E-2</v>
      </c>
      <c r="Q2720">
        <v>0.84975790007396601</v>
      </c>
      <c r="R2720">
        <v>0.37145726228855902</v>
      </c>
      <c r="S2720" t="s">
        <v>8303</v>
      </c>
      <c r="T2720" t="s">
        <v>11164</v>
      </c>
      <c r="U2720" t="s">
        <v>11164</v>
      </c>
      <c r="V2720" t="s">
        <v>11164</v>
      </c>
      <c r="W2720" t="s">
        <v>13847</v>
      </c>
      <c r="X2720">
        <v>4</v>
      </c>
      <c r="Y2720" t="s">
        <v>19347</v>
      </c>
      <c r="Z2720" t="s">
        <v>24870</v>
      </c>
      <c r="AA2720">
        <v>0.92626471947250411</v>
      </c>
      <c r="AB2720" t="str">
        <f>HYPERLINK("Melting_Curves/meltCurve_P84157_2_MXRA7.pdf", "Melting_Curves/meltCurve_P84157_2_MXRA7.pdf")</f>
        <v>Melting_Curves/meltCurve_P84157_2_MXRA7.pdf</v>
      </c>
    </row>
    <row r="2721" spans="1:28" x14ac:dyDescent="0.25">
      <c r="A2721" t="s">
        <v>2725</v>
      </c>
      <c r="B2721">
        <v>0.99796759195183404</v>
      </c>
      <c r="C2721">
        <v>0.99421117051779995</v>
      </c>
      <c r="D2721">
        <v>1.07824375663558</v>
      </c>
      <c r="E2721">
        <v>0.99532110840150401</v>
      </c>
      <c r="F2721">
        <v>0.92050550888707205</v>
      </c>
      <c r="G2721">
        <v>0.74094059856916195</v>
      </c>
      <c r="H2721">
        <v>0.61843415879669095</v>
      </c>
      <c r="I2721">
        <v>0.75740367931697195</v>
      </c>
      <c r="J2721">
        <v>0.774571349365614</v>
      </c>
      <c r="K2721">
        <v>0.69998766298246695</v>
      </c>
      <c r="L2721">
        <v>2724.7366413568402</v>
      </c>
      <c r="M2721">
        <v>53.306207305351002</v>
      </c>
      <c r="O2721">
        <v>51.0430247371742</v>
      </c>
      <c r="P2721">
        <v>-7.4606089144084606E-2</v>
      </c>
      <c r="Q2721">
        <v>0.71424581608756799</v>
      </c>
      <c r="R2721">
        <v>0.90440104541237298</v>
      </c>
      <c r="S2721" t="s">
        <v>8304</v>
      </c>
      <c r="T2721" t="s">
        <v>11164</v>
      </c>
      <c r="U2721" t="s">
        <v>11164</v>
      </c>
      <c r="V2721" t="s">
        <v>11164</v>
      </c>
      <c r="W2721" t="s">
        <v>13848</v>
      </c>
      <c r="X2721">
        <v>3</v>
      </c>
      <c r="Y2721" t="s">
        <v>19347</v>
      </c>
      <c r="Z2721" t="s">
        <v>24871</v>
      </c>
      <c r="AA2721">
        <v>0.84925775585559904</v>
      </c>
      <c r="AB2721" t="str">
        <f>HYPERLINK("Melting_Curves/meltCurve_P84157_3_MXRA7.pdf", "Melting_Curves/meltCurve_P84157_3_MXRA7.pdf")</f>
        <v>Melting_Curves/meltCurve_P84157_3_MXRA7.pdf</v>
      </c>
    </row>
    <row r="2722" spans="1:28" x14ac:dyDescent="0.25">
      <c r="A2722" t="s">
        <v>2726</v>
      </c>
      <c r="B2722">
        <v>0.99796759195183404</v>
      </c>
      <c r="C2722">
        <v>1.01362073430094</v>
      </c>
      <c r="D2722">
        <v>0.97956711013479603</v>
      </c>
      <c r="E2722">
        <v>0.87531745509133196</v>
      </c>
      <c r="F2722">
        <v>0.67187868320593802</v>
      </c>
      <c r="G2722">
        <v>0.40679873898396002</v>
      </c>
      <c r="H2722">
        <v>0.26209672875865397</v>
      </c>
      <c r="I2722">
        <v>0.20064876683760799</v>
      </c>
      <c r="J2722">
        <v>0.155878189654513</v>
      </c>
      <c r="K2722">
        <v>0.11985451583814</v>
      </c>
      <c r="L2722">
        <v>872.05275892102804</v>
      </c>
      <c r="M2722">
        <v>16.876570980788699</v>
      </c>
      <c r="N2722">
        <v>52.528309749573097</v>
      </c>
      <c r="O2722">
        <v>50.963246985740902</v>
      </c>
      <c r="P2722">
        <v>-7.2840500427352503E-2</v>
      </c>
      <c r="Q2722">
        <v>0.120211795209494</v>
      </c>
      <c r="R2722">
        <v>0.998955838632131</v>
      </c>
      <c r="S2722" t="s">
        <v>8305</v>
      </c>
      <c r="T2722" t="s">
        <v>11164</v>
      </c>
      <c r="U2722" t="s">
        <v>11164</v>
      </c>
      <c r="V2722" t="s">
        <v>11164</v>
      </c>
      <c r="W2722" t="s">
        <v>13849</v>
      </c>
      <c r="X2722">
        <v>9</v>
      </c>
      <c r="Y2722" t="s">
        <v>19348</v>
      </c>
      <c r="Z2722" t="s">
        <v>24872</v>
      </c>
      <c r="AA2722">
        <v>0.56522046902570866</v>
      </c>
      <c r="AB2722" t="str">
        <f>HYPERLINK("Melting_Curves/meltCurve_P85037_FOXK1.pdf", "Melting_Curves/meltCurve_P85037_FOXK1.pdf")</f>
        <v>Melting_Curves/meltCurve_P85037_FOXK1.pdf</v>
      </c>
    </row>
    <row r="2723" spans="1:28" x14ac:dyDescent="0.25">
      <c r="A2723" t="s">
        <v>2727</v>
      </c>
      <c r="B2723">
        <v>0.99796759195183404</v>
      </c>
      <c r="C2723">
        <v>0.73006865779818497</v>
      </c>
      <c r="D2723">
        <v>0.62577133504159099</v>
      </c>
      <c r="E2723">
        <v>0.59092992539401201</v>
      </c>
      <c r="F2723">
        <v>0.77275774407314801</v>
      </c>
      <c r="G2723">
        <v>0.80361389823104601</v>
      </c>
      <c r="H2723">
        <v>0.47127409696574502</v>
      </c>
      <c r="I2723">
        <v>0.21292403496436099</v>
      </c>
      <c r="J2723">
        <v>0.45447050233182901</v>
      </c>
      <c r="K2723">
        <v>0</v>
      </c>
      <c r="L2723">
        <v>274.04618766434402</v>
      </c>
      <c r="M2723">
        <v>5.0376056628279002</v>
      </c>
      <c r="N2723">
        <v>54.400087263671701</v>
      </c>
      <c r="O2723">
        <v>47.561717946199202</v>
      </c>
      <c r="P2723">
        <v>-2.6637461796717301E-2</v>
      </c>
      <c r="Q2723">
        <v>0</v>
      </c>
      <c r="R2723">
        <v>0.61991421890285703</v>
      </c>
      <c r="S2723" t="s">
        <v>8306</v>
      </c>
      <c r="T2723" t="s">
        <v>11164</v>
      </c>
      <c r="U2723" t="s">
        <v>11164</v>
      </c>
      <c r="V2723" t="s">
        <v>11164</v>
      </c>
      <c r="W2723" t="s">
        <v>13850</v>
      </c>
      <c r="X2723">
        <v>1</v>
      </c>
      <c r="Y2723" t="s">
        <v>19349</v>
      </c>
      <c r="Z2723" t="s">
        <v>24873</v>
      </c>
      <c r="AA2723">
        <v>0.57511981016007352</v>
      </c>
      <c r="AB2723" t="str">
        <f>HYPERLINK("Melting_Curves/meltCurve_P86397_RPP14.pdf", "Melting_Curves/meltCurve_P86397_RPP14.pdf")</f>
        <v>Melting_Curves/meltCurve_P86397_RPP14.pdf</v>
      </c>
    </row>
    <row r="2724" spans="1:28" x14ac:dyDescent="0.25">
      <c r="A2724" t="s">
        <v>2728</v>
      </c>
      <c r="B2724">
        <v>0.99796759195183404</v>
      </c>
      <c r="C2724">
        <v>0.97084777125662702</v>
      </c>
      <c r="D2724">
        <v>0.91660480512305897</v>
      </c>
      <c r="E2724">
        <v>0.79041265061871102</v>
      </c>
      <c r="F2724">
        <v>0.706215955512835</v>
      </c>
      <c r="G2724">
        <v>0.49344598194740302</v>
      </c>
      <c r="H2724">
        <v>0.35936653312498801</v>
      </c>
      <c r="I2724">
        <v>0.242610139808102</v>
      </c>
      <c r="J2724">
        <v>0.117987435907615</v>
      </c>
      <c r="K2724">
        <v>8.6087089776572798E-2</v>
      </c>
      <c r="L2724">
        <v>560.57949212984602</v>
      </c>
      <c r="M2724">
        <v>10.435869905339301</v>
      </c>
      <c r="N2724">
        <v>53.716579694399002</v>
      </c>
      <c r="O2724">
        <v>51.856531418860897</v>
      </c>
      <c r="P2724">
        <v>-5.0332047815638901E-2</v>
      </c>
      <c r="Q2724">
        <v>0</v>
      </c>
      <c r="R2724">
        <v>0.99485187920509599</v>
      </c>
      <c r="S2724" t="s">
        <v>8307</v>
      </c>
      <c r="T2724" t="s">
        <v>11164</v>
      </c>
      <c r="U2724" t="s">
        <v>11164</v>
      </c>
      <c r="V2724" t="s">
        <v>11164</v>
      </c>
      <c r="W2724" t="s">
        <v>13851</v>
      </c>
      <c r="X2724">
        <v>7</v>
      </c>
      <c r="Y2724" t="s">
        <v>19350</v>
      </c>
      <c r="Z2724" t="s">
        <v>24874</v>
      </c>
      <c r="AA2724">
        <v>0.57635222179373424</v>
      </c>
      <c r="AB2724" t="str">
        <f>HYPERLINK("Melting_Curves/meltCurve_P86791_CCZ1.pdf", "Melting_Curves/meltCurve_P86791_CCZ1.pdf")</f>
        <v>Melting_Curves/meltCurve_P86791_CCZ1.pdf</v>
      </c>
    </row>
    <row r="2725" spans="1:28" x14ac:dyDescent="0.25">
      <c r="A2725" t="s">
        <v>2729</v>
      </c>
      <c r="B2725">
        <v>0.99796759195183404</v>
      </c>
      <c r="C2725">
        <v>1.15670191507665</v>
      </c>
      <c r="D2725">
        <v>0.90965511716931202</v>
      </c>
      <c r="E2725">
        <v>1.0187726461762701</v>
      </c>
      <c r="F2725">
        <v>0.74456189018251795</v>
      </c>
      <c r="G2725">
        <v>0.35960276353232501</v>
      </c>
      <c r="H2725">
        <v>0.289064428745272</v>
      </c>
      <c r="I2725">
        <v>0.28361651475139599</v>
      </c>
      <c r="J2725">
        <v>0.23299680378430601</v>
      </c>
      <c r="K2725">
        <v>0.19876533513886699</v>
      </c>
      <c r="L2725">
        <v>1814.1529723116801</v>
      </c>
      <c r="M2725">
        <v>35.4275766848451</v>
      </c>
      <c r="N2725">
        <v>52.201976766841597</v>
      </c>
      <c r="O2725">
        <v>51.045037100747599</v>
      </c>
      <c r="P2725">
        <v>-0.130928302078331</v>
      </c>
      <c r="Q2725">
        <v>0.24542203557168399</v>
      </c>
      <c r="R2725">
        <v>0.97040443857832803</v>
      </c>
      <c r="S2725" t="s">
        <v>8308</v>
      </c>
      <c r="T2725" t="s">
        <v>11164</v>
      </c>
      <c r="U2725" t="s">
        <v>11164</v>
      </c>
      <c r="V2725" t="s">
        <v>11164</v>
      </c>
      <c r="W2725" t="s">
        <v>13852</v>
      </c>
      <c r="X2725">
        <v>7</v>
      </c>
      <c r="Y2725" t="s">
        <v>19351</v>
      </c>
      <c r="Z2725" t="s">
        <v>24875</v>
      </c>
      <c r="AA2725">
        <v>0.60617256936243469</v>
      </c>
      <c r="AB2725" t="str">
        <f>HYPERLINK("Melting_Curves/meltCurve_P98082_3_DAB2.pdf", "Melting_Curves/meltCurve_P98082_3_DAB2.pdf")</f>
        <v>Melting_Curves/meltCurve_P98082_3_DAB2.pdf</v>
      </c>
    </row>
    <row r="2726" spans="1:28" x14ac:dyDescent="0.25">
      <c r="A2726" t="s">
        <v>2730</v>
      </c>
      <c r="B2726">
        <v>0.99796759195183404</v>
      </c>
      <c r="C2726">
        <v>1.06253472951816</v>
      </c>
      <c r="D2726">
        <v>0.97549691223417201</v>
      </c>
      <c r="E2726">
        <v>0.78878567077250705</v>
      </c>
      <c r="F2726">
        <v>0.85468836609529297</v>
      </c>
      <c r="G2726">
        <v>0.43539193639433799</v>
      </c>
      <c r="H2726">
        <v>0.29379937681248403</v>
      </c>
      <c r="I2726">
        <v>0.22861165726060101</v>
      </c>
      <c r="J2726">
        <v>0.171851737171199</v>
      </c>
      <c r="K2726">
        <v>0.14442420112412799</v>
      </c>
      <c r="L2726">
        <v>883.880260275193</v>
      </c>
      <c r="M2726">
        <v>16.7565872686279</v>
      </c>
      <c r="N2726">
        <v>53.671454050137697</v>
      </c>
      <c r="O2726">
        <v>52.014163241242699</v>
      </c>
      <c r="P2726">
        <v>-7.04591128333628E-2</v>
      </c>
      <c r="Q2726">
        <v>0.12520823099990899</v>
      </c>
      <c r="R2726">
        <v>0.97042652559174103</v>
      </c>
      <c r="S2726" t="s">
        <v>8309</v>
      </c>
      <c r="T2726" t="s">
        <v>11164</v>
      </c>
      <c r="U2726" t="s">
        <v>11164</v>
      </c>
      <c r="V2726" t="s">
        <v>11164</v>
      </c>
      <c r="W2726" t="s">
        <v>13853</v>
      </c>
      <c r="X2726">
        <v>2</v>
      </c>
      <c r="Y2726" t="s">
        <v>19352</v>
      </c>
      <c r="Z2726" t="s">
        <v>24876</v>
      </c>
      <c r="AA2726">
        <v>0.59850526568920803</v>
      </c>
      <c r="AB2726" t="str">
        <f>HYPERLINK("Melting_Curves/meltCurve_P98170_XIAP.pdf", "Melting_Curves/meltCurve_P98170_XIAP.pdf")</f>
        <v>Melting_Curves/meltCurve_P98170_XIAP.pdf</v>
      </c>
    </row>
    <row r="2727" spans="1:28" x14ac:dyDescent="0.25">
      <c r="A2727" t="s">
        <v>2731</v>
      </c>
      <c r="B2727">
        <v>0.99796759195183404</v>
      </c>
      <c r="C2727">
        <v>0.998377010972749</v>
      </c>
      <c r="D2727">
        <v>1.02125741571012</v>
      </c>
      <c r="E2727">
        <v>0.95014744313680899</v>
      </c>
      <c r="F2727">
        <v>0.79169052844268595</v>
      </c>
      <c r="G2727">
        <v>0.687323125268404</v>
      </c>
      <c r="H2727">
        <v>0.54807757770108401</v>
      </c>
      <c r="I2727">
        <v>0.398020594621113</v>
      </c>
      <c r="J2727">
        <v>0.32807762684597902</v>
      </c>
      <c r="K2727">
        <v>0.24056908258686799</v>
      </c>
      <c r="L2727">
        <v>618.33585587386801</v>
      </c>
      <c r="M2727">
        <v>10.8639121570969</v>
      </c>
      <c r="N2727">
        <v>58.2463895799767</v>
      </c>
      <c r="O2727">
        <v>55.089857577720402</v>
      </c>
      <c r="P2727">
        <v>-4.3901204536681102E-2</v>
      </c>
      <c r="Q2727">
        <v>0.10983986195352601</v>
      </c>
      <c r="R2727">
        <v>0.99384139405310401</v>
      </c>
      <c r="S2727" t="s">
        <v>8310</v>
      </c>
      <c r="T2727" t="s">
        <v>11164</v>
      </c>
      <c r="U2727" t="s">
        <v>11164</v>
      </c>
      <c r="V2727" t="s">
        <v>11164</v>
      </c>
      <c r="W2727" t="s">
        <v>13854</v>
      </c>
      <c r="X2727">
        <v>7</v>
      </c>
      <c r="Y2727" t="s">
        <v>19353</v>
      </c>
      <c r="Z2727" t="s">
        <v>24877</v>
      </c>
      <c r="AA2727">
        <v>0.70303005489107684</v>
      </c>
      <c r="AB2727" t="str">
        <f>HYPERLINK("Melting_Curves/meltCurve_P98172_EFNB1.pdf", "Melting_Curves/meltCurve_P98172_EFNB1.pdf")</f>
        <v>Melting_Curves/meltCurve_P98172_EFNB1.pdf</v>
      </c>
    </row>
    <row r="2728" spans="1:28" x14ac:dyDescent="0.25">
      <c r="A2728" t="s">
        <v>2732</v>
      </c>
      <c r="B2728">
        <v>0.99796759195183404</v>
      </c>
      <c r="C2728">
        <v>0.96724308847751905</v>
      </c>
      <c r="D2728">
        <v>0.96815000166313903</v>
      </c>
      <c r="E2728">
        <v>0.93468647711977604</v>
      </c>
      <c r="F2728">
        <v>0.75166229064983003</v>
      </c>
      <c r="G2728">
        <v>0.48751037885665699</v>
      </c>
      <c r="H2728">
        <v>0.33865650686437199</v>
      </c>
      <c r="I2728">
        <v>0.26844919954125201</v>
      </c>
      <c r="J2728">
        <v>0.15975789601804799</v>
      </c>
      <c r="K2728">
        <v>0.112569158316706</v>
      </c>
      <c r="L2728">
        <v>784.73785787918405</v>
      </c>
      <c r="M2728">
        <v>14.696877596413101</v>
      </c>
      <c r="N2728">
        <v>54.173068001532798</v>
      </c>
      <c r="O2728">
        <v>52.435540202137901</v>
      </c>
      <c r="P2728">
        <v>-6.3409979101106795E-2</v>
      </c>
      <c r="Q2728">
        <v>9.5162171980874899E-2</v>
      </c>
      <c r="R2728">
        <v>0.994936780714611</v>
      </c>
      <c r="S2728" t="s">
        <v>8311</v>
      </c>
      <c r="T2728" t="s">
        <v>11164</v>
      </c>
      <c r="U2728" t="s">
        <v>11164</v>
      </c>
      <c r="V2728" t="s">
        <v>11164</v>
      </c>
      <c r="W2728" t="s">
        <v>13855</v>
      </c>
      <c r="X2728">
        <v>3</v>
      </c>
      <c r="Y2728" t="s">
        <v>19354</v>
      </c>
      <c r="Z2728" t="s">
        <v>24878</v>
      </c>
      <c r="AA2728">
        <v>0.60552906595066391</v>
      </c>
      <c r="AB2728" t="str">
        <f>HYPERLINK("Melting_Curves/meltCurve_P98173_3_FAM3A.pdf", "Melting_Curves/meltCurve_P98173_3_FAM3A.pdf")</f>
        <v>Melting_Curves/meltCurve_P98173_3_FAM3A.pdf</v>
      </c>
    </row>
    <row r="2729" spans="1:28" x14ac:dyDescent="0.25">
      <c r="A2729" t="s">
        <v>2733</v>
      </c>
      <c r="B2729">
        <v>0.99796759195183404</v>
      </c>
      <c r="C2729">
        <v>0.89763544526799299</v>
      </c>
      <c r="D2729">
        <v>0.67522389502526103</v>
      </c>
      <c r="E2729">
        <v>0.718528765736129</v>
      </c>
      <c r="F2729">
        <v>0.71940509628516403</v>
      </c>
      <c r="G2729">
        <v>0.59459650797769703</v>
      </c>
      <c r="H2729">
        <v>0.39346660405814499</v>
      </c>
      <c r="I2729">
        <v>0.14065776805520799</v>
      </c>
      <c r="J2729">
        <v>0.17921000407614801</v>
      </c>
      <c r="K2729">
        <v>5.5986120429353199E-2</v>
      </c>
      <c r="L2729">
        <v>427.552209091826</v>
      </c>
      <c r="M2729">
        <v>8.0725124396915202</v>
      </c>
      <c r="N2729">
        <v>52.963957907112601</v>
      </c>
      <c r="O2729">
        <v>50.010692147468397</v>
      </c>
      <c r="P2729">
        <v>-4.0398070313929502E-2</v>
      </c>
      <c r="Q2729">
        <v>0</v>
      </c>
      <c r="R2729">
        <v>0.90357249267638595</v>
      </c>
      <c r="S2729" t="s">
        <v>8312</v>
      </c>
      <c r="T2729" t="s">
        <v>11164</v>
      </c>
      <c r="U2729" t="s">
        <v>11164</v>
      </c>
      <c r="V2729" t="s">
        <v>11164</v>
      </c>
      <c r="W2729" t="s">
        <v>13856</v>
      </c>
      <c r="X2729">
        <v>4</v>
      </c>
      <c r="Y2729" t="s">
        <v>19355</v>
      </c>
      <c r="Z2729" t="s">
        <v>24879</v>
      </c>
      <c r="AA2729">
        <v>0.55428751672311638</v>
      </c>
      <c r="AB2729" t="str">
        <f>HYPERLINK("Melting_Curves/meltCurve_P98175_2_RBM10.pdf", "Melting_Curves/meltCurve_P98175_2_RBM10.pdf")</f>
        <v>Melting_Curves/meltCurve_P98175_2_RBM10.pdf</v>
      </c>
    </row>
    <row r="2730" spans="1:28" x14ac:dyDescent="0.25">
      <c r="A2730" t="s">
        <v>2734</v>
      </c>
      <c r="B2730">
        <v>0.99796759195183404</v>
      </c>
      <c r="C2730">
        <v>1.0507128781058701</v>
      </c>
      <c r="D2730">
        <v>0.85440051699362596</v>
      </c>
      <c r="E2730">
        <v>0.91167489502435595</v>
      </c>
      <c r="F2730">
        <v>0.87827880879629505</v>
      </c>
      <c r="G2730">
        <v>0.56815438688720699</v>
      </c>
      <c r="H2730">
        <v>0.482725314103717</v>
      </c>
      <c r="I2730">
        <v>0.37893712163967902</v>
      </c>
      <c r="J2730">
        <v>0.39729655373429701</v>
      </c>
      <c r="K2730">
        <v>0.38614223634765599</v>
      </c>
      <c r="L2730">
        <v>1061.0699491642699</v>
      </c>
      <c r="M2730">
        <v>20.225796123111799</v>
      </c>
      <c r="N2730">
        <v>56.197681829220201</v>
      </c>
      <c r="O2730">
        <v>51.956460157234297</v>
      </c>
      <c r="P2730">
        <v>-6.1343259833498601E-2</v>
      </c>
      <c r="Q2730">
        <v>0.36970006353170998</v>
      </c>
      <c r="R2730">
        <v>0.95535610275420602</v>
      </c>
      <c r="S2730" t="s">
        <v>8313</v>
      </c>
      <c r="T2730" t="s">
        <v>11164</v>
      </c>
      <c r="U2730" t="s">
        <v>11164</v>
      </c>
      <c r="V2730" t="s">
        <v>11164</v>
      </c>
      <c r="W2730" t="s">
        <v>13857</v>
      </c>
      <c r="X2730">
        <v>3</v>
      </c>
      <c r="Y2730" t="s">
        <v>19356</v>
      </c>
      <c r="Z2730" t="s">
        <v>24880</v>
      </c>
      <c r="AA2730">
        <v>0.70246396557883084</v>
      </c>
      <c r="AB2730" t="str">
        <f>HYPERLINK("Melting_Curves/meltCurve_P98179_RBM3.pdf", "Melting_Curves/meltCurve_P98179_RBM3.pdf")</f>
        <v>Melting_Curves/meltCurve_P98179_RBM3.pdf</v>
      </c>
    </row>
    <row r="2731" spans="1:28" x14ac:dyDescent="0.25">
      <c r="A2731" t="s">
        <v>2735</v>
      </c>
      <c r="B2731">
        <v>0.99796759195183404</v>
      </c>
      <c r="C2731">
        <v>0.94498467506494599</v>
      </c>
      <c r="D2731">
        <v>0.934547508661425</v>
      </c>
      <c r="E2731">
        <v>0.80920414462918</v>
      </c>
      <c r="F2731">
        <v>0.585521558329548</v>
      </c>
      <c r="G2731">
        <v>0.248497458712265</v>
      </c>
      <c r="H2731">
        <v>0.160263140749624</v>
      </c>
      <c r="I2731">
        <v>0.109574723462579</v>
      </c>
      <c r="J2731">
        <v>0.108516949496719</v>
      </c>
      <c r="K2731">
        <v>6.2394967243337499E-2</v>
      </c>
      <c r="L2731">
        <v>896.24566886087302</v>
      </c>
      <c r="M2731">
        <v>17.8006118095213</v>
      </c>
      <c r="N2731">
        <v>50.743861808529999</v>
      </c>
      <c r="O2731">
        <v>49.726613612012301</v>
      </c>
      <c r="P2731">
        <v>-8.3710893342655995E-2</v>
      </c>
      <c r="Q2731">
        <v>6.4651417412617707E-2</v>
      </c>
      <c r="R2731">
        <v>0.995037457233234</v>
      </c>
      <c r="S2731" t="s">
        <v>8314</v>
      </c>
      <c r="T2731" t="s">
        <v>11164</v>
      </c>
      <c r="U2731" t="s">
        <v>11164</v>
      </c>
      <c r="V2731" t="s">
        <v>11164</v>
      </c>
      <c r="W2731" t="s">
        <v>13858</v>
      </c>
      <c r="X2731">
        <v>5</v>
      </c>
      <c r="Y2731" t="s">
        <v>19357</v>
      </c>
      <c r="Z2731" t="s">
        <v>24881</v>
      </c>
      <c r="AA2731">
        <v>0.49578891135324099</v>
      </c>
      <c r="AB2731" t="str">
        <f>HYPERLINK("Melting_Curves/meltCurve_Q00013_2_MPP1.pdf", "Melting_Curves/meltCurve_Q00013_2_MPP1.pdf")</f>
        <v>Melting_Curves/meltCurve_Q00013_2_MPP1.pdf</v>
      </c>
    </row>
    <row r="2732" spans="1:28" x14ac:dyDescent="0.25">
      <c r="A2732" t="s">
        <v>2736</v>
      </c>
      <c r="B2732">
        <v>0.99796759195183404</v>
      </c>
      <c r="C2732">
        <v>0.95983748499048105</v>
      </c>
      <c r="D2732">
        <v>0.82933353771974905</v>
      </c>
      <c r="E2732">
        <v>0.79664704920461704</v>
      </c>
      <c r="F2732">
        <v>0.65210307933947997</v>
      </c>
      <c r="G2732">
        <v>0.41496243695206902</v>
      </c>
      <c r="H2732">
        <v>0.27689684998185299</v>
      </c>
      <c r="I2732">
        <v>0.21485400999738699</v>
      </c>
      <c r="J2732">
        <v>0.185920305480054</v>
      </c>
      <c r="K2732">
        <v>0.13722995178724001</v>
      </c>
      <c r="L2732">
        <v>532.38921080469299</v>
      </c>
      <c r="M2732">
        <v>10.265525340210701</v>
      </c>
      <c r="N2732">
        <v>52.392866580902798</v>
      </c>
      <c r="O2732">
        <v>50.009423983351297</v>
      </c>
      <c r="P2732">
        <v>-4.8803973205228203E-2</v>
      </c>
      <c r="Q2732">
        <v>4.9406558738099501E-2</v>
      </c>
      <c r="R2732">
        <v>0.99077869540401398</v>
      </c>
      <c r="S2732" t="s">
        <v>8315</v>
      </c>
      <c r="T2732" t="s">
        <v>11164</v>
      </c>
      <c r="U2732" t="s">
        <v>11164</v>
      </c>
      <c r="V2732" t="s">
        <v>11164</v>
      </c>
      <c r="W2732" t="s">
        <v>13859</v>
      </c>
      <c r="X2732">
        <v>13</v>
      </c>
      <c r="Y2732" t="s">
        <v>19358</v>
      </c>
      <c r="Z2732" t="s">
        <v>24882</v>
      </c>
      <c r="AA2732">
        <v>0.54582924712083425</v>
      </c>
      <c r="AB2732" t="str">
        <f>HYPERLINK("Melting_Curves/meltCurve_Q00059_TFAM.pdf", "Melting_Curves/meltCurve_Q00059_TFAM.pdf")</f>
        <v>Melting_Curves/meltCurve_Q00059_TFAM.pdf</v>
      </c>
    </row>
    <row r="2733" spans="1:28" x14ac:dyDescent="0.25">
      <c r="A2733" t="s">
        <v>2737</v>
      </c>
      <c r="B2733">
        <v>0.99796759195183404</v>
      </c>
      <c r="C2733">
        <v>1.0691442801928399</v>
      </c>
      <c r="D2733">
        <v>1.04471395534754</v>
      </c>
      <c r="E2733">
        <v>1.0545351553206399</v>
      </c>
      <c r="F2733">
        <v>0.90086327478038497</v>
      </c>
      <c r="G2733">
        <v>0.74667767681097497</v>
      </c>
      <c r="H2733">
        <v>0.85355248645137805</v>
      </c>
      <c r="I2733">
        <v>0.72572184161359798</v>
      </c>
      <c r="J2733">
        <v>0.96517698389145701</v>
      </c>
      <c r="K2733">
        <v>1.093010356415</v>
      </c>
      <c r="L2733">
        <v>12478.867994247201</v>
      </c>
      <c r="M2733">
        <v>250</v>
      </c>
      <c r="O2733">
        <v>49.912300492823803</v>
      </c>
      <c r="P2733">
        <v>-0.15423576048292301</v>
      </c>
      <c r="Q2733">
        <v>0.87682786996395601</v>
      </c>
      <c r="R2733">
        <v>0.34697643352253998</v>
      </c>
      <c r="S2733" t="s">
        <v>8316</v>
      </c>
      <c r="T2733" t="s">
        <v>11164</v>
      </c>
      <c r="U2733" t="s">
        <v>11164</v>
      </c>
      <c r="V2733" t="s">
        <v>11164</v>
      </c>
      <c r="W2733" t="s">
        <v>13860</v>
      </c>
      <c r="X2733">
        <v>16</v>
      </c>
      <c r="Y2733" t="s">
        <v>19359</v>
      </c>
      <c r="Z2733" t="s">
        <v>24883</v>
      </c>
      <c r="AA2733">
        <v>0.92986619974472207</v>
      </c>
      <c r="AB2733" t="str">
        <f>HYPERLINK("Melting_Curves/meltCurve_Q00325_2_SLC25A3.pdf", "Melting_Curves/meltCurve_Q00325_2_SLC25A3.pdf")</f>
        <v>Melting_Curves/meltCurve_Q00325_2_SLC25A3.pdf</v>
      </c>
    </row>
    <row r="2734" spans="1:28" x14ac:dyDescent="0.25">
      <c r="A2734" t="s">
        <v>2738</v>
      </c>
      <c r="B2734">
        <v>0.99796759195183404</v>
      </c>
      <c r="C2734">
        <v>0.98430315378823496</v>
      </c>
      <c r="D2734">
        <v>0.98001961124709103</v>
      </c>
      <c r="E2734">
        <v>0.92978383878246795</v>
      </c>
      <c r="F2734">
        <v>0.34798283914991501</v>
      </c>
      <c r="G2734">
        <v>0.19459116677191399</v>
      </c>
      <c r="H2734">
        <v>0.14303882409052801</v>
      </c>
      <c r="I2734">
        <v>0.12583363981630399</v>
      </c>
      <c r="J2734">
        <v>9.8437864089250607E-2</v>
      </c>
      <c r="K2734">
        <v>7.24227530110233E-2</v>
      </c>
      <c r="L2734">
        <v>2102.0532852188799</v>
      </c>
      <c r="M2734">
        <v>42.858844431920197</v>
      </c>
      <c r="N2734">
        <v>49.364626792677399</v>
      </c>
      <c r="O2734">
        <v>48.939548066634501</v>
      </c>
      <c r="P2734">
        <v>-0.192478774450867</v>
      </c>
      <c r="Q2734">
        <v>0.120852729910868</v>
      </c>
      <c r="R2734">
        <v>0.99560862056089905</v>
      </c>
      <c r="S2734" t="s">
        <v>8317</v>
      </c>
      <c r="T2734" t="s">
        <v>11164</v>
      </c>
      <c r="U2734" t="s">
        <v>11164</v>
      </c>
      <c r="V2734" t="s">
        <v>11164</v>
      </c>
      <c r="W2734" t="s">
        <v>13861</v>
      </c>
      <c r="X2734">
        <v>52</v>
      </c>
      <c r="Y2734" t="s">
        <v>19360</v>
      </c>
      <c r="Z2734" t="s">
        <v>24884</v>
      </c>
      <c r="AA2734">
        <v>0.47645179465485321</v>
      </c>
      <c r="AB2734" t="str">
        <f>HYPERLINK("Melting_Curves/meltCurve_Q00341_HDLBP.pdf", "Melting_Curves/meltCurve_Q00341_HDLBP.pdf")</f>
        <v>Melting_Curves/meltCurve_Q00341_HDLBP.pdf</v>
      </c>
    </row>
    <row r="2735" spans="1:28" x14ac:dyDescent="0.25">
      <c r="A2735" t="s">
        <v>2739</v>
      </c>
      <c r="B2735">
        <v>0.99796759195183404</v>
      </c>
      <c r="C2735">
        <v>1.08891982317183</v>
      </c>
      <c r="D2735">
        <v>1.05462627477124</v>
      </c>
      <c r="E2735">
        <v>0.990463672376378</v>
      </c>
      <c r="F2735">
        <v>0.90441220440713099</v>
      </c>
      <c r="G2735">
        <v>0.52144417798774201</v>
      </c>
      <c r="H2735">
        <v>0.26004726669483502</v>
      </c>
      <c r="I2735">
        <v>0.24274257623937101</v>
      </c>
      <c r="J2735">
        <v>0.192988059558511</v>
      </c>
      <c r="K2735">
        <v>0.19125548500764999</v>
      </c>
      <c r="L2735">
        <v>1780.3416951641</v>
      </c>
      <c r="M2735">
        <v>33.493689270443703</v>
      </c>
      <c r="N2735">
        <v>53.992821939404898</v>
      </c>
      <c r="O2735">
        <v>52.9661320270489</v>
      </c>
      <c r="P2735">
        <v>-0.126038414495343</v>
      </c>
      <c r="Q2735">
        <v>0.202746624432741</v>
      </c>
      <c r="R2735">
        <v>0.99140840028082</v>
      </c>
      <c r="S2735" t="s">
        <v>8318</v>
      </c>
      <c r="T2735" t="s">
        <v>11164</v>
      </c>
      <c r="U2735" t="s">
        <v>11164</v>
      </c>
      <c r="V2735" t="s">
        <v>11164</v>
      </c>
      <c r="W2735" t="s">
        <v>13862</v>
      </c>
      <c r="X2735">
        <v>8</v>
      </c>
      <c r="Y2735" t="s">
        <v>19361</v>
      </c>
      <c r="Z2735" t="s">
        <v>24885</v>
      </c>
      <c r="AA2735">
        <v>0.63617875874346974</v>
      </c>
      <c r="AB2735" t="str">
        <f>HYPERLINK("Melting_Curves/meltCurve_Q00403_GTF2B.pdf", "Melting_Curves/meltCurve_Q00403_GTF2B.pdf")</f>
        <v>Melting_Curves/meltCurve_Q00403_GTF2B.pdf</v>
      </c>
    </row>
    <row r="2736" spans="1:28" x14ac:dyDescent="0.25">
      <c r="A2736" t="s">
        <v>2740</v>
      </c>
      <c r="B2736">
        <v>0.99796759195183404</v>
      </c>
      <c r="C2736">
        <v>0.91191291850133105</v>
      </c>
      <c r="D2736">
        <v>0.89549297387593296</v>
      </c>
      <c r="E2736">
        <v>0.85045471993444199</v>
      </c>
      <c r="F2736">
        <v>0.75724570707958405</v>
      </c>
      <c r="G2736">
        <v>0.63767043277855795</v>
      </c>
      <c r="H2736">
        <v>0.38488661721754502</v>
      </c>
      <c r="I2736">
        <v>0.19471690706665201</v>
      </c>
      <c r="J2736">
        <v>0.120687946152761</v>
      </c>
      <c r="K2736">
        <v>8.8585635014006306E-2</v>
      </c>
      <c r="L2736">
        <v>664.67419292773195</v>
      </c>
      <c r="M2736">
        <v>12.089764271198099</v>
      </c>
      <c r="N2736">
        <v>54.978259149967499</v>
      </c>
      <c r="O2736">
        <v>53.538893944007398</v>
      </c>
      <c r="P2736">
        <v>-5.6466410039814403E-2</v>
      </c>
      <c r="Q2736">
        <v>0</v>
      </c>
      <c r="R2736">
        <v>0.98122378598436</v>
      </c>
      <c r="S2736" t="s">
        <v>8319</v>
      </c>
      <c r="T2736" t="s">
        <v>11164</v>
      </c>
      <c r="U2736" t="s">
        <v>11164</v>
      </c>
      <c r="V2736" t="s">
        <v>11164</v>
      </c>
      <c r="W2736" t="s">
        <v>13863</v>
      </c>
      <c r="X2736">
        <v>18</v>
      </c>
      <c r="Y2736" t="s">
        <v>19362</v>
      </c>
      <c r="Z2736" t="s">
        <v>24886</v>
      </c>
      <c r="AA2736">
        <v>0.61358475476105245</v>
      </c>
      <c r="AB2736" t="str">
        <f>HYPERLINK("Melting_Curves/meltCurve_Q00534_CDK6.pdf", "Melting_Curves/meltCurve_Q00534_CDK6.pdf")</f>
        <v>Melting_Curves/meltCurve_Q00534_CDK6.pdf</v>
      </c>
    </row>
    <row r="2737" spans="1:28" x14ac:dyDescent="0.25">
      <c r="A2737" t="s">
        <v>2741</v>
      </c>
      <c r="B2737">
        <v>0.99796759195183404</v>
      </c>
      <c r="C2737">
        <v>1.0221053049520801</v>
      </c>
      <c r="D2737">
        <v>1.02819350610063</v>
      </c>
      <c r="E2737">
        <v>0.95331402096265005</v>
      </c>
      <c r="F2737">
        <v>0.73642305074949299</v>
      </c>
      <c r="G2737">
        <v>0.33230819301522002</v>
      </c>
      <c r="H2737">
        <v>0.20716022187894401</v>
      </c>
      <c r="I2737">
        <v>0.18168199620428899</v>
      </c>
      <c r="J2737">
        <v>0.14213182223507301</v>
      </c>
      <c r="K2737">
        <v>9.6398829085754298E-2</v>
      </c>
      <c r="L2737">
        <v>1433.3010237935</v>
      </c>
      <c r="M2737">
        <v>27.770212346490801</v>
      </c>
      <c r="N2737">
        <v>52.216792968224503</v>
      </c>
      <c r="O2737">
        <v>51.347478838374201</v>
      </c>
      <c r="P2737">
        <v>-0.116637627844855</v>
      </c>
      <c r="Q2737">
        <v>0.13734976963652001</v>
      </c>
      <c r="R2737">
        <v>0.99664391876842895</v>
      </c>
      <c r="S2737" t="s">
        <v>8320</v>
      </c>
      <c r="T2737" t="s">
        <v>11164</v>
      </c>
      <c r="U2737" t="s">
        <v>11164</v>
      </c>
      <c r="V2737" t="s">
        <v>11164</v>
      </c>
      <c r="W2737" t="s">
        <v>13864</v>
      </c>
      <c r="X2737">
        <v>12</v>
      </c>
      <c r="Y2737" t="s">
        <v>19363</v>
      </c>
      <c r="Z2737" t="s">
        <v>24887</v>
      </c>
      <c r="AA2737">
        <v>0.56382410324716226</v>
      </c>
      <c r="AB2737" t="str">
        <f>HYPERLINK("Melting_Curves/meltCurve_Q00535_CDK5.pdf", "Melting_Curves/meltCurve_Q00535_CDK5.pdf")</f>
        <v>Melting_Curves/meltCurve_Q00535_CDK5.pdf</v>
      </c>
    </row>
    <row r="2738" spans="1:28" x14ac:dyDescent="0.25">
      <c r="A2738" t="s">
        <v>2742</v>
      </c>
      <c r="B2738">
        <v>0.99796759195183404</v>
      </c>
      <c r="C2738">
        <v>1.03380795813659</v>
      </c>
      <c r="D2738">
        <v>1.00937362728091</v>
      </c>
      <c r="E2738">
        <v>0.91352158008178996</v>
      </c>
      <c r="F2738">
        <v>0.73833079000903401</v>
      </c>
      <c r="G2738">
        <v>0.28338048132500199</v>
      </c>
      <c r="H2738">
        <v>0.16110522883851999</v>
      </c>
      <c r="I2738">
        <v>0.17057114750136901</v>
      </c>
      <c r="J2738">
        <v>0.12959020132114499</v>
      </c>
      <c r="K2738">
        <v>9.4924795802946604E-2</v>
      </c>
      <c r="L2738">
        <v>1584.8107652696699</v>
      </c>
      <c r="M2738">
        <v>30.832152686746099</v>
      </c>
      <c r="N2738">
        <v>51.888470433285299</v>
      </c>
      <c r="O2738">
        <v>51.186458154519897</v>
      </c>
      <c r="P2738">
        <v>-0.13166126909123199</v>
      </c>
      <c r="Q2738">
        <v>0.12568746324222599</v>
      </c>
      <c r="R2738">
        <v>0.995405265928484</v>
      </c>
      <c r="S2738" t="s">
        <v>8321</v>
      </c>
      <c r="T2738" t="s">
        <v>11164</v>
      </c>
      <c r="U2738" t="s">
        <v>11164</v>
      </c>
      <c r="V2738" t="s">
        <v>11164</v>
      </c>
      <c r="W2738" t="s">
        <v>13865</v>
      </c>
      <c r="X2738">
        <v>10</v>
      </c>
      <c r="Y2738" t="s">
        <v>19364</v>
      </c>
      <c r="Z2738" t="s">
        <v>24888</v>
      </c>
      <c r="AA2738">
        <v>0.55058683955880072</v>
      </c>
      <c r="AB2738" t="str">
        <f>HYPERLINK("Melting_Curves/meltCurve_Q00536_CDK16.pdf", "Melting_Curves/meltCurve_Q00536_CDK16.pdf")</f>
        <v>Melting_Curves/meltCurve_Q00536_CDK16.pdf</v>
      </c>
    </row>
    <row r="2739" spans="1:28" x14ac:dyDescent="0.25">
      <c r="A2739" t="s">
        <v>2743</v>
      </c>
      <c r="B2739">
        <v>0.99796759195183404</v>
      </c>
      <c r="C2739">
        <v>0.99112433817749102</v>
      </c>
      <c r="D2739">
        <v>0.89916192105724302</v>
      </c>
      <c r="E2739">
        <v>0.89560288124199705</v>
      </c>
      <c r="F2739">
        <v>0.70794613243080395</v>
      </c>
      <c r="G2739">
        <v>0.51653105165519597</v>
      </c>
      <c r="H2739">
        <v>0.34311411633179401</v>
      </c>
      <c r="I2739">
        <v>0.24216418602494499</v>
      </c>
      <c r="J2739">
        <v>0.21761083771306999</v>
      </c>
      <c r="K2739">
        <v>0.195121781324542</v>
      </c>
      <c r="L2739">
        <v>705.10400311782803</v>
      </c>
      <c r="M2739">
        <v>13.3895972177191</v>
      </c>
      <c r="N2739">
        <v>53.972606191693203</v>
      </c>
      <c r="O2739">
        <v>51.527557697691201</v>
      </c>
      <c r="P2739">
        <v>-5.5947879997623601E-2</v>
      </c>
      <c r="Q2739">
        <v>0.13891249550162801</v>
      </c>
      <c r="R2739">
        <v>0.99528039180160699</v>
      </c>
      <c r="S2739" t="s">
        <v>8322</v>
      </c>
      <c r="T2739" t="s">
        <v>11164</v>
      </c>
      <c r="U2739" t="s">
        <v>11164</v>
      </c>
      <c r="V2739" t="s">
        <v>11164</v>
      </c>
      <c r="W2739" t="s">
        <v>13866</v>
      </c>
      <c r="X2739">
        <v>5</v>
      </c>
      <c r="Y2739" t="s">
        <v>19365</v>
      </c>
      <c r="Z2739" t="s">
        <v>24889</v>
      </c>
      <c r="AA2739">
        <v>0.60594825215873638</v>
      </c>
      <c r="AB2739" t="str">
        <f>HYPERLINK("Melting_Curves/meltCurve_Q00587_2_CDC42EP1.pdf", "Melting_Curves/meltCurve_Q00587_2_CDC42EP1.pdf")</f>
        <v>Melting_Curves/meltCurve_Q00587_2_CDC42EP1.pdf</v>
      </c>
    </row>
    <row r="2740" spans="1:28" x14ac:dyDescent="0.25">
      <c r="A2740" t="s">
        <v>2744</v>
      </c>
      <c r="B2740">
        <v>0.99796759195183404</v>
      </c>
      <c r="C2740">
        <v>1.0617715666637699</v>
      </c>
      <c r="D2740">
        <v>0.99120471893172701</v>
      </c>
      <c r="E2740">
        <v>1.05658477832197</v>
      </c>
      <c r="F2740">
        <v>0.79071359506107497</v>
      </c>
      <c r="G2740">
        <v>1.2581766186249399</v>
      </c>
      <c r="H2740">
        <v>0.24249304389728199</v>
      </c>
      <c r="I2740">
        <v>0.207124565749432</v>
      </c>
      <c r="J2740">
        <v>0.15742213158188501</v>
      </c>
      <c r="K2740">
        <v>0.12791892170112201</v>
      </c>
      <c r="L2740">
        <v>14219.761321550001</v>
      </c>
      <c r="M2740">
        <v>250</v>
      </c>
      <c r="N2740">
        <v>56.9697314636309</v>
      </c>
      <c r="O2740">
        <v>56.875424275518903</v>
      </c>
      <c r="P2740">
        <v>-0.91850483823795703</v>
      </c>
      <c r="Q2740">
        <v>0.164154638889946</v>
      </c>
      <c r="R2740">
        <v>0.93379865320923605</v>
      </c>
      <c r="S2740" t="s">
        <v>8323</v>
      </c>
      <c r="T2740" t="s">
        <v>11164</v>
      </c>
      <c r="U2740" t="s">
        <v>11164</v>
      </c>
      <c r="V2740" t="s">
        <v>11164</v>
      </c>
      <c r="W2740" t="s">
        <v>13867</v>
      </c>
      <c r="X2740">
        <v>58</v>
      </c>
      <c r="Y2740" t="s">
        <v>19366</v>
      </c>
      <c r="Z2740" t="s">
        <v>24890</v>
      </c>
      <c r="AA2740">
        <v>0.71809833403676893</v>
      </c>
      <c r="AB2740" t="str">
        <f>HYPERLINK("Melting_Curves/meltCurve_Q00610_2_CLTC.pdf", "Melting_Curves/meltCurve_Q00610_2_CLTC.pdf")</f>
        <v>Melting_Curves/meltCurve_Q00610_2_CLTC.pdf</v>
      </c>
    </row>
    <row r="2741" spans="1:28" x14ac:dyDescent="0.25">
      <c r="A2741" t="s">
        <v>2745</v>
      </c>
      <c r="B2741">
        <v>0.99796759195183404</v>
      </c>
      <c r="C2741">
        <v>1.0194499563716199</v>
      </c>
      <c r="D2741">
        <v>1.0071549602854999</v>
      </c>
      <c r="E2741">
        <v>0.88674546313875502</v>
      </c>
      <c r="F2741">
        <v>0.46057480022375902</v>
      </c>
      <c r="G2741">
        <v>0.31256382123125198</v>
      </c>
      <c r="H2741">
        <v>0.264211038763286</v>
      </c>
      <c r="I2741">
        <v>0.24000871861467399</v>
      </c>
      <c r="J2741">
        <v>0.17511341209751599</v>
      </c>
      <c r="K2741">
        <v>0.15466180187740999</v>
      </c>
      <c r="L2741">
        <v>1420.0296842452599</v>
      </c>
      <c r="M2741">
        <v>28.883664930936099</v>
      </c>
      <c r="N2741">
        <v>50.108843273920499</v>
      </c>
      <c r="O2741">
        <v>48.929909230334999</v>
      </c>
      <c r="P2741">
        <v>-0.116585050583717</v>
      </c>
      <c r="Q2741">
        <v>0.21000986222377299</v>
      </c>
      <c r="R2741">
        <v>0.99159908146820697</v>
      </c>
      <c r="S2741" t="s">
        <v>8324</v>
      </c>
      <c r="T2741" t="s">
        <v>11164</v>
      </c>
      <c r="U2741" t="s">
        <v>11164</v>
      </c>
      <c r="V2741" t="s">
        <v>11164</v>
      </c>
      <c r="W2741" t="s">
        <v>13868</v>
      </c>
      <c r="X2741">
        <v>7</v>
      </c>
      <c r="Y2741" t="s">
        <v>19367</v>
      </c>
      <c r="Z2741" t="s">
        <v>24891</v>
      </c>
      <c r="AA2741">
        <v>0.53547104223196662</v>
      </c>
      <c r="AB2741" t="str">
        <f>HYPERLINK("Melting_Curves/meltCurve_Q00653_4_NFKB2.pdf", "Melting_Curves/meltCurve_Q00653_4_NFKB2.pdf")</f>
        <v>Melting_Curves/meltCurve_Q00653_4_NFKB2.pdf</v>
      </c>
    </row>
    <row r="2742" spans="1:28" x14ac:dyDescent="0.25">
      <c r="A2742" t="s">
        <v>2746</v>
      </c>
      <c r="B2742">
        <v>0.99796759195183404</v>
      </c>
      <c r="C2742">
        <v>0.95248768806742901</v>
      </c>
      <c r="D2742">
        <v>0.98632984924095402</v>
      </c>
      <c r="E2742">
        <v>0.93200219192942002</v>
      </c>
      <c r="F2742">
        <v>0.78665003870021799</v>
      </c>
      <c r="G2742">
        <v>0.58451083234246703</v>
      </c>
      <c r="H2742">
        <v>0.465920922294353</v>
      </c>
      <c r="I2742">
        <v>0.37023477321160497</v>
      </c>
      <c r="J2742">
        <v>0.43728918962214702</v>
      </c>
      <c r="K2742">
        <v>0.40871620271278403</v>
      </c>
      <c r="L2742">
        <v>1052.6160822135801</v>
      </c>
      <c r="M2742">
        <v>20.3835265269594</v>
      </c>
      <c r="N2742">
        <v>55.888989790959599</v>
      </c>
      <c r="O2742">
        <v>51.151185903778703</v>
      </c>
      <c r="P2742">
        <v>-6.0391787891648903E-2</v>
      </c>
      <c r="Q2742">
        <v>0.39382040005575403</v>
      </c>
      <c r="R2742">
        <v>0.99078985974386602</v>
      </c>
      <c r="S2742" t="s">
        <v>8325</v>
      </c>
      <c r="T2742" t="s">
        <v>11164</v>
      </c>
      <c r="U2742" t="s">
        <v>11164</v>
      </c>
      <c r="V2742" t="s">
        <v>11164</v>
      </c>
      <c r="W2742" t="s">
        <v>13869</v>
      </c>
      <c r="X2742">
        <v>19</v>
      </c>
      <c r="Y2742" t="s">
        <v>19368</v>
      </c>
      <c r="Z2742" t="s">
        <v>24892</v>
      </c>
      <c r="AA2742">
        <v>0.6972845217725997</v>
      </c>
      <c r="AB2742" t="str">
        <f>HYPERLINK("Melting_Curves/meltCurve_Q00688_FKBP3.pdf", "Melting_Curves/meltCurve_Q00688_FKBP3.pdf")</f>
        <v>Melting_Curves/meltCurve_Q00688_FKBP3.pdf</v>
      </c>
    </row>
    <row r="2743" spans="1:28" x14ac:dyDescent="0.25">
      <c r="A2743" t="s">
        <v>2747</v>
      </c>
      <c r="B2743">
        <v>0.99796759195183404</v>
      </c>
      <c r="C2743">
        <v>1.0799388650108701</v>
      </c>
      <c r="D2743">
        <v>1.0243236475819999</v>
      </c>
      <c r="E2743">
        <v>1.0192519638289801</v>
      </c>
      <c r="F2743">
        <v>0.90426567441950401</v>
      </c>
      <c r="G2743">
        <v>0.79069585094893202</v>
      </c>
      <c r="H2743">
        <v>0.82877451215273201</v>
      </c>
      <c r="I2743">
        <v>0.77015670882317</v>
      </c>
      <c r="J2743">
        <v>0.97296667123578395</v>
      </c>
      <c r="K2743">
        <v>0.77719583437431095</v>
      </c>
      <c r="L2743">
        <v>12538.614518546799</v>
      </c>
      <c r="M2743">
        <v>250</v>
      </c>
      <c r="O2743">
        <v>50.1512462932929</v>
      </c>
      <c r="P2743">
        <v>-0.214404040646726</v>
      </c>
      <c r="Q2743">
        <v>0.82795791497237103</v>
      </c>
      <c r="R2743">
        <v>0.71033675208593305</v>
      </c>
      <c r="S2743" t="s">
        <v>8326</v>
      </c>
      <c r="T2743" t="s">
        <v>11164</v>
      </c>
      <c r="U2743" t="s">
        <v>11164</v>
      </c>
      <c r="V2743" t="s">
        <v>11164</v>
      </c>
      <c r="W2743" t="s">
        <v>13870</v>
      </c>
      <c r="X2743">
        <v>7</v>
      </c>
      <c r="Y2743" t="s">
        <v>19369</v>
      </c>
      <c r="Z2743" t="s">
        <v>24893</v>
      </c>
      <c r="AA2743">
        <v>0.90341040465021938</v>
      </c>
      <c r="AB2743" t="str">
        <f>HYPERLINK("Melting_Curves/meltCurve_Q00765_REEP5.pdf", "Melting_Curves/meltCurve_Q00765_REEP5.pdf")</f>
        <v>Melting_Curves/meltCurve_Q00765_REEP5.pdf</v>
      </c>
    </row>
    <row r="2744" spans="1:28" x14ac:dyDescent="0.25">
      <c r="A2744" t="s">
        <v>2748</v>
      </c>
      <c r="B2744">
        <v>0.99796759195183404</v>
      </c>
      <c r="C2744">
        <v>1.03629468525822</v>
      </c>
      <c r="D2744">
        <v>0.97515809197092596</v>
      </c>
      <c r="E2744">
        <v>1.07191113044301</v>
      </c>
      <c r="F2744">
        <v>0.97951523360232096</v>
      </c>
      <c r="G2744">
        <v>1.1715440150287399</v>
      </c>
      <c r="H2744">
        <v>0.82510042301585895</v>
      </c>
      <c r="I2744">
        <v>0.66456220698181201</v>
      </c>
      <c r="J2744">
        <v>0.304082176370923</v>
      </c>
      <c r="K2744">
        <v>0.10477801284907901</v>
      </c>
      <c r="L2744">
        <v>1745.4286339919499</v>
      </c>
      <c r="M2744">
        <v>28.053085289691499</v>
      </c>
      <c r="N2744">
        <v>62.218769117250197</v>
      </c>
      <c r="O2744">
        <v>61.905186694383097</v>
      </c>
      <c r="P2744">
        <v>-0.113291492256959</v>
      </c>
      <c r="Q2744">
        <v>0</v>
      </c>
      <c r="R2744">
        <v>0.95517336949284104</v>
      </c>
      <c r="S2744" t="s">
        <v>8327</v>
      </c>
      <c r="T2744" t="s">
        <v>11164</v>
      </c>
      <c r="U2744" t="s">
        <v>11164</v>
      </c>
      <c r="V2744" t="s">
        <v>11164</v>
      </c>
      <c r="W2744" t="s">
        <v>13871</v>
      </c>
      <c r="X2744">
        <v>19</v>
      </c>
      <c r="Y2744" t="s">
        <v>19370</v>
      </c>
      <c r="Z2744" t="s">
        <v>24894</v>
      </c>
      <c r="AA2744">
        <v>0.83761179131288743</v>
      </c>
      <c r="AB2744" t="str">
        <f>HYPERLINK("Melting_Curves/meltCurve_Q00796_SORD.pdf", "Melting_Curves/meltCurve_Q00796_SORD.pdf")</f>
        <v>Melting_Curves/meltCurve_Q00796_SORD.pdf</v>
      </c>
    </row>
    <row r="2745" spans="1:28" x14ac:dyDescent="0.25">
      <c r="A2745" t="s">
        <v>2749</v>
      </c>
      <c r="B2745">
        <v>0.99796759195183404</v>
      </c>
      <c r="C2745">
        <v>1.0115357739750399</v>
      </c>
      <c r="D2745">
        <v>1.0209663245898599</v>
      </c>
      <c r="E2745">
        <v>1.03076357936979</v>
      </c>
      <c r="F2745">
        <v>0.68990664173907701</v>
      </c>
      <c r="G2745">
        <v>0.38885035275594498</v>
      </c>
      <c r="H2745">
        <v>0.276869747981147</v>
      </c>
      <c r="I2745">
        <v>0.228487667256217</v>
      </c>
      <c r="J2745">
        <v>0.196199450495399</v>
      </c>
      <c r="K2745">
        <v>0.15430278070902501</v>
      </c>
      <c r="L2745">
        <v>1401.05151382042</v>
      </c>
      <c r="M2745">
        <v>27.266020673245698</v>
      </c>
      <c r="N2745">
        <v>52.3555050453745</v>
      </c>
      <c r="O2745">
        <v>51.1105088893447</v>
      </c>
      <c r="P2745">
        <v>-0.10690208912066</v>
      </c>
      <c r="Q2745">
        <v>0.19845024580251699</v>
      </c>
      <c r="R2745">
        <v>0.99141103198779201</v>
      </c>
      <c r="S2745" t="s">
        <v>8328</v>
      </c>
      <c r="T2745" t="s">
        <v>11164</v>
      </c>
      <c r="U2745" t="s">
        <v>11164</v>
      </c>
      <c r="V2745" t="s">
        <v>11164</v>
      </c>
      <c r="W2745" t="s">
        <v>13872</v>
      </c>
      <c r="X2745">
        <v>18</v>
      </c>
      <c r="Y2745" t="s">
        <v>19371</v>
      </c>
      <c r="Z2745" t="s">
        <v>24895</v>
      </c>
      <c r="AA2745">
        <v>0.58880929047422603</v>
      </c>
      <c r="AB2745" t="str">
        <f>HYPERLINK("Melting_Curves/meltCurve_Q00839_2_HNRNPU.pdf", "Melting_Curves/meltCurve_Q00839_2_HNRNPU.pdf")</f>
        <v>Melting_Curves/meltCurve_Q00839_2_HNRNPU.pdf</v>
      </c>
    </row>
    <row r="2746" spans="1:28" x14ac:dyDescent="0.25">
      <c r="A2746" t="s">
        <v>2750</v>
      </c>
      <c r="B2746">
        <v>0.99796759195183404</v>
      </c>
      <c r="C2746">
        <v>0.97640558281465994</v>
      </c>
      <c r="D2746">
        <v>0.89682678457697496</v>
      </c>
      <c r="E2746">
        <v>0.79598641284358396</v>
      </c>
      <c r="F2746">
        <v>0.53208308476701804</v>
      </c>
      <c r="G2746">
        <v>0.21923322954848001</v>
      </c>
      <c r="H2746">
        <v>0.13075852372146199</v>
      </c>
      <c r="I2746">
        <v>9.8466903893105903E-2</v>
      </c>
      <c r="J2746">
        <v>9.6351556411752901E-2</v>
      </c>
      <c r="K2746">
        <v>6.9631833223794903E-2</v>
      </c>
      <c r="L2746">
        <v>898.591250739099</v>
      </c>
      <c r="M2746">
        <v>18.0358761168143</v>
      </c>
      <c r="N2746">
        <v>50.183623933042497</v>
      </c>
      <c r="O2746">
        <v>49.222054231921497</v>
      </c>
      <c r="P2746">
        <v>-8.60326437353581E-2</v>
      </c>
      <c r="Q2746">
        <v>6.0872656536620003E-2</v>
      </c>
      <c r="R2746">
        <v>0.99587973311401001</v>
      </c>
      <c r="S2746" t="s">
        <v>8329</v>
      </c>
      <c r="T2746" t="s">
        <v>11164</v>
      </c>
      <c r="U2746" t="s">
        <v>11164</v>
      </c>
      <c r="V2746" t="s">
        <v>11164</v>
      </c>
      <c r="W2746" t="s">
        <v>13873</v>
      </c>
      <c r="X2746">
        <v>6</v>
      </c>
      <c r="Y2746" t="s">
        <v>19372</v>
      </c>
      <c r="Z2746" t="s">
        <v>24896</v>
      </c>
      <c r="AA2746">
        <v>0.47704558818998011</v>
      </c>
      <c r="AB2746" t="str">
        <f>HYPERLINK("Melting_Curves/meltCurve_Q01081_U2AF1.pdf", "Melting_Curves/meltCurve_Q01081_U2AF1.pdf")</f>
        <v>Melting_Curves/meltCurve_Q01081_U2AF1.pdf</v>
      </c>
    </row>
    <row r="2747" spans="1:28" x14ac:dyDescent="0.25">
      <c r="A2747" t="s">
        <v>2751</v>
      </c>
      <c r="B2747">
        <v>0.99796759195183404</v>
      </c>
      <c r="C2747">
        <v>1.06152556872529</v>
      </c>
      <c r="D2747">
        <v>0.96963965730602697</v>
      </c>
      <c r="E2747">
        <v>0.92094518517620505</v>
      </c>
      <c r="F2747">
        <v>0.768935961163837</v>
      </c>
      <c r="G2747">
        <v>1.8100313368497201</v>
      </c>
      <c r="H2747">
        <v>1.3606638548672101</v>
      </c>
      <c r="I2747">
        <v>0.66104715398580405</v>
      </c>
      <c r="J2747">
        <v>0.426469081850821</v>
      </c>
      <c r="K2747">
        <v>0.23491573218432499</v>
      </c>
      <c r="L2747">
        <v>6907.1170620978801</v>
      </c>
      <c r="M2747">
        <v>113.234247173382</v>
      </c>
      <c r="N2747">
        <v>61.580541475178102</v>
      </c>
      <c r="O2747">
        <v>60.9794619619692</v>
      </c>
      <c r="P2747">
        <v>-0.31170902163095898</v>
      </c>
      <c r="Q2747">
        <v>0.32854774499856099</v>
      </c>
      <c r="R2747">
        <v>0.52202480530149398</v>
      </c>
      <c r="S2747" t="s">
        <v>8330</v>
      </c>
      <c r="T2747" t="s">
        <v>11164</v>
      </c>
      <c r="U2747" t="s">
        <v>11164</v>
      </c>
      <c r="V2747" t="s">
        <v>11164</v>
      </c>
      <c r="W2747" t="s">
        <v>13874</v>
      </c>
      <c r="X2747">
        <v>19</v>
      </c>
      <c r="Y2747" t="s">
        <v>19373</v>
      </c>
      <c r="Z2747" t="s">
        <v>24897</v>
      </c>
      <c r="AA2747">
        <v>0.86602563968977797</v>
      </c>
      <c r="AB2747" t="str">
        <f>HYPERLINK("Melting_Curves/meltCurve_Q01082_SPTBN1.pdf", "Melting_Curves/meltCurve_Q01082_SPTBN1.pdf")</f>
        <v>Melting_Curves/meltCurve_Q01082_SPTBN1.pdf</v>
      </c>
    </row>
    <row r="2748" spans="1:28" x14ac:dyDescent="0.25">
      <c r="A2748" t="s">
        <v>2752</v>
      </c>
      <c r="B2748">
        <v>0.99796759195183404</v>
      </c>
      <c r="C2748">
        <v>1.0034114256037201</v>
      </c>
      <c r="D2748">
        <v>0.96236684104932702</v>
      </c>
      <c r="E2748">
        <v>0.96395496805905201</v>
      </c>
      <c r="F2748">
        <v>0.73373502317538997</v>
      </c>
      <c r="G2748">
        <v>0.46241587156374298</v>
      </c>
      <c r="H2748">
        <v>0.30630709635342301</v>
      </c>
      <c r="I2748">
        <v>0.20406011351428399</v>
      </c>
      <c r="J2748">
        <v>0.16604388599540101</v>
      </c>
      <c r="K2748">
        <v>0.17753107590012199</v>
      </c>
      <c r="L2748">
        <v>1032.2799025981201</v>
      </c>
      <c r="M2748">
        <v>19.726132588028801</v>
      </c>
      <c r="N2748">
        <v>53.372610362558099</v>
      </c>
      <c r="O2748">
        <v>51.801681128086301</v>
      </c>
      <c r="P2748">
        <v>-7.9988272948685504E-2</v>
      </c>
      <c r="Q2748">
        <v>0.15981821237310301</v>
      </c>
      <c r="R2748">
        <v>0.99779853311450295</v>
      </c>
      <c r="S2748" t="s">
        <v>8331</v>
      </c>
      <c r="T2748" t="s">
        <v>11164</v>
      </c>
      <c r="U2748" t="s">
        <v>11164</v>
      </c>
      <c r="V2748" t="s">
        <v>11164</v>
      </c>
      <c r="W2748" t="s">
        <v>13875</v>
      </c>
      <c r="X2748">
        <v>2</v>
      </c>
      <c r="Y2748" t="s">
        <v>19374</v>
      </c>
      <c r="Z2748" t="s">
        <v>24898</v>
      </c>
      <c r="AA2748">
        <v>0.60017200481161803</v>
      </c>
      <c r="AB2748" t="str">
        <f>HYPERLINK("Melting_Curves/meltCurve_Q01085_2_TIAL1.pdf", "Melting_Curves/meltCurve_Q01085_2_TIAL1.pdf")</f>
        <v>Melting_Curves/meltCurve_Q01085_2_TIAL1.pdf</v>
      </c>
    </row>
    <row r="2749" spans="1:28" x14ac:dyDescent="0.25">
      <c r="A2749" t="s">
        <v>2753</v>
      </c>
      <c r="B2749">
        <v>0.99796759195183404</v>
      </c>
      <c r="C2749">
        <v>1.1632760262611199</v>
      </c>
      <c r="D2749">
        <v>1.05695314461614</v>
      </c>
      <c r="E2749">
        <v>0.99640669134608395</v>
      </c>
      <c r="F2749">
        <v>1.06270064694308</v>
      </c>
      <c r="G2749">
        <v>1.02451456700993</v>
      </c>
      <c r="H2749">
        <v>0.99012633079936396</v>
      </c>
      <c r="I2749">
        <v>0.85006184865554701</v>
      </c>
      <c r="J2749">
        <v>0.82741477507941896</v>
      </c>
      <c r="K2749">
        <v>0.32488608538965902</v>
      </c>
      <c r="L2749">
        <v>2896.0870643595899</v>
      </c>
      <c r="M2749">
        <v>43.8808233430954</v>
      </c>
      <c r="N2749">
        <v>65.998922665973694</v>
      </c>
      <c r="O2749">
        <v>65.862297403036806</v>
      </c>
      <c r="P2749">
        <v>-0.166563008247056</v>
      </c>
      <c r="Q2749">
        <v>0</v>
      </c>
      <c r="R2749">
        <v>0.89503341878408404</v>
      </c>
      <c r="S2749" t="s">
        <v>8332</v>
      </c>
      <c r="T2749" t="s">
        <v>11164</v>
      </c>
      <c r="U2749" t="s">
        <v>11164</v>
      </c>
      <c r="V2749" t="s">
        <v>11164</v>
      </c>
      <c r="W2749" t="s">
        <v>13876</v>
      </c>
      <c r="X2749">
        <v>23</v>
      </c>
      <c r="Y2749" t="s">
        <v>19375</v>
      </c>
      <c r="Z2749" t="s">
        <v>24899</v>
      </c>
      <c r="AA2749">
        <v>0.94761463464965234</v>
      </c>
      <c r="AB2749" t="str">
        <f>HYPERLINK("Melting_Curves/meltCurve_Q01105_SET.pdf", "Melting_Curves/meltCurve_Q01105_SET.pdf")</f>
        <v>Melting_Curves/meltCurve_Q01105_SET.pdf</v>
      </c>
    </row>
    <row r="2750" spans="1:28" x14ac:dyDescent="0.25">
      <c r="A2750" t="s">
        <v>2754</v>
      </c>
      <c r="B2750">
        <v>0.99796759195183404</v>
      </c>
      <c r="C2750">
        <v>0.88672111337413795</v>
      </c>
      <c r="D2750">
        <v>0.982979034113314</v>
      </c>
      <c r="E2750">
        <v>0.79449685941682502</v>
      </c>
      <c r="F2750">
        <v>0.48607187831118798</v>
      </c>
      <c r="G2750">
        <v>0.18466448402934399</v>
      </c>
      <c r="H2750">
        <v>0.14619372297946001</v>
      </c>
      <c r="I2750">
        <v>0.12561166684646699</v>
      </c>
      <c r="J2750">
        <v>0.117151947149219</v>
      </c>
      <c r="K2750">
        <v>6.1215156828621199E-2</v>
      </c>
      <c r="L2750">
        <v>1070.3368428731301</v>
      </c>
      <c r="M2750">
        <v>21.678438104242598</v>
      </c>
      <c r="N2750">
        <v>49.8332985480506</v>
      </c>
      <c r="O2750">
        <v>48.9589641525289</v>
      </c>
      <c r="P2750">
        <v>-0.100662316680251</v>
      </c>
      <c r="Q2750">
        <v>9.0671366059746503E-2</v>
      </c>
      <c r="R2750">
        <v>0.988736634841058</v>
      </c>
      <c r="S2750" t="s">
        <v>8333</v>
      </c>
      <c r="T2750" t="s">
        <v>11164</v>
      </c>
      <c r="U2750" t="s">
        <v>11164</v>
      </c>
      <c r="V2750" t="s">
        <v>11164</v>
      </c>
      <c r="W2750" t="s">
        <v>13877</v>
      </c>
      <c r="X2750">
        <v>6</v>
      </c>
      <c r="Y2750" t="s">
        <v>19376</v>
      </c>
      <c r="Z2750" t="s">
        <v>24900</v>
      </c>
      <c r="AA2750">
        <v>0.47606283798492272</v>
      </c>
      <c r="AB2750" t="str">
        <f>HYPERLINK("Melting_Curves/meltCurve_Q01167_FOXK2.pdf", "Melting_Curves/meltCurve_Q01167_FOXK2.pdf")</f>
        <v>Melting_Curves/meltCurve_Q01167_FOXK2.pdf</v>
      </c>
    </row>
    <row r="2751" spans="1:28" x14ac:dyDescent="0.25">
      <c r="A2751" t="s">
        <v>2755</v>
      </c>
      <c r="B2751">
        <v>0.99796759195183404</v>
      </c>
      <c r="C2751">
        <v>0.99052458201817395</v>
      </c>
      <c r="D2751">
        <v>0.959189101519347</v>
      </c>
      <c r="E2751">
        <v>0.95821692778330403</v>
      </c>
      <c r="F2751">
        <v>0.76619102810292505</v>
      </c>
      <c r="G2751">
        <v>0.60201457854481699</v>
      </c>
      <c r="H2751">
        <v>0.449039870673627</v>
      </c>
      <c r="I2751">
        <v>0.32960250165670202</v>
      </c>
      <c r="J2751">
        <v>0.15397312031431801</v>
      </c>
      <c r="K2751">
        <v>9.1178942267927499E-2</v>
      </c>
      <c r="L2751">
        <v>662.26628580838599</v>
      </c>
      <c r="M2751">
        <v>11.817869956099299</v>
      </c>
      <c r="N2751">
        <v>56.039395337068498</v>
      </c>
      <c r="O2751">
        <v>54.507029083080397</v>
      </c>
      <c r="P2751">
        <v>-5.4217285532012799E-2</v>
      </c>
      <c r="Q2751">
        <v>0</v>
      </c>
      <c r="R2751">
        <v>0.99243589768843499</v>
      </c>
      <c r="S2751" t="s">
        <v>8334</v>
      </c>
      <c r="T2751" t="s">
        <v>11164</v>
      </c>
      <c r="U2751" t="s">
        <v>11164</v>
      </c>
      <c r="V2751" t="s">
        <v>11164</v>
      </c>
      <c r="W2751" t="s">
        <v>13878</v>
      </c>
      <c r="X2751">
        <v>4</v>
      </c>
      <c r="Y2751" t="s">
        <v>19377</v>
      </c>
      <c r="Z2751" t="s">
        <v>24901</v>
      </c>
      <c r="AA2751">
        <v>0.64401991838386508</v>
      </c>
      <c r="AB2751" t="str">
        <f>HYPERLINK("Melting_Curves/meltCurve_Q01415_GALK2.pdf", "Melting_Curves/meltCurve_Q01415_GALK2.pdf")</f>
        <v>Melting_Curves/meltCurve_Q01415_GALK2.pdf</v>
      </c>
    </row>
    <row r="2752" spans="1:28" x14ac:dyDescent="0.25">
      <c r="A2752" t="s">
        <v>2756</v>
      </c>
      <c r="B2752">
        <v>0.99796759195183404</v>
      </c>
      <c r="C2752">
        <v>0.92756764305391803</v>
      </c>
      <c r="D2752">
        <v>0.983590575323677</v>
      </c>
      <c r="E2752">
        <v>0.89684348560365001</v>
      </c>
      <c r="F2752">
        <v>0.76193313968810295</v>
      </c>
      <c r="G2752">
        <v>0.51722937119236201</v>
      </c>
      <c r="H2752">
        <v>0.49203115530624197</v>
      </c>
      <c r="I2752">
        <v>0.42653089777845998</v>
      </c>
      <c r="J2752">
        <v>0.28469001126238802</v>
      </c>
      <c r="K2752">
        <v>0.17758611103557201</v>
      </c>
      <c r="L2752">
        <v>486.30124002347202</v>
      </c>
      <c r="M2752">
        <v>8.6090087776373192</v>
      </c>
      <c r="N2752">
        <v>56.707128298472597</v>
      </c>
      <c r="O2752">
        <v>53.687478200277802</v>
      </c>
      <c r="P2752">
        <v>-3.9465030526559301E-2</v>
      </c>
      <c r="Q2752">
        <v>1.6397878791037601E-2</v>
      </c>
      <c r="R2752">
        <v>0.97420081093784205</v>
      </c>
      <c r="S2752" t="s">
        <v>8335</v>
      </c>
      <c r="T2752" t="s">
        <v>11164</v>
      </c>
      <c r="U2752" t="s">
        <v>11164</v>
      </c>
      <c r="V2752" t="s">
        <v>11164</v>
      </c>
      <c r="W2752" t="s">
        <v>12128</v>
      </c>
      <c r="X2752">
        <v>21</v>
      </c>
      <c r="Y2752" t="s">
        <v>17658</v>
      </c>
      <c r="Z2752" t="s">
        <v>24902</v>
      </c>
      <c r="AA2752">
        <v>0.6525845531784249</v>
      </c>
      <c r="AB2752" t="str">
        <f>HYPERLINK("Melting_Curves/meltCurve_Q01469_FABP5.pdf", "Melting_Curves/meltCurve_Q01469_FABP5.pdf")</f>
        <v>Melting_Curves/meltCurve_Q01469_FABP5.pdf</v>
      </c>
    </row>
    <row r="2753" spans="1:28" x14ac:dyDescent="0.25">
      <c r="A2753" t="s">
        <v>2757</v>
      </c>
      <c r="B2753">
        <v>0.99796759195183404</v>
      </c>
      <c r="C2753">
        <v>0.98785776425719096</v>
      </c>
      <c r="D2753">
        <v>0.94470549925382097</v>
      </c>
      <c r="E2753">
        <v>1.0054256235113199</v>
      </c>
      <c r="F2753">
        <v>0.88698512305424804</v>
      </c>
      <c r="G2753">
        <v>2.7098994108755501</v>
      </c>
      <c r="H2753">
        <v>1.7826057755573801</v>
      </c>
      <c r="I2753">
        <v>0.35422430301804098</v>
      </c>
      <c r="J2753">
        <v>0.21139596020617701</v>
      </c>
      <c r="K2753">
        <v>0.14591403143213899</v>
      </c>
      <c r="L2753">
        <v>15000</v>
      </c>
      <c r="M2753">
        <v>247.204018835037</v>
      </c>
      <c r="N2753">
        <v>60.787333963647299</v>
      </c>
      <c r="O2753">
        <v>60.674665474489601</v>
      </c>
      <c r="P2753">
        <v>-0.83659430263115797</v>
      </c>
      <c r="Q2753">
        <v>0.17865300242493601</v>
      </c>
      <c r="R2753">
        <v>0.331952038015557</v>
      </c>
      <c r="S2753" t="s">
        <v>8336</v>
      </c>
      <c r="T2753" t="s">
        <v>11164</v>
      </c>
      <c r="U2753" t="s">
        <v>11164</v>
      </c>
      <c r="V2753" t="s">
        <v>11164</v>
      </c>
      <c r="W2753" t="s">
        <v>13879</v>
      </c>
      <c r="X2753">
        <v>14</v>
      </c>
      <c r="Y2753" t="s">
        <v>19378</v>
      </c>
      <c r="Z2753" t="s">
        <v>24903</v>
      </c>
      <c r="AA2753">
        <v>0.82702138094680722</v>
      </c>
      <c r="AB2753" t="str">
        <f>HYPERLINK("Melting_Curves/meltCurve_Q01518_2_CAP1.pdf", "Melting_Curves/meltCurve_Q01518_2_CAP1.pdf")</f>
        <v>Melting_Curves/meltCurve_Q01518_2_CAP1.pdf</v>
      </c>
    </row>
    <row r="2754" spans="1:28" x14ac:dyDescent="0.25">
      <c r="A2754" t="s">
        <v>2758</v>
      </c>
      <c r="B2754">
        <v>0.99796759195183404</v>
      </c>
      <c r="C2754">
        <v>0.84931609665510699</v>
      </c>
      <c r="D2754">
        <v>0.86882335503090202</v>
      </c>
      <c r="E2754">
        <v>0.76436061550052004</v>
      </c>
      <c r="F2754">
        <v>0.49168458552170402</v>
      </c>
      <c r="G2754">
        <v>0.26296362743565899</v>
      </c>
      <c r="H2754">
        <v>0.237169693209768</v>
      </c>
      <c r="I2754">
        <v>0.23957524715756401</v>
      </c>
      <c r="J2754">
        <v>9.2285230025921997E-2</v>
      </c>
      <c r="K2754">
        <v>5.7374002250640502E-2</v>
      </c>
      <c r="L2754">
        <v>544.44167450407201</v>
      </c>
      <c r="M2754">
        <v>10.895163053478001</v>
      </c>
      <c r="N2754">
        <v>50.281660822533098</v>
      </c>
      <c r="O2754">
        <v>48.375920322562102</v>
      </c>
      <c r="P2754">
        <v>-5.4490721104682199E-2</v>
      </c>
      <c r="Q2754">
        <v>3.25554810540633E-2</v>
      </c>
      <c r="R2754">
        <v>0.97455144318588804</v>
      </c>
      <c r="S2754" t="s">
        <v>8337</v>
      </c>
      <c r="T2754" t="s">
        <v>11164</v>
      </c>
      <c r="U2754" t="s">
        <v>11164</v>
      </c>
      <c r="V2754" t="s">
        <v>11164</v>
      </c>
      <c r="W2754" t="s">
        <v>13880</v>
      </c>
      <c r="X2754">
        <v>2</v>
      </c>
      <c r="Y2754" t="s">
        <v>19379</v>
      </c>
      <c r="Z2754" t="s">
        <v>24904</v>
      </c>
      <c r="AA2754">
        <v>0.48105847156771842</v>
      </c>
      <c r="AB2754" t="str">
        <f>HYPERLINK("Melting_Curves/meltCurve_Q01543_2_FLI1.pdf", "Melting_Curves/meltCurve_Q01543_2_FLI1.pdf")</f>
        <v>Melting_Curves/meltCurve_Q01543_2_FLI1.pdf</v>
      </c>
    </row>
    <row r="2755" spans="1:28" x14ac:dyDescent="0.25">
      <c r="A2755" t="s">
        <v>2759</v>
      </c>
      <c r="B2755">
        <v>0.99796759195183404</v>
      </c>
      <c r="C2755">
        <v>0.95861178460163698</v>
      </c>
      <c r="D2755">
        <v>0.97007572740912296</v>
      </c>
      <c r="E2755">
        <v>0.92407093785933903</v>
      </c>
      <c r="F2755">
        <v>0.79153828062560205</v>
      </c>
      <c r="G2755">
        <v>0.75013263479340098</v>
      </c>
      <c r="H2755">
        <v>0.62059256421497999</v>
      </c>
      <c r="I2755">
        <v>0.34956085257080299</v>
      </c>
      <c r="J2755">
        <v>0.111516195379675</v>
      </c>
      <c r="K2755">
        <v>5.5384053496224397E-2</v>
      </c>
      <c r="L2755">
        <v>853.35684615610705</v>
      </c>
      <c r="M2755">
        <v>14.7560443213422</v>
      </c>
      <c r="N2755">
        <v>57.831003220113402</v>
      </c>
      <c r="O2755">
        <v>56.800042666964004</v>
      </c>
      <c r="P2755">
        <v>-6.4954326116147904E-2</v>
      </c>
      <c r="Q2755">
        <v>0</v>
      </c>
      <c r="R2755">
        <v>0.96807641389863996</v>
      </c>
      <c r="S2755" t="s">
        <v>8338</v>
      </c>
      <c r="T2755" t="s">
        <v>11164</v>
      </c>
      <c r="U2755" t="s">
        <v>11164</v>
      </c>
      <c r="V2755" t="s">
        <v>11164</v>
      </c>
      <c r="W2755" t="s">
        <v>13881</v>
      </c>
      <c r="X2755">
        <v>17</v>
      </c>
      <c r="Y2755" t="s">
        <v>19380</v>
      </c>
      <c r="Z2755" t="s">
        <v>24905</v>
      </c>
      <c r="AA2755">
        <v>0.69899567479258817</v>
      </c>
      <c r="AB2755" t="str">
        <f>HYPERLINK("Melting_Curves/meltCurve_Q01581_HMGCS1.pdf", "Melting_Curves/meltCurve_Q01581_HMGCS1.pdf")</f>
        <v>Melting_Curves/meltCurve_Q01581_HMGCS1.pdf</v>
      </c>
    </row>
    <row r="2756" spans="1:28" x14ac:dyDescent="0.25">
      <c r="A2756" t="s">
        <v>2760</v>
      </c>
      <c r="B2756">
        <v>0.99796759195183404</v>
      </c>
      <c r="C2756">
        <v>1.0344644868999799</v>
      </c>
      <c r="D2756">
        <v>1.04302264495638</v>
      </c>
      <c r="E2756">
        <v>1.03736148505217</v>
      </c>
      <c r="F2756">
        <v>0.94993961890919898</v>
      </c>
      <c r="G2756">
        <v>0.774317898282043</v>
      </c>
      <c r="H2756">
        <v>0.85589337357774697</v>
      </c>
      <c r="I2756">
        <v>0.82559794419925103</v>
      </c>
      <c r="J2756">
        <v>0.716302988372574</v>
      </c>
      <c r="K2756">
        <v>0.36064990519896001</v>
      </c>
      <c r="L2756">
        <v>824.47170103484495</v>
      </c>
      <c r="M2756">
        <v>12.4120272170153</v>
      </c>
      <c r="N2756">
        <v>66.425212327814805</v>
      </c>
      <c r="O2756">
        <v>64.771651711840306</v>
      </c>
      <c r="P2756">
        <v>-4.7916999061677998E-2</v>
      </c>
      <c r="Q2756">
        <v>0</v>
      </c>
      <c r="R2756">
        <v>0.83504849578075402</v>
      </c>
      <c r="S2756" t="s">
        <v>8339</v>
      </c>
      <c r="T2756" t="s">
        <v>11164</v>
      </c>
      <c r="U2756" t="s">
        <v>11164</v>
      </c>
      <c r="V2756" t="s">
        <v>11164</v>
      </c>
      <c r="W2756" t="s">
        <v>13882</v>
      </c>
      <c r="X2756">
        <v>5</v>
      </c>
      <c r="Y2756" t="s">
        <v>19381</v>
      </c>
      <c r="Z2756" t="s">
        <v>24906</v>
      </c>
      <c r="AA2756">
        <v>0.88541765081638923</v>
      </c>
      <c r="AB2756" t="str">
        <f>HYPERLINK("Melting_Curves/meltCurve_Q01650_SLC7A5.pdf", "Melting_Curves/meltCurve_Q01650_SLC7A5.pdf")</f>
        <v>Melting_Curves/meltCurve_Q01650_SLC7A5.pdf</v>
      </c>
    </row>
    <row r="2757" spans="1:28" x14ac:dyDescent="0.25">
      <c r="A2757" t="s">
        <v>2761</v>
      </c>
      <c r="B2757">
        <v>0.99796759195183404</v>
      </c>
      <c r="C2757">
        <v>0.96245260036525704</v>
      </c>
      <c r="D2757">
        <v>0.91772971468931297</v>
      </c>
      <c r="E2757">
        <v>0.89819718860785602</v>
      </c>
      <c r="F2757">
        <v>0.83302232435183898</v>
      </c>
      <c r="G2757">
        <v>0.55736829699144697</v>
      </c>
      <c r="H2757">
        <v>0.49464522006052303</v>
      </c>
      <c r="I2757">
        <v>0.39557055510008199</v>
      </c>
      <c r="J2757">
        <v>0.55245389136114698</v>
      </c>
      <c r="K2757">
        <v>0.52288338274091695</v>
      </c>
      <c r="L2757">
        <v>1358.87726173636</v>
      </c>
      <c r="M2757">
        <v>26.6762229126177</v>
      </c>
      <c r="N2757">
        <v>58.0740026134701</v>
      </c>
      <c r="O2757">
        <v>50.6559624873979</v>
      </c>
      <c r="P2757">
        <v>-6.8311660246261396E-2</v>
      </c>
      <c r="Q2757">
        <v>0.48113236193090902</v>
      </c>
      <c r="R2757">
        <v>0.93855951688597805</v>
      </c>
      <c r="S2757" t="s">
        <v>8340</v>
      </c>
      <c r="T2757" t="s">
        <v>11164</v>
      </c>
      <c r="U2757" t="s">
        <v>11164</v>
      </c>
      <c r="V2757" t="s">
        <v>11164</v>
      </c>
      <c r="W2757" t="s">
        <v>13883</v>
      </c>
      <c r="X2757">
        <v>8</v>
      </c>
      <c r="Y2757" t="s">
        <v>19382</v>
      </c>
      <c r="Z2757" t="s">
        <v>24907</v>
      </c>
      <c r="AA2757">
        <v>0.72627677293807702</v>
      </c>
      <c r="AB2757" t="str">
        <f>HYPERLINK("Melting_Curves/meltCurve_Q01658_DR1.pdf", "Melting_Curves/meltCurve_Q01658_DR1.pdf")</f>
        <v>Melting_Curves/meltCurve_Q01658_DR1.pdf</v>
      </c>
    </row>
    <row r="2758" spans="1:28" x14ac:dyDescent="0.25">
      <c r="A2758" t="s">
        <v>2762</v>
      </c>
      <c r="B2758">
        <v>0.99796759195183404</v>
      </c>
      <c r="C2758">
        <v>1.0285332389177</v>
      </c>
      <c r="D2758">
        <v>0.96621715895320504</v>
      </c>
      <c r="E2758">
        <v>0.92294822939245402</v>
      </c>
      <c r="F2758">
        <v>0.86708181472313295</v>
      </c>
      <c r="G2758">
        <v>0.83805870469645105</v>
      </c>
      <c r="H2758">
        <v>0.70903102920149197</v>
      </c>
      <c r="I2758">
        <v>0.626622674984328</v>
      </c>
      <c r="J2758">
        <v>0.56408094266187503</v>
      </c>
      <c r="K2758">
        <v>0.39995765546846701</v>
      </c>
      <c r="L2758">
        <v>469.70280047449398</v>
      </c>
      <c r="M2758">
        <v>7.2364112787211603</v>
      </c>
      <c r="N2758">
        <v>64.908251099574898</v>
      </c>
      <c r="O2758">
        <v>60.501297568111198</v>
      </c>
      <c r="P2758">
        <v>-2.9950951363711498E-2</v>
      </c>
      <c r="Q2758">
        <v>0</v>
      </c>
      <c r="R2758">
        <v>0.98184430159577396</v>
      </c>
      <c r="S2758" t="s">
        <v>8341</v>
      </c>
      <c r="T2758" t="s">
        <v>11164</v>
      </c>
      <c r="U2758" t="s">
        <v>11164</v>
      </c>
      <c r="V2758" t="s">
        <v>11164</v>
      </c>
      <c r="W2758" t="s">
        <v>13884</v>
      </c>
      <c r="X2758">
        <v>38</v>
      </c>
      <c r="Y2758" t="s">
        <v>19383</v>
      </c>
      <c r="Z2758" t="s">
        <v>24908</v>
      </c>
      <c r="AA2758">
        <v>0.8041530691326727</v>
      </c>
      <c r="AB2758" t="str">
        <f>HYPERLINK("Melting_Curves/meltCurve_Q01813_PFKP.pdf", "Melting_Curves/meltCurve_Q01813_PFKP.pdf")</f>
        <v>Melting_Curves/meltCurve_Q01813_PFKP.pdf</v>
      </c>
    </row>
    <row r="2759" spans="1:28" x14ac:dyDescent="0.25">
      <c r="A2759" t="s">
        <v>2763</v>
      </c>
      <c r="B2759">
        <v>0.99796759195183404</v>
      </c>
      <c r="C2759">
        <v>1.0098270342123501</v>
      </c>
      <c r="D2759">
        <v>0.97087274975448501</v>
      </c>
      <c r="E2759">
        <v>0.94973190400456298</v>
      </c>
      <c r="F2759">
        <v>0.80017728749906902</v>
      </c>
      <c r="G2759">
        <v>0.54752151643971003</v>
      </c>
      <c r="H2759">
        <v>0.25429568474478598</v>
      </c>
      <c r="I2759">
        <v>0.19205968404191101</v>
      </c>
      <c r="J2759">
        <v>0.138408330220956</v>
      </c>
      <c r="K2759">
        <v>9.5007464633796904E-2</v>
      </c>
      <c r="L2759">
        <v>1036.87651561449</v>
      </c>
      <c r="M2759">
        <v>19.351010125025802</v>
      </c>
      <c r="N2759">
        <v>54.142992386333098</v>
      </c>
      <c r="O2759">
        <v>53.020167780643398</v>
      </c>
      <c r="P2759">
        <v>-8.2965504484740701E-2</v>
      </c>
      <c r="Q2759">
        <v>9.0759205256570302E-2</v>
      </c>
      <c r="R2759">
        <v>0.99786677822529202</v>
      </c>
      <c r="S2759" t="s">
        <v>8342</v>
      </c>
      <c r="T2759" t="s">
        <v>11164</v>
      </c>
      <c r="U2759" t="s">
        <v>11164</v>
      </c>
      <c r="V2759" t="s">
        <v>11164</v>
      </c>
      <c r="W2759" t="s">
        <v>13885</v>
      </c>
      <c r="X2759">
        <v>13</v>
      </c>
      <c r="Y2759" t="s">
        <v>19384</v>
      </c>
      <c r="Z2759" t="s">
        <v>24909</v>
      </c>
      <c r="AA2759">
        <v>0.605056656252692</v>
      </c>
      <c r="AB2759" t="str">
        <f>HYPERLINK("Melting_Curves/meltCurve_Q01968_OCRL.pdf", "Melting_Curves/meltCurve_Q01968_OCRL.pdf")</f>
        <v>Melting_Curves/meltCurve_Q01968_OCRL.pdf</v>
      </c>
    </row>
    <row r="2760" spans="1:28" x14ac:dyDescent="0.25">
      <c r="A2760" t="s">
        <v>2764</v>
      </c>
      <c r="B2760">
        <v>0.99796759195183404</v>
      </c>
      <c r="C2760">
        <v>0.927139982913743</v>
      </c>
      <c r="D2760">
        <v>0.90384810504592294</v>
      </c>
      <c r="E2760">
        <v>0.81520773255308299</v>
      </c>
      <c r="F2760">
        <v>0.78678894167928903</v>
      </c>
      <c r="G2760">
        <v>0.62618748216510201</v>
      </c>
      <c r="H2760">
        <v>0.27683351683986501</v>
      </c>
      <c r="I2760">
        <v>0.221897741046336</v>
      </c>
      <c r="J2760">
        <v>0.160114672708322</v>
      </c>
      <c r="K2760">
        <v>0.11032090590985701</v>
      </c>
      <c r="L2760">
        <v>634.03074930091202</v>
      </c>
      <c r="M2760">
        <v>11.604185998825001</v>
      </c>
      <c r="N2760">
        <v>54.638087134140299</v>
      </c>
      <c r="O2760">
        <v>53.091111034720697</v>
      </c>
      <c r="P2760">
        <v>-5.4657789740582503E-2</v>
      </c>
      <c r="Q2760">
        <v>0</v>
      </c>
      <c r="R2760">
        <v>0.975200567266156</v>
      </c>
      <c r="S2760" t="s">
        <v>8343</v>
      </c>
      <c r="T2760" t="s">
        <v>11164</v>
      </c>
      <c r="U2760" t="s">
        <v>11164</v>
      </c>
      <c r="V2760" t="s">
        <v>11164</v>
      </c>
      <c r="W2760" t="s">
        <v>13886</v>
      </c>
      <c r="X2760">
        <v>8</v>
      </c>
      <c r="Y2760" t="s">
        <v>19385</v>
      </c>
      <c r="Z2760" t="s">
        <v>24910</v>
      </c>
      <c r="AA2760">
        <v>0.60343276310852445</v>
      </c>
      <c r="AB2760" t="str">
        <f>HYPERLINK("Melting_Curves/meltCurve_Q01970_PLCB3.pdf", "Melting_Curves/meltCurve_Q01970_PLCB3.pdf")</f>
        <v>Melting_Curves/meltCurve_Q01970_PLCB3.pdf</v>
      </c>
    </row>
    <row r="2761" spans="1:28" x14ac:dyDescent="0.25">
      <c r="A2761" t="s">
        <v>2765</v>
      </c>
      <c r="B2761">
        <v>0.99796759195183404</v>
      </c>
      <c r="C2761">
        <v>1.1428711825292399</v>
      </c>
      <c r="D2761">
        <v>1.03487363138808</v>
      </c>
      <c r="E2761">
        <v>0.950373506659831</v>
      </c>
      <c r="F2761">
        <v>0.83016362689130396</v>
      </c>
      <c r="G2761">
        <v>0.74058322430821399</v>
      </c>
      <c r="H2761">
        <v>0.44017675981187399</v>
      </c>
      <c r="I2761">
        <v>0.127273200354109</v>
      </c>
      <c r="J2761">
        <v>0.12610465425265399</v>
      </c>
      <c r="K2761">
        <v>8.0491616408423297E-2</v>
      </c>
      <c r="L2761">
        <v>1023.2557375173</v>
      </c>
      <c r="M2761">
        <v>18.197844619289999</v>
      </c>
      <c r="N2761">
        <v>56.287744410140803</v>
      </c>
      <c r="O2761">
        <v>55.563684467036303</v>
      </c>
      <c r="P2761">
        <v>-8.1118499826104307E-2</v>
      </c>
      <c r="Q2761">
        <v>9.3266657189974792E-3</v>
      </c>
      <c r="R2761">
        <v>0.97650746906701902</v>
      </c>
      <c r="S2761" t="s">
        <v>8344</v>
      </c>
      <c r="T2761" t="s">
        <v>11164</v>
      </c>
      <c r="U2761" t="s">
        <v>11164</v>
      </c>
      <c r="V2761" t="s">
        <v>11164</v>
      </c>
      <c r="W2761" t="s">
        <v>13887</v>
      </c>
      <c r="X2761">
        <v>2</v>
      </c>
      <c r="Y2761" t="s">
        <v>19386</v>
      </c>
      <c r="Z2761" t="s">
        <v>24911</v>
      </c>
      <c r="AA2761">
        <v>0.65478538376218509</v>
      </c>
      <c r="AB2761" t="str">
        <f>HYPERLINK("Melting_Curves/meltCurve_Q02078_3_MEF2A.pdf", "Melting_Curves/meltCurve_Q02078_3_MEF2A.pdf")</f>
        <v>Melting_Curves/meltCurve_Q02078_3_MEF2A.pdf</v>
      </c>
    </row>
    <row r="2762" spans="1:28" x14ac:dyDescent="0.25">
      <c r="A2762" t="s">
        <v>2766</v>
      </c>
      <c r="B2762">
        <v>0.99796759195183404</v>
      </c>
      <c r="C2762">
        <v>0.92022856600096103</v>
      </c>
      <c r="D2762">
        <v>0.87625805404563795</v>
      </c>
      <c r="E2762">
        <v>0.75400996843291102</v>
      </c>
      <c r="F2762">
        <v>0.72948875296161597</v>
      </c>
      <c r="G2762">
        <v>0.44039119252255698</v>
      </c>
      <c r="H2762">
        <v>0.39257068515640198</v>
      </c>
      <c r="I2762">
        <v>0.38074569723108698</v>
      </c>
      <c r="J2762">
        <v>0.44051181991405203</v>
      </c>
      <c r="K2762">
        <v>0.35957136915648602</v>
      </c>
      <c r="L2762">
        <v>575.05934188359197</v>
      </c>
      <c r="M2762">
        <v>11.7085349915804</v>
      </c>
      <c r="N2762">
        <v>54.256626249957201</v>
      </c>
      <c r="O2762">
        <v>47.747486396093002</v>
      </c>
      <c r="P2762">
        <v>-4.0768213746781801E-2</v>
      </c>
      <c r="Q2762">
        <v>0.335164049295825</v>
      </c>
      <c r="R2762">
        <v>0.95681863242127096</v>
      </c>
      <c r="S2762" t="s">
        <v>8345</v>
      </c>
      <c r="T2762" t="s">
        <v>11164</v>
      </c>
      <c r="U2762" t="s">
        <v>11164</v>
      </c>
      <c r="V2762" t="s">
        <v>11164</v>
      </c>
      <c r="W2762" t="s">
        <v>13888</v>
      </c>
      <c r="X2762">
        <v>3</v>
      </c>
      <c r="Y2762" t="s">
        <v>19387</v>
      </c>
      <c r="Z2762" t="s">
        <v>24912</v>
      </c>
      <c r="AA2762">
        <v>0.62390411176314742</v>
      </c>
      <c r="AB2762" t="str">
        <f>HYPERLINK("Melting_Curves/meltCurve_Q02083_2_NAAA.pdf", "Melting_Curves/meltCurve_Q02083_2_NAAA.pdf")</f>
        <v>Melting_Curves/meltCurve_Q02083_2_NAAA.pdf</v>
      </c>
    </row>
    <row r="2763" spans="1:28" x14ac:dyDescent="0.25">
      <c r="A2763" t="s">
        <v>2767</v>
      </c>
      <c r="B2763">
        <v>0.99796759195183404</v>
      </c>
      <c r="C2763">
        <v>1.0021887492753101</v>
      </c>
      <c r="D2763">
        <v>1.05529323888952</v>
      </c>
      <c r="E2763">
        <v>0.87464416545808099</v>
      </c>
      <c r="F2763">
        <v>0.86537075452798495</v>
      </c>
      <c r="G2763">
        <v>0.41342767259560498</v>
      </c>
      <c r="H2763">
        <v>0.25132146289198198</v>
      </c>
      <c r="I2763">
        <v>0.293257969141827</v>
      </c>
      <c r="J2763">
        <v>0.17290913802664501</v>
      </c>
      <c r="K2763">
        <v>0.105995461848754</v>
      </c>
      <c r="L2763">
        <v>1467.9112027030999</v>
      </c>
      <c r="M2763">
        <v>27.998800915634</v>
      </c>
      <c r="N2763">
        <v>53.271531117504097</v>
      </c>
      <c r="O2763">
        <v>52.162387285382103</v>
      </c>
      <c r="P2763">
        <v>-0.110155527276164</v>
      </c>
      <c r="Q2763">
        <v>0.17911827301061001</v>
      </c>
      <c r="R2763">
        <v>0.975796001356384</v>
      </c>
      <c r="S2763" t="s">
        <v>8346</v>
      </c>
      <c r="T2763" t="s">
        <v>11164</v>
      </c>
      <c r="U2763" t="s">
        <v>11164</v>
      </c>
      <c r="V2763" t="s">
        <v>11164</v>
      </c>
      <c r="W2763" t="s">
        <v>13889</v>
      </c>
      <c r="X2763">
        <v>2</v>
      </c>
      <c r="Y2763" t="s">
        <v>19388</v>
      </c>
      <c r="Z2763" t="s">
        <v>24913</v>
      </c>
      <c r="AA2763">
        <v>0.60718223363571966</v>
      </c>
      <c r="AB2763" t="str">
        <f>HYPERLINK("Melting_Curves/meltCurve_Q02086_2_SP2.pdf", "Melting_Curves/meltCurve_Q02086_2_SP2.pdf")</f>
        <v>Melting_Curves/meltCurve_Q02086_2_SP2.pdf</v>
      </c>
    </row>
    <row r="2764" spans="1:28" x14ac:dyDescent="0.25">
      <c r="A2764" t="s">
        <v>2768</v>
      </c>
      <c r="B2764">
        <v>0.99796759195183404</v>
      </c>
      <c r="C2764">
        <v>0.89927140463599398</v>
      </c>
      <c r="D2764">
        <v>0.85862277731577596</v>
      </c>
      <c r="E2764">
        <v>0.85610016873016104</v>
      </c>
      <c r="F2764">
        <v>0.77028436504757902</v>
      </c>
      <c r="G2764">
        <v>0.61138910359041898</v>
      </c>
      <c r="H2764">
        <v>0.510585749754775</v>
      </c>
      <c r="I2764">
        <v>0.408087993100897</v>
      </c>
      <c r="J2764">
        <v>0.37269686829038301</v>
      </c>
      <c r="K2764">
        <v>0.25276323032314402</v>
      </c>
      <c r="L2764">
        <v>382.75905781151101</v>
      </c>
      <c r="M2764">
        <v>6.6191921856453799</v>
      </c>
      <c r="N2764">
        <v>57.825665717745999</v>
      </c>
      <c r="O2764">
        <v>53.230982132861399</v>
      </c>
      <c r="P2764">
        <v>-3.11578004791934E-2</v>
      </c>
      <c r="Q2764">
        <v>0</v>
      </c>
      <c r="R2764">
        <v>0.98351563627038996</v>
      </c>
      <c r="S2764" t="s">
        <v>8347</v>
      </c>
      <c r="T2764" t="s">
        <v>11164</v>
      </c>
      <c r="U2764" t="s">
        <v>11164</v>
      </c>
      <c r="V2764" t="s">
        <v>11164</v>
      </c>
      <c r="W2764" t="s">
        <v>13890</v>
      </c>
      <c r="X2764">
        <v>9</v>
      </c>
      <c r="Y2764" t="s">
        <v>19389</v>
      </c>
      <c r="Z2764" t="s">
        <v>24914</v>
      </c>
      <c r="AA2764">
        <v>0.66222697211224946</v>
      </c>
      <c r="AB2764" t="str">
        <f>HYPERLINK("Melting_Curves/meltCurve_Q02127_DHODH.pdf", "Melting_Curves/meltCurve_Q02127_DHODH.pdf")</f>
        <v>Melting_Curves/meltCurve_Q02127_DHODH.pdf</v>
      </c>
    </row>
    <row r="2765" spans="1:28" x14ac:dyDescent="0.25">
      <c r="A2765" t="s">
        <v>2769</v>
      </c>
      <c r="B2765">
        <v>0.99796759195183404</v>
      </c>
      <c r="C2765">
        <v>1.0833715065954499</v>
      </c>
      <c r="D2765">
        <v>0.916995198061339</v>
      </c>
      <c r="E2765">
        <v>0.922830240462441</v>
      </c>
      <c r="F2765">
        <v>0.80022641720387</v>
      </c>
      <c r="G2765">
        <v>0.157206742630735</v>
      </c>
      <c r="H2765">
        <v>0.24479725447609199</v>
      </c>
      <c r="I2765">
        <v>0</v>
      </c>
      <c r="J2765">
        <v>0</v>
      </c>
      <c r="K2765">
        <v>8.9624143702864895E-2</v>
      </c>
      <c r="L2765">
        <v>2427.9858936478299</v>
      </c>
      <c r="M2765">
        <v>47.151982163945902</v>
      </c>
      <c r="N2765">
        <v>51.673362966940303</v>
      </c>
      <c r="O2765">
        <v>51.4004181623364</v>
      </c>
      <c r="P2765">
        <v>-0.21191271828657901</v>
      </c>
      <c r="Q2765">
        <v>7.5976353184665599E-2</v>
      </c>
      <c r="R2765">
        <v>0.96929534554891394</v>
      </c>
      <c r="S2765" t="s">
        <v>8348</v>
      </c>
      <c r="T2765" t="s">
        <v>11164</v>
      </c>
      <c r="U2765" t="s">
        <v>11164</v>
      </c>
      <c r="V2765" t="s">
        <v>11164</v>
      </c>
      <c r="W2765" t="s">
        <v>13891</v>
      </c>
      <c r="X2765">
        <v>4</v>
      </c>
      <c r="Y2765" t="s">
        <v>19390</v>
      </c>
      <c r="Z2765" t="s">
        <v>24915</v>
      </c>
      <c r="AA2765">
        <v>0.52472546345211712</v>
      </c>
      <c r="AB2765" t="str">
        <f>HYPERLINK("Melting_Curves/meltCurve_Q02156_PRKCE.pdf", "Melting_Curves/meltCurve_Q02156_PRKCE.pdf")</f>
        <v>Melting_Curves/meltCurve_Q02156_PRKCE.pdf</v>
      </c>
    </row>
    <row r="2766" spans="1:28" x14ac:dyDescent="0.25">
      <c r="A2766" t="s">
        <v>2770</v>
      </c>
      <c r="B2766">
        <v>0.99796759195183404</v>
      </c>
      <c r="C2766">
        <v>1.0096451420555801</v>
      </c>
      <c r="D2766">
        <v>1.0405161059071499</v>
      </c>
      <c r="E2766">
        <v>0.85822079455545897</v>
      </c>
      <c r="F2766">
        <v>0.58613687694739602</v>
      </c>
      <c r="G2766">
        <v>0.63551776295902895</v>
      </c>
      <c r="H2766">
        <v>0.85244858754050901</v>
      </c>
      <c r="I2766">
        <v>0.23931175931621701</v>
      </c>
      <c r="J2766">
        <v>0.11566385374761599</v>
      </c>
      <c r="K2766">
        <v>9.86260223976584E-2</v>
      </c>
      <c r="L2766">
        <v>590.69992535978497</v>
      </c>
      <c r="M2766">
        <v>10.372242137496199</v>
      </c>
      <c r="N2766">
        <v>56.950070939740002</v>
      </c>
      <c r="O2766">
        <v>54.955126755646702</v>
      </c>
      <c r="P2766">
        <v>-4.7204986559525701E-2</v>
      </c>
      <c r="Q2766">
        <v>0</v>
      </c>
      <c r="R2766">
        <v>0.82074906611346998</v>
      </c>
      <c r="S2766" t="s">
        <v>8349</v>
      </c>
      <c r="T2766" t="s">
        <v>11164</v>
      </c>
      <c r="U2766" t="s">
        <v>11164</v>
      </c>
      <c r="V2766" t="s">
        <v>11164</v>
      </c>
      <c r="W2766" t="s">
        <v>13892</v>
      </c>
      <c r="X2766">
        <v>1</v>
      </c>
      <c r="Y2766" t="s">
        <v>19391</v>
      </c>
      <c r="Z2766" t="s">
        <v>24916</v>
      </c>
      <c r="AA2766">
        <v>0.66581041099951477</v>
      </c>
      <c r="AB2766" t="str">
        <f>HYPERLINK("Melting_Curves/meltCurve_Q02241_KIF23.pdf", "Melting_Curves/meltCurve_Q02241_KIF23.pdf")</f>
        <v>Melting_Curves/meltCurve_Q02241_KIF23.pdf</v>
      </c>
    </row>
    <row r="2767" spans="1:28" x14ac:dyDescent="0.25">
      <c r="A2767" t="s">
        <v>2771</v>
      </c>
      <c r="B2767">
        <v>0.99796759195183404</v>
      </c>
      <c r="C2767">
        <v>0.86237459640260095</v>
      </c>
      <c r="D2767">
        <v>1.0301019802531599</v>
      </c>
      <c r="E2767">
        <v>0.83474272696344098</v>
      </c>
      <c r="F2767">
        <v>0.76675839998491402</v>
      </c>
      <c r="G2767">
        <v>0.51221515751356606</v>
      </c>
      <c r="H2767">
        <v>0.55259017245803299</v>
      </c>
      <c r="I2767">
        <v>0.35233482115576698</v>
      </c>
      <c r="J2767">
        <v>0.23006500029313301</v>
      </c>
      <c r="K2767">
        <v>0.111350435485675</v>
      </c>
      <c r="L2767">
        <v>518.47175684070601</v>
      </c>
      <c r="M2767">
        <v>9.23641803195971</v>
      </c>
      <c r="N2767">
        <v>56.133418538102603</v>
      </c>
      <c r="O2767">
        <v>53.690291099505799</v>
      </c>
      <c r="P2767">
        <v>-4.30361865330764E-2</v>
      </c>
      <c r="Q2767">
        <v>0</v>
      </c>
      <c r="R2767">
        <v>0.95044728630890496</v>
      </c>
      <c r="S2767" t="s">
        <v>8350</v>
      </c>
      <c r="T2767" t="s">
        <v>11164</v>
      </c>
      <c r="U2767" t="s">
        <v>11164</v>
      </c>
      <c r="V2767" t="s">
        <v>11164</v>
      </c>
      <c r="W2767" t="s">
        <v>13893</v>
      </c>
      <c r="X2767">
        <v>3</v>
      </c>
      <c r="Y2767" t="s">
        <v>19392</v>
      </c>
      <c r="Z2767" t="s">
        <v>24917</v>
      </c>
      <c r="AA2767">
        <v>0.64048919439209817</v>
      </c>
      <c r="AB2767" t="str">
        <f>HYPERLINK("Melting_Curves/meltCurve_Q02446_SP4.pdf", "Melting_Curves/meltCurve_Q02446_SP4.pdf")</f>
        <v>Melting_Curves/meltCurve_Q02446_SP4.pdf</v>
      </c>
    </row>
    <row r="2768" spans="1:28" x14ac:dyDescent="0.25">
      <c r="A2768" t="s">
        <v>2772</v>
      </c>
      <c r="B2768">
        <v>0.99796759195183404</v>
      </c>
      <c r="C2768">
        <v>0.99161294063229399</v>
      </c>
      <c r="D2768">
        <v>0.97823407472152801</v>
      </c>
      <c r="E2768">
        <v>0.98743712800833805</v>
      </c>
      <c r="F2768">
        <v>0.82439281512198703</v>
      </c>
      <c r="G2768">
        <v>0.63722594601530402</v>
      </c>
      <c r="H2768">
        <v>0.32281992605440701</v>
      </c>
      <c r="I2768">
        <v>0.16617648922489001</v>
      </c>
      <c r="J2768">
        <v>0.121358142452343</v>
      </c>
      <c r="K2768">
        <v>8.9540900398718606E-2</v>
      </c>
      <c r="L2768">
        <v>1035.3698241478501</v>
      </c>
      <c r="M2768">
        <v>18.902699713204601</v>
      </c>
      <c r="N2768">
        <v>55.125907691826399</v>
      </c>
      <c r="O2768">
        <v>54.171674837579999</v>
      </c>
      <c r="P2768">
        <v>-8.2275783742918898E-2</v>
      </c>
      <c r="Q2768">
        <v>5.68890795422589E-2</v>
      </c>
      <c r="R2768">
        <v>0.99786090455655496</v>
      </c>
      <c r="S2768" t="s">
        <v>8351</v>
      </c>
      <c r="T2768" t="s">
        <v>11164</v>
      </c>
      <c r="U2768" t="s">
        <v>11164</v>
      </c>
      <c r="V2768" t="s">
        <v>11164</v>
      </c>
      <c r="W2768" t="s">
        <v>13894</v>
      </c>
      <c r="X2768">
        <v>11</v>
      </c>
      <c r="Y2768" t="s">
        <v>19393</v>
      </c>
      <c r="Z2768" t="s">
        <v>24918</v>
      </c>
      <c r="AA2768">
        <v>0.62720625302698607</v>
      </c>
      <c r="AB2768" t="str">
        <f>HYPERLINK("Melting_Curves/meltCurve_Q02750_MAP2K1.pdf", "Melting_Curves/meltCurve_Q02750_MAP2K1.pdf")</f>
        <v>Melting_Curves/meltCurve_Q02750_MAP2K1.pdf</v>
      </c>
    </row>
    <row r="2769" spans="1:28" x14ac:dyDescent="0.25">
      <c r="A2769" t="s">
        <v>2773</v>
      </c>
      <c r="B2769">
        <v>0.99796759195183404</v>
      </c>
      <c r="C2769">
        <v>0.946704067293339</v>
      </c>
      <c r="D2769">
        <v>0.98866925163281705</v>
      </c>
      <c r="E2769">
        <v>0.85617217836076298</v>
      </c>
      <c r="F2769">
        <v>0.86769584551811196</v>
      </c>
      <c r="G2769">
        <v>0.67050105369046897</v>
      </c>
      <c r="H2769">
        <v>0.516362437580279</v>
      </c>
      <c r="I2769">
        <v>0.22529799965873901</v>
      </c>
      <c r="J2769">
        <v>0.16638609860762599</v>
      </c>
      <c r="K2769">
        <v>0.14135580395773401</v>
      </c>
      <c r="L2769">
        <v>736.753696489954</v>
      </c>
      <c r="M2769">
        <v>12.9920338225732</v>
      </c>
      <c r="N2769">
        <v>56.708111237912803</v>
      </c>
      <c r="O2769">
        <v>55.415018156494398</v>
      </c>
      <c r="P2769">
        <v>-5.8622784801426499E-2</v>
      </c>
      <c r="Q2769">
        <v>0</v>
      </c>
      <c r="R2769">
        <v>0.98351743204138697</v>
      </c>
      <c r="S2769" t="s">
        <v>8352</v>
      </c>
      <c r="T2769" t="s">
        <v>11164</v>
      </c>
      <c r="U2769" t="s">
        <v>11164</v>
      </c>
      <c r="V2769" t="s">
        <v>11164</v>
      </c>
      <c r="W2769" t="s">
        <v>13895</v>
      </c>
      <c r="X2769">
        <v>1</v>
      </c>
      <c r="Y2769" t="s">
        <v>19394</v>
      </c>
      <c r="Z2769" t="s">
        <v>24919</v>
      </c>
      <c r="AA2769">
        <v>0.66459785053789666</v>
      </c>
      <c r="AB2769" t="str">
        <f>HYPERLINK("Melting_Curves/meltCurve_Q02763_2_TEK.pdf", "Melting_Curves/meltCurve_Q02763_2_TEK.pdf")</f>
        <v>Melting_Curves/meltCurve_Q02763_2_TEK.pdf</v>
      </c>
    </row>
    <row r="2770" spans="1:28" x14ac:dyDescent="0.25">
      <c r="A2770" t="s">
        <v>2774</v>
      </c>
      <c r="B2770">
        <v>0.99796759195183404</v>
      </c>
      <c r="C2770">
        <v>0.98606434112678598</v>
      </c>
      <c r="D2770">
        <v>0.98908056018393797</v>
      </c>
      <c r="E2770">
        <v>0.93242589053397995</v>
      </c>
      <c r="F2770">
        <v>0.80493366141210698</v>
      </c>
      <c r="G2770">
        <v>0.38247667020501702</v>
      </c>
      <c r="H2770">
        <v>0.21224118605481701</v>
      </c>
      <c r="I2770">
        <v>0.21269393957536301</v>
      </c>
      <c r="J2770">
        <v>0.13975434961087799</v>
      </c>
      <c r="K2770">
        <v>9.6741792245982394E-2</v>
      </c>
      <c r="L2770">
        <v>1415.0930458851501</v>
      </c>
      <c r="M2770">
        <v>27.1152432246069</v>
      </c>
      <c r="N2770">
        <v>52.825219629214402</v>
      </c>
      <c r="O2770">
        <v>51.9067230216436</v>
      </c>
      <c r="P2770">
        <v>-0.11238281349063001</v>
      </c>
      <c r="Q2770">
        <v>0.13947048583212401</v>
      </c>
      <c r="R2770">
        <v>0.99448783787650397</v>
      </c>
      <c r="S2770" t="s">
        <v>8353</v>
      </c>
      <c r="T2770" t="s">
        <v>11164</v>
      </c>
      <c r="U2770" t="s">
        <v>11164</v>
      </c>
      <c r="V2770" t="s">
        <v>11164</v>
      </c>
      <c r="W2770" t="s">
        <v>13896</v>
      </c>
      <c r="X2770">
        <v>36</v>
      </c>
      <c r="Y2770" t="s">
        <v>19395</v>
      </c>
      <c r="Z2770" t="s">
        <v>24920</v>
      </c>
      <c r="AA2770">
        <v>0.58170940918803515</v>
      </c>
      <c r="AB2770" t="str">
        <f>HYPERLINK("Melting_Curves/meltCurve_Q02790_FKBP4.pdf", "Melting_Curves/meltCurve_Q02790_FKBP4.pdf")</f>
        <v>Melting_Curves/meltCurve_Q02790_FKBP4.pdf</v>
      </c>
    </row>
    <row r="2771" spans="1:28" x14ac:dyDescent="0.25">
      <c r="A2771" t="s">
        <v>2775</v>
      </c>
      <c r="B2771">
        <v>0.99796759195183404</v>
      </c>
      <c r="C2771">
        <v>0.96422788989625996</v>
      </c>
      <c r="D2771">
        <v>0.95754082710121602</v>
      </c>
      <c r="E2771">
        <v>0.88144423879850298</v>
      </c>
      <c r="F2771">
        <v>0.83271692858670099</v>
      </c>
      <c r="G2771">
        <v>1.07035780943017</v>
      </c>
      <c r="H2771">
        <v>0.75571992419279799</v>
      </c>
      <c r="I2771">
        <v>0.74776510185180201</v>
      </c>
      <c r="J2771">
        <v>0.37603497813845699</v>
      </c>
      <c r="K2771">
        <v>0.20390864368328901</v>
      </c>
      <c r="L2771">
        <v>1280.59633064491</v>
      </c>
      <c r="M2771">
        <v>20.360878042488402</v>
      </c>
      <c r="N2771">
        <v>62.894946273299297</v>
      </c>
      <c r="O2771">
        <v>62.2976757871443</v>
      </c>
      <c r="P2771">
        <v>-8.1710494280624393E-2</v>
      </c>
      <c r="Q2771">
        <v>0</v>
      </c>
      <c r="R2771">
        <v>0.88993133012540504</v>
      </c>
      <c r="S2771" t="s">
        <v>8354</v>
      </c>
      <c r="T2771" t="s">
        <v>11164</v>
      </c>
      <c r="U2771" t="s">
        <v>11164</v>
      </c>
      <c r="V2771" t="s">
        <v>11164</v>
      </c>
      <c r="W2771" t="s">
        <v>13897</v>
      </c>
      <c r="X2771">
        <v>4</v>
      </c>
      <c r="Y2771" t="s">
        <v>19396</v>
      </c>
      <c r="Z2771" t="s">
        <v>24921</v>
      </c>
      <c r="AA2771">
        <v>0.84692424537918021</v>
      </c>
      <c r="AB2771" t="str">
        <f>HYPERLINK("Melting_Curves/meltCurve_Q02809_PLOD1.pdf", "Melting_Curves/meltCurve_Q02809_PLOD1.pdf")</f>
        <v>Melting_Curves/meltCurve_Q02809_PLOD1.pdf</v>
      </c>
    </row>
    <row r="2772" spans="1:28" x14ac:dyDescent="0.25">
      <c r="A2772" t="s">
        <v>2776</v>
      </c>
      <c r="B2772">
        <v>0.99796759195183404</v>
      </c>
      <c r="C2772">
        <v>1.0093688061916899</v>
      </c>
      <c r="D2772">
        <v>1.0087068280981699</v>
      </c>
      <c r="E2772">
        <v>0.94771190267320704</v>
      </c>
      <c r="F2772">
        <v>0.829583618298803</v>
      </c>
      <c r="G2772">
        <v>0.58385110331159895</v>
      </c>
      <c r="H2772">
        <v>0.59300903958898998</v>
      </c>
      <c r="I2772">
        <v>0.49677850971575599</v>
      </c>
      <c r="J2772">
        <v>0.54760389604837101</v>
      </c>
      <c r="K2772">
        <v>0.48065046929034</v>
      </c>
      <c r="L2772">
        <v>1353.0893244203</v>
      </c>
      <c r="M2772">
        <v>26.491426230721199</v>
      </c>
      <c r="O2772">
        <v>50.788125204526999</v>
      </c>
      <c r="P2772">
        <v>-6.3204747923002E-2</v>
      </c>
      <c r="Q2772">
        <v>0.51531249811149404</v>
      </c>
      <c r="R2772">
        <v>0.98424150434188096</v>
      </c>
      <c r="S2772" t="s">
        <v>8355</v>
      </c>
      <c r="T2772" t="s">
        <v>11164</v>
      </c>
      <c r="U2772" t="s">
        <v>11164</v>
      </c>
      <c r="V2772" t="s">
        <v>11164</v>
      </c>
      <c r="W2772" t="s">
        <v>13898</v>
      </c>
      <c r="X2772">
        <v>32</v>
      </c>
      <c r="Y2772" t="s">
        <v>19397</v>
      </c>
      <c r="Z2772" t="s">
        <v>24922</v>
      </c>
      <c r="AA2772">
        <v>0.74657450065913167</v>
      </c>
      <c r="AB2772" t="str">
        <f>HYPERLINK("Melting_Curves/meltCurve_Q02818_NUCB1.pdf", "Melting_Curves/meltCurve_Q02818_NUCB1.pdf")</f>
        <v>Melting_Curves/meltCurve_Q02818_NUCB1.pdf</v>
      </c>
    </row>
    <row r="2773" spans="1:28" x14ac:dyDescent="0.25">
      <c r="A2773" t="s">
        <v>2777</v>
      </c>
      <c r="B2773">
        <v>0.99796759195183404</v>
      </c>
      <c r="C2773">
        <v>1.0884889466880501</v>
      </c>
      <c r="D2773">
        <v>1.0183141805581299</v>
      </c>
      <c r="E2773">
        <v>0.92028603264381004</v>
      </c>
      <c r="F2773">
        <v>0.54842623291603798</v>
      </c>
      <c r="G2773">
        <v>0.31120664535401998</v>
      </c>
      <c r="H2773">
        <v>0.224361466256326</v>
      </c>
      <c r="I2773">
        <v>0.17619321860523099</v>
      </c>
      <c r="J2773">
        <v>0.17317488219566099</v>
      </c>
      <c r="K2773">
        <v>0.10447629256471801</v>
      </c>
      <c r="L2773">
        <v>1258.0083454855501</v>
      </c>
      <c r="M2773">
        <v>25.062696735882898</v>
      </c>
      <c r="N2773">
        <v>50.968865475528503</v>
      </c>
      <c r="O2773">
        <v>49.878166615722002</v>
      </c>
      <c r="P2773">
        <v>-0.105730100958388</v>
      </c>
      <c r="Q2773">
        <v>0.158342255098541</v>
      </c>
      <c r="R2773">
        <v>0.98972773418000504</v>
      </c>
      <c r="S2773" t="s">
        <v>8356</v>
      </c>
      <c r="T2773" t="s">
        <v>11164</v>
      </c>
      <c r="U2773" t="s">
        <v>11164</v>
      </c>
      <c r="V2773" t="s">
        <v>11164</v>
      </c>
      <c r="W2773" t="s">
        <v>13899</v>
      </c>
      <c r="X2773">
        <v>4</v>
      </c>
      <c r="Y2773" t="s">
        <v>19398</v>
      </c>
      <c r="Z2773" t="s">
        <v>24923</v>
      </c>
      <c r="AA2773">
        <v>0.53585638750842868</v>
      </c>
      <c r="AB2773" t="str">
        <f>HYPERLINK("Melting_Curves/meltCurve_Q02833_3_RASSF7.pdf", "Melting_Curves/meltCurve_Q02833_3_RASSF7.pdf")</f>
        <v>Melting_Curves/meltCurve_Q02833_3_RASSF7.pdf</v>
      </c>
    </row>
    <row r="2774" spans="1:28" x14ac:dyDescent="0.25">
      <c r="A2774" t="s">
        <v>2778</v>
      </c>
      <c r="B2774">
        <v>0.99796759195183404</v>
      </c>
      <c r="C2774">
        <v>1.00083372350476</v>
      </c>
      <c r="D2774">
        <v>1.01388674398407</v>
      </c>
      <c r="E2774">
        <v>0.97728632159801299</v>
      </c>
      <c r="F2774">
        <v>0.91056790797017195</v>
      </c>
      <c r="G2774">
        <v>0.56681173192685097</v>
      </c>
      <c r="H2774">
        <v>0.65036851681143204</v>
      </c>
      <c r="I2774">
        <v>0.62844781031942298</v>
      </c>
      <c r="J2774">
        <v>0.77712828703132597</v>
      </c>
      <c r="K2774">
        <v>0.65043261971527799</v>
      </c>
      <c r="L2774">
        <v>12602.7814802514</v>
      </c>
      <c r="M2774">
        <v>250</v>
      </c>
      <c r="O2774">
        <v>50.407900152195701</v>
      </c>
      <c r="P2774">
        <v>-0.42820943223394597</v>
      </c>
      <c r="Q2774">
        <v>0.65463778896739999</v>
      </c>
      <c r="R2774">
        <v>0.91812636739710596</v>
      </c>
      <c r="S2774" t="s">
        <v>8357</v>
      </c>
      <c r="T2774" t="s">
        <v>11164</v>
      </c>
      <c r="U2774" t="s">
        <v>11164</v>
      </c>
      <c r="V2774" t="s">
        <v>11164</v>
      </c>
      <c r="W2774" t="s">
        <v>13900</v>
      </c>
      <c r="X2774">
        <v>47</v>
      </c>
      <c r="Y2774" t="s">
        <v>19399</v>
      </c>
      <c r="Z2774" t="s">
        <v>24924</v>
      </c>
      <c r="AA2774">
        <v>0.80905821343544138</v>
      </c>
      <c r="AB2774" t="str">
        <f>HYPERLINK("Melting_Curves/meltCurve_Q02952_3_AKAP12.pdf", "Melting_Curves/meltCurve_Q02952_3_AKAP12.pdf")</f>
        <v>Melting_Curves/meltCurve_Q02952_3_AKAP12.pdf</v>
      </c>
    </row>
    <row r="2775" spans="1:28" x14ac:dyDescent="0.25">
      <c r="A2775" t="s">
        <v>2779</v>
      </c>
      <c r="B2775">
        <v>0.99796759195183404</v>
      </c>
      <c r="C2775">
        <v>1.0052975347483699</v>
      </c>
      <c r="D2775">
        <v>1.01681203624658</v>
      </c>
      <c r="E2775">
        <v>0.96563931497848099</v>
      </c>
      <c r="F2775">
        <v>0.85130924862410995</v>
      </c>
      <c r="G2775">
        <v>0.63101076466538497</v>
      </c>
      <c r="H2775">
        <v>0.60201712767274096</v>
      </c>
      <c r="I2775">
        <v>0.54344963085655096</v>
      </c>
      <c r="J2775">
        <v>0.60239230294386303</v>
      </c>
      <c r="K2775">
        <v>0.45470049985261801</v>
      </c>
      <c r="L2775">
        <v>1275.33562457834</v>
      </c>
      <c r="M2775">
        <v>24.7441492386539</v>
      </c>
      <c r="O2775">
        <v>51.207799513446197</v>
      </c>
      <c r="P2775">
        <v>-5.6311191809724798E-2</v>
      </c>
      <c r="Q2775">
        <v>0.53386447024088302</v>
      </c>
      <c r="R2775">
        <v>0.970375198666931</v>
      </c>
      <c r="S2775" t="s">
        <v>8358</v>
      </c>
      <c r="T2775" t="s">
        <v>11164</v>
      </c>
      <c r="U2775" t="s">
        <v>11164</v>
      </c>
      <c r="V2775" t="s">
        <v>11164</v>
      </c>
      <c r="W2775" t="s">
        <v>13901</v>
      </c>
      <c r="X2775">
        <v>16</v>
      </c>
      <c r="Y2775" t="s">
        <v>19400</v>
      </c>
      <c r="Z2775" t="s">
        <v>24925</v>
      </c>
      <c r="AA2775">
        <v>0.76400142628622758</v>
      </c>
      <c r="AB2775" t="str">
        <f>HYPERLINK("Melting_Curves/meltCurve_Q03154_ACY1.pdf", "Melting_Curves/meltCurve_Q03154_ACY1.pdf")</f>
        <v>Melting_Curves/meltCurve_Q03154_ACY1.pdf</v>
      </c>
    </row>
    <row r="2776" spans="1:28" x14ac:dyDescent="0.25">
      <c r="A2776" t="s">
        <v>2780</v>
      </c>
      <c r="B2776">
        <v>0.99796759195183404</v>
      </c>
      <c r="C2776">
        <v>0.96793296054978895</v>
      </c>
      <c r="D2776">
        <v>0.96744421100646605</v>
      </c>
      <c r="E2776">
        <v>0.93924832672436298</v>
      </c>
      <c r="F2776">
        <v>0.76694536890178899</v>
      </c>
      <c r="G2776">
        <v>0.21183394682495399</v>
      </c>
      <c r="H2776">
        <v>0.13207243457026699</v>
      </c>
      <c r="I2776">
        <v>8.8693383129730699E-2</v>
      </c>
      <c r="J2776">
        <v>8.2864514481546594E-2</v>
      </c>
      <c r="K2776">
        <v>7.1543432520522199E-2</v>
      </c>
      <c r="L2776">
        <v>2053.7626945236898</v>
      </c>
      <c r="M2776">
        <v>39.898111289940999</v>
      </c>
      <c r="N2776">
        <v>51.723300076700802</v>
      </c>
      <c r="O2776">
        <v>51.346384858464802</v>
      </c>
      <c r="P2776">
        <v>-0.17734026001828601</v>
      </c>
      <c r="Q2776">
        <v>8.7098527681389398E-2</v>
      </c>
      <c r="R2776">
        <v>0.99660366740203898</v>
      </c>
      <c r="S2776" t="s">
        <v>8359</v>
      </c>
      <c r="T2776" t="s">
        <v>11164</v>
      </c>
      <c r="U2776" t="s">
        <v>11164</v>
      </c>
      <c r="V2776" t="s">
        <v>11164</v>
      </c>
      <c r="W2776" t="s">
        <v>13902</v>
      </c>
      <c r="X2776">
        <v>16</v>
      </c>
      <c r="Y2776" t="s">
        <v>19401</v>
      </c>
      <c r="Z2776" t="s">
        <v>24926</v>
      </c>
      <c r="AA2776">
        <v>0.53083816352030488</v>
      </c>
      <c r="AB2776" t="str">
        <f>HYPERLINK("Melting_Curves/meltCurve_Q04446_GBE1.pdf", "Melting_Curves/meltCurve_Q04446_GBE1.pdf")</f>
        <v>Melting_Curves/meltCurve_Q04446_GBE1.pdf</v>
      </c>
    </row>
    <row r="2777" spans="1:28" x14ac:dyDescent="0.25">
      <c r="A2777" t="s">
        <v>2781</v>
      </c>
      <c r="B2777">
        <v>0.99796759195183404</v>
      </c>
      <c r="C2777">
        <v>1.01038173001275</v>
      </c>
      <c r="D2777">
        <v>1.0521952115082001</v>
      </c>
      <c r="E2777">
        <v>0.96524800989374104</v>
      </c>
      <c r="F2777">
        <v>0.71531932429908096</v>
      </c>
      <c r="G2777">
        <v>0.38884642061845198</v>
      </c>
      <c r="H2777">
        <v>0.123518377348719</v>
      </c>
      <c r="I2777">
        <v>7.4858083897025404E-2</v>
      </c>
      <c r="J2777">
        <v>4.5734247191820003E-2</v>
      </c>
      <c r="K2777">
        <v>3.4090110573908497E-2</v>
      </c>
      <c r="L2777">
        <v>1214.3482198885799</v>
      </c>
      <c r="M2777">
        <v>23.198765955053101</v>
      </c>
      <c r="N2777">
        <v>52.489143774028697</v>
      </c>
      <c r="O2777">
        <v>51.961078872380099</v>
      </c>
      <c r="P2777">
        <v>-0.10818231116128001</v>
      </c>
      <c r="Q2777">
        <v>3.07815658571765E-2</v>
      </c>
      <c r="R2777">
        <v>0.99712870678908905</v>
      </c>
      <c r="S2777" t="s">
        <v>8360</v>
      </c>
      <c r="T2777" t="s">
        <v>11164</v>
      </c>
      <c r="U2777" t="s">
        <v>11164</v>
      </c>
      <c r="V2777" t="s">
        <v>11164</v>
      </c>
      <c r="W2777" t="s">
        <v>13903</v>
      </c>
      <c r="X2777">
        <v>66</v>
      </c>
      <c r="Y2777" t="s">
        <v>17129</v>
      </c>
      <c r="Z2777" t="s">
        <v>24927</v>
      </c>
      <c r="AA2777">
        <v>0.53632681126679593</v>
      </c>
      <c r="AB2777" t="str">
        <f>HYPERLINK("Melting_Curves/meltCurve_Q04637_3_EIF4G1.pdf", "Melting_Curves/meltCurve_Q04637_3_EIF4G1.pdf")</f>
        <v>Melting_Curves/meltCurve_Q04637_3_EIF4G1.pdf</v>
      </c>
    </row>
    <row r="2778" spans="1:28" x14ac:dyDescent="0.25">
      <c r="A2778" t="s">
        <v>2782</v>
      </c>
      <c r="B2778">
        <v>0.99796759195183404</v>
      </c>
      <c r="C2778">
        <v>1.14224364854198</v>
      </c>
      <c r="D2778">
        <v>1.1240655293150701</v>
      </c>
      <c r="E2778">
        <v>0.99582353008164504</v>
      </c>
      <c r="F2778">
        <v>0.68711493924132205</v>
      </c>
      <c r="G2778">
        <v>0.47618662599546602</v>
      </c>
      <c r="H2778">
        <v>0.68155794958663096</v>
      </c>
      <c r="I2778">
        <v>0.75711364141556103</v>
      </c>
      <c r="J2778">
        <v>0.74445837674491799</v>
      </c>
      <c r="K2778">
        <v>0.55686409520625002</v>
      </c>
      <c r="L2778">
        <v>12451.3868694393</v>
      </c>
      <c r="M2778">
        <v>250</v>
      </c>
      <c r="O2778">
        <v>49.802360403037397</v>
      </c>
      <c r="P2778">
        <v>-0.44772458950358801</v>
      </c>
      <c r="Q2778">
        <v>0.64323613960827197</v>
      </c>
      <c r="R2778">
        <v>0.80576699221982295</v>
      </c>
      <c r="S2778" t="s">
        <v>8361</v>
      </c>
      <c r="T2778" t="s">
        <v>11164</v>
      </c>
      <c r="U2778" t="s">
        <v>11164</v>
      </c>
      <c r="V2778" t="s">
        <v>11164</v>
      </c>
      <c r="W2778" t="s">
        <v>13904</v>
      </c>
      <c r="X2778">
        <v>8</v>
      </c>
      <c r="Y2778" t="s">
        <v>19402</v>
      </c>
      <c r="Z2778" t="s">
        <v>24928</v>
      </c>
      <c r="AA2778">
        <v>0.79555254202955961</v>
      </c>
      <c r="AB2778" t="str">
        <f>HYPERLINK("Melting_Curves/meltCurve_Q04721_NOTCH2.pdf", "Melting_Curves/meltCurve_Q04721_NOTCH2.pdf")</f>
        <v>Melting_Curves/meltCurve_Q04721_NOTCH2.pdf</v>
      </c>
    </row>
    <row r="2779" spans="1:28" x14ac:dyDescent="0.25">
      <c r="A2779" t="s">
        <v>2783</v>
      </c>
      <c r="B2779">
        <v>0.99796759195183404</v>
      </c>
      <c r="C2779">
        <v>1.0668021337270699</v>
      </c>
      <c r="D2779">
        <v>1.0242989386963799</v>
      </c>
      <c r="E2779">
        <v>0.97435342025097404</v>
      </c>
      <c r="F2779">
        <v>0.86863996641016505</v>
      </c>
      <c r="G2779">
        <v>0.68869415734861705</v>
      </c>
      <c r="H2779">
        <v>0.58664757780255705</v>
      </c>
      <c r="I2779">
        <v>0.41540434890985201</v>
      </c>
      <c r="J2779">
        <v>0.21676914890952101</v>
      </c>
      <c r="K2779">
        <v>0.13822324703488301</v>
      </c>
      <c r="L2779">
        <v>726.07810302453299</v>
      </c>
      <c r="M2779">
        <v>12.4439922412031</v>
      </c>
      <c r="N2779">
        <v>58.347682162776103</v>
      </c>
      <c r="O2779">
        <v>56.902339648385301</v>
      </c>
      <c r="P2779">
        <v>-5.4684037672908199E-2</v>
      </c>
      <c r="Q2779">
        <v>0</v>
      </c>
      <c r="R2779">
        <v>0.98639812123991999</v>
      </c>
      <c r="S2779" t="s">
        <v>8362</v>
      </c>
      <c r="T2779" t="s">
        <v>11164</v>
      </c>
      <c r="U2779" t="s">
        <v>11164</v>
      </c>
      <c r="V2779" t="s">
        <v>11164</v>
      </c>
      <c r="W2779" t="s">
        <v>13905</v>
      </c>
      <c r="X2779">
        <v>20</v>
      </c>
      <c r="Y2779" t="s">
        <v>19403</v>
      </c>
      <c r="Z2779" t="s">
        <v>24929</v>
      </c>
      <c r="AA2779">
        <v>0.70919855719781311</v>
      </c>
      <c r="AB2779" t="str">
        <f>HYPERLINK("Melting_Curves/meltCurve_Q04724_TLE1.pdf", "Melting_Curves/meltCurve_Q04724_TLE1.pdf")</f>
        <v>Melting_Curves/meltCurve_Q04724_TLE1.pdf</v>
      </c>
    </row>
    <row r="2780" spans="1:28" x14ac:dyDescent="0.25">
      <c r="A2780" t="s">
        <v>2784</v>
      </c>
      <c r="B2780">
        <v>0.99796759195183404</v>
      </c>
      <c r="C2780">
        <v>0.95342293508866305</v>
      </c>
      <c r="D2780">
        <v>0.97856119516237206</v>
      </c>
      <c r="E2780">
        <v>1.0241393930834699</v>
      </c>
      <c r="F2780">
        <v>0.91120762075288597</v>
      </c>
      <c r="G2780">
        <v>0.71992334265810998</v>
      </c>
      <c r="H2780">
        <v>0.68906438171065598</v>
      </c>
      <c r="I2780">
        <v>0.54893435963535098</v>
      </c>
      <c r="J2780">
        <v>0.37375199958104299</v>
      </c>
      <c r="K2780">
        <v>0.21325464756739801</v>
      </c>
      <c r="L2780">
        <v>663.69113502096002</v>
      </c>
      <c r="M2780">
        <v>10.906274902935801</v>
      </c>
      <c r="N2780">
        <v>60.854062550287701</v>
      </c>
      <c r="O2780">
        <v>58.915399109696502</v>
      </c>
      <c r="P2780">
        <v>-4.62955245240734E-2</v>
      </c>
      <c r="Q2780">
        <v>0</v>
      </c>
      <c r="R2780">
        <v>0.972390332861503</v>
      </c>
      <c r="S2780" t="s">
        <v>8363</v>
      </c>
      <c r="T2780" t="s">
        <v>11164</v>
      </c>
      <c r="U2780" t="s">
        <v>11164</v>
      </c>
      <c r="V2780" t="s">
        <v>11164</v>
      </c>
      <c r="W2780" t="s">
        <v>13906</v>
      </c>
      <c r="X2780">
        <v>19</v>
      </c>
      <c r="Y2780" t="s">
        <v>17544</v>
      </c>
      <c r="Z2780" t="s">
        <v>24930</v>
      </c>
      <c r="AA2780">
        <v>0.765172050154036</v>
      </c>
      <c r="AB2780" t="str">
        <f>HYPERLINK("Melting_Curves/meltCurve_Q04726_3_TLE3.pdf", "Melting_Curves/meltCurve_Q04726_3_TLE3.pdf")</f>
        <v>Melting_Curves/meltCurve_Q04726_3_TLE3.pdf</v>
      </c>
    </row>
    <row r="2781" spans="1:28" x14ac:dyDescent="0.25">
      <c r="A2781" t="s">
        <v>2785</v>
      </c>
      <c r="B2781">
        <v>0.99796759195183404</v>
      </c>
      <c r="C2781">
        <v>1.03894930589989</v>
      </c>
      <c r="D2781">
        <v>1.0699508844476999</v>
      </c>
      <c r="E2781">
        <v>0.96889191550837095</v>
      </c>
      <c r="F2781">
        <v>0.84743136536055597</v>
      </c>
      <c r="G2781">
        <v>0.95039708350581698</v>
      </c>
      <c r="H2781">
        <v>0.77529041269038401</v>
      </c>
      <c r="I2781">
        <v>0.44798085884481198</v>
      </c>
      <c r="J2781">
        <v>0.14047445418062399</v>
      </c>
      <c r="K2781">
        <v>3.29413663144901E-2</v>
      </c>
      <c r="L2781">
        <v>1604.6321973700401</v>
      </c>
      <c r="M2781">
        <v>26.651688652454698</v>
      </c>
      <c r="N2781">
        <v>60.2075245572832</v>
      </c>
      <c r="O2781">
        <v>59.871639615186197</v>
      </c>
      <c r="P2781">
        <v>-0.11128797164076901</v>
      </c>
      <c r="Q2781">
        <v>0</v>
      </c>
      <c r="R2781">
        <v>0.97568244472625598</v>
      </c>
      <c r="S2781" t="s">
        <v>8364</v>
      </c>
      <c r="T2781" t="s">
        <v>11164</v>
      </c>
      <c r="U2781" t="s">
        <v>11164</v>
      </c>
      <c r="V2781" t="s">
        <v>11164</v>
      </c>
      <c r="W2781" t="s">
        <v>13907</v>
      </c>
      <c r="X2781">
        <v>3</v>
      </c>
      <c r="Y2781" t="s">
        <v>19404</v>
      </c>
      <c r="Z2781" t="s">
        <v>24931</v>
      </c>
      <c r="AA2781">
        <v>0.77642224803605275</v>
      </c>
      <c r="AB2781" t="str">
        <f>HYPERLINK("Melting_Curves/meltCurve_Q04759_2_PRKCQ.pdf", "Melting_Curves/meltCurve_Q04759_2_PRKCQ.pdf")</f>
        <v>Melting_Curves/meltCurve_Q04759_2_PRKCQ.pdf</v>
      </c>
    </row>
    <row r="2782" spans="1:28" x14ac:dyDescent="0.25">
      <c r="A2782" t="s">
        <v>2786</v>
      </c>
      <c r="B2782">
        <v>0.99796759195183404</v>
      </c>
      <c r="C2782">
        <v>0.92507263777959603</v>
      </c>
      <c r="D2782">
        <v>0.92454456662212303</v>
      </c>
      <c r="E2782">
        <v>0.88325261797196497</v>
      </c>
      <c r="F2782">
        <v>0.73466200303242701</v>
      </c>
      <c r="G2782">
        <v>0.60533927969938295</v>
      </c>
      <c r="H2782">
        <v>0.58846027962409098</v>
      </c>
      <c r="I2782">
        <v>0.44442605617412401</v>
      </c>
      <c r="J2782">
        <v>0.37471816667426999</v>
      </c>
      <c r="K2782">
        <v>0.20803463271322301</v>
      </c>
      <c r="L2782">
        <v>417.528559318009</v>
      </c>
      <c r="M2782">
        <v>7.1604730644926704</v>
      </c>
      <c r="N2782">
        <v>58.310191861279499</v>
      </c>
      <c r="O2782">
        <v>54.276199407514802</v>
      </c>
      <c r="P2782">
        <v>-3.3037907741487599E-2</v>
      </c>
      <c r="Q2782">
        <v>0</v>
      </c>
      <c r="R2782">
        <v>0.97621657285072805</v>
      </c>
      <c r="S2782" t="s">
        <v>8365</v>
      </c>
      <c r="T2782" t="s">
        <v>11164</v>
      </c>
      <c r="U2782" t="s">
        <v>11164</v>
      </c>
      <c r="V2782" t="s">
        <v>11164</v>
      </c>
      <c r="W2782" t="s">
        <v>13908</v>
      </c>
      <c r="X2782">
        <v>14</v>
      </c>
      <c r="Y2782" t="s">
        <v>19405</v>
      </c>
      <c r="Z2782" t="s">
        <v>24932</v>
      </c>
      <c r="AA2782">
        <v>0.67838502049327465</v>
      </c>
      <c r="AB2782" t="str">
        <f>HYPERLINK("Melting_Curves/meltCurve_Q04760_GLO1.pdf", "Melting_Curves/meltCurve_Q04760_GLO1.pdf")</f>
        <v>Melting_Curves/meltCurve_Q04760_GLO1.pdf</v>
      </c>
    </row>
    <row r="2783" spans="1:28" x14ac:dyDescent="0.25">
      <c r="A2783" t="s">
        <v>2787</v>
      </c>
      <c r="B2783">
        <v>0.99796759195183404</v>
      </c>
      <c r="C2783">
        <v>0.90068667959465398</v>
      </c>
      <c r="D2783">
        <v>0.23831386495430901</v>
      </c>
      <c r="E2783">
        <v>0.14306318982566599</v>
      </c>
      <c r="F2783">
        <v>7.9441550751343404E-2</v>
      </c>
      <c r="G2783">
        <v>6.3625854338299204E-2</v>
      </c>
      <c r="H2783">
        <v>4.3291191276007501E-2</v>
      </c>
      <c r="I2783">
        <v>3.4723184029112002E-2</v>
      </c>
      <c r="J2783">
        <v>2.6326302092262499E-2</v>
      </c>
      <c r="K2783">
        <v>2.2140340267969301E-2</v>
      </c>
      <c r="L2783">
        <v>1909.7958442317699</v>
      </c>
      <c r="M2783">
        <v>45.795110309383503</v>
      </c>
      <c r="N2783">
        <v>41.813353488073197</v>
      </c>
      <c r="O2783">
        <v>41.623764696349802</v>
      </c>
      <c r="P2783">
        <v>-0.25940450318638603</v>
      </c>
      <c r="Q2783">
        <v>5.6896827796762202E-2</v>
      </c>
      <c r="R2783">
        <v>0.99228870391359503</v>
      </c>
      <c r="S2783" t="s">
        <v>8366</v>
      </c>
      <c r="T2783" t="s">
        <v>11164</v>
      </c>
      <c r="U2783" t="s">
        <v>11164</v>
      </c>
      <c r="V2783" t="s">
        <v>11164</v>
      </c>
      <c r="W2783" t="s">
        <v>13909</v>
      </c>
      <c r="X2783">
        <v>7</v>
      </c>
      <c r="Y2783" t="s">
        <v>19406</v>
      </c>
      <c r="Z2783" t="s">
        <v>24933</v>
      </c>
      <c r="AA2783">
        <v>0.20688018702411889</v>
      </c>
      <c r="AB2783" t="str">
        <f>HYPERLINK("Melting_Curves/meltCurve_Q04828_AKR1C1.pdf", "Melting_Curves/meltCurve_Q04828_AKR1C1.pdf")</f>
        <v>Melting_Curves/meltCurve_Q04828_AKR1C1.pdf</v>
      </c>
    </row>
    <row r="2784" spans="1:28" x14ac:dyDescent="0.25">
      <c r="A2784" t="s">
        <v>2788</v>
      </c>
      <c r="B2784">
        <v>0.99796759195183404</v>
      </c>
      <c r="C2784">
        <v>0.98996577577918599</v>
      </c>
      <c r="D2784">
        <v>0.98377941284479298</v>
      </c>
      <c r="E2784">
        <v>0.95740360828366899</v>
      </c>
      <c r="F2784">
        <v>0.81814323409604595</v>
      </c>
      <c r="G2784">
        <v>0.65130631197623401</v>
      </c>
      <c r="H2784">
        <v>0.60841941499631702</v>
      </c>
      <c r="I2784">
        <v>0.530187369168578</v>
      </c>
      <c r="J2784">
        <v>0.70233420584055195</v>
      </c>
      <c r="K2784">
        <v>0.983169211394055</v>
      </c>
      <c r="L2784">
        <v>2476.16324435665</v>
      </c>
      <c r="M2784">
        <v>49.849670461423898</v>
      </c>
      <c r="O2784">
        <v>49.592871556073398</v>
      </c>
      <c r="P2784">
        <v>-7.6662441411231699E-2</v>
      </c>
      <c r="Q2784">
        <v>0.69493021654007003</v>
      </c>
      <c r="R2784">
        <v>0.59919255934694804</v>
      </c>
      <c r="S2784" t="s">
        <v>8367</v>
      </c>
      <c r="T2784" t="s">
        <v>11164</v>
      </c>
      <c r="U2784" t="s">
        <v>11164</v>
      </c>
      <c r="V2784" t="s">
        <v>11164</v>
      </c>
      <c r="W2784" t="s">
        <v>13910</v>
      </c>
      <c r="X2784">
        <v>16</v>
      </c>
      <c r="Y2784" t="s">
        <v>19407</v>
      </c>
      <c r="Z2784" t="s">
        <v>24934</v>
      </c>
      <c r="AA2784">
        <v>0.82447034134333175</v>
      </c>
      <c r="AB2784" t="str">
        <f>HYPERLINK("Melting_Curves/meltCurve_Q04837_SSBP1.pdf", "Melting_Curves/meltCurve_Q04837_SSBP1.pdf")</f>
        <v>Melting_Curves/meltCurve_Q04837_SSBP1.pdf</v>
      </c>
    </row>
    <row r="2785" spans="1:28" x14ac:dyDescent="0.25">
      <c r="A2785" t="s">
        <v>2789</v>
      </c>
      <c r="B2785">
        <v>0.99796759195183404</v>
      </c>
      <c r="C2785">
        <v>0.99075561918229205</v>
      </c>
      <c r="D2785">
        <v>0.99808151841950599</v>
      </c>
      <c r="E2785">
        <v>0.999783361324727</v>
      </c>
      <c r="F2785">
        <v>0.83576691666499003</v>
      </c>
      <c r="G2785">
        <v>0.62496793988766197</v>
      </c>
      <c r="H2785">
        <v>0.52352025293609294</v>
      </c>
      <c r="I2785">
        <v>0.28501378342921002</v>
      </c>
      <c r="J2785">
        <v>0.137425294214163</v>
      </c>
      <c r="K2785">
        <v>9.0424511685348097E-2</v>
      </c>
      <c r="L2785">
        <v>780.78528240757396</v>
      </c>
      <c r="M2785">
        <v>13.768038971421101</v>
      </c>
      <c r="N2785">
        <v>56.709985213517001</v>
      </c>
      <c r="O2785">
        <v>55.553749656597297</v>
      </c>
      <c r="P2785">
        <v>-6.1966925011321602E-2</v>
      </c>
      <c r="Q2785">
        <v>0</v>
      </c>
      <c r="R2785">
        <v>0.99088492710113696</v>
      </c>
      <c r="S2785" t="s">
        <v>8368</v>
      </c>
      <c r="T2785" t="s">
        <v>11164</v>
      </c>
      <c r="U2785" t="s">
        <v>11164</v>
      </c>
      <c r="V2785" t="s">
        <v>11164</v>
      </c>
      <c r="W2785" t="s">
        <v>13911</v>
      </c>
      <c r="X2785">
        <v>19</v>
      </c>
      <c r="Y2785" t="s">
        <v>19408</v>
      </c>
      <c r="Z2785" t="s">
        <v>24935</v>
      </c>
      <c r="AA2785">
        <v>0.66543270347159689</v>
      </c>
      <c r="AB2785" t="str">
        <f>HYPERLINK("Melting_Curves/meltCurve_Q04917_YWHAH.pdf", "Melting_Curves/meltCurve_Q04917_YWHAH.pdf")</f>
        <v>Melting_Curves/meltCurve_Q04917_YWHAH.pdf</v>
      </c>
    </row>
    <row r="2786" spans="1:28" x14ac:dyDescent="0.25">
      <c r="A2786" t="s">
        <v>2790</v>
      </c>
      <c r="B2786">
        <v>0.99796759195183404</v>
      </c>
      <c r="C2786">
        <v>1.10279788790773</v>
      </c>
      <c r="D2786">
        <v>1.0613313367213</v>
      </c>
      <c r="E2786">
        <v>1.05400126445756</v>
      </c>
      <c r="F2786">
        <v>1.06747450932326</v>
      </c>
      <c r="G2786">
        <v>0.88783942991324505</v>
      </c>
      <c r="H2786">
        <v>0.73120443200823004</v>
      </c>
      <c r="I2786">
        <v>0.69049487071133897</v>
      </c>
      <c r="J2786">
        <v>0.79367302835542197</v>
      </c>
      <c r="K2786">
        <v>0.68218418168465</v>
      </c>
      <c r="L2786">
        <v>10032.138106112199</v>
      </c>
      <c r="M2786">
        <v>186.094375863538</v>
      </c>
      <c r="O2786">
        <v>53.902624958861701</v>
      </c>
      <c r="P2786">
        <v>-0.23788164320268401</v>
      </c>
      <c r="Q2786">
        <v>0.72438822359922095</v>
      </c>
      <c r="R2786">
        <v>0.88593807392706903</v>
      </c>
      <c r="S2786" t="s">
        <v>8369</v>
      </c>
      <c r="T2786" t="s">
        <v>11164</v>
      </c>
      <c r="U2786" t="s">
        <v>11164</v>
      </c>
      <c r="V2786" t="s">
        <v>11164</v>
      </c>
      <c r="W2786" t="s">
        <v>13912</v>
      </c>
      <c r="X2786">
        <v>1</v>
      </c>
      <c r="Y2786" t="s">
        <v>19409</v>
      </c>
      <c r="Z2786" t="s">
        <v>24936</v>
      </c>
      <c r="AA2786">
        <v>0.879778110256904</v>
      </c>
      <c r="AB2786" t="str">
        <f>HYPERLINK("Melting_Curves/meltCurve_Q04941_PLP2.pdf", "Melting_Curves/meltCurve_Q04941_PLP2.pdf")</f>
        <v>Melting_Curves/meltCurve_Q04941_PLP2.pdf</v>
      </c>
    </row>
    <row r="2787" spans="1:28" x14ac:dyDescent="0.25">
      <c r="A2787" t="s">
        <v>2791</v>
      </c>
      <c r="B2787">
        <v>0.99796759195183404</v>
      </c>
      <c r="C2787">
        <v>1.0633499622104501</v>
      </c>
      <c r="D2787">
        <v>0.97612800994547699</v>
      </c>
      <c r="E2787">
        <v>0.95150510767383101</v>
      </c>
      <c r="F2787">
        <v>0.86642747670302001</v>
      </c>
      <c r="G2787">
        <v>1.0655607591396901</v>
      </c>
      <c r="H2787">
        <v>1.0405127051741201</v>
      </c>
      <c r="I2787">
        <v>0.84979352899049199</v>
      </c>
      <c r="J2787">
        <v>0.75789703260346397</v>
      </c>
      <c r="K2787">
        <v>0.37432935138650802</v>
      </c>
      <c r="L2787">
        <v>1995.49803095527</v>
      </c>
      <c r="M2787">
        <v>30.2183943223353</v>
      </c>
      <c r="N2787">
        <v>66.035882057648806</v>
      </c>
      <c r="O2787">
        <v>65.748700760279405</v>
      </c>
      <c r="P2787">
        <v>-0.11490183542064999</v>
      </c>
      <c r="Q2787">
        <v>0</v>
      </c>
      <c r="R2787">
        <v>0.89894867274385803</v>
      </c>
      <c r="S2787" t="s">
        <v>8370</v>
      </c>
      <c r="T2787" t="s">
        <v>11164</v>
      </c>
      <c r="U2787" t="s">
        <v>11164</v>
      </c>
      <c r="V2787" t="s">
        <v>11164</v>
      </c>
      <c r="W2787" t="s">
        <v>13913</v>
      </c>
      <c r="X2787">
        <v>5</v>
      </c>
      <c r="Y2787" t="s">
        <v>19410</v>
      </c>
      <c r="Z2787" t="s">
        <v>24937</v>
      </c>
      <c r="AA2787">
        <v>0.93528394702402651</v>
      </c>
      <c r="AB2787" t="str">
        <f>HYPERLINK("Melting_Curves/meltCurve_Q05048_CSTF1.pdf", "Melting_Curves/meltCurve_Q05048_CSTF1.pdf")</f>
        <v>Melting_Curves/meltCurve_Q05048_CSTF1.pdf</v>
      </c>
    </row>
    <row r="2788" spans="1:28" x14ac:dyDescent="0.25">
      <c r="A2788" t="s">
        <v>2792</v>
      </c>
      <c r="B2788">
        <v>0.99796759195183404</v>
      </c>
      <c r="C2788">
        <v>1.02336335546798</v>
      </c>
      <c r="D2788">
        <v>0.94618571530066897</v>
      </c>
      <c r="E2788">
        <v>0.89864005587731</v>
      </c>
      <c r="F2788">
        <v>0.78774220685319596</v>
      </c>
      <c r="G2788">
        <v>0.71301477812167802</v>
      </c>
      <c r="H2788">
        <v>0.42438837731616702</v>
      </c>
      <c r="I2788">
        <v>0.23241969500598</v>
      </c>
      <c r="J2788">
        <v>0.14709989484203301</v>
      </c>
      <c r="K2788">
        <v>0.12628197430958599</v>
      </c>
      <c r="L2788">
        <v>735.15707419213402</v>
      </c>
      <c r="M2788">
        <v>13.084858510853399</v>
      </c>
      <c r="N2788">
        <v>56.1838002558829</v>
      </c>
      <c r="O2788">
        <v>54.920120840037399</v>
      </c>
      <c r="P2788">
        <v>-5.9573396596042202E-2</v>
      </c>
      <c r="Q2788">
        <v>0</v>
      </c>
      <c r="R2788">
        <v>0.98998484159607703</v>
      </c>
      <c r="S2788" t="s">
        <v>8371</v>
      </c>
      <c r="T2788" t="s">
        <v>11164</v>
      </c>
      <c r="U2788" t="s">
        <v>11164</v>
      </c>
      <c r="V2788" t="s">
        <v>11164</v>
      </c>
      <c r="W2788" t="s">
        <v>13914</v>
      </c>
      <c r="X2788">
        <v>10</v>
      </c>
      <c r="Y2788" t="s">
        <v>19411</v>
      </c>
      <c r="Z2788" t="s">
        <v>24938</v>
      </c>
      <c r="AA2788">
        <v>0.64950030747015819</v>
      </c>
      <c r="AB2788" t="str">
        <f>HYPERLINK("Melting_Curves/meltCurve_Q05086_3_UBE3A.pdf", "Melting_Curves/meltCurve_Q05086_3_UBE3A.pdf")</f>
        <v>Melting_Curves/meltCurve_Q05086_3_UBE3A.pdf</v>
      </c>
    </row>
    <row r="2789" spans="1:28" x14ac:dyDescent="0.25">
      <c r="A2789" t="s">
        <v>2793</v>
      </c>
      <c r="B2789">
        <v>0.99796759195183404</v>
      </c>
      <c r="C2789">
        <v>1.0170229862534601</v>
      </c>
      <c r="D2789">
        <v>1.0373921700256299</v>
      </c>
      <c r="E2789">
        <v>0.96347965946129899</v>
      </c>
      <c r="F2789">
        <v>0.74801398267338604</v>
      </c>
      <c r="G2789">
        <v>0.29635223466761801</v>
      </c>
      <c r="H2789">
        <v>0.22424711766398001</v>
      </c>
      <c r="I2789">
        <v>0.17908301839781399</v>
      </c>
      <c r="J2789">
        <v>0.15207004104455499</v>
      </c>
      <c r="K2789">
        <v>0.105014029107638</v>
      </c>
      <c r="L2789">
        <v>1688.87697905798</v>
      </c>
      <c r="M2789">
        <v>32.8294242045353</v>
      </c>
      <c r="N2789">
        <v>52.0226935055707</v>
      </c>
      <c r="O2789">
        <v>51.254247588561903</v>
      </c>
      <c r="P2789">
        <v>-0.13563614666492299</v>
      </c>
      <c r="Q2789">
        <v>0.152967535456346</v>
      </c>
      <c r="R2789">
        <v>0.99537456497270804</v>
      </c>
      <c r="S2789" t="s">
        <v>8372</v>
      </c>
      <c r="T2789" t="s">
        <v>11164</v>
      </c>
      <c r="U2789" t="s">
        <v>11164</v>
      </c>
      <c r="V2789" t="s">
        <v>11164</v>
      </c>
      <c r="W2789" t="s">
        <v>13915</v>
      </c>
      <c r="X2789">
        <v>14</v>
      </c>
      <c r="Y2789" t="s">
        <v>19412</v>
      </c>
      <c r="Z2789" t="s">
        <v>24939</v>
      </c>
      <c r="AA2789">
        <v>0.56523778637729072</v>
      </c>
      <c r="AB2789" t="str">
        <f>HYPERLINK("Melting_Curves/meltCurve_Q05209_PTPN12.pdf", "Melting_Curves/meltCurve_Q05209_PTPN12.pdf")</f>
        <v>Melting_Curves/meltCurve_Q05209_PTPN12.pdf</v>
      </c>
    </row>
    <row r="2790" spans="1:28" x14ac:dyDescent="0.25">
      <c r="A2790" t="s">
        <v>2794</v>
      </c>
      <c r="B2790">
        <v>0.99796759195183404</v>
      </c>
      <c r="C2790">
        <v>1.0874880265987601</v>
      </c>
      <c r="D2790">
        <v>0.98709500489366997</v>
      </c>
      <c r="E2790">
        <v>0.902097997405924</v>
      </c>
      <c r="F2790">
        <v>0.83437474487650298</v>
      </c>
      <c r="G2790">
        <v>0.61888714875884998</v>
      </c>
      <c r="H2790">
        <v>0.35776655835069399</v>
      </c>
      <c r="I2790">
        <v>0.41301810235792003</v>
      </c>
      <c r="J2790">
        <v>0.243769612990623</v>
      </c>
      <c r="K2790">
        <v>0.194123761392717</v>
      </c>
      <c r="L2790">
        <v>805.35449826635295</v>
      </c>
      <c r="M2790">
        <v>14.859426162463601</v>
      </c>
      <c r="N2790">
        <v>55.888600243104896</v>
      </c>
      <c r="O2790">
        <v>53.245032848593901</v>
      </c>
      <c r="P2790">
        <v>-5.7146451307301498E-2</v>
      </c>
      <c r="Q2790">
        <v>0.18100584957159299</v>
      </c>
      <c r="R2790">
        <v>0.97432312959415501</v>
      </c>
      <c r="S2790" t="s">
        <v>8373</v>
      </c>
      <c r="T2790" t="s">
        <v>11164</v>
      </c>
      <c r="U2790" t="s">
        <v>11164</v>
      </c>
      <c r="V2790" t="s">
        <v>11164</v>
      </c>
      <c r="W2790" t="s">
        <v>13916</v>
      </c>
      <c r="X2790">
        <v>2</v>
      </c>
      <c r="Y2790" t="s">
        <v>19413</v>
      </c>
      <c r="Z2790" t="s">
        <v>24940</v>
      </c>
      <c r="AA2790">
        <v>0.66355007274725897</v>
      </c>
      <c r="AB2790" t="str">
        <f>HYPERLINK("Melting_Curves/meltCurve_Q05469_2_LIPE.pdf", "Melting_Curves/meltCurve_Q05469_2_LIPE.pdf")</f>
        <v>Melting_Curves/meltCurve_Q05469_2_LIPE.pdf</v>
      </c>
    </row>
    <row r="2791" spans="1:28" x14ac:dyDescent="0.25">
      <c r="A2791" t="s">
        <v>2795</v>
      </c>
      <c r="B2791">
        <v>0.99796759195183404</v>
      </c>
      <c r="C2791">
        <v>0.99103625027405295</v>
      </c>
      <c r="D2791">
        <v>0.904312052298891</v>
      </c>
      <c r="E2791">
        <v>0.79833160564560302</v>
      </c>
      <c r="F2791">
        <v>0.63305895394374301</v>
      </c>
      <c r="G2791">
        <v>0.36788357448077402</v>
      </c>
      <c r="H2791">
        <v>0.173136645098175</v>
      </c>
      <c r="I2791">
        <v>0.128331579318819</v>
      </c>
      <c r="J2791">
        <v>9.4932981621109094E-2</v>
      </c>
      <c r="K2791">
        <v>7.0350102872043296E-2</v>
      </c>
      <c r="L2791">
        <v>715.03593538564496</v>
      </c>
      <c r="M2791">
        <v>13.9011514515021</v>
      </c>
      <c r="N2791">
        <v>51.6316914581923</v>
      </c>
      <c r="O2791">
        <v>50.407784292526898</v>
      </c>
      <c r="P2791">
        <v>-6.7193744327982197E-2</v>
      </c>
      <c r="Q2791">
        <v>2.5511791816115698E-2</v>
      </c>
      <c r="R2791">
        <v>0.99657795000077898</v>
      </c>
      <c r="S2791" t="s">
        <v>8374</v>
      </c>
      <c r="T2791" t="s">
        <v>11164</v>
      </c>
      <c r="U2791" t="s">
        <v>11164</v>
      </c>
      <c r="V2791" t="s">
        <v>11164</v>
      </c>
      <c r="W2791" t="s">
        <v>13917</v>
      </c>
      <c r="X2791">
        <v>9</v>
      </c>
      <c r="Y2791" t="s">
        <v>19414</v>
      </c>
      <c r="Z2791" t="s">
        <v>24941</v>
      </c>
      <c r="AA2791">
        <v>0.51551508517887001</v>
      </c>
      <c r="AB2791" t="str">
        <f>HYPERLINK("Melting_Curves/meltCurve_Q05519_2_SRSF11.pdf", "Melting_Curves/meltCurve_Q05519_2_SRSF11.pdf")</f>
        <v>Melting_Curves/meltCurve_Q05519_2_SRSF11.pdf</v>
      </c>
    </row>
    <row r="2792" spans="1:28" x14ac:dyDescent="0.25">
      <c r="A2792" t="s">
        <v>2796</v>
      </c>
      <c r="B2792">
        <v>0.99796759195183404</v>
      </c>
      <c r="C2792">
        <v>0.97882503444229796</v>
      </c>
      <c r="D2792">
        <v>1.02077335387546</v>
      </c>
      <c r="E2792">
        <v>1.0034104583403201</v>
      </c>
      <c r="F2792">
        <v>0.89961592293736703</v>
      </c>
      <c r="G2792">
        <v>0.75657663498341698</v>
      </c>
      <c r="H2792">
        <v>0.49976472749248202</v>
      </c>
      <c r="I2792">
        <v>0.35132181998103301</v>
      </c>
      <c r="J2792">
        <v>0.23439602458238601</v>
      </c>
      <c r="K2792">
        <v>0.121634385455737</v>
      </c>
      <c r="L2792">
        <v>861.10489638008698</v>
      </c>
      <c r="M2792">
        <v>14.965019547072201</v>
      </c>
      <c r="N2792">
        <v>57.881101126622703</v>
      </c>
      <c r="O2792">
        <v>56.543021607687699</v>
      </c>
      <c r="P2792">
        <v>-6.3389552916546604E-2</v>
      </c>
      <c r="Q2792">
        <v>4.2067030712833998E-2</v>
      </c>
      <c r="R2792">
        <v>0.99588770077501998</v>
      </c>
      <c r="S2792" t="s">
        <v>8375</v>
      </c>
      <c r="T2792" t="s">
        <v>11164</v>
      </c>
      <c r="U2792" t="s">
        <v>11164</v>
      </c>
      <c r="V2792" t="s">
        <v>11164</v>
      </c>
      <c r="W2792" t="s">
        <v>13918</v>
      </c>
      <c r="X2792">
        <v>22</v>
      </c>
      <c r="Y2792" t="s">
        <v>19415</v>
      </c>
      <c r="Z2792" t="s">
        <v>24942</v>
      </c>
      <c r="AA2792">
        <v>0.70379090997007965</v>
      </c>
      <c r="AB2792" t="str">
        <f>HYPERLINK("Melting_Curves/meltCurve_Q05639_EEF1A2.pdf", "Melting_Curves/meltCurve_Q05639_EEF1A2.pdf")</f>
        <v>Melting_Curves/meltCurve_Q05639_EEF1A2.pdf</v>
      </c>
    </row>
    <row r="2793" spans="1:28" x14ac:dyDescent="0.25">
      <c r="A2793" t="s">
        <v>2797</v>
      </c>
      <c r="B2793">
        <v>0.99796759195183404</v>
      </c>
      <c r="C2793">
        <v>1.0259853643476999</v>
      </c>
      <c r="D2793">
        <v>1.0043866696863799</v>
      </c>
      <c r="E2793">
        <v>0.98534367545052703</v>
      </c>
      <c r="F2793">
        <v>0.80591086120183597</v>
      </c>
      <c r="G2793">
        <v>0.53282270897504802</v>
      </c>
      <c r="H2793">
        <v>0.214988228975558</v>
      </c>
      <c r="I2793">
        <v>0.143056067494648</v>
      </c>
      <c r="J2793">
        <v>0.113106373027962</v>
      </c>
      <c r="K2793">
        <v>8.2163830695800105E-2</v>
      </c>
      <c r="L2793">
        <v>1211.3017375914101</v>
      </c>
      <c r="M2793">
        <v>22.653020947014401</v>
      </c>
      <c r="N2793">
        <v>53.889902808685001</v>
      </c>
      <c r="O2793">
        <v>53.060501809119202</v>
      </c>
      <c r="P2793">
        <v>-9.8136005681536506E-2</v>
      </c>
      <c r="Q2793">
        <v>8.0556665988089304E-2</v>
      </c>
      <c r="R2793">
        <v>0.99797525901240602</v>
      </c>
      <c r="S2793" t="s">
        <v>8376</v>
      </c>
      <c r="T2793" t="s">
        <v>11164</v>
      </c>
      <c r="U2793" t="s">
        <v>11164</v>
      </c>
      <c r="V2793" t="s">
        <v>11164</v>
      </c>
      <c r="W2793" t="s">
        <v>13919</v>
      </c>
      <c r="X2793">
        <v>25</v>
      </c>
      <c r="Y2793" t="s">
        <v>19416</v>
      </c>
      <c r="Z2793" t="s">
        <v>24943</v>
      </c>
      <c r="AA2793">
        <v>0.59487832587951561</v>
      </c>
      <c r="AB2793" t="str">
        <f>HYPERLINK("Melting_Curves/meltCurve_Q05655_PRKCD.pdf", "Melting_Curves/meltCurve_Q05655_PRKCD.pdf")</f>
        <v>Melting_Curves/meltCurve_Q05655_PRKCD.pdf</v>
      </c>
    </row>
    <row r="2794" spans="1:28" x14ac:dyDescent="0.25">
      <c r="A2794" t="s">
        <v>2798</v>
      </c>
      <c r="B2794">
        <v>0.99796759195183404</v>
      </c>
      <c r="C2794">
        <v>1.0003387126638701</v>
      </c>
      <c r="D2794">
        <v>0.97195883199095701</v>
      </c>
      <c r="E2794">
        <v>0.95555589517835204</v>
      </c>
      <c r="F2794">
        <v>0.85355444313849205</v>
      </c>
      <c r="G2794">
        <v>0.62663378015279403</v>
      </c>
      <c r="H2794">
        <v>0.71567850985895198</v>
      </c>
      <c r="I2794">
        <v>0.61616162031855404</v>
      </c>
      <c r="J2794">
        <v>0.70452815312178496</v>
      </c>
      <c r="K2794">
        <v>0.79950588942425205</v>
      </c>
      <c r="L2794">
        <v>12554.772948854499</v>
      </c>
      <c r="M2794">
        <v>250</v>
      </c>
      <c r="O2794">
        <v>50.215861192327203</v>
      </c>
      <c r="P2794">
        <v>-0.382720593281692</v>
      </c>
      <c r="Q2794">
        <v>0.69250158923647398</v>
      </c>
      <c r="R2794">
        <v>0.880755425539265</v>
      </c>
      <c r="S2794" t="s">
        <v>8377</v>
      </c>
      <c r="T2794" t="s">
        <v>11164</v>
      </c>
      <c r="U2794" t="s">
        <v>11164</v>
      </c>
      <c r="V2794" t="s">
        <v>11164</v>
      </c>
      <c r="W2794" t="s">
        <v>13920</v>
      </c>
      <c r="X2794">
        <v>46</v>
      </c>
      <c r="Y2794" t="s">
        <v>19417</v>
      </c>
      <c r="Z2794" t="s">
        <v>24944</v>
      </c>
      <c r="AA2794">
        <v>0.82802368084430533</v>
      </c>
      <c r="AB2794" t="str">
        <f>HYPERLINK("Melting_Curves/meltCurve_Q05682_4_CALD1.pdf", "Melting_Curves/meltCurve_Q05682_4_CALD1.pdf")</f>
        <v>Melting_Curves/meltCurve_Q05682_4_CALD1.pdf</v>
      </c>
    </row>
    <row r="2795" spans="1:28" x14ac:dyDescent="0.25">
      <c r="A2795" t="s">
        <v>2799</v>
      </c>
      <c r="B2795">
        <v>0.99796759195183404</v>
      </c>
      <c r="C2795">
        <v>1.0794742323369799</v>
      </c>
      <c r="D2795">
        <v>0.96624636580851297</v>
      </c>
      <c r="E2795">
        <v>0.94935260675258504</v>
      </c>
      <c r="F2795">
        <v>0.93177774654486401</v>
      </c>
      <c r="G2795">
        <v>0.70320139708919405</v>
      </c>
      <c r="H2795">
        <v>0.57293426408055204</v>
      </c>
      <c r="I2795">
        <v>0.54167015380543504</v>
      </c>
      <c r="J2795">
        <v>0.50631254231419598</v>
      </c>
      <c r="K2795">
        <v>0.52556580486308002</v>
      </c>
      <c r="L2795">
        <v>1459.30903859161</v>
      </c>
      <c r="M2795">
        <v>27.527758789335898</v>
      </c>
      <c r="O2795">
        <v>52.734878998693397</v>
      </c>
      <c r="P2795">
        <v>-6.2884215111208105E-2</v>
      </c>
      <c r="Q2795">
        <v>0.51813569948609295</v>
      </c>
      <c r="R2795">
        <v>0.97916604439001598</v>
      </c>
      <c r="S2795" t="s">
        <v>8378</v>
      </c>
      <c r="T2795" t="s">
        <v>11164</v>
      </c>
      <c r="U2795" t="s">
        <v>11164</v>
      </c>
      <c r="V2795" t="s">
        <v>11164</v>
      </c>
      <c r="W2795" t="s">
        <v>13921</v>
      </c>
      <c r="X2795">
        <v>45</v>
      </c>
      <c r="Y2795" t="s">
        <v>19417</v>
      </c>
      <c r="Z2795" t="s">
        <v>24945</v>
      </c>
      <c r="AA2795">
        <v>0.77891992166121871</v>
      </c>
      <c r="AB2795" t="str">
        <f>HYPERLINK("Melting_Curves/meltCurve_Q05682_5_CALD1.pdf", "Melting_Curves/meltCurve_Q05682_5_CALD1.pdf")</f>
        <v>Melting_Curves/meltCurve_Q05682_5_CALD1.pdf</v>
      </c>
    </row>
    <row r="2796" spans="1:28" x14ac:dyDescent="0.25">
      <c r="A2796" t="s">
        <v>2800</v>
      </c>
      <c r="B2796">
        <v>0.99796759195183404</v>
      </c>
      <c r="C2796">
        <v>0.99530485131628799</v>
      </c>
      <c r="D2796">
        <v>0.97880607936951003</v>
      </c>
      <c r="E2796">
        <v>0.93074345774579204</v>
      </c>
      <c r="F2796">
        <v>0.83794325832310301</v>
      </c>
      <c r="G2796">
        <v>0.66040749300532997</v>
      </c>
      <c r="H2796">
        <v>0.20786694831522901</v>
      </c>
      <c r="I2796">
        <v>0.142613467793125</v>
      </c>
      <c r="J2796">
        <v>0.110980811935459</v>
      </c>
      <c r="K2796">
        <v>0.101360255154371</v>
      </c>
      <c r="L2796">
        <v>1355.52311566762</v>
      </c>
      <c r="M2796">
        <v>24.959705338235199</v>
      </c>
      <c r="N2796">
        <v>54.694478428909498</v>
      </c>
      <c r="O2796">
        <v>53.963470728733498</v>
      </c>
      <c r="P2796">
        <v>-0.106295509526333</v>
      </c>
      <c r="Q2796">
        <v>8.0759264371240605E-2</v>
      </c>
      <c r="R2796">
        <v>0.98969027858169401</v>
      </c>
      <c r="S2796" t="s">
        <v>8379</v>
      </c>
      <c r="T2796" t="s">
        <v>11164</v>
      </c>
      <c r="U2796" t="s">
        <v>11164</v>
      </c>
      <c r="V2796" t="s">
        <v>11164</v>
      </c>
      <c r="W2796" t="s">
        <v>13922</v>
      </c>
      <c r="X2796">
        <v>26</v>
      </c>
      <c r="Y2796" t="s">
        <v>19418</v>
      </c>
      <c r="Z2796" t="s">
        <v>24946</v>
      </c>
      <c r="AA2796">
        <v>0.61910891253738876</v>
      </c>
      <c r="AB2796" t="str">
        <f>HYPERLINK("Melting_Curves/meltCurve_Q06124_PTPN11.pdf", "Melting_Curves/meltCurve_Q06124_PTPN11.pdf")</f>
        <v>Melting_Curves/meltCurve_Q06124_PTPN11.pdf</v>
      </c>
    </row>
    <row r="2797" spans="1:28" x14ac:dyDescent="0.25">
      <c r="A2797" t="s">
        <v>2801</v>
      </c>
      <c r="B2797">
        <v>0.99796759195183404</v>
      </c>
      <c r="C2797">
        <v>1.0164630731669999</v>
      </c>
      <c r="D2797">
        <v>0.98131531494243895</v>
      </c>
      <c r="E2797">
        <v>1.0190642923919799</v>
      </c>
      <c r="F2797">
        <v>0.94079327338006402</v>
      </c>
      <c r="G2797">
        <v>1.4805927111458801</v>
      </c>
      <c r="H2797">
        <v>1.4191555280011099</v>
      </c>
      <c r="I2797">
        <v>1.50153926635999</v>
      </c>
      <c r="J2797">
        <v>1.4967933602254699</v>
      </c>
      <c r="K2797">
        <v>1.12678481663455</v>
      </c>
      <c r="L2797">
        <v>5195.8222044464901</v>
      </c>
      <c r="M2797">
        <v>100.10641517711601</v>
      </c>
      <c r="O2797">
        <v>51.882281081587301</v>
      </c>
      <c r="P2797">
        <v>0.19599185303073899</v>
      </c>
      <c r="Q2797">
        <v>1.4063078207567301</v>
      </c>
      <c r="R2797">
        <v>0.79534368786714404</v>
      </c>
      <c r="S2797" t="s">
        <v>8380</v>
      </c>
      <c r="T2797" t="s">
        <v>11164</v>
      </c>
      <c r="U2797" t="s">
        <v>11164</v>
      </c>
      <c r="V2797" t="s">
        <v>11164</v>
      </c>
      <c r="W2797" t="s">
        <v>13923</v>
      </c>
      <c r="X2797">
        <v>27</v>
      </c>
      <c r="Y2797" t="s">
        <v>19419</v>
      </c>
      <c r="Z2797" t="s">
        <v>24947</v>
      </c>
      <c r="AA2797">
        <v>1.204236692700295</v>
      </c>
      <c r="AB2797" t="str">
        <f>HYPERLINK("Melting_Curves/meltCurve_Q06203_PPAT.pdf", "Melting_Curves/meltCurve_Q06203_PPAT.pdf")</f>
        <v>Melting_Curves/meltCurve_Q06203_PPAT.pdf</v>
      </c>
    </row>
    <row r="2798" spans="1:28" x14ac:dyDescent="0.25">
      <c r="A2798" t="s">
        <v>2802</v>
      </c>
      <c r="B2798">
        <v>0.99796759195183404</v>
      </c>
      <c r="C2798">
        <v>0.98950153288075904</v>
      </c>
      <c r="D2798">
        <v>0.92464109756128199</v>
      </c>
      <c r="E2798">
        <v>0.93176987782001397</v>
      </c>
      <c r="F2798">
        <v>0.94721697807557503</v>
      </c>
      <c r="G2798">
        <v>1.8432290983977799</v>
      </c>
      <c r="H2798">
        <v>1.1153083085650699</v>
      </c>
      <c r="I2798">
        <v>0.667210051924639</v>
      </c>
      <c r="J2798">
        <v>0.18031029706885199</v>
      </c>
      <c r="K2798">
        <v>0.113132045374956</v>
      </c>
      <c r="L2798">
        <v>4924.7160507457202</v>
      </c>
      <c r="M2798">
        <v>80.233750450738398</v>
      </c>
      <c r="N2798">
        <v>61.613467768217902</v>
      </c>
      <c r="O2798">
        <v>61.341512451882899</v>
      </c>
      <c r="P2798">
        <v>-0.28407229547983498</v>
      </c>
      <c r="Q2798">
        <v>0.131267308011349</v>
      </c>
      <c r="R2798">
        <v>0.65464634078032402</v>
      </c>
      <c r="S2798" t="s">
        <v>8381</v>
      </c>
      <c r="T2798" t="s">
        <v>11164</v>
      </c>
      <c r="U2798" t="s">
        <v>11164</v>
      </c>
      <c r="V2798" t="s">
        <v>11164</v>
      </c>
      <c r="W2798" t="s">
        <v>13924</v>
      </c>
      <c r="X2798">
        <v>13</v>
      </c>
      <c r="Y2798" t="s">
        <v>19420</v>
      </c>
      <c r="Z2798" t="s">
        <v>24948</v>
      </c>
      <c r="AA2798">
        <v>0.83812394139343938</v>
      </c>
      <c r="AB2798" t="str">
        <f>HYPERLINK("Melting_Curves/meltCurve_Q06210_2_GFPT1.pdf", "Melting_Curves/meltCurve_Q06210_2_GFPT1.pdf")</f>
        <v>Melting_Curves/meltCurve_Q06210_2_GFPT1.pdf</v>
      </c>
    </row>
    <row r="2799" spans="1:28" x14ac:dyDescent="0.25">
      <c r="A2799" t="s">
        <v>2803</v>
      </c>
      <c r="B2799">
        <v>0.99796759195183404</v>
      </c>
      <c r="C2799">
        <v>1.0238831178636101</v>
      </c>
      <c r="D2799">
        <v>0.961444248806819</v>
      </c>
      <c r="E2799">
        <v>0.92653472978637696</v>
      </c>
      <c r="F2799">
        <v>1.0067278923702001</v>
      </c>
      <c r="G2799">
        <v>1.87062300122445</v>
      </c>
      <c r="H2799">
        <v>1.67209734074626</v>
      </c>
      <c r="I2799">
        <v>1.3269268615819001</v>
      </c>
      <c r="J2799">
        <v>0.88345108604257605</v>
      </c>
      <c r="K2799">
        <v>0.41705424591002199</v>
      </c>
      <c r="L2799">
        <v>15000</v>
      </c>
      <c r="M2799">
        <v>232.62239709448599</v>
      </c>
      <c r="N2799">
        <v>64.983720088291903</v>
      </c>
      <c r="O2799">
        <v>64.477417943004198</v>
      </c>
      <c r="P2799">
        <v>-0.52587380533786798</v>
      </c>
      <c r="Q2799">
        <v>0.41696096150022299</v>
      </c>
      <c r="R2799">
        <v>0.15090095499261899</v>
      </c>
      <c r="S2799" t="s">
        <v>8382</v>
      </c>
      <c r="T2799" t="s">
        <v>11164</v>
      </c>
      <c r="U2799" t="s">
        <v>11164</v>
      </c>
      <c r="V2799" t="s">
        <v>11164</v>
      </c>
      <c r="W2799" t="s">
        <v>13925</v>
      </c>
      <c r="X2799">
        <v>6</v>
      </c>
      <c r="Y2799" t="s">
        <v>19421</v>
      </c>
      <c r="Z2799" t="s">
        <v>24949</v>
      </c>
      <c r="AA2799">
        <v>0.95114241907648878</v>
      </c>
      <c r="AB2799" t="str">
        <f>HYPERLINK("Melting_Curves/meltCurve_Q06265_EXOSC9.pdf", "Melting_Curves/meltCurve_Q06265_EXOSC9.pdf")</f>
        <v>Melting_Curves/meltCurve_Q06265_EXOSC9.pdf</v>
      </c>
    </row>
    <row r="2800" spans="1:28" x14ac:dyDescent="0.25">
      <c r="A2800" t="s">
        <v>2804</v>
      </c>
      <c r="B2800">
        <v>0.99796759195183404</v>
      </c>
      <c r="C2800">
        <v>1.0139886162990499</v>
      </c>
      <c r="D2800">
        <v>0.99186679329079597</v>
      </c>
      <c r="E2800">
        <v>0.99981666214980203</v>
      </c>
      <c r="F2800">
        <v>0.92037672667756298</v>
      </c>
      <c r="G2800">
        <v>0.90876663115684198</v>
      </c>
      <c r="H2800">
        <v>0.63286577405292199</v>
      </c>
      <c r="I2800">
        <v>0.43456193839927798</v>
      </c>
      <c r="J2800">
        <v>0.39121974769457102</v>
      </c>
      <c r="K2800">
        <v>0.296738366544263</v>
      </c>
      <c r="L2800">
        <v>1279.87125928471</v>
      </c>
      <c r="M2800">
        <v>22.278057915102501</v>
      </c>
      <c r="N2800">
        <v>59.7965383556107</v>
      </c>
      <c r="O2800">
        <v>56.9929703624639</v>
      </c>
      <c r="P2800">
        <v>-6.9245852435794605E-2</v>
      </c>
      <c r="Q2800">
        <v>0.29142066740200101</v>
      </c>
      <c r="R2800">
        <v>0.99131713838949997</v>
      </c>
      <c r="S2800" t="s">
        <v>8383</v>
      </c>
      <c r="T2800" t="s">
        <v>11164</v>
      </c>
      <c r="U2800" t="s">
        <v>11164</v>
      </c>
      <c r="V2800" t="s">
        <v>11164</v>
      </c>
      <c r="W2800" t="s">
        <v>13926</v>
      </c>
      <c r="X2800">
        <v>16</v>
      </c>
      <c r="Y2800" t="s">
        <v>19422</v>
      </c>
      <c r="Z2800" t="s">
        <v>24950</v>
      </c>
      <c r="AA2800">
        <v>0.77987321802302978</v>
      </c>
      <c r="AB2800" t="str">
        <f>HYPERLINK("Melting_Curves/meltCurve_Q06323_PSME1.pdf", "Melting_Curves/meltCurve_Q06323_PSME1.pdf")</f>
        <v>Melting_Curves/meltCurve_Q06323_PSME1.pdf</v>
      </c>
    </row>
    <row r="2801" spans="1:28" x14ac:dyDescent="0.25">
      <c r="A2801" t="s">
        <v>2805</v>
      </c>
      <c r="B2801">
        <v>0.99796759195183404</v>
      </c>
      <c r="C2801">
        <v>1.0631613873016099</v>
      </c>
      <c r="D2801">
        <v>0.90667518917564704</v>
      </c>
      <c r="E2801">
        <v>0.91656363541432095</v>
      </c>
      <c r="F2801">
        <v>0.86410415283676401</v>
      </c>
      <c r="G2801">
        <v>0.668914584555379</v>
      </c>
      <c r="H2801">
        <v>0.66153519194575605</v>
      </c>
      <c r="I2801">
        <v>0.46318655684351501</v>
      </c>
      <c r="J2801">
        <v>0.193341820447607</v>
      </c>
      <c r="K2801">
        <v>8.9536071093272301E-2</v>
      </c>
      <c r="L2801">
        <v>718.52059046148202</v>
      </c>
      <c r="M2801">
        <v>12.269048430914401</v>
      </c>
      <c r="N2801">
        <v>58.563677160915297</v>
      </c>
      <c r="O2801">
        <v>57.073059478579196</v>
      </c>
      <c r="P2801">
        <v>-5.3754620061533302E-2</v>
      </c>
      <c r="Q2801">
        <v>0</v>
      </c>
      <c r="R2801">
        <v>0.95308763148155495</v>
      </c>
      <c r="S2801" t="s">
        <v>8384</v>
      </c>
      <c r="T2801" t="s">
        <v>11164</v>
      </c>
      <c r="U2801" t="s">
        <v>11164</v>
      </c>
      <c r="V2801" t="s">
        <v>11164</v>
      </c>
      <c r="W2801" t="s">
        <v>13927</v>
      </c>
      <c r="X2801">
        <v>3</v>
      </c>
      <c r="Y2801" t="s">
        <v>19423</v>
      </c>
      <c r="Z2801" t="s">
        <v>24951</v>
      </c>
      <c r="AA2801">
        <v>0.71447688394388043</v>
      </c>
      <c r="AB2801" t="str">
        <f>HYPERLINK("Melting_Curves/meltCurve_Q06330_5_RBPJ.pdf", "Melting_Curves/meltCurve_Q06330_5_RBPJ.pdf")</f>
        <v>Melting_Curves/meltCurve_Q06330_5_RBPJ.pdf</v>
      </c>
    </row>
    <row r="2802" spans="1:28" x14ac:dyDescent="0.25">
      <c r="A2802" t="s">
        <v>2806</v>
      </c>
      <c r="B2802">
        <v>0.99796759195183404</v>
      </c>
      <c r="C2802">
        <v>1.0661117374885301</v>
      </c>
      <c r="D2802">
        <v>0.93989562930725801</v>
      </c>
      <c r="E2802">
        <v>0.97288156600458597</v>
      </c>
      <c r="F2802">
        <v>0.92865262175657903</v>
      </c>
      <c r="G2802">
        <v>0.82276894458872296</v>
      </c>
      <c r="H2802">
        <v>0.84945327496053902</v>
      </c>
      <c r="I2802">
        <v>0.61147835072274703</v>
      </c>
      <c r="J2802">
        <v>0.57032882594685497</v>
      </c>
      <c r="K2802">
        <v>0.52604152168812102</v>
      </c>
      <c r="L2802">
        <v>596.65172942168294</v>
      </c>
      <c r="M2802">
        <v>9.6527953220784593</v>
      </c>
      <c r="O2802">
        <v>59.3332638187998</v>
      </c>
      <c r="P2802">
        <v>-2.93199064465452E-2</v>
      </c>
      <c r="Q2802">
        <v>0.27951340199857</v>
      </c>
      <c r="R2802">
        <v>0.94468831866520997</v>
      </c>
      <c r="S2802" t="s">
        <v>8385</v>
      </c>
      <c r="T2802" t="s">
        <v>11164</v>
      </c>
      <c r="U2802" t="s">
        <v>11164</v>
      </c>
      <c r="V2802" t="s">
        <v>11164</v>
      </c>
      <c r="W2802" t="s">
        <v>13928</v>
      </c>
      <c r="X2802">
        <v>7</v>
      </c>
      <c r="Y2802" t="s">
        <v>19424</v>
      </c>
      <c r="Z2802" t="s">
        <v>24952</v>
      </c>
      <c r="AA2802">
        <v>0.83935878713838141</v>
      </c>
      <c r="AB2802" t="str">
        <f>HYPERLINK("Melting_Curves/meltCurve_Q06481_APLP2.pdf", "Melting_Curves/meltCurve_Q06481_APLP2.pdf")</f>
        <v>Melting_Curves/meltCurve_Q06481_APLP2.pdf</v>
      </c>
    </row>
    <row r="2803" spans="1:28" x14ac:dyDescent="0.25">
      <c r="A2803" t="s">
        <v>2807</v>
      </c>
      <c r="B2803">
        <v>0.99796759195183404</v>
      </c>
      <c r="C2803">
        <v>1.0352881497248401</v>
      </c>
      <c r="D2803">
        <v>0.96547279507316597</v>
      </c>
      <c r="E2803">
        <v>0.83040200277286302</v>
      </c>
      <c r="F2803">
        <v>0.71449197777029205</v>
      </c>
      <c r="G2803">
        <v>0.361748025051085</v>
      </c>
      <c r="H2803">
        <v>0.27442857542391003</v>
      </c>
      <c r="I2803">
        <v>0.21994515956216501</v>
      </c>
      <c r="J2803">
        <v>0.165231520461145</v>
      </c>
      <c r="K2803">
        <v>0.11277391751678401</v>
      </c>
      <c r="L2803">
        <v>847.42404435973197</v>
      </c>
      <c r="M2803">
        <v>16.435217355284902</v>
      </c>
      <c r="N2803">
        <v>52.4629732250513</v>
      </c>
      <c r="O2803">
        <v>50.816254904635898</v>
      </c>
      <c r="P2803">
        <v>-7.0914223763920994E-2</v>
      </c>
      <c r="Q2803">
        <v>0.12301958378774799</v>
      </c>
      <c r="R2803">
        <v>0.99064564098381402</v>
      </c>
      <c r="S2803" t="s">
        <v>8386</v>
      </c>
      <c r="T2803" t="s">
        <v>11164</v>
      </c>
      <c r="U2803" t="s">
        <v>11164</v>
      </c>
      <c r="V2803" t="s">
        <v>11164</v>
      </c>
      <c r="W2803" t="s">
        <v>13929</v>
      </c>
      <c r="X2803">
        <v>7</v>
      </c>
      <c r="Y2803" t="s">
        <v>19425</v>
      </c>
      <c r="Z2803" t="s">
        <v>24953</v>
      </c>
      <c r="AA2803">
        <v>0.56396968725018537</v>
      </c>
      <c r="AB2803" t="str">
        <f>HYPERLINK("Melting_Curves/meltCurve_Q06546_GABPA.pdf", "Melting_Curves/meltCurve_Q06546_GABPA.pdf")</f>
        <v>Melting_Curves/meltCurve_Q06546_GABPA.pdf</v>
      </c>
    </row>
    <row r="2804" spans="1:28" x14ac:dyDescent="0.25">
      <c r="A2804" t="s">
        <v>2808</v>
      </c>
      <c r="B2804">
        <v>0.99796759195183404</v>
      </c>
      <c r="C2804">
        <v>1.07524950472379</v>
      </c>
      <c r="D2804">
        <v>1.0341928163151</v>
      </c>
      <c r="E2804">
        <v>1.0279711082779901</v>
      </c>
      <c r="F2804">
        <v>0.58072514713151602</v>
      </c>
      <c r="G2804">
        <v>0.351463984318301</v>
      </c>
      <c r="H2804">
        <v>0.37810343556139597</v>
      </c>
      <c r="I2804">
        <v>0.28199318100357901</v>
      </c>
      <c r="J2804">
        <v>0.25443884274893602</v>
      </c>
      <c r="K2804">
        <v>0.173275781022801</v>
      </c>
      <c r="L2804">
        <v>2457.23403022407</v>
      </c>
      <c r="M2804">
        <v>49.2216747256874</v>
      </c>
      <c r="N2804">
        <v>50.779262407021797</v>
      </c>
      <c r="O2804">
        <v>49.839597491684003</v>
      </c>
      <c r="P2804">
        <v>-0.177217962266535</v>
      </c>
      <c r="Q2804">
        <v>0.28222976813317702</v>
      </c>
      <c r="R2804">
        <v>0.97364503042755801</v>
      </c>
      <c r="S2804" t="s">
        <v>8387</v>
      </c>
      <c r="T2804" t="s">
        <v>11164</v>
      </c>
      <c r="U2804" t="s">
        <v>11164</v>
      </c>
      <c r="V2804" t="s">
        <v>11164</v>
      </c>
      <c r="W2804" t="s">
        <v>13930</v>
      </c>
      <c r="X2804">
        <v>3</v>
      </c>
      <c r="Y2804" t="s">
        <v>17640</v>
      </c>
      <c r="Z2804" t="s">
        <v>24954</v>
      </c>
      <c r="AA2804">
        <v>0.59302336253136934</v>
      </c>
      <c r="AB2804" t="str">
        <f>HYPERLINK("Melting_Curves/meltCurve_Q06547_2_GABPB1.pdf", "Melting_Curves/meltCurve_Q06547_2_GABPB1.pdf")</f>
        <v>Melting_Curves/meltCurve_Q06547_2_GABPB1.pdf</v>
      </c>
    </row>
    <row r="2805" spans="1:28" x14ac:dyDescent="0.25">
      <c r="A2805" t="s">
        <v>2809</v>
      </c>
      <c r="B2805">
        <v>0.99796759195183404</v>
      </c>
      <c r="C2805">
        <v>1.0225878016919501</v>
      </c>
      <c r="D2805">
        <v>1.05285878216832</v>
      </c>
      <c r="E2805">
        <v>0.99870080296218999</v>
      </c>
      <c r="F2805">
        <v>0.71745170884771003</v>
      </c>
      <c r="G2805">
        <v>0.38266449878005498</v>
      </c>
      <c r="H2805">
        <v>0.35692783803078398</v>
      </c>
      <c r="I2805">
        <v>0.27658624372955198</v>
      </c>
      <c r="J2805">
        <v>0.225651648302582</v>
      </c>
      <c r="K2805">
        <v>0.19276108326910499</v>
      </c>
      <c r="L2805">
        <v>1447.49742044094</v>
      </c>
      <c r="M2805">
        <v>28.254032525006998</v>
      </c>
      <c r="N2805">
        <v>52.492366720391502</v>
      </c>
      <c r="O2805">
        <v>50.976960255938302</v>
      </c>
      <c r="P2805">
        <v>-0.1044290322376</v>
      </c>
      <c r="Q2805">
        <v>0.246347633073384</v>
      </c>
      <c r="R2805">
        <v>0.98718833966708297</v>
      </c>
      <c r="S2805" t="s">
        <v>8388</v>
      </c>
      <c r="T2805" t="s">
        <v>11164</v>
      </c>
      <c r="U2805" t="s">
        <v>11164</v>
      </c>
      <c r="V2805" t="s">
        <v>11164</v>
      </c>
      <c r="W2805" t="s">
        <v>13931</v>
      </c>
      <c r="X2805">
        <v>5</v>
      </c>
      <c r="Y2805" t="s">
        <v>19426</v>
      </c>
      <c r="Z2805" t="s">
        <v>24955</v>
      </c>
      <c r="AA2805">
        <v>0.60915699622990682</v>
      </c>
      <c r="AB2805" t="str">
        <f>HYPERLINK("Melting_Curves/meltCurve_Q06587_RING1.pdf", "Melting_Curves/meltCurve_Q06587_RING1.pdf")</f>
        <v>Melting_Curves/meltCurve_Q06587_RING1.pdf</v>
      </c>
    </row>
    <row r="2806" spans="1:28" x14ac:dyDescent="0.25">
      <c r="A2806" t="s">
        <v>2810</v>
      </c>
      <c r="B2806">
        <v>0.99796759195183404</v>
      </c>
      <c r="C2806">
        <v>0.98086032540227297</v>
      </c>
      <c r="D2806">
        <v>1.0555520718589</v>
      </c>
      <c r="E2806">
        <v>0.88979027078279804</v>
      </c>
      <c r="F2806">
        <v>0.83873201555502996</v>
      </c>
      <c r="G2806">
        <v>0.40660592791087402</v>
      </c>
      <c r="H2806">
        <v>0.226423181686946</v>
      </c>
      <c r="I2806">
        <v>0.118620747163103</v>
      </c>
      <c r="J2806">
        <v>0.13282008540381701</v>
      </c>
      <c r="K2806">
        <v>8.7001561308405501E-2</v>
      </c>
      <c r="L2806">
        <v>1328.6064603646801</v>
      </c>
      <c r="M2806">
        <v>25.224758294557901</v>
      </c>
      <c r="N2806">
        <v>53.153192667109998</v>
      </c>
      <c r="O2806">
        <v>52.343054429019801</v>
      </c>
      <c r="P2806">
        <v>-0.108152179114062</v>
      </c>
      <c r="Q2806">
        <v>0.10231986753861599</v>
      </c>
      <c r="R2806">
        <v>0.99102048027901701</v>
      </c>
      <c r="S2806" t="s">
        <v>8389</v>
      </c>
      <c r="T2806" t="s">
        <v>11164</v>
      </c>
      <c r="U2806" t="s">
        <v>11164</v>
      </c>
      <c r="V2806" t="s">
        <v>11164</v>
      </c>
      <c r="W2806" t="s">
        <v>13932</v>
      </c>
      <c r="X2806">
        <v>4</v>
      </c>
      <c r="Y2806" t="s">
        <v>19427</v>
      </c>
      <c r="Z2806" t="s">
        <v>24956</v>
      </c>
      <c r="AA2806">
        <v>0.57905288181053927</v>
      </c>
      <c r="AB2806" t="str">
        <f>HYPERLINK("Melting_Curves/meltCurve_Q06609_3_RAD51.pdf", "Melting_Curves/meltCurve_Q06609_3_RAD51.pdf")</f>
        <v>Melting_Curves/meltCurve_Q06609_3_RAD51.pdf</v>
      </c>
    </row>
    <row r="2807" spans="1:28" x14ac:dyDescent="0.25">
      <c r="A2807" t="s">
        <v>2811</v>
      </c>
      <c r="B2807">
        <v>0.99796759195183404</v>
      </c>
      <c r="C2807">
        <v>1.0833437782050499</v>
      </c>
      <c r="D2807">
        <v>1.01812522607445</v>
      </c>
      <c r="E2807">
        <v>1.0763551748464799</v>
      </c>
      <c r="F2807">
        <v>0.87173437891584005</v>
      </c>
      <c r="G2807">
        <v>1.0844775531114199</v>
      </c>
      <c r="H2807">
        <v>0.55578062709327303</v>
      </c>
      <c r="I2807">
        <v>0.30403117919093903</v>
      </c>
      <c r="J2807">
        <v>0.23505265404771999</v>
      </c>
      <c r="K2807">
        <v>0.18645908141713</v>
      </c>
      <c r="L2807">
        <v>8195.5846336030008</v>
      </c>
      <c r="M2807">
        <v>143.12678017474599</v>
      </c>
      <c r="N2807">
        <v>57.526627719826998</v>
      </c>
      <c r="O2807">
        <v>57.249838279363203</v>
      </c>
      <c r="P2807">
        <v>-0.47388633022823501</v>
      </c>
      <c r="Q2807">
        <v>0.24179346767066601</v>
      </c>
      <c r="R2807">
        <v>0.96630688814212995</v>
      </c>
      <c r="S2807" t="s">
        <v>8390</v>
      </c>
      <c r="T2807" t="s">
        <v>11164</v>
      </c>
      <c r="U2807" t="s">
        <v>11164</v>
      </c>
      <c r="V2807" t="s">
        <v>11164</v>
      </c>
      <c r="W2807" t="s">
        <v>13933</v>
      </c>
      <c r="X2807">
        <v>23</v>
      </c>
      <c r="Y2807" t="s">
        <v>19428</v>
      </c>
      <c r="Z2807" t="s">
        <v>24957</v>
      </c>
      <c r="AA2807">
        <v>0.75409382312282935</v>
      </c>
      <c r="AB2807" t="str">
        <f>HYPERLINK("Melting_Curves/meltCurve_Q06830_PRDX1.pdf", "Melting_Curves/meltCurve_Q06830_PRDX1.pdf")</f>
        <v>Melting_Curves/meltCurve_Q06830_PRDX1.pdf</v>
      </c>
    </row>
    <row r="2808" spans="1:28" x14ac:dyDescent="0.25">
      <c r="A2808" t="s">
        <v>2812</v>
      </c>
      <c r="B2808">
        <v>0.99796759195183404</v>
      </c>
      <c r="C2808">
        <v>0.98967801900302099</v>
      </c>
      <c r="D2808">
        <v>1.0166723786654699</v>
      </c>
      <c r="E2808">
        <v>0.83963236508996997</v>
      </c>
      <c r="F2808">
        <v>0.91363775017943505</v>
      </c>
      <c r="G2808">
        <v>0.83641606244892996</v>
      </c>
      <c r="H2808">
        <v>0.29470540507212101</v>
      </c>
      <c r="I2808">
        <v>0.19143339167384599</v>
      </c>
      <c r="J2808">
        <v>0.18987705940677399</v>
      </c>
      <c r="K2808">
        <v>0.16496539162881299</v>
      </c>
      <c r="L2808">
        <v>2609.9467055451901</v>
      </c>
      <c r="M2808">
        <v>47.186413206572396</v>
      </c>
      <c r="N2808">
        <v>55.826938948558599</v>
      </c>
      <c r="O2808">
        <v>55.212340716277602</v>
      </c>
      <c r="P2808">
        <v>-0.17592504523523</v>
      </c>
      <c r="Q2808">
        <v>0.17660860039026599</v>
      </c>
      <c r="R2808">
        <v>0.97460867517984895</v>
      </c>
      <c r="S2808" t="s">
        <v>8391</v>
      </c>
      <c r="T2808" t="s">
        <v>11164</v>
      </c>
      <c r="U2808" t="s">
        <v>11164</v>
      </c>
      <c r="V2808" t="s">
        <v>11164</v>
      </c>
      <c r="W2808" t="s">
        <v>13934</v>
      </c>
      <c r="X2808">
        <v>8</v>
      </c>
      <c r="Y2808" t="s">
        <v>19429</v>
      </c>
      <c r="Z2808" t="s">
        <v>24958</v>
      </c>
      <c r="AA2808">
        <v>0.68143426064067603</v>
      </c>
      <c r="AB2808" t="str">
        <f>HYPERLINK("Melting_Curves/meltCurve_Q07021_C1QBP.pdf", "Melting_Curves/meltCurve_Q07021_C1QBP.pdf")</f>
        <v>Melting_Curves/meltCurve_Q07021_C1QBP.pdf</v>
      </c>
    </row>
    <row r="2809" spans="1:28" x14ac:dyDescent="0.25">
      <c r="A2809" t="s">
        <v>2813</v>
      </c>
      <c r="B2809">
        <v>0.99796759195183404</v>
      </c>
      <c r="C2809">
        <v>0.92230179850276095</v>
      </c>
      <c r="D2809">
        <v>0.97331426834826296</v>
      </c>
      <c r="E2809">
        <v>0.87194170628843304</v>
      </c>
      <c r="F2809">
        <v>0.71963280558313303</v>
      </c>
      <c r="G2809">
        <v>0.52581400988276705</v>
      </c>
      <c r="H2809">
        <v>0.43165797553423602</v>
      </c>
      <c r="I2809">
        <v>0.33316815788998699</v>
      </c>
      <c r="J2809">
        <v>0.26286054303884099</v>
      </c>
      <c r="K2809">
        <v>0.24702607666599699</v>
      </c>
      <c r="L2809">
        <v>625.20899749109401</v>
      </c>
      <c r="M2809">
        <v>11.824845577446601</v>
      </c>
      <c r="N2809">
        <v>55.002933115673102</v>
      </c>
      <c r="O2809">
        <v>51.428343560051303</v>
      </c>
      <c r="P2809">
        <v>-4.6932837622806797E-2</v>
      </c>
      <c r="Q2809">
        <v>0.18373141932839901</v>
      </c>
      <c r="R2809">
        <v>0.99331020504029099</v>
      </c>
      <c r="S2809" t="s">
        <v>8392</v>
      </c>
      <c r="T2809" t="s">
        <v>11164</v>
      </c>
      <c r="U2809" t="s">
        <v>11164</v>
      </c>
      <c r="V2809" t="s">
        <v>11164</v>
      </c>
      <c r="W2809" t="s">
        <v>13935</v>
      </c>
      <c r="X2809">
        <v>31</v>
      </c>
      <c r="Y2809" t="s">
        <v>19430</v>
      </c>
      <c r="Z2809" t="s">
        <v>24959</v>
      </c>
      <c r="AA2809">
        <v>0.63325095243128127</v>
      </c>
      <c r="AB2809" t="str">
        <f>HYPERLINK("Melting_Curves/meltCurve_Q07065_CKAP4.pdf", "Melting_Curves/meltCurve_Q07065_CKAP4.pdf")</f>
        <v>Melting_Curves/meltCurve_Q07065_CKAP4.pdf</v>
      </c>
    </row>
    <row r="2810" spans="1:28" x14ac:dyDescent="0.25">
      <c r="A2810" t="s">
        <v>2814</v>
      </c>
      <c r="B2810">
        <v>0.99796759195183404</v>
      </c>
      <c r="C2810">
        <v>0.94050217610034204</v>
      </c>
      <c r="D2810">
        <v>0.89267753847721698</v>
      </c>
      <c r="E2810">
        <v>0.89571465707193099</v>
      </c>
      <c r="F2810">
        <v>0.78418775192365997</v>
      </c>
      <c r="G2810">
        <v>0.72814895204461005</v>
      </c>
      <c r="H2810">
        <v>0.71061790771656397</v>
      </c>
      <c r="I2810">
        <v>0.66666597009106598</v>
      </c>
      <c r="J2810">
        <v>0.68165228376799003</v>
      </c>
      <c r="K2810">
        <v>0.44650112803124498</v>
      </c>
      <c r="L2810">
        <v>265.66964225052499</v>
      </c>
      <c r="M2810">
        <v>3.7936329063233898</v>
      </c>
      <c r="O2810">
        <v>56.500953415828299</v>
      </c>
      <c r="P2810">
        <v>-1.70410544669399E-2</v>
      </c>
      <c r="Q2810">
        <v>0</v>
      </c>
      <c r="R2810">
        <v>0.90232911582020703</v>
      </c>
      <c r="S2810" t="s">
        <v>8393</v>
      </c>
      <c r="T2810" t="s">
        <v>11164</v>
      </c>
      <c r="U2810" t="s">
        <v>11164</v>
      </c>
      <c r="V2810" t="s">
        <v>11164</v>
      </c>
      <c r="W2810" t="s">
        <v>13936</v>
      </c>
      <c r="X2810">
        <v>5</v>
      </c>
      <c r="Y2810" t="s">
        <v>19431</v>
      </c>
      <c r="Z2810" t="s">
        <v>24960</v>
      </c>
      <c r="AA2810">
        <v>0.77718888271389375</v>
      </c>
      <c r="AB2810" t="str">
        <f>HYPERLINK("Melting_Curves/meltCurve_Q07075_ENPEP.pdf", "Melting_Curves/meltCurve_Q07075_ENPEP.pdf")</f>
        <v>Melting_Curves/meltCurve_Q07075_ENPEP.pdf</v>
      </c>
    </row>
    <row r="2811" spans="1:28" x14ac:dyDescent="0.25">
      <c r="A2811" t="s">
        <v>2815</v>
      </c>
      <c r="B2811">
        <v>0.99796759195183404</v>
      </c>
      <c r="C2811">
        <v>0.93244447323511903</v>
      </c>
      <c r="D2811">
        <v>0.98906895275509898</v>
      </c>
      <c r="E2811">
        <v>0.92379122812223602</v>
      </c>
      <c r="F2811">
        <v>0.70894974851801895</v>
      </c>
      <c r="G2811">
        <v>0.52718101639914905</v>
      </c>
      <c r="H2811">
        <v>0.27881487401648197</v>
      </c>
      <c r="I2811">
        <v>0.14194535855344501</v>
      </c>
      <c r="J2811">
        <v>0.13012567316249901</v>
      </c>
      <c r="K2811">
        <v>0.111907206743962</v>
      </c>
      <c r="L2811">
        <v>839.335091875751</v>
      </c>
      <c r="M2811">
        <v>15.7668870784841</v>
      </c>
      <c r="N2811">
        <v>53.680391924322898</v>
      </c>
      <c r="O2811">
        <v>52.399746364732799</v>
      </c>
      <c r="P2811">
        <v>-7.0608468975100896E-2</v>
      </c>
      <c r="Q2811">
        <v>6.1435600016011602E-2</v>
      </c>
      <c r="R2811">
        <v>0.99411591765932095</v>
      </c>
      <c r="S2811" t="s">
        <v>8394</v>
      </c>
      <c r="T2811" t="s">
        <v>11164</v>
      </c>
      <c r="U2811" t="s">
        <v>11164</v>
      </c>
      <c r="V2811" t="s">
        <v>11164</v>
      </c>
      <c r="W2811" t="s">
        <v>13937</v>
      </c>
      <c r="X2811">
        <v>11</v>
      </c>
      <c r="Y2811" t="s">
        <v>19432</v>
      </c>
      <c r="Z2811" t="s">
        <v>24961</v>
      </c>
      <c r="AA2811">
        <v>0.58498183918412983</v>
      </c>
      <c r="AB2811" t="str">
        <f>HYPERLINK("Melting_Curves/meltCurve_Q07666_KHDRBS1.pdf", "Melting_Curves/meltCurve_Q07666_KHDRBS1.pdf")</f>
        <v>Melting_Curves/meltCurve_Q07666_KHDRBS1.pdf</v>
      </c>
    </row>
    <row r="2812" spans="1:28" x14ac:dyDescent="0.25">
      <c r="A2812" t="s">
        <v>2816</v>
      </c>
      <c r="B2812">
        <v>0.99796759195183404</v>
      </c>
      <c r="C2812">
        <v>0.95976390668452805</v>
      </c>
      <c r="D2812">
        <v>0.95797231119845205</v>
      </c>
      <c r="E2812">
        <v>0.88337239347602303</v>
      </c>
      <c r="F2812">
        <v>0.80579997133108705</v>
      </c>
      <c r="G2812">
        <v>0.597037610702986</v>
      </c>
      <c r="H2812">
        <v>0.60811717827731404</v>
      </c>
      <c r="I2812">
        <v>0.60160195456200105</v>
      </c>
      <c r="J2812">
        <v>0.86113690631608597</v>
      </c>
      <c r="K2812">
        <v>0.83366817249910197</v>
      </c>
      <c r="L2812">
        <v>1344.3970845932199</v>
      </c>
      <c r="M2812">
        <v>28.375163366255499</v>
      </c>
      <c r="O2812">
        <v>47.145910407271202</v>
      </c>
      <c r="P2812">
        <v>-4.4174493873939402E-2</v>
      </c>
      <c r="Q2812">
        <v>0.70641511854297601</v>
      </c>
      <c r="R2812">
        <v>0.63219091258834603</v>
      </c>
      <c r="S2812" t="s">
        <v>8395</v>
      </c>
      <c r="T2812" t="s">
        <v>11164</v>
      </c>
      <c r="U2812" t="s">
        <v>11164</v>
      </c>
      <c r="V2812" t="s">
        <v>11164</v>
      </c>
      <c r="W2812" t="s">
        <v>13938</v>
      </c>
      <c r="X2812">
        <v>8</v>
      </c>
      <c r="Y2812" t="s">
        <v>19433</v>
      </c>
      <c r="Z2812" t="s">
        <v>24962</v>
      </c>
      <c r="AA2812">
        <v>0.80991194344871464</v>
      </c>
      <c r="AB2812" t="str">
        <f>HYPERLINK("Melting_Curves/meltCurve_Q07812_5_BAX.pdf", "Melting_Curves/meltCurve_Q07812_5_BAX.pdf")</f>
        <v>Melting_Curves/meltCurve_Q07812_5_BAX.pdf</v>
      </c>
    </row>
    <row r="2813" spans="1:28" x14ac:dyDescent="0.25">
      <c r="A2813" t="s">
        <v>2817</v>
      </c>
      <c r="B2813">
        <v>0.99796759195183404</v>
      </c>
      <c r="C2813">
        <v>0.90463673642702203</v>
      </c>
      <c r="D2813">
        <v>1.0676026675328401</v>
      </c>
      <c r="E2813">
        <v>1.00482864534159</v>
      </c>
      <c r="F2813">
        <v>1.01422662386664</v>
      </c>
      <c r="G2813">
        <v>0.68351921489325296</v>
      </c>
      <c r="H2813">
        <v>0.699777749506442</v>
      </c>
      <c r="I2813">
        <v>0.50410065576925001</v>
      </c>
      <c r="J2813">
        <v>0.66542132302455703</v>
      </c>
      <c r="K2813">
        <v>0.46960195570943197</v>
      </c>
      <c r="L2813">
        <v>3868.8232680637998</v>
      </c>
      <c r="M2813">
        <v>73.010509495126698</v>
      </c>
      <c r="O2813">
        <v>52.950240508047003</v>
      </c>
      <c r="P2813">
        <v>-0.143553257449403</v>
      </c>
      <c r="Q2813">
        <v>0.58355707547345403</v>
      </c>
      <c r="R2813">
        <v>0.88098078022625603</v>
      </c>
      <c r="S2813" t="s">
        <v>8396</v>
      </c>
      <c r="T2813" t="s">
        <v>11164</v>
      </c>
      <c r="U2813" t="s">
        <v>11164</v>
      </c>
      <c r="V2813" t="s">
        <v>11164</v>
      </c>
      <c r="W2813" t="s">
        <v>13939</v>
      </c>
      <c r="X2813">
        <v>4</v>
      </c>
      <c r="Y2813" t="s">
        <v>19434</v>
      </c>
      <c r="Z2813" t="s">
        <v>24963</v>
      </c>
      <c r="AA2813">
        <v>0.80597562259000743</v>
      </c>
      <c r="AB2813" t="str">
        <f>HYPERLINK("Melting_Curves/meltCurve_Q07820_2_MCL1.pdf", "Melting_Curves/meltCurve_Q07820_2_MCL1.pdf")</f>
        <v>Melting_Curves/meltCurve_Q07820_2_MCL1.pdf</v>
      </c>
    </row>
    <row r="2814" spans="1:28" x14ac:dyDescent="0.25">
      <c r="A2814" t="s">
        <v>2818</v>
      </c>
      <c r="B2814">
        <v>0.99796759195183404</v>
      </c>
      <c r="C2814">
        <v>1.0647791416275301</v>
      </c>
      <c r="D2814">
        <v>0.96466025288701296</v>
      </c>
      <c r="E2814">
        <v>1.0296612141306201</v>
      </c>
      <c r="F2814">
        <v>0.90663654286361595</v>
      </c>
      <c r="G2814">
        <v>1.45391640593533</v>
      </c>
      <c r="H2814">
        <v>0.42563615816711697</v>
      </c>
      <c r="I2814">
        <v>0.26084359330314999</v>
      </c>
      <c r="J2814">
        <v>0.18448572274939501</v>
      </c>
      <c r="K2814">
        <v>0.138534778831189</v>
      </c>
      <c r="L2814">
        <v>14297.721319322</v>
      </c>
      <c r="M2814">
        <v>250</v>
      </c>
      <c r="N2814">
        <v>57.303901859088903</v>
      </c>
      <c r="O2814">
        <v>57.187225520256199</v>
      </c>
      <c r="P2814">
        <v>-0.88019959280552795</v>
      </c>
      <c r="Q2814">
        <v>0.194621240208975</v>
      </c>
      <c r="R2814">
        <v>0.87586756597528703</v>
      </c>
      <c r="S2814" t="s">
        <v>8397</v>
      </c>
      <c r="T2814" t="s">
        <v>11164</v>
      </c>
      <c r="U2814" t="s">
        <v>11164</v>
      </c>
      <c r="V2814" t="s">
        <v>11164</v>
      </c>
      <c r="W2814" t="s">
        <v>13940</v>
      </c>
      <c r="X2814">
        <v>19</v>
      </c>
      <c r="Y2814" t="s">
        <v>17136</v>
      </c>
      <c r="Z2814" t="s">
        <v>24964</v>
      </c>
      <c r="AA2814">
        <v>0.73674574681802396</v>
      </c>
      <c r="AB2814" t="str">
        <f>HYPERLINK("Melting_Curves/meltCurve_Q07866_6_KLC1.pdf", "Melting_Curves/meltCurve_Q07866_6_KLC1.pdf")</f>
        <v>Melting_Curves/meltCurve_Q07866_6_KLC1.pdf</v>
      </c>
    </row>
    <row r="2815" spans="1:28" x14ac:dyDescent="0.25">
      <c r="A2815" t="s">
        <v>2819</v>
      </c>
      <c r="B2815">
        <v>0.99796759195183404</v>
      </c>
      <c r="C2815">
        <v>1.2180408985094699</v>
      </c>
      <c r="D2815">
        <v>1.09811289128189</v>
      </c>
      <c r="E2815">
        <v>0.66900055799522096</v>
      </c>
      <c r="F2815">
        <v>0.67759316734892305</v>
      </c>
      <c r="G2815">
        <v>1.5912695390766101</v>
      </c>
      <c r="H2815">
        <v>1.25655694980779</v>
      </c>
      <c r="I2815">
        <v>0.91817400302477004</v>
      </c>
      <c r="J2815">
        <v>0.19750604492272</v>
      </c>
      <c r="K2815">
        <v>0.21154096940584899</v>
      </c>
      <c r="L2815">
        <v>15000</v>
      </c>
      <c r="M2815">
        <v>243.73586950645</v>
      </c>
      <c r="N2815">
        <v>61.675112789324899</v>
      </c>
      <c r="O2815">
        <v>61.537885966941701</v>
      </c>
      <c r="P2815">
        <v>-0.78769294582912597</v>
      </c>
      <c r="Q2815">
        <v>0.204500204720999</v>
      </c>
      <c r="R2815">
        <v>0.62357034836197001</v>
      </c>
      <c r="S2815" t="s">
        <v>8398</v>
      </c>
      <c r="T2815" t="s">
        <v>11164</v>
      </c>
      <c r="U2815" t="s">
        <v>11164</v>
      </c>
      <c r="V2815" t="s">
        <v>11164</v>
      </c>
      <c r="W2815" t="s">
        <v>13941</v>
      </c>
      <c r="X2815">
        <v>1</v>
      </c>
      <c r="Y2815" t="s">
        <v>19435</v>
      </c>
      <c r="Z2815" t="s">
        <v>24965</v>
      </c>
      <c r="AA2815">
        <v>0.85536323730354624</v>
      </c>
      <c r="AB2815" t="str">
        <f>HYPERLINK("Melting_Curves/meltCurve_Q07954_LRP1.pdf", "Melting_Curves/meltCurve_Q07954_LRP1.pdf")</f>
        <v>Melting_Curves/meltCurve_Q07954_LRP1.pdf</v>
      </c>
    </row>
    <row r="2816" spans="1:28" x14ac:dyDescent="0.25">
      <c r="A2816" t="s">
        <v>2820</v>
      </c>
      <c r="B2816">
        <v>0.99796759195183404</v>
      </c>
      <c r="C2816">
        <v>0.95161435140025197</v>
      </c>
      <c r="D2816">
        <v>0.99166356209942497</v>
      </c>
      <c r="E2816">
        <v>0.94755205755183503</v>
      </c>
      <c r="F2816">
        <v>0.73833139241544499</v>
      </c>
      <c r="G2816">
        <v>0.49251686897181202</v>
      </c>
      <c r="H2816">
        <v>0.21579173518459099</v>
      </c>
      <c r="I2816">
        <v>0.16961946994580801</v>
      </c>
      <c r="J2816">
        <v>0.120127586349841</v>
      </c>
      <c r="K2816">
        <v>8.6885399850693004E-2</v>
      </c>
      <c r="L2816">
        <v>1005.93494142176</v>
      </c>
      <c r="M2816">
        <v>19.019246501979499</v>
      </c>
      <c r="N2816">
        <v>53.384855467451999</v>
      </c>
      <c r="O2816">
        <v>52.316064195625401</v>
      </c>
      <c r="P2816">
        <v>-8.3549377898705202E-2</v>
      </c>
      <c r="Q2816">
        <v>8.0762493343508795E-2</v>
      </c>
      <c r="R2816">
        <v>0.99641763193238997</v>
      </c>
      <c r="S2816" t="s">
        <v>8399</v>
      </c>
      <c r="T2816" t="s">
        <v>11164</v>
      </c>
      <c r="U2816" t="s">
        <v>11164</v>
      </c>
      <c r="V2816" t="s">
        <v>11164</v>
      </c>
      <c r="W2816" t="s">
        <v>13942</v>
      </c>
      <c r="X2816">
        <v>11</v>
      </c>
      <c r="Y2816" t="s">
        <v>19436</v>
      </c>
      <c r="Z2816" t="s">
        <v>24966</v>
      </c>
      <c r="AA2816">
        <v>0.58014205347986159</v>
      </c>
      <c r="AB2816" t="str">
        <f>HYPERLINK("Melting_Curves/meltCurve_Q07960_ARHGAP1.pdf", "Melting_Curves/meltCurve_Q07960_ARHGAP1.pdf")</f>
        <v>Melting_Curves/meltCurve_Q07960_ARHGAP1.pdf</v>
      </c>
    </row>
    <row r="2817" spans="1:28" x14ac:dyDescent="0.25">
      <c r="A2817" t="s">
        <v>2821</v>
      </c>
      <c r="B2817">
        <v>0.99796759195183404</v>
      </c>
      <c r="C2817">
        <v>1.2215587772871599</v>
      </c>
      <c r="D2817">
        <v>1.06066117775983</v>
      </c>
      <c r="E2817">
        <v>1.0373669304901201</v>
      </c>
      <c r="F2817">
        <v>0.78551624005151799</v>
      </c>
      <c r="G2817">
        <v>0.53513369730993698</v>
      </c>
      <c r="H2817">
        <v>0.348398215357753</v>
      </c>
      <c r="I2817">
        <v>0.33360402741367801</v>
      </c>
      <c r="J2817">
        <v>0.27421136209624503</v>
      </c>
      <c r="K2817">
        <v>0.30800386484828801</v>
      </c>
      <c r="L2817">
        <v>1391.6223117506299</v>
      </c>
      <c r="M2817">
        <v>26.663000599328701</v>
      </c>
      <c r="N2817">
        <v>54.0316672692867</v>
      </c>
      <c r="O2817">
        <v>51.902070022613799</v>
      </c>
      <c r="P2817">
        <v>-9.0133026308166997E-2</v>
      </c>
      <c r="Q2817">
        <v>0.29819722665248999</v>
      </c>
      <c r="R2817">
        <v>0.95108104930677095</v>
      </c>
      <c r="S2817" t="s">
        <v>8400</v>
      </c>
      <c r="T2817" t="s">
        <v>11164</v>
      </c>
      <c r="U2817" t="s">
        <v>11164</v>
      </c>
      <c r="V2817" t="s">
        <v>11164</v>
      </c>
      <c r="W2817" t="s">
        <v>13943</v>
      </c>
      <c r="X2817">
        <v>3</v>
      </c>
      <c r="Y2817" t="s">
        <v>19437</v>
      </c>
      <c r="Z2817" t="s">
        <v>24967</v>
      </c>
      <c r="AA2817">
        <v>0.65914785820375943</v>
      </c>
      <c r="AB2817" t="str">
        <f>HYPERLINK("Melting_Curves/meltCurve_Q08170_SRSF4.pdf", "Melting_Curves/meltCurve_Q08170_SRSF4.pdf")</f>
        <v>Melting_Curves/meltCurve_Q08170_SRSF4.pdf</v>
      </c>
    </row>
    <row r="2818" spans="1:28" x14ac:dyDescent="0.25">
      <c r="A2818" t="s">
        <v>2822</v>
      </c>
      <c r="B2818">
        <v>0.99796759195183404</v>
      </c>
      <c r="C2818">
        <v>0.96582276440950199</v>
      </c>
      <c r="D2818">
        <v>0.93027604074436798</v>
      </c>
      <c r="E2818">
        <v>0.93178673369907405</v>
      </c>
      <c r="F2818">
        <v>0.82646677484671305</v>
      </c>
      <c r="G2818">
        <v>0.84340098735718905</v>
      </c>
      <c r="H2818">
        <v>0.74584869995507996</v>
      </c>
      <c r="I2818">
        <v>0.46016157439218502</v>
      </c>
      <c r="J2818">
        <v>0.18365596079764401</v>
      </c>
      <c r="K2818">
        <v>0.116759995696067</v>
      </c>
      <c r="L2818">
        <v>1038.85740153032</v>
      </c>
      <c r="M2818">
        <v>17.335130547417702</v>
      </c>
      <c r="N2818">
        <v>59.927868374155899</v>
      </c>
      <c r="O2818">
        <v>59.147441119518597</v>
      </c>
      <c r="P2818">
        <v>-7.3275042553825595E-2</v>
      </c>
      <c r="Q2818">
        <v>0</v>
      </c>
      <c r="R2818">
        <v>0.95881855432475405</v>
      </c>
      <c r="S2818" t="s">
        <v>8401</v>
      </c>
      <c r="T2818" t="s">
        <v>11164</v>
      </c>
      <c r="U2818" t="s">
        <v>11164</v>
      </c>
      <c r="V2818" t="s">
        <v>11164</v>
      </c>
      <c r="W2818" t="s">
        <v>13944</v>
      </c>
      <c r="X2818">
        <v>13</v>
      </c>
      <c r="Y2818" t="s">
        <v>19438</v>
      </c>
      <c r="Z2818" t="s">
        <v>24968</v>
      </c>
      <c r="AA2818">
        <v>0.7621708365018568</v>
      </c>
      <c r="AB2818" t="str">
        <f>HYPERLINK("Melting_Curves/meltCurve_Q08209_2_PPP3CA.pdf", "Melting_Curves/meltCurve_Q08209_2_PPP3CA.pdf")</f>
        <v>Melting_Curves/meltCurve_Q08209_2_PPP3CA.pdf</v>
      </c>
    </row>
    <row r="2819" spans="1:28" x14ac:dyDescent="0.25">
      <c r="A2819" t="s">
        <v>2823</v>
      </c>
      <c r="B2819">
        <v>0.99796759195183404</v>
      </c>
      <c r="C2819">
        <v>0.96897886945576694</v>
      </c>
      <c r="D2819">
        <v>1.08340486270904</v>
      </c>
      <c r="E2819">
        <v>0.859518237675584</v>
      </c>
      <c r="F2819">
        <v>0.674120164381111</v>
      </c>
      <c r="G2819">
        <v>0.68859176224526897</v>
      </c>
      <c r="H2819">
        <v>0.32824476738188302</v>
      </c>
      <c r="I2819">
        <v>0.25302641647004998</v>
      </c>
      <c r="J2819">
        <v>0.22189644672872</v>
      </c>
      <c r="K2819">
        <v>0.13194833638353001</v>
      </c>
      <c r="L2819">
        <v>656.23196985637696</v>
      </c>
      <c r="M2819">
        <v>12.0009548109678</v>
      </c>
      <c r="N2819">
        <v>55.164222184793999</v>
      </c>
      <c r="O2819">
        <v>53.229705733032503</v>
      </c>
      <c r="P2819">
        <v>-5.3568195214043601E-2</v>
      </c>
      <c r="Q2819">
        <v>4.9831522205149199E-2</v>
      </c>
      <c r="R2819">
        <v>0.96387626363307199</v>
      </c>
      <c r="S2819" t="s">
        <v>8402</v>
      </c>
      <c r="T2819" t="s">
        <v>11164</v>
      </c>
      <c r="U2819" t="s">
        <v>11164</v>
      </c>
      <c r="V2819" t="s">
        <v>11164</v>
      </c>
      <c r="W2819" t="s">
        <v>13945</v>
      </c>
      <c r="X2819">
        <v>8</v>
      </c>
      <c r="Y2819" t="s">
        <v>19439</v>
      </c>
      <c r="Z2819" t="s">
        <v>24969</v>
      </c>
      <c r="AA2819">
        <v>0.62451980958366216</v>
      </c>
      <c r="AB2819" t="str">
        <f>HYPERLINK("Melting_Curves/meltCurve_Q08211_DHX9.pdf", "Melting_Curves/meltCurve_Q08211_DHX9.pdf")</f>
        <v>Melting_Curves/meltCurve_Q08211_DHX9.pdf</v>
      </c>
    </row>
    <row r="2820" spans="1:28" x14ac:dyDescent="0.25">
      <c r="A2820" t="s">
        <v>2824</v>
      </c>
      <c r="B2820">
        <v>0.99796759195183404</v>
      </c>
      <c r="C2820">
        <v>1.00807636351954</v>
      </c>
      <c r="D2820">
        <v>0.99423884652380701</v>
      </c>
      <c r="E2820">
        <v>0.93036227761746604</v>
      </c>
      <c r="F2820">
        <v>0.84972596729295402</v>
      </c>
      <c r="G2820">
        <v>0.91752389690117797</v>
      </c>
      <c r="H2820">
        <v>0.72087944015223504</v>
      </c>
      <c r="I2820">
        <v>0.40794780359876598</v>
      </c>
      <c r="J2820">
        <v>0.157597811709875</v>
      </c>
      <c r="K2820">
        <v>0.11061281731907401</v>
      </c>
      <c r="L2820">
        <v>1232.3334866894199</v>
      </c>
      <c r="M2820">
        <v>20.622168817851001</v>
      </c>
      <c r="N2820">
        <v>59.757718777809302</v>
      </c>
      <c r="O2820">
        <v>59.204296883971203</v>
      </c>
      <c r="P2820">
        <v>-8.7083052197525601E-2</v>
      </c>
      <c r="Q2820">
        <v>0</v>
      </c>
      <c r="R2820">
        <v>0.97838513575848096</v>
      </c>
      <c r="S2820" t="s">
        <v>8403</v>
      </c>
      <c r="T2820" t="s">
        <v>11164</v>
      </c>
      <c r="U2820" t="s">
        <v>11164</v>
      </c>
      <c r="V2820" t="s">
        <v>11164</v>
      </c>
      <c r="W2820" t="s">
        <v>13946</v>
      </c>
      <c r="X2820">
        <v>16</v>
      </c>
      <c r="Y2820" t="s">
        <v>19440</v>
      </c>
      <c r="Z2820" t="s">
        <v>24970</v>
      </c>
      <c r="AA2820">
        <v>0.76044752470500288</v>
      </c>
      <c r="AB2820" t="str">
        <f>HYPERLINK("Melting_Curves/meltCurve_Q08257_CRYZ.pdf", "Melting_Curves/meltCurve_Q08257_CRYZ.pdf")</f>
        <v>Melting_Curves/meltCurve_Q08257_CRYZ.pdf</v>
      </c>
    </row>
    <row r="2821" spans="1:28" x14ac:dyDescent="0.25">
      <c r="A2821" t="s">
        <v>2825</v>
      </c>
      <c r="B2821">
        <v>0.99796759195183404</v>
      </c>
      <c r="C2821">
        <v>0.92909434338501895</v>
      </c>
      <c r="D2821">
        <v>0.95323581706209504</v>
      </c>
      <c r="E2821">
        <v>0.85528926745018496</v>
      </c>
      <c r="F2821">
        <v>0.73900588361528097</v>
      </c>
      <c r="G2821">
        <v>0.75579373553125495</v>
      </c>
      <c r="H2821">
        <v>0.56299951344487198</v>
      </c>
      <c r="I2821">
        <v>0.30547223823794001</v>
      </c>
      <c r="J2821">
        <v>0.17536239982936799</v>
      </c>
      <c r="K2821">
        <v>0.10614210845531</v>
      </c>
      <c r="L2821">
        <v>654.84030885957202</v>
      </c>
      <c r="M2821">
        <v>11.462237452605899</v>
      </c>
      <c r="N2821">
        <v>57.130234159639897</v>
      </c>
      <c r="O2821">
        <v>55.474285751856698</v>
      </c>
      <c r="P2821">
        <v>-5.16705027479833E-2</v>
      </c>
      <c r="Q2821">
        <v>0</v>
      </c>
      <c r="R2821">
        <v>0.96309852605218804</v>
      </c>
      <c r="S2821" t="s">
        <v>8404</v>
      </c>
      <c r="T2821" t="s">
        <v>11164</v>
      </c>
      <c r="U2821" t="s">
        <v>11164</v>
      </c>
      <c r="V2821" t="s">
        <v>11164</v>
      </c>
      <c r="W2821" t="s">
        <v>13947</v>
      </c>
      <c r="X2821">
        <v>11</v>
      </c>
      <c r="Y2821" t="s">
        <v>19441</v>
      </c>
      <c r="Z2821" t="s">
        <v>24971</v>
      </c>
      <c r="AA2821">
        <v>0.67372281030491676</v>
      </c>
      <c r="AB2821" t="str">
        <f>HYPERLINK("Melting_Curves/meltCurve_Q08289_6_CACNB2.pdf", "Melting_Curves/meltCurve_Q08289_6_CACNB2.pdf")</f>
        <v>Melting_Curves/meltCurve_Q08289_6_CACNB2.pdf</v>
      </c>
    </row>
    <row r="2822" spans="1:28" x14ac:dyDescent="0.25">
      <c r="A2822" t="s">
        <v>2826</v>
      </c>
      <c r="B2822">
        <v>0.99796759195183404</v>
      </c>
      <c r="C2822">
        <v>0.97959719753730001</v>
      </c>
      <c r="D2822">
        <v>1.07440754171847</v>
      </c>
      <c r="E2822">
        <v>0.96469254117527703</v>
      </c>
      <c r="F2822">
        <v>0.923459627401087</v>
      </c>
      <c r="G2822">
        <v>0.59849365398014298</v>
      </c>
      <c r="H2822">
        <v>0.65793163063540705</v>
      </c>
      <c r="I2822">
        <v>0.54463415080373101</v>
      </c>
      <c r="J2822">
        <v>0.72731741160108498</v>
      </c>
      <c r="K2822">
        <v>0.62890403119316696</v>
      </c>
      <c r="L2822">
        <v>12617.215125663401</v>
      </c>
      <c r="M2822">
        <v>250</v>
      </c>
      <c r="O2822">
        <v>50.465630869862203</v>
      </c>
      <c r="P2822">
        <v>-0.456429244472354</v>
      </c>
      <c r="Q2822">
        <v>0.63145616440462105</v>
      </c>
      <c r="R2822">
        <v>0.92623027666884605</v>
      </c>
      <c r="S2822" t="s">
        <v>8405</v>
      </c>
      <c r="T2822" t="s">
        <v>11164</v>
      </c>
      <c r="U2822" t="s">
        <v>11164</v>
      </c>
      <c r="V2822" t="s">
        <v>11164</v>
      </c>
      <c r="W2822" t="s">
        <v>13948</v>
      </c>
      <c r="X2822">
        <v>3</v>
      </c>
      <c r="Y2822" t="s">
        <v>19442</v>
      </c>
      <c r="Z2822" t="s">
        <v>24972</v>
      </c>
      <c r="AA2822">
        <v>0.79695099078464571</v>
      </c>
      <c r="AB2822" t="str">
        <f>HYPERLINK("Melting_Curves/meltCurve_Q08357_SLC20A2.pdf", "Melting_Curves/meltCurve_Q08357_SLC20A2.pdf")</f>
        <v>Melting_Curves/meltCurve_Q08357_SLC20A2.pdf</v>
      </c>
    </row>
    <row r="2823" spans="1:28" x14ac:dyDescent="0.25">
      <c r="A2823" t="s">
        <v>2827</v>
      </c>
      <c r="B2823">
        <v>0.99796759195183404</v>
      </c>
      <c r="C2823">
        <v>1.02214325407692</v>
      </c>
      <c r="D2823">
        <v>0.93576674680432403</v>
      </c>
      <c r="E2823">
        <v>0.91703697463411704</v>
      </c>
      <c r="F2823">
        <v>0.90276811666629297</v>
      </c>
      <c r="G2823">
        <v>1.11873487704257</v>
      </c>
      <c r="H2823">
        <v>0.79376697574185795</v>
      </c>
      <c r="I2823">
        <v>0.39531820942878898</v>
      </c>
      <c r="J2823">
        <v>0.27730946845280002</v>
      </c>
      <c r="K2823">
        <v>0.212969113693944</v>
      </c>
      <c r="L2823">
        <v>2479.2344105042198</v>
      </c>
      <c r="M2823">
        <v>42.029045522344603</v>
      </c>
      <c r="N2823">
        <v>59.875243190380303</v>
      </c>
      <c r="O2823">
        <v>58.855519744773702</v>
      </c>
      <c r="P2823">
        <v>-0.13716803402867001</v>
      </c>
      <c r="Q2823">
        <v>0.23166634250447601</v>
      </c>
      <c r="R2823">
        <v>0.96001708144855502</v>
      </c>
      <c r="S2823" t="s">
        <v>8406</v>
      </c>
      <c r="T2823" t="s">
        <v>11164</v>
      </c>
      <c r="U2823" t="s">
        <v>11164</v>
      </c>
      <c r="V2823" t="s">
        <v>11164</v>
      </c>
      <c r="W2823" t="s">
        <v>13949</v>
      </c>
      <c r="X2823">
        <v>12</v>
      </c>
      <c r="Y2823" t="s">
        <v>19443</v>
      </c>
      <c r="Z2823" t="s">
        <v>24973</v>
      </c>
      <c r="AA2823">
        <v>0.79733355581933307</v>
      </c>
      <c r="AB2823" t="str">
        <f>HYPERLINK("Melting_Curves/meltCurve_Q08378_2_GOLGA3.pdf", "Melting_Curves/meltCurve_Q08378_2_GOLGA3.pdf")</f>
        <v>Melting_Curves/meltCurve_Q08378_2_GOLGA3.pdf</v>
      </c>
    </row>
    <row r="2824" spans="1:28" x14ac:dyDescent="0.25">
      <c r="A2824" t="s">
        <v>2828</v>
      </c>
      <c r="B2824">
        <v>0.99796759195183404</v>
      </c>
      <c r="C2824">
        <v>0.98407593959928796</v>
      </c>
      <c r="D2824">
        <v>0.91549397608403005</v>
      </c>
      <c r="E2824">
        <v>0.82116270219937304</v>
      </c>
      <c r="F2824">
        <v>0.70367450426558198</v>
      </c>
      <c r="G2824">
        <v>0.31853276928743701</v>
      </c>
      <c r="H2824">
        <v>0.22592740801186001</v>
      </c>
      <c r="I2824">
        <v>0.17003158556220799</v>
      </c>
      <c r="J2824">
        <v>0.16858368340005001</v>
      </c>
      <c r="K2824">
        <v>0.141763023026722</v>
      </c>
      <c r="L2824">
        <v>906.11263834474698</v>
      </c>
      <c r="M2824">
        <v>17.762625003749701</v>
      </c>
      <c r="N2824">
        <v>51.861172527200701</v>
      </c>
      <c r="O2824">
        <v>50.378929544608702</v>
      </c>
      <c r="P2824">
        <v>-7.7030175439538606E-2</v>
      </c>
      <c r="Q2824">
        <v>0.126143554818513</v>
      </c>
      <c r="R2824">
        <v>0.98826187370178498</v>
      </c>
      <c r="S2824" t="s">
        <v>8407</v>
      </c>
      <c r="T2824" t="s">
        <v>11164</v>
      </c>
      <c r="U2824" t="s">
        <v>11164</v>
      </c>
      <c r="V2824" t="s">
        <v>11164</v>
      </c>
      <c r="W2824" t="s">
        <v>13950</v>
      </c>
      <c r="X2824">
        <v>9</v>
      </c>
      <c r="Y2824" t="s">
        <v>19444</v>
      </c>
      <c r="Z2824" t="s">
        <v>24974</v>
      </c>
      <c r="AA2824">
        <v>0.54813075854102389</v>
      </c>
      <c r="AB2824" t="str">
        <f>HYPERLINK("Melting_Curves/meltCurve_Q08379_GOLGA2.pdf", "Melting_Curves/meltCurve_Q08379_GOLGA2.pdf")</f>
        <v>Melting_Curves/meltCurve_Q08379_GOLGA2.pdf</v>
      </c>
    </row>
    <row r="2825" spans="1:28" x14ac:dyDescent="0.25">
      <c r="A2825" t="s">
        <v>2829</v>
      </c>
      <c r="B2825">
        <v>0.99796759195183404</v>
      </c>
      <c r="C2825">
        <v>1.0074238529906701</v>
      </c>
      <c r="D2825">
        <v>0.89731526660806704</v>
      </c>
      <c r="E2825">
        <v>0.84510881892064704</v>
      </c>
      <c r="F2825">
        <v>0.74404098765410698</v>
      </c>
      <c r="G2825">
        <v>0.474956361460878</v>
      </c>
      <c r="H2825">
        <v>0.25706476885873097</v>
      </c>
      <c r="I2825">
        <v>0.22460844773952601</v>
      </c>
      <c r="J2825">
        <v>0.13908359739679901</v>
      </c>
      <c r="K2825">
        <v>9.9813998444907404E-2</v>
      </c>
      <c r="L2825">
        <v>687.72485072524705</v>
      </c>
      <c r="M2825">
        <v>12.9533451504703</v>
      </c>
      <c r="N2825">
        <v>53.457903638858703</v>
      </c>
      <c r="O2825">
        <v>51.874846851038399</v>
      </c>
      <c r="P2825">
        <v>-5.9791545132829603E-2</v>
      </c>
      <c r="Q2825">
        <v>4.23718631369399E-2</v>
      </c>
      <c r="R2825">
        <v>0.99150741421282496</v>
      </c>
      <c r="S2825" t="s">
        <v>8408</v>
      </c>
      <c r="T2825" t="s">
        <v>11164</v>
      </c>
      <c r="U2825" t="s">
        <v>11164</v>
      </c>
      <c r="V2825" t="s">
        <v>11164</v>
      </c>
      <c r="W2825" t="s">
        <v>13951</v>
      </c>
      <c r="X2825">
        <v>5</v>
      </c>
      <c r="Y2825" t="s">
        <v>19445</v>
      </c>
      <c r="Z2825" t="s">
        <v>24975</v>
      </c>
      <c r="AA2825">
        <v>0.57512808158808193</v>
      </c>
      <c r="AB2825" t="str">
        <f>HYPERLINK("Melting_Curves/meltCurve_Q08426_EHHADH.pdf", "Melting_Curves/meltCurve_Q08426_EHHADH.pdf")</f>
        <v>Melting_Curves/meltCurve_Q08426_EHHADH.pdf</v>
      </c>
    </row>
    <row r="2826" spans="1:28" x14ac:dyDescent="0.25">
      <c r="A2826" t="s">
        <v>2830</v>
      </c>
      <c r="B2826">
        <v>0.99796759195183404</v>
      </c>
      <c r="C2826">
        <v>0.91372827548949997</v>
      </c>
      <c r="D2826">
        <v>0.95330813236749301</v>
      </c>
      <c r="E2826">
        <v>0.83801808046754001</v>
      </c>
      <c r="F2826">
        <v>0.79653663723132795</v>
      </c>
      <c r="G2826">
        <v>0.53241989372176901</v>
      </c>
      <c r="H2826">
        <v>0.51831901596485197</v>
      </c>
      <c r="I2826">
        <v>0.422388985160562</v>
      </c>
      <c r="J2826">
        <v>0.58808509568117895</v>
      </c>
      <c r="K2826">
        <v>0.51493791768095198</v>
      </c>
      <c r="L2826">
        <v>854.20219499457096</v>
      </c>
      <c r="M2826">
        <v>17.246440900176498</v>
      </c>
      <c r="N2826">
        <v>63.481667180996403</v>
      </c>
      <c r="O2826">
        <v>48.877651867667403</v>
      </c>
      <c r="P2826">
        <v>-4.51048250490345E-2</v>
      </c>
      <c r="Q2826">
        <v>0.48870844493243698</v>
      </c>
      <c r="R2826">
        <v>0.91844051787499903</v>
      </c>
      <c r="S2826" t="s">
        <v>8409</v>
      </c>
      <c r="T2826" t="s">
        <v>11164</v>
      </c>
      <c r="U2826" t="s">
        <v>11164</v>
      </c>
      <c r="V2826" t="s">
        <v>11164</v>
      </c>
      <c r="W2826" t="s">
        <v>13952</v>
      </c>
      <c r="X2826">
        <v>3</v>
      </c>
      <c r="Y2826" t="s">
        <v>19446</v>
      </c>
      <c r="Z2826" t="s">
        <v>24976</v>
      </c>
      <c r="AA2826">
        <v>0.71093997297336042</v>
      </c>
      <c r="AB2826" t="str">
        <f>HYPERLINK("Melting_Curves/meltCurve_Q08722_2_CD47.pdf", "Melting_Curves/meltCurve_Q08722_2_CD47.pdf")</f>
        <v>Melting_Curves/meltCurve_Q08722_2_CD47.pdf</v>
      </c>
    </row>
    <row r="2827" spans="1:28" x14ac:dyDescent="0.25">
      <c r="A2827" t="s">
        <v>2831</v>
      </c>
      <c r="B2827">
        <v>0.99796759195183404</v>
      </c>
      <c r="C2827">
        <v>0.98816949326306602</v>
      </c>
      <c r="D2827">
        <v>0.97873645608476101</v>
      </c>
      <c r="E2827">
        <v>0.90766538574602695</v>
      </c>
      <c r="F2827">
        <v>0.63017256068329897</v>
      </c>
      <c r="G2827">
        <v>0.202029053000433</v>
      </c>
      <c r="H2827">
        <v>0.13901374114396101</v>
      </c>
      <c r="I2827">
        <v>0.12709902019144401</v>
      </c>
      <c r="J2827">
        <v>9.5165770294792701E-2</v>
      </c>
      <c r="K2827">
        <v>7.1655861705790094E-2</v>
      </c>
      <c r="L2827">
        <v>1504.5830501845901</v>
      </c>
      <c r="M2827">
        <v>29.695372052003901</v>
      </c>
      <c r="N2827">
        <v>51.028296754790603</v>
      </c>
      <c r="O2827">
        <v>50.439168116339602</v>
      </c>
      <c r="P2827">
        <v>-0.13323935454906899</v>
      </c>
      <c r="Q2827">
        <v>9.4749994554353595E-2</v>
      </c>
      <c r="R2827">
        <v>0.99743209178555103</v>
      </c>
      <c r="S2827" t="s">
        <v>8410</v>
      </c>
      <c r="T2827" t="s">
        <v>11164</v>
      </c>
      <c r="U2827" t="s">
        <v>11164</v>
      </c>
      <c r="V2827" t="s">
        <v>11164</v>
      </c>
      <c r="W2827" t="s">
        <v>13953</v>
      </c>
      <c r="X2827">
        <v>18</v>
      </c>
      <c r="Y2827" t="s">
        <v>19447</v>
      </c>
      <c r="Z2827" t="s">
        <v>24977</v>
      </c>
      <c r="AA2827">
        <v>0.51288531769630841</v>
      </c>
      <c r="AB2827" t="str">
        <f>HYPERLINK("Melting_Curves/meltCurve_Q08752_PPID.pdf", "Melting_Curves/meltCurve_Q08752_PPID.pdf")</f>
        <v>Melting_Curves/meltCurve_Q08752_PPID.pdf</v>
      </c>
    </row>
    <row r="2828" spans="1:28" x14ac:dyDescent="0.25">
      <c r="A2828" t="s">
        <v>2832</v>
      </c>
      <c r="B2828">
        <v>0.99796759195183404</v>
      </c>
      <c r="C2828">
        <v>0.96512368117851499</v>
      </c>
      <c r="D2828">
        <v>0.91041517868473498</v>
      </c>
      <c r="E2828">
        <v>0.75273686237070103</v>
      </c>
      <c r="F2828">
        <v>0.61298433513508399</v>
      </c>
      <c r="G2828">
        <v>0.68232988233020997</v>
      </c>
      <c r="H2828">
        <v>0.40971118405119</v>
      </c>
      <c r="I2828">
        <v>0.36680339546213803</v>
      </c>
      <c r="J2828">
        <v>0.22467827404854401</v>
      </c>
      <c r="K2828">
        <v>0.12646824548030799</v>
      </c>
      <c r="L2828">
        <v>436.172445337363</v>
      </c>
      <c r="M2828">
        <v>7.9052190901170896</v>
      </c>
      <c r="N2828">
        <v>55.175251493117898</v>
      </c>
      <c r="O2828">
        <v>51.979416991181303</v>
      </c>
      <c r="P2828">
        <v>-3.8065867044551602E-2</v>
      </c>
      <c r="Q2828">
        <v>0</v>
      </c>
      <c r="R2828">
        <v>0.96003699796850805</v>
      </c>
      <c r="S2828" t="s">
        <v>8411</v>
      </c>
      <c r="T2828" t="s">
        <v>11164</v>
      </c>
      <c r="U2828" t="s">
        <v>11164</v>
      </c>
      <c r="V2828" t="s">
        <v>11164</v>
      </c>
      <c r="W2828" t="s">
        <v>13954</v>
      </c>
      <c r="X2828">
        <v>1</v>
      </c>
      <c r="Y2828" t="s">
        <v>19448</v>
      </c>
      <c r="Z2828" t="s">
        <v>24978</v>
      </c>
      <c r="AA2828">
        <v>0.61077327544464011</v>
      </c>
      <c r="AB2828" t="str">
        <f>HYPERLINK("Melting_Curves/meltCurve_Q08945_SSRP1.pdf", "Melting_Curves/meltCurve_Q08945_SSRP1.pdf")</f>
        <v>Melting_Curves/meltCurve_Q08945_SSRP1.pdf</v>
      </c>
    </row>
    <row r="2829" spans="1:28" x14ac:dyDescent="0.25">
      <c r="A2829" t="s">
        <v>2833</v>
      </c>
      <c r="B2829">
        <v>0.99796759195183404</v>
      </c>
      <c r="C2829">
        <v>0.93353212834335597</v>
      </c>
      <c r="D2829">
        <v>1.01947657096555</v>
      </c>
      <c r="E2829">
        <v>1.0090727431433999</v>
      </c>
      <c r="F2829">
        <v>0.72996135708223397</v>
      </c>
      <c r="G2829">
        <v>0.55482050040626496</v>
      </c>
      <c r="H2829">
        <v>0.3694365343248</v>
      </c>
      <c r="I2829">
        <v>0.17414070219043901</v>
      </c>
      <c r="J2829">
        <v>3.86305921516443E-2</v>
      </c>
      <c r="K2829">
        <v>3.1544756069197703E-2</v>
      </c>
      <c r="L2829">
        <v>850.85389800912401</v>
      </c>
      <c r="M2829">
        <v>15.580802515222899</v>
      </c>
      <c r="N2829">
        <v>54.609119394361699</v>
      </c>
      <c r="O2829">
        <v>53.733255518949697</v>
      </c>
      <c r="P2829">
        <v>-7.2497717304796302E-2</v>
      </c>
      <c r="Q2829">
        <v>0</v>
      </c>
      <c r="R2829">
        <v>0.98610601736984704</v>
      </c>
      <c r="S2829" t="s">
        <v>8412</v>
      </c>
      <c r="T2829" t="s">
        <v>11164</v>
      </c>
      <c r="U2829" t="s">
        <v>11164</v>
      </c>
      <c r="V2829" t="s">
        <v>11164</v>
      </c>
      <c r="W2829" t="s">
        <v>13955</v>
      </c>
      <c r="X2829">
        <v>3</v>
      </c>
      <c r="Y2829" t="s">
        <v>19449</v>
      </c>
      <c r="Z2829" t="s">
        <v>24979</v>
      </c>
      <c r="AA2829">
        <v>0.60162351910781808</v>
      </c>
      <c r="AB2829" t="str">
        <f>HYPERLINK("Melting_Curves/meltCurve_Q08AD1_2_CAMSAP2.pdf", "Melting_Curves/meltCurve_Q08AD1_2_CAMSAP2.pdf")</f>
        <v>Melting_Curves/meltCurve_Q08AD1_2_CAMSAP2.pdf</v>
      </c>
    </row>
    <row r="2830" spans="1:28" x14ac:dyDescent="0.25">
      <c r="A2830" t="s">
        <v>2834</v>
      </c>
      <c r="B2830">
        <v>0.99796759195183404</v>
      </c>
      <c r="C2830">
        <v>0.92193946822128303</v>
      </c>
      <c r="D2830">
        <v>0.90555998142238703</v>
      </c>
      <c r="E2830">
        <v>0.80606287469346904</v>
      </c>
      <c r="F2830">
        <v>0.70933710117465298</v>
      </c>
      <c r="G2830">
        <v>0.52552704621935298</v>
      </c>
      <c r="H2830">
        <v>0.53055826664627603</v>
      </c>
      <c r="I2830">
        <v>0.51168893440515695</v>
      </c>
      <c r="J2830">
        <v>0.80192545232832502</v>
      </c>
      <c r="K2830">
        <v>0.646279934847385</v>
      </c>
      <c r="L2830">
        <v>885.95925903093598</v>
      </c>
      <c r="M2830">
        <v>19.2609761135121</v>
      </c>
      <c r="O2830">
        <v>45.5104185119269</v>
      </c>
      <c r="P2830">
        <v>-4.1727695222573101E-2</v>
      </c>
      <c r="Q2830">
        <v>0.60563310574050699</v>
      </c>
      <c r="R2830">
        <v>0.74803969011617</v>
      </c>
      <c r="S2830" t="s">
        <v>8413</v>
      </c>
      <c r="T2830" t="s">
        <v>11164</v>
      </c>
      <c r="U2830" t="s">
        <v>11164</v>
      </c>
      <c r="V2830" t="s">
        <v>11164</v>
      </c>
      <c r="W2830" t="s">
        <v>13956</v>
      </c>
      <c r="X2830">
        <v>4</v>
      </c>
      <c r="Y2830" t="s">
        <v>19450</v>
      </c>
      <c r="Z2830" t="s">
        <v>24980</v>
      </c>
      <c r="AA2830">
        <v>0.72947596649677371</v>
      </c>
      <c r="AB2830" t="str">
        <f>HYPERLINK("Melting_Curves/meltCurve_Q08AG7_MZT1.pdf", "Melting_Curves/meltCurve_Q08AG7_MZT1.pdf")</f>
        <v>Melting_Curves/meltCurve_Q08AG7_MZT1.pdf</v>
      </c>
    </row>
    <row r="2831" spans="1:28" x14ac:dyDescent="0.25">
      <c r="A2831" t="s">
        <v>2835</v>
      </c>
      <c r="B2831">
        <v>0.99796759195183404</v>
      </c>
      <c r="C2831">
        <v>0.97862821972999203</v>
      </c>
      <c r="D2831">
        <v>1.0102692931791299</v>
      </c>
      <c r="E2831">
        <v>0.92699547054408804</v>
      </c>
      <c r="F2831">
        <v>1.0954766157343001</v>
      </c>
      <c r="G2831">
        <v>1.8154118751303501</v>
      </c>
      <c r="H2831">
        <v>1.5056418215865299</v>
      </c>
      <c r="I2831">
        <v>0.51580453542504701</v>
      </c>
      <c r="J2831">
        <v>0.35206478035370398</v>
      </c>
      <c r="K2831">
        <v>0.286592384247149</v>
      </c>
      <c r="L2831">
        <v>15000</v>
      </c>
      <c r="M2831">
        <v>246.803568714823</v>
      </c>
      <c r="N2831">
        <v>61.0287823671786</v>
      </c>
      <c r="O2831">
        <v>60.773088339193599</v>
      </c>
      <c r="P2831">
        <v>-0.69106449087998001</v>
      </c>
      <c r="Q2831">
        <v>0.31932713128390799</v>
      </c>
      <c r="R2831">
        <v>0.54748656160259002</v>
      </c>
      <c r="S2831" t="s">
        <v>8414</v>
      </c>
      <c r="T2831" t="s">
        <v>11164</v>
      </c>
      <c r="U2831" t="s">
        <v>11164</v>
      </c>
      <c r="V2831" t="s">
        <v>11164</v>
      </c>
      <c r="W2831" t="s">
        <v>13957</v>
      </c>
      <c r="X2831">
        <v>6</v>
      </c>
      <c r="Y2831" t="s">
        <v>19451</v>
      </c>
      <c r="Z2831" t="s">
        <v>24981</v>
      </c>
      <c r="AA2831">
        <v>0.85888204668642243</v>
      </c>
      <c r="AB2831" t="str">
        <f>HYPERLINK("Melting_Curves/meltCurve_Q08AM6_VAC14.pdf", "Melting_Curves/meltCurve_Q08AM6_VAC14.pdf")</f>
        <v>Melting_Curves/meltCurve_Q08AM6_VAC14.pdf</v>
      </c>
    </row>
    <row r="2832" spans="1:28" x14ac:dyDescent="0.25">
      <c r="A2832" t="s">
        <v>2836</v>
      </c>
      <c r="B2832">
        <v>0.99796759195183404</v>
      </c>
      <c r="C2832">
        <v>0.98600314142833101</v>
      </c>
      <c r="D2832">
        <v>0.96707461170090703</v>
      </c>
      <c r="E2832">
        <v>0.932821959270415</v>
      </c>
      <c r="F2832">
        <v>0.933776760050537</v>
      </c>
      <c r="G2832">
        <v>1.2699498741958399</v>
      </c>
      <c r="H2832">
        <v>0.69625567687826895</v>
      </c>
      <c r="I2832">
        <v>0.31699766688861603</v>
      </c>
      <c r="J2832">
        <v>0.14908630605586801</v>
      </c>
      <c r="K2832">
        <v>0.120055864648987</v>
      </c>
      <c r="L2832">
        <v>2620.2164058800199</v>
      </c>
      <c r="M2832">
        <v>44.749055989363001</v>
      </c>
      <c r="N2832">
        <v>58.993166976964403</v>
      </c>
      <c r="O2832">
        <v>58.437003046899001</v>
      </c>
      <c r="P2832">
        <v>-0.164298906435111</v>
      </c>
      <c r="Q2832">
        <v>0.141781255222517</v>
      </c>
      <c r="R2832">
        <v>0.93194659429984394</v>
      </c>
      <c r="S2832" t="s">
        <v>8415</v>
      </c>
      <c r="T2832" t="s">
        <v>11164</v>
      </c>
      <c r="U2832" t="s">
        <v>11164</v>
      </c>
      <c r="V2832" t="s">
        <v>11164</v>
      </c>
      <c r="W2832" t="s">
        <v>13958</v>
      </c>
      <c r="X2832">
        <v>5</v>
      </c>
      <c r="Y2832" t="s">
        <v>19452</v>
      </c>
      <c r="Z2832" t="s">
        <v>24982</v>
      </c>
      <c r="AA2832">
        <v>0.76095815869472927</v>
      </c>
      <c r="AB2832" t="str">
        <f>HYPERLINK("Melting_Curves/meltCurve_Q08E86_KIAA0100.pdf", "Melting_Curves/meltCurve_Q08E86_KIAA0100.pdf")</f>
        <v>Melting_Curves/meltCurve_Q08E86_KIAA0100.pdf</v>
      </c>
    </row>
    <row r="2833" spans="1:28" x14ac:dyDescent="0.25">
      <c r="A2833" t="s">
        <v>2837</v>
      </c>
      <c r="B2833">
        <v>0.99796759195183404</v>
      </c>
      <c r="C2833">
        <v>0.97831817535626797</v>
      </c>
      <c r="D2833">
        <v>0.95119602380401602</v>
      </c>
      <c r="E2833">
        <v>0.85427766254647597</v>
      </c>
      <c r="F2833">
        <v>0.66771360433150095</v>
      </c>
      <c r="G2833">
        <v>0.44484749300499099</v>
      </c>
      <c r="H2833">
        <v>0.243973888668503</v>
      </c>
      <c r="I2833">
        <v>0.14786232388838699</v>
      </c>
      <c r="J2833">
        <v>0.12585610396244401</v>
      </c>
      <c r="K2833">
        <v>8.9741280897313994E-2</v>
      </c>
      <c r="L2833">
        <v>744.70640776555899</v>
      </c>
      <c r="M2833">
        <v>14.2293312275945</v>
      </c>
      <c r="N2833">
        <v>52.706161847285102</v>
      </c>
      <c r="O2833">
        <v>51.334879967560099</v>
      </c>
      <c r="P2833">
        <v>-6.6009713135751796E-2</v>
      </c>
      <c r="Q2833">
        <v>4.7550478034969403E-2</v>
      </c>
      <c r="R2833">
        <v>0.99933475545677897</v>
      </c>
      <c r="S2833" t="s">
        <v>8416</v>
      </c>
      <c r="T2833" t="s">
        <v>11164</v>
      </c>
      <c r="U2833" t="s">
        <v>11164</v>
      </c>
      <c r="V2833" t="s">
        <v>11164</v>
      </c>
      <c r="W2833" t="s">
        <v>13959</v>
      </c>
      <c r="X2833">
        <v>39</v>
      </c>
      <c r="Y2833" t="s">
        <v>19453</v>
      </c>
      <c r="Z2833" t="s">
        <v>24983</v>
      </c>
      <c r="AA2833">
        <v>0.55330438413742233</v>
      </c>
      <c r="AB2833" t="str">
        <f>HYPERLINK("Melting_Curves/meltCurve_Q08J23_NSUN2.pdf", "Melting_Curves/meltCurve_Q08J23_NSUN2.pdf")</f>
        <v>Melting_Curves/meltCurve_Q08J23_NSUN2.pdf</v>
      </c>
    </row>
    <row r="2834" spans="1:28" x14ac:dyDescent="0.25">
      <c r="A2834" t="s">
        <v>2838</v>
      </c>
      <c r="B2834">
        <v>0.99796759195183404</v>
      </c>
      <c r="C2834">
        <v>1.00399563873159</v>
      </c>
      <c r="D2834">
        <v>1.0079777716006599</v>
      </c>
      <c r="E2834">
        <v>0.94008888583833505</v>
      </c>
      <c r="F2834">
        <v>0.89172456381904897</v>
      </c>
      <c r="G2834">
        <v>0.80689406529736796</v>
      </c>
      <c r="H2834">
        <v>0.82452855114273604</v>
      </c>
      <c r="I2834">
        <v>0.63858033996062102</v>
      </c>
      <c r="J2834">
        <v>0.25246488602484102</v>
      </c>
      <c r="K2834">
        <v>0.129047771071574</v>
      </c>
      <c r="L2834">
        <v>1228.50700069194</v>
      </c>
      <c r="M2834">
        <v>19.9599659309666</v>
      </c>
      <c r="N2834">
        <v>61.548533392847403</v>
      </c>
      <c r="O2834">
        <v>60.940721379492501</v>
      </c>
      <c r="P2834">
        <v>-8.1885372193323203E-2</v>
      </c>
      <c r="Q2834">
        <v>0</v>
      </c>
      <c r="R2834">
        <v>0.94878550700892095</v>
      </c>
      <c r="S2834" t="s">
        <v>8417</v>
      </c>
      <c r="T2834" t="s">
        <v>11164</v>
      </c>
      <c r="U2834" t="s">
        <v>11164</v>
      </c>
      <c r="V2834" t="s">
        <v>11164</v>
      </c>
      <c r="W2834" t="s">
        <v>13960</v>
      </c>
      <c r="X2834">
        <v>12</v>
      </c>
      <c r="Y2834" t="s">
        <v>19454</v>
      </c>
      <c r="Z2834" t="s">
        <v>24984</v>
      </c>
      <c r="AA2834">
        <v>0.81090653696552062</v>
      </c>
      <c r="AB2834" t="str">
        <f>HYPERLINK("Melting_Curves/meltCurve_Q09028_3_RBBP4.pdf", "Melting_Curves/meltCurve_Q09028_3_RBBP4.pdf")</f>
        <v>Melting_Curves/meltCurve_Q09028_3_RBBP4.pdf</v>
      </c>
    </row>
    <row r="2835" spans="1:28" x14ac:dyDescent="0.25">
      <c r="A2835" t="s">
        <v>2839</v>
      </c>
      <c r="B2835">
        <v>0.99796759195183404</v>
      </c>
      <c r="C2835">
        <v>0.93497578972529305</v>
      </c>
      <c r="D2835">
        <v>0.97298679707510205</v>
      </c>
      <c r="E2835">
        <v>0.91183370647004003</v>
      </c>
      <c r="F2835">
        <v>0.94865414532417502</v>
      </c>
      <c r="G2835">
        <v>0.60722714929271504</v>
      </c>
      <c r="H2835">
        <v>0.51080604479413505</v>
      </c>
      <c r="I2835">
        <v>0.413969206310697</v>
      </c>
      <c r="J2835">
        <v>0.36873475569606301</v>
      </c>
      <c r="K2835">
        <v>0.21850579884617999</v>
      </c>
      <c r="L2835">
        <v>740.36825537660502</v>
      </c>
      <c r="M2835">
        <v>13.312741165386999</v>
      </c>
      <c r="N2835">
        <v>57.791399303073099</v>
      </c>
      <c r="O2835">
        <v>54.403590674020599</v>
      </c>
      <c r="P2835">
        <v>-4.9116909431501599E-2</v>
      </c>
      <c r="Q2835">
        <v>0.19724842937289599</v>
      </c>
      <c r="R2835">
        <v>0.96405806028386698</v>
      </c>
      <c r="S2835" t="s">
        <v>8418</v>
      </c>
      <c r="T2835" t="s">
        <v>11164</v>
      </c>
      <c r="U2835" t="s">
        <v>11164</v>
      </c>
      <c r="V2835" t="s">
        <v>11164</v>
      </c>
      <c r="W2835" t="s">
        <v>13961</v>
      </c>
      <c r="X2835">
        <v>3</v>
      </c>
      <c r="Y2835" t="s">
        <v>19455</v>
      </c>
      <c r="Z2835" t="s">
        <v>24985</v>
      </c>
      <c r="AA2835">
        <v>0.70524624438921679</v>
      </c>
      <c r="AB2835" t="str">
        <f>HYPERLINK("Melting_Curves/meltCurve_Q09161_NCBP1.pdf", "Melting_Curves/meltCurve_Q09161_NCBP1.pdf")</f>
        <v>Melting_Curves/meltCurve_Q09161_NCBP1.pdf</v>
      </c>
    </row>
    <row r="2836" spans="1:28" x14ac:dyDescent="0.25">
      <c r="A2836" t="s">
        <v>2840</v>
      </c>
      <c r="B2836">
        <v>0.99796759195183404</v>
      </c>
      <c r="C2836">
        <v>0.80869513610006405</v>
      </c>
      <c r="D2836">
        <v>0.86334488563814105</v>
      </c>
      <c r="E2836">
        <v>0.77769418433293402</v>
      </c>
      <c r="F2836">
        <v>0.62524152418315304</v>
      </c>
      <c r="G2836">
        <v>0.47993719605862301</v>
      </c>
      <c r="H2836">
        <v>0.263033337240687</v>
      </c>
      <c r="I2836">
        <v>0.25646990599275599</v>
      </c>
      <c r="J2836">
        <v>0.194188850838413</v>
      </c>
      <c r="K2836">
        <v>0.16759928792863199</v>
      </c>
      <c r="L2836">
        <v>422.00473290491402</v>
      </c>
      <c r="M2836">
        <v>8.0161646151655503</v>
      </c>
      <c r="N2836">
        <v>52.644219909251603</v>
      </c>
      <c r="O2836">
        <v>49.671122854572999</v>
      </c>
      <c r="P2836">
        <v>-4.0391472653051701E-2</v>
      </c>
      <c r="Q2836">
        <v>0</v>
      </c>
      <c r="R2836">
        <v>0.97202994018090305</v>
      </c>
      <c r="S2836" t="s">
        <v>8419</v>
      </c>
      <c r="T2836" t="s">
        <v>11164</v>
      </c>
      <c r="U2836" t="s">
        <v>11164</v>
      </c>
      <c r="V2836" t="s">
        <v>11164</v>
      </c>
      <c r="W2836" t="s">
        <v>13962</v>
      </c>
      <c r="X2836">
        <v>11</v>
      </c>
      <c r="Y2836" t="s">
        <v>19456</v>
      </c>
      <c r="Z2836" t="s">
        <v>24986</v>
      </c>
      <c r="AA2836">
        <v>0.54576475818412673</v>
      </c>
      <c r="AB2836" t="str">
        <f>HYPERLINK("Melting_Curves/meltCurve_Q09472_EP300.pdf", "Melting_Curves/meltCurve_Q09472_EP300.pdf")</f>
        <v>Melting_Curves/meltCurve_Q09472_EP300.pdf</v>
      </c>
    </row>
    <row r="2837" spans="1:28" x14ac:dyDescent="0.25">
      <c r="A2837" t="s">
        <v>2841</v>
      </c>
      <c r="B2837">
        <v>0.99796759195183404</v>
      </c>
      <c r="C2837">
        <v>0.979337741293277</v>
      </c>
      <c r="D2837">
        <v>0.95407060007173705</v>
      </c>
      <c r="E2837">
        <v>0.89098697167430196</v>
      </c>
      <c r="F2837">
        <v>0.77508822421693102</v>
      </c>
      <c r="G2837">
        <v>0.72953576660902497</v>
      </c>
      <c r="H2837">
        <v>0.64948967433719695</v>
      </c>
      <c r="I2837">
        <v>0.63424856033816901</v>
      </c>
      <c r="J2837">
        <v>0.697262651029111</v>
      </c>
      <c r="K2837">
        <v>0.56967951233953196</v>
      </c>
      <c r="L2837">
        <v>636.025295419332</v>
      </c>
      <c r="M2837">
        <v>12.804743136403401</v>
      </c>
      <c r="O2837">
        <v>48.506359502574497</v>
      </c>
      <c r="P2837">
        <v>-2.5904639234891998E-2</v>
      </c>
      <c r="Q2837">
        <v>0.60755024660788404</v>
      </c>
      <c r="R2837">
        <v>0.96228449129323002</v>
      </c>
      <c r="S2837" t="s">
        <v>8420</v>
      </c>
      <c r="T2837" t="s">
        <v>11164</v>
      </c>
      <c r="U2837" t="s">
        <v>11164</v>
      </c>
      <c r="V2837" t="s">
        <v>11164</v>
      </c>
      <c r="W2837" t="s">
        <v>13963</v>
      </c>
      <c r="X2837">
        <v>183</v>
      </c>
      <c r="Y2837" t="s">
        <v>19457</v>
      </c>
      <c r="Z2837" t="s">
        <v>24987</v>
      </c>
      <c r="AA2837">
        <v>0.7836439419233715</v>
      </c>
      <c r="AB2837" t="str">
        <f>HYPERLINK("Melting_Curves/meltCurve_Q09666_AHNAK.pdf", "Melting_Curves/meltCurve_Q09666_AHNAK.pdf")</f>
        <v>Melting_Curves/meltCurve_Q09666_AHNAK.pdf</v>
      </c>
    </row>
    <row r="2838" spans="1:28" x14ac:dyDescent="0.25">
      <c r="A2838" t="s">
        <v>2842</v>
      </c>
      <c r="B2838">
        <v>0.99796759195183404</v>
      </c>
      <c r="C2838">
        <v>1.06432212428781</v>
      </c>
      <c r="D2838">
        <v>1.0715016719425301</v>
      </c>
      <c r="E2838">
        <v>0.93753133466769101</v>
      </c>
      <c r="F2838">
        <v>0.30764655371017202</v>
      </c>
      <c r="G2838">
        <v>0.14704850672442701</v>
      </c>
      <c r="H2838">
        <v>8.0096155855749696E-2</v>
      </c>
      <c r="I2838">
        <v>5.3758346850833402E-2</v>
      </c>
      <c r="J2838">
        <v>4.22989992202032E-2</v>
      </c>
      <c r="K2838">
        <v>2.87838305156317E-2</v>
      </c>
      <c r="L2838">
        <v>2244.4450302873902</v>
      </c>
      <c r="M2838">
        <v>45.701086157135499</v>
      </c>
      <c r="N2838">
        <v>49.261798869042003</v>
      </c>
      <c r="O2838">
        <v>49.0176579859952</v>
      </c>
      <c r="P2838">
        <v>-0.217909584046827</v>
      </c>
      <c r="Q2838">
        <v>6.5107168335698906E-2</v>
      </c>
      <c r="R2838">
        <v>0.992151722068356</v>
      </c>
      <c r="S2838" t="s">
        <v>8421</v>
      </c>
      <c r="T2838" t="s">
        <v>11164</v>
      </c>
      <c r="U2838" t="s">
        <v>11164</v>
      </c>
      <c r="V2838" t="s">
        <v>11164</v>
      </c>
      <c r="W2838" t="s">
        <v>13964</v>
      </c>
      <c r="X2838">
        <v>11</v>
      </c>
      <c r="Y2838" t="s">
        <v>19458</v>
      </c>
      <c r="Z2838" t="s">
        <v>24988</v>
      </c>
      <c r="AA2838">
        <v>0.44496294778079992</v>
      </c>
      <c r="AB2838" t="str">
        <f>HYPERLINK("Melting_Curves/meltCurve_Q0VDF9_HSPA14.pdf", "Melting_Curves/meltCurve_Q0VDF9_HSPA14.pdf")</f>
        <v>Melting_Curves/meltCurve_Q0VDF9_HSPA14.pdf</v>
      </c>
    </row>
    <row r="2839" spans="1:28" x14ac:dyDescent="0.25">
      <c r="A2839" t="s">
        <v>2843</v>
      </c>
      <c r="B2839">
        <v>0.99796759195183404</v>
      </c>
      <c r="C2839">
        <v>0.91402708315189696</v>
      </c>
      <c r="D2839">
        <v>0.96189802436291105</v>
      </c>
      <c r="E2839">
        <v>0.89758291150557701</v>
      </c>
      <c r="F2839">
        <v>0.75483639215194598</v>
      </c>
      <c r="G2839">
        <v>0.57481512289565895</v>
      </c>
      <c r="H2839">
        <v>0.37056352523658898</v>
      </c>
      <c r="I2839">
        <v>0.14670286349664899</v>
      </c>
      <c r="J2839">
        <v>0.12792290830493599</v>
      </c>
      <c r="K2839">
        <v>9.4266085104322606E-2</v>
      </c>
      <c r="L2839">
        <v>719.70197870797494</v>
      </c>
      <c r="M2839">
        <v>13.1686530045249</v>
      </c>
      <c r="N2839">
        <v>54.6526648588775</v>
      </c>
      <c r="O2839">
        <v>53.438445958999402</v>
      </c>
      <c r="P2839">
        <v>-6.1616993896879801E-2</v>
      </c>
      <c r="Q2839">
        <v>0</v>
      </c>
      <c r="R2839">
        <v>0.99129220506182802</v>
      </c>
      <c r="S2839" t="s">
        <v>8422</v>
      </c>
      <c r="T2839" t="s">
        <v>11164</v>
      </c>
      <c r="U2839" t="s">
        <v>11164</v>
      </c>
      <c r="V2839" t="s">
        <v>11164</v>
      </c>
      <c r="W2839" t="s">
        <v>13965</v>
      </c>
      <c r="X2839">
        <v>9</v>
      </c>
      <c r="Y2839" t="s">
        <v>19459</v>
      </c>
      <c r="Z2839" t="s">
        <v>24989</v>
      </c>
      <c r="AA2839">
        <v>0.60397544106665724</v>
      </c>
      <c r="AB2839" t="str">
        <f>HYPERLINK("Melting_Curves/meltCurve_Q0VDG4_SCRN3.pdf", "Melting_Curves/meltCurve_Q0VDG4_SCRN3.pdf")</f>
        <v>Melting_Curves/meltCurve_Q0VDG4_SCRN3.pdf</v>
      </c>
    </row>
    <row r="2840" spans="1:28" x14ac:dyDescent="0.25">
      <c r="A2840" t="s">
        <v>2844</v>
      </c>
      <c r="B2840">
        <v>0.99796759195183404</v>
      </c>
      <c r="C2840">
        <v>1.1172322145373299</v>
      </c>
      <c r="D2840">
        <v>0.97699565896284601</v>
      </c>
      <c r="E2840">
        <v>0.97284147810680899</v>
      </c>
      <c r="F2840">
        <v>0.85202669934412201</v>
      </c>
      <c r="G2840">
        <v>0.69855512536605902</v>
      </c>
      <c r="H2840">
        <v>0.42335911390636999</v>
      </c>
      <c r="I2840">
        <v>0.14922985500404301</v>
      </c>
      <c r="J2840">
        <v>0.10744281435005699</v>
      </c>
      <c r="K2840">
        <v>7.8243875421070905E-2</v>
      </c>
      <c r="L2840">
        <v>1000.2458563656299</v>
      </c>
      <c r="M2840">
        <v>17.851255403236699</v>
      </c>
      <c r="N2840">
        <v>56.0848801867429</v>
      </c>
      <c r="O2840">
        <v>55.343277814953098</v>
      </c>
      <c r="P2840">
        <v>-7.9972969405201197E-2</v>
      </c>
      <c r="Q2840">
        <v>8.3071394781620393E-3</v>
      </c>
      <c r="R2840">
        <v>0.98737769636720596</v>
      </c>
      <c r="S2840" t="s">
        <v>8423</v>
      </c>
      <c r="T2840" t="s">
        <v>11164</v>
      </c>
      <c r="U2840" t="s">
        <v>11164</v>
      </c>
      <c r="V2840" t="s">
        <v>11164</v>
      </c>
      <c r="W2840" t="s">
        <v>13966</v>
      </c>
      <c r="X2840">
        <v>4</v>
      </c>
      <c r="Y2840" t="s">
        <v>19460</v>
      </c>
      <c r="Z2840" t="s">
        <v>24990</v>
      </c>
      <c r="AA2840">
        <v>0.64836499613101195</v>
      </c>
      <c r="AB2840" t="str">
        <f>HYPERLINK("Melting_Curves/meltCurve_Q10469_MGAT2.pdf", "Melting_Curves/meltCurve_Q10469_MGAT2.pdf")</f>
        <v>Melting_Curves/meltCurve_Q10469_MGAT2.pdf</v>
      </c>
    </row>
    <row r="2841" spans="1:28" x14ac:dyDescent="0.25">
      <c r="A2841" t="s">
        <v>2845</v>
      </c>
      <c r="B2841">
        <v>0.99796759195183404</v>
      </c>
      <c r="C2841">
        <v>1.04516141412427</v>
      </c>
      <c r="D2841">
        <v>1.01124370500175</v>
      </c>
      <c r="E2841">
        <v>0.97377969095281203</v>
      </c>
      <c r="F2841">
        <v>0.77459970749525597</v>
      </c>
      <c r="G2841">
        <v>0.716678394991763</v>
      </c>
      <c r="H2841">
        <v>0.48677334866440902</v>
      </c>
      <c r="I2841">
        <v>0.36506512924836598</v>
      </c>
      <c r="J2841">
        <v>0.12119979637606</v>
      </c>
      <c r="K2841">
        <v>8.0945050091442802E-2</v>
      </c>
      <c r="L2841">
        <v>764.69765998981904</v>
      </c>
      <c r="M2841">
        <v>13.4115776349201</v>
      </c>
      <c r="N2841">
        <v>57.017726320876498</v>
      </c>
      <c r="O2841">
        <v>55.794835207036797</v>
      </c>
      <c r="P2841">
        <v>-6.01026846915469E-2</v>
      </c>
      <c r="Q2841">
        <v>0</v>
      </c>
      <c r="R2841">
        <v>0.982185888349839</v>
      </c>
      <c r="S2841" t="s">
        <v>8424</v>
      </c>
      <c r="T2841" t="s">
        <v>11164</v>
      </c>
      <c r="U2841" t="s">
        <v>11164</v>
      </c>
      <c r="V2841" t="s">
        <v>11164</v>
      </c>
      <c r="W2841" t="s">
        <v>13967</v>
      </c>
      <c r="X2841">
        <v>15</v>
      </c>
      <c r="Y2841" t="s">
        <v>19461</v>
      </c>
      <c r="Z2841" t="s">
        <v>24991</v>
      </c>
      <c r="AA2841">
        <v>0.67399473409438093</v>
      </c>
      <c r="AB2841" t="str">
        <f>HYPERLINK("Melting_Curves/meltCurve_Q10567_2_AP1B1.pdf", "Melting_Curves/meltCurve_Q10567_2_AP1B1.pdf")</f>
        <v>Melting_Curves/meltCurve_Q10567_2_AP1B1.pdf</v>
      </c>
    </row>
    <row r="2842" spans="1:28" x14ac:dyDescent="0.25">
      <c r="A2842" t="s">
        <v>2846</v>
      </c>
      <c r="B2842">
        <v>0.99796759195183404</v>
      </c>
      <c r="C2842">
        <v>1.0949164007227801</v>
      </c>
      <c r="D2842">
        <v>1.03448323524916</v>
      </c>
      <c r="E2842">
        <v>1.01863116369058</v>
      </c>
      <c r="F2842">
        <v>0.96536173588710295</v>
      </c>
      <c r="G2842">
        <v>0.88658213286305398</v>
      </c>
      <c r="H2842">
        <v>0.40082481166115103</v>
      </c>
      <c r="I2842">
        <v>0.18265978500930499</v>
      </c>
      <c r="J2842">
        <v>0.12950262975927401</v>
      </c>
      <c r="K2842">
        <v>0.10713784287438299</v>
      </c>
      <c r="L2842">
        <v>2166.5011362044502</v>
      </c>
      <c r="M2842">
        <v>38.457476449299797</v>
      </c>
      <c r="N2842">
        <v>56.7393227198557</v>
      </c>
      <c r="O2842">
        <v>56.183311211227903</v>
      </c>
      <c r="P2842">
        <v>-0.15061484223371799</v>
      </c>
      <c r="Q2842">
        <v>0.119857128320533</v>
      </c>
      <c r="R2842">
        <v>0.99246488905180896</v>
      </c>
      <c r="S2842" t="s">
        <v>8425</v>
      </c>
      <c r="T2842" t="s">
        <v>11164</v>
      </c>
      <c r="U2842" t="s">
        <v>11164</v>
      </c>
      <c r="V2842" t="s">
        <v>11164</v>
      </c>
      <c r="W2842" t="s">
        <v>13968</v>
      </c>
      <c r="X2842">
        <v>24</v>
      </c>
      <c r="Y2842" t="s">
        <v>19462</v>
      </c>
      <c r="Z2842" t="s">
        <v>24992</v>
      </c>
      <c r="AA2842">
        <v>0.69067773476728844</v>
      </c>
      <c r="AB2842" t="str">
        <f>HYPERLINK("Melting_Curves/meltCurve_Q10713_PMPCA.pdf", "Melting_Curves/meltCurve_Q10713_PMPCA.pdf")</f>
        <v>Melting_Curves/meltCurve_Q10713_PMPCA.pdf</v>
      </c>
    </row>
    <row r="2843" spans="1:28" x14ac:dyDescent="0.25">
      <c r="A2843" t="s">
        <v>2847</v>
      </c>
      <c r="B2843">
        <v>0.99796759195183404</v>
      </c>
      <c r="C2843">
        <v>1.0912638721022301</v>
      </c>
      <c r="D2843">
        <v>1.0293368127726199</v>
      </c>
      <c r="E2843">
        <v>1.04415557525332</v>
      </c>
      <c r="F2843">
        <v>0.95743767679776703</v>
      </c>
      <c r="G2843">
        <v>0.57787882822039205</v>
      </c>
      <c r="H2843">
        <v>0.23826115177886101</v>
      </c>
      <c r="I2843">
        <v>0.15370264116485799</v>
      </c>
      <c r="J2843">
        <v>0.114604274382447</v>
      </c>
      <c r="K2843">
        <v>0.10051179625741</v>
      </c>
      <c r="L2843">
        <v>1827.9495147505299</v>
      </c>
      <c r="M2843">
        <v>33.829998003410402</v>
      </c>
      <c r="N2843">
        <v>54.464806711276402</v>
      </c>
      <c r="O2843">
        <v>53.845656296562403</v>
      </c>
      <c r="P2843">
        <v>-0.138608968106185</v>
      </c>
      <c r="Q2843">
        <v>0.117533789166544</v>
      </c>
      <c r="R2843">
        <v>0.99243237268609596</v>
      </c>
      <c r="S2843" t="s">
        <v>8426</v>
      </c>
      <c r="T2843" t="s">
        <v>11164</v>
      </c>
      <c r="U2843" t="s">
        <v>11164</v>
      </c>
      <c r="V2843" t="s">
        <v>11164</v>
      </c>
      <c r="W2843" t="s">
        <v>13969</v>
      </c>
      <c r="X2843">
        <v>9</v>
      </c>
      <c r="Y2843" t="s">
        <v>19463</v>
      </c>
      <c r="Z2843" t="s">
        <v>24993</v>
      </c>
      <c r="AA2843">
        <v>0.6230937608535847</v>
      </c>
      <c r="AB2843" t="str">
        <f>HYPERLINK("Melting_Curves/meltCurve_Q12765_SCRN1.pdf", "Melting_Curves/meltCurve_Q12765_SCRN1.pdf")</f>
        <v>Melting_Curves/meltCurve_Q12765_SCRN1.pdf</v>
      </c>
    </row>
    <row r="2844" spans="1:28" x14ac:dyDescent="0.25">
      <c r="A2844" t="s">
        <v>2848</v>
      </c>
      <c r="B2844">
        <v>0.99796759195183404</v>
      </c>
      <c r="C2844">
        <v>0.98821375099796305</v>
      </c>
      <c r="D2844">
        <v>1.09091232145342</v>
      </c>
      <c r="E2844">
        <v>0.96963743688570103</v>
      </c>
      <c r="F2844">
        <v>0.68219679810054501</v>
      </c>
      <c r="G2844">
        <v>1.35216256053948</v>
      </c>
      <c r="H2844">
        <v>0.95012573625037899</v>
      </c>
      <c r="I2844">
        <v>0.30330137076026797</v>
      </c>
      <c r="J2844">
        <v>0.16891911500572099</v>
      </c>
      <c r="K2844">
        <v>0.117653607083439</v>
      </c>
      <c r="L2844">
        <v>4190.3048467839399</v>
      </c>
      <c r="M2844">
        <v>70.130851159797601</v>
      </c>
      <c r="N2844">
        <v>60.0284525350161</v>
      </c>
      <c r="O2844">
        <v>59.701279621240303</v>
      </c>
      <c r="P2844">
        <v>-0.25287530599299901</v>
      </c>
      <c r="Q2844">
        <v>0.13892526449433401</v>
      </c>
      <c r="R2844">
        <v>0.85505908683929199</v>
      </c>
      <c r="S2844" t="s">
        <v>8427</v>
      </c>
      <c r="T2844" t="s">
        <v>11164</v>
      </c>
      <c r="U2844" t="s">
        <v>11164</v>
      </c>
      <c r="V2844" t="s">
        <v>11164</v>
      </c>
      <c r="W2844" t="s">
        <v>13970</v>
      </c>
      <c r="X2844">
        <v>1</v>
      </c>
      <c r="Y2844" t="s">
        <v>19464</v>
      </c>
      <c r="Z2844" t="s">
        <v>24994</v>
      </c>
      <c r="AA2844">
        <v>0.79303571539652196</v>
      </c>
      <c r="AB2844" t="str">
        <f>HYPERLINK("Melting_Curves/meltCurve_Q12769_NUP160.pdf", "Melting_Curves/meltCurve_Q12769_NUP160.pdf")</f>
        <v>Melting_Curves/meltCurve_Q12769_NUP160.pdf</v>
      </c>
    </row>
    <row r="2845" spans="1:28" x14ac:dyDescent="0.25">
      <c r="A2845" t="s">
        <v>2849</v>
      </c>
      <c r="B2845">
        <v>0.99796759195183404</v>
      </c>
      <c r="C2845">
        <v>0.93815996748568098</v>
      </c>
      <c r="D2845">
        <v>0.88115561102585305</v>
      </c>
      <c r="E2845">
        <v>0.73483102885716201</v>
      </c>
      <c r="F2845">
        <v>0.60085104905890296</v>
      </c>
      <c r="G2845">
        <v>0.41184325343767098</v>
      </c>
      <c r="H2845">
        <v>0.33495155864242299</v>
      </c>
      <c r="I2845">
        <v>0.322269090998269</v>
      </c>
      <c r="J2845">
        <v>0.247363747974299</v>
      </c>
      <c r="K2845">
        <v>0.186568603666973</v>
      </c>
      <c r="L2845">
        <v>519.67557222353798</v>
      </c>
      <c r="M2845">
        <v>10.33525556277</v>
      </c>
      <c r="N2845">
        <v>52.204533563733399</v>
      </c>
      <c r="O2845">
        <v>48.508591806867599</v>
      </c>
      <c r="P2845">
        <v>-4.4852907208018898E-2</v>
      </c>
      <c r="Q2845">
        <v>0.15829113326761499</v>
      </c>
      <c r="R2845">
        <v>0.99411973466287595</v>
      </c>
      <c r="S2845" t="s">
        <v>8428</v>
      </c>
      <c r="T2845" t="s">
        <v>11164</v>
      </c>
      <c r="U2845" t="s">
        <v>11164</v>
      </c>
      <c r="V2845" t="s">
        <v>11164</v>
      </c>
      <c r="W2845" t="s">
        <v>13971</v>
      </c>
      <c r="X2845">
        <v>5</v>
      </c>
      <c r="Y2845" t="s">
        <v>19465</v>
      </c>
      <c r="Z2845" t="s">
        <v>24995</v>
      </c>
      <c r="AA2845">
        <v>0.55788724039784854</v>
      </c>
      <c r="AB2845" t="str">
        <f>HYPERLINK("Melting_Curves/meltCurve_Q12788_TBL3.pdf", "Melting_Curves/meltCurve_Q12788_TBL3.pdf")</f>
        <v>Melting_Curves/meltCurve_Q12788_TBL3.pdf</v>
      </c>
    </row>
    <row r="2846" spans="1:28" x14ac:dyDescent="0.25">
      <c r="A2846" t="s">
        <v>2850</v>
      </c>
      <c r="B2846">
        <v>0.99796759195183404</v>
      </c>
      <c r="C2846">
        <v>1.06572367469172</v>
      </c>
      <c r="D2846">
        <v>0.96629817888313396</v>
      </c>
      <c r="E2846">
        <v>0.84374764335455099</v>
      </c>
      <c r="F2846">
        <v>0.744493037673845</v>
      </c>
      <c r="G2846">
        <v>1.1414343800053199</v>
      </c>
      <c r="H2846">
        <v>0.67855485685887096</v>
      </c>
      <c r="I2846">
        <v>0.280333799062841</v>
      </c>
      <c r="J2846">
        <v>0.147258921245359</v>
      </c>
      <c r="K2846">
        <v>0.12215540143486101</v>
      </c>
      <c r="L2846">
        <v>2617.75414484047</v>
      </c>
      <c r="M2846">
        <v>44.921024890322499</v>
      </c>
      <c r="N2846">
        <v>58.702886977551898</v>
      </c>
      <c r="O2846">
        <v>58.159439716519401</v>
      </c>
      <c r="P2846">
        <v>-0.166113926091501</v>
      </c>
      <c r="Q2846">
        <v>0.139727359143932</v>
      </c>
      <c r="R2846">
        <v>0.90659586567433603</v>
      </c>
      <c r="S2846" t="s">
        <v>8429</v>
      </c>
      <c r="T2846" t="s">
        <v>11164</v>
      </c>
      <c r="U2846" t="s">
        <v>11164</v>
      </c>
      <c r="V2846" t="s">
        <v>11164</v>
      </c>
      <c r="W2846" t="s">
        <v>13972</v>
      </c>
      <c r="X2846">
        <v>9</v>
      </c>
      <c r="Y2846" t="s">
        <v>19466</v>
      </c>
      <c r="Z2846" t="s">
        <v>24996</v>
      </c>
      <c r="AA2846">
        <v>0.75238627775310762</v>
      </c>
      <c r="AB2846" t="str">
        <f>HYPERLINK("Melting_Curves/meltCurve_Q12792_TWF1.pdf", "Melting_Curves/meltCurve_Q12792_TWF1.pdf")</f>
        <v>Melting_Curves/meltCurve_Q12792_TWF1.pdf</v>
      </c>
    </row>
    <row r="2847" spans="1:28" x14ac:dyDescent="0.25">
      <c r="A2847" t="s">
        <v>2851</v>
      </c>
      <c r="B2847">
        <v>0.99796759195183404</v>
      </c>
      <c r="C2847">
        <v>1.2639219209663799</v>
      </c>
      <c r="D2847">
        <v>1.04582489366711</v>
      </c>
      <c r="E2847">
        <v>1.0704839046932799</v>
      </c>
      <c r="F2847">
        <v>1.1415030240144799</v>
      </c>
      <c r="G2847">
        <v>0.96310606909603902</v>
      </c>
      <c r="H2847">
        <v>0.94804377767279302</v>
      </c>
      <c r="I2847">
        <v>0.59727386584399</v>
      </c>
      <c r="J2847">
        <v>0.31215553718865702</v>
      </c>
      <c r="K2847">
        <v>0.28975063334800399</v>
      </c>
      <c r="L2847">
        <v>2878.3860207974699</v>
      </c>
      <c r="M2847">
        <v>47.427235604845698</v>
      </c>
      <c r="N2847">
        <v>61.7088457709282</v>
      </c>
      <c r="O2847">
        <v>60.582980154581598</v>
      </c>
      <c r="P2847">
        <v>-0.14259714656633701</v>
      </c>
      <c r="Q2847">
        <v>0.27139343972798402</v>
      </c>
      <c r="R2847">
        <v>0.90658652773499804</v>
      </c>
      <c r="S2847" t="s">
        <v>8430</v>
      </c>
      <c r="T2847" t="s">
        <v>11164</v>
      </c>
      <c r="U2847" t="s">
        <v>11164</v>
      </c>
      <c r="V2847" t="s">
        <v>11164</v>
      </c>
      <c r="W2847" t="s">
        <v>13973</v>
      </c>
      <c r="X2847">
        <v>1</v>
      </c>
      <c r="Y2847" t="s">
        <v>19467</v>
      </c>
      <c r="Z2847" t="s">
        <v>24997</v>
      </c>
      <c r="AA2847">
        <v>0.84847839584319584</v>
      </c>
      <c r="AB2847" t="str">
        <f>HYPERLINK("Melting_Curves/meltCurve_Q12797_10_ASPH.pdf", "Melting_Curves/meltCurve_Q12797_10_ASPH.pdf")</f>
        <v>Melting_Curves/meltCurve_Q12797_10_ASPH.pdf</v>
      </c>
    </row>
    <row r="2848" spans="1:28" x14ac:dyDescent="0.25">
      <c r="A2848" t="s">
        <v>2852</v>
      </c>
      <c r="B2848">
        <v>0.99796759195183404</v>
      </c>
      <c r="C2848">
        <v>0.98801221722967603</v>
      </c>
      <c r="D2848">
        <v>0.88846812959244803</v>
      </c>
      <c r="E2848">
        <v>0.83581282234334697</v>
      </c>
      <c r="F2848">
        <v>0.64186197634534903</v>
      </c>
      <c r="G2848">
        <v>0.35231930959073099</v>
      </c>
      <c r="H2848">
        <v>0.201095174429504</v>
      </c>
      <c r="I2848">
        <v>0.15747744910419401</v>
      </c>
      <c r="J2848">
        <v>0.146762730548368</v>
      </c>
      <c r="K2848">
        <v>0.31505191277023198</v>
      </c>
      <c r="L2848">
        <v>978.25648100609703</v>
      </c>
      <c r="M2848">
        <v>19.463154056496201</v>
      </c>
      <c r="N2848">
        <v>51.453209861218802</v>
      </c>
      <c r="O2848">
        <v>49.7403963541148</v>
      </c>
      <c r="P2848">
        <v>-8.0083325781092202E-2</v>
      </c>
      <c r="Q2848">
        <v>0.18137995998104101</v>
      </c>
      <c r="R2848">
        <v>0.97131904647282297</v>
      </c>
      <c r="S2848" t="s">
        <v>8431</v>
      </c>
      <c r="T2848" t="s">
        <v>11164</v>
      </c>
      <c r="U2848" t="s">
        <v>11164</v>
      </c>
      <c r="V2848" t="s">
        <v>11164</v>
      </c>
      <c r="W2848" t="s">
        <v>13974</v>
      </c>
      <c r="X2848">
        <v>2</v>
      </c>
      <c r="Y2848" t="s">
        <v>19468</v>
      </c>
      <c r="Z2848" t="s">
        <v>24998</v>
      </c>
      <c r="AA2848">
        <v>0.55454942278557673</v>
      </c>
      <c r="AB2848" t="str">
        <f>HYPERLINK("Melting_Curves/meltCurve_Q12834_CDC20.pdf", "Melting_Curves/meltCurve_Q12834_CDC20.pdf")</f>
        <v>Melting_Curves/meltCurve_Q12834_CDC20.pdf</v>
      </c>
    </row>
    <row r="2849" spans="1:28" x14ac:dyDescent="0.25">
      <c r="A2849" t="s">
        <v>2853</v>
      </c>
      <c r="B2849">
        <v>0.99796759195183404</v>
      </c>
      <c r="C2849">
        <v>0.93574861624505101</v>
      </c>
      <c r="D2849">
        <v>0.97803834391072197</v>
      </c>
      <c r="E2849">
        <v>0.95160618450370804</v>
      </c>
      <c r="F2849">
        <v>0.77033714410545495</v>
      </c>
      <c r="G2849">
        <v>0.60051222706281804</v>
      </c>
      <c r="H2849">
        <v>0.64044757616900605</v>
      </c>
      <c r="I2849">
        <v>0.556969126993071</v>
      </c>
      <c r="J2849">
        <v>0.67090233535481902</v>
      </c>
      <c r="K2849">
        <v>0.58238441174962996</v>
      </c>
      <c r="L2849">
        <v>1728.60999240915</v>
      </c>
      <c r="M2849">
        <v>34.876249459930698</v>
      </c>
      <c r="O2849">
        <v>49.402005218457198</v>
      </c>
      <c r="P2849">
        <v>-6.9537531250049398E-2</v>
      </c>
      <c r="Q2849">
        <v>0.606003431515165</v>
      </c>
      <c r="R2849">
        <v>0.95281649583896999</v>
      </c>
      <c r="S2849" t="s">
        <v>8432</v>
      </c>
      <c r="T2849" t="s">
        <v>11164</v>
      </c>
      <c r="U2849" t="s">
        <v>11164</v>
      </c>
      <c r="V2849" t="s">
        <v>11164</v>
      </c>
      <c r="W2849" t="s">
        <v>13975</v>
      </c>
      <c r="X2849">
        <v>9</v>
      </c>
      <c r="Y2849" t="s">
        <v>19469</v>
      </c>
      <c r="Z2849" t="s">
        <v>24999</v>
      </c>
      <c r="AA2849">
        <v>0.77278748916421813</v>
      </c>
      <c r="AB2849" t="str">
        <f>HYPERLINK("Melting_Curves/meltCurve_Q12841_FSTL1.pdf", "Melting_Curves/meltCurve_Q12841_FSTL1.pdf")</f>
        <v>Melting_Curves/meltCurve_Q12841_FSTL1.pdf</v>
      </c>
    </row>
    <row r="2850" spans="1:28" x14ac:dyDescent="0.25">
      <c r="A2850" t="s">
        <v>2854</v>
      </c>
      <c r="B2850">
        <v>0.99796759195183404</v>
      </c>
      <c r="C2850">
        <v>1.1227273643267699</v>
      </c>
      <c r="D2850">
        <v>1.1298165059438201</v>
      </c>
      <c r="E2850">
        <v>1.1114875096358201</v>
      </c>
      <c r="F2850">
        <v>0.988432440464173</v>
      </c>
      <c r="G2850">
        <v>0.42944975434480498</v>
      </c>
      <c r="H2850">
        <v>0.31190035508282099</v>
      </c>
      <c r="I2850">
        <v>0.19309775425275999</v>
      </c>
      <c r="J2850">
        <v>0.178435544698998</v>
      </c>
      <c r="K2850">
        <v>0.15642064576567699</v>
      </c>
      <c r="L2850">
        <v>2976.1094890521199</v>
      </c>
      <c r="M2850">
        <v>56.187498259220803</v>
      </c>
      <c r="N2850">
        <v>53.470733844050599</v>
      </c>
      <c r="O2850">
        <v>52.900523400253299</v>
      </c>
      <c r="P2850">
        <v>-0.21100615820382601</v>
      </c>
      <c r="Q2850">
        <v>0.20535169941418799</v>
      </c>
      <c r="R2850">
        <v>0.96685669800153695</v>
      </c>
      <c r="S2850" t="s">
        <v>8433</v>
      </c>
      <c r="T2850" t="s">
        <v>11164</v>
      </c>
      <c r="U2850" t="s">
        <v>11164</v>
      </c>
      <c r="V2850" t="s">
        <v>11164</v>
      </c>
      <c r="W2850" t="s">
        <v>13976</v>
      </c>
      <c r="X2850">
        <v>10</v>
      </c>
      <c r="Y2850" t="s">
        <v>19470</v>
      </c>
      <c r="Z2850" t="s">
        <v>25000</v>
      </c>
      <c r="AA2850">
        <v>0.62977058518607498</v>
      </c>
      <c r="AB2850" t="str">
        <f>HYPERLINK("Melting_Curves/meltCurve_Q12846_STX4.pdf", "Melting_Curves/meltCurve_Q12846_STX4.pdf")</f>
        <v>Melting_Curves/meltCurve_Q12846_STX4.pdf</v>
      </c>
    </row>
    <row r="2851" spans="1:28" x14ac:dyDescent="0.25">
      <c r="A2851" t="s">
        <v>2855</v>
      </c>
      <c r="B2851">
        <v>0.99796759195183404</v>
      </c>
      <c r="C2851">
        <v>0.98999724372989595</v>
      </c>
      <c r="D2851">
        <v>1.0307573526264699</v>
      </c>
      <c r="E2851">
        <v>1.0883642332783201</v>
      </c>
      <c r="F2851">
        <v>0.69211059061395097</v>
      </c>
      <c r="G2851">
        <v>0.227168954878715</v>
      </c>
      <c r="H2851">
        <v>0.172427193170795</v>
      </c>
      <c r="I2851">
        <v>0.14750629137266699</v>
      </c>
      <c r="J2851">
        <v>0.117680800193153</v>
      </c>
      <c r="K2851">
        <v>0.10907269321643601</v>
      </c>
      <c r="L2851">
        <v>2309.7586467784699</v>
      </c>
      <c r="M2851">
        <v>45.356323813813802</v>
      </c>
      <c r="N2851">
        <v>51.292009755413503</v>
      </c>
      <c r="O2851">
        <v>50.826034478173803</v>
      </c>
      <c r="P2851">
        <v>-0.19216148749494899</v>
      </c>
      <c r="Q2851">
        <v>0.13866087336601601</v>
      </c>
      <c r="R2851">
        <v>0.99189170210251698</v>
      </c>
      <c r="S2851" t="s">
        <v>8434</v>
      </c>
      <c r="T2851" t="s">
        <v>11164</v>
      </c>
      <c r="U2851" t="s">
        <v>11164</v>
      </c>
      <c r="V2851" t="s">
        <v>11164</v>
      </c>
      <c r="W2851" t="s">
        <v>13977</v>
      </c>
      <c r="X2851">
        <v>7</v>
      </c>
      <c r="Y2851" t="s">
        <v>19471</v>
      </c>
      <c r="Z2851" t="s">
        <v>25001</v>
      </c>
      <c r="AA2851">
        <v>0.54081114842084843</v>
      </c>
      <c r="AB2851" t="str">
        <f>HYPERLINK("Melting_Curves/meltCurve_Q12849_GRSF1.pdf", "Melting_Curves/meltCurve_Q12849_GRSF1.pdf")</f>
        <v>Melting_Curves/meltCurve_Q12849_GRSF1.pdf</v>
      </c>
    </row>
    <row r="2852" spans="1:28" x14ac:dyDescent="0.25">
      <c r="A2852" t="s">
        <v>2856</v>
      </c>
      <c r="B2852">
        <v>0.99796759195183404</v>
      </c>
      <c r="C2852">
        <v>0.95036189207906396</v>
      </c>
      <c r="D2852">
        <v>0.86082833573094997</v>
      </c>
      <c r="E2852">
        <v>0.78229516360596696</v>
      </c>
      <c r="F2852">
        <v>0.75190065735623501</v>
      </c>
      <c r="G2852">
        <v>0.47320535940029301</v>
      </c>
      <c r="H2852">
        <v>0.29448053556989801</v>
      </c>
      <c r="I2852">
        <v>0.147253142379553</v>
      </c>
      <c r="J2852">
        <v>0.22972857597482299</v>
      </c>
      <c r="K2852">
        <v>9.6696510309282294E-2</v>
      </c>
      <c r="L2852">
        <v>547.46801424489001</v>
      </c>
      <c r="M2852">
        <v>10.2598192709816</v>
      </c>
      <c r="N2852">
        <v>53.360401120280599</v>
      </c>
      <c r="O2852">
        <v>51.452430451551201</v>
      </c>
      <c r="P2852">
        <v>-4.9872964389935902E-2</v>
      </c>
      <c r="Q2852">
        <v>0</v>
      </c>
      <c r="R2852">
        <v>0.97562373746797704</v>
      </c>
      <c r="S2852" t="s">
        <v>8435</v>
      </c>
      <c r="T2852" t="s">
        <v>11164</v>
      </c>
      <c r="U2852" t="s">
        <v>11164</v>
      </c>
      <c r="V2852" t="s">
        <v>11164</v>
      </c>
      <c r="W2852" t="s">
        <v>13978</v>
      </c>
      <c r="X2852">
        <v>3</v>
      </c>
      <c r="Y2852" t="s">
        <v>19472</v>
      </c>
      <c r="Z2852" t="s">
        <v>25002</v>
      </c>
      <c r="AA2852">
        <v>0.56607000516452222</v>
      </c>
      <c r="AB2852" t="str">
        <f>HYPERLINK("Melting_Curves/meltCurve_Q12872_SFSWAP.pdf", "Melting_Curves/meltCurve_Q12872_SFSWAP.pdf")</f>
        <v>Melting_Curves/meltCurve_Q12872_SFSWAP.pdf</v>
      </c>
    </row>
    <row r="2853" spans="1:28" x14ac:dyDescent="0.25">
      <c r="A2853" t="s">
        <v>2857</v>
      </c>
      <c r="B2853">
        <v>0.99796759195183404</v>
      </c>
      <c r="C2853">
        <v>1.0465368162889599</v>
      </c>
      <c r="D2853">
        <v>1.02116213724609</v>
      </c>
      <c r="E2853">
        <v>0.92650314122717303</v>
      </c>
      <c r="F2853">
        <v>0.51946794244973604</v>
      </c>
      <c r="G2853">
        <v>0.29839361374165702</v>
      </c>
      <c r="H2853">
        <v>0.190522449999601</v>
      </c>
      <c r="I2853">
        <v>0.12538819498603199</v>
      </c>
      <c r="J2853">
        <v>0.104385034305698</v>
      </c>
      <c r="K2853">
        <v>7.3725298123376304E-2</v>
      </c>
      <c r="L2853">
        <v>1196.4591854002299</v>
      </c>
      <c r="M2853">
        <v>23.777719248636</v>
      </c>
      <c r="N2853">
        <v>50.843607067762903</v>
      </c>
      <c r="O2853">
        <v>49.966645000554699</v>
      </c>
      <c r="P2853">
        <v>-0.106017205022788</v>
      </c>
      <c r="Q2853">
        <v>0.10887380908126899</v>
      </c>
      <c r="R2853">
        <v>0.99276107218035903</v>
      </c>
      <c r="S2853" t="s">
        <v>8436</v>
      </c>
      <c r="T2853" t="s">
        <v>11164</v>
      </c>
      <c r="U2853" t="s">
        <v>11164</v>
      </c>
      <c r="V2853" t="s">
        <v>11164</v>
      </c>
      <c r="W2853" t="s">
        <v>13979</v>
      </c>
      <c r="X2853">
        <v>12</v>
      </c>
      <c r="Y2853" t="s">
        <v>19473</v>
      </c>
      <c r="Z2853" t="s">
        <v>25003</v>
      </c>
      <c r="AA2853">
        <v>0.51307869889656432</v>
      </c>
      <c r="AB2853" t="str">
        <f>HYPERLINK("Melting_Curves/meltCurve_Q12874_SF3A3.pdf", "Melting_Curves/meltCurve_Q12874_SF3A3.pdf")</f>
        <v>Melting_Curves/meltCurve_Q12874_SF3A3.pdf</v>
      </c>
    </row>
    <row r="2854" spans="1:28" x14ac:dyDescent="0.25">
      <c r="A2854" t="s">
        <v>2858</v>
      </c>
      <c r="B2854">
        <v>0.99796759195183404</v>
      </c>
      <c r="C2854">
        <v>1.0381456024184099</v>
      </c>
      <c r="D2854">
        <v>1.0238388949583801</v>
      </c>
      <c r="E2854">
        <v>0.90676553577778296</v>
      </c>
      <c r="F2854">
        <v>0.75416638043656903</v>
      </c>
      <c r="G2854">
        <v>0.405441001647734</v>
      </c>
      <c r="H2854">
        <v>0.33314062141187401</v>
      </c>
      <c r="I2854">
        <v>0.29591908620488599</v>
      </c>
      <c r="J2854">
        <v>0.20727379944646901</v>
      </c>
      <c r="K2854">
        <v>0.157078990681745</v>
      </c>
      <c r="L2854">
        <v>1050.36638271229</v>
      </c>
      <c r="M2854">
        <v>20.277047433804299</v>
      </c>
      <c r="N2854">
        <v>53.149103733632003</v>
      </c>
      <c r="O2854">
        <v>51.304817015293899</v>
      </c>
      <c r="P2854">
        <v>-7.8941773544887794E-2</v>
      </c>
      <c r="Q2854">
        <v>0.20107317428892299</v>
      </c>
      <c r="R2854">
        <v>0.98814797972409296</v>
      </c>
      <c r="S2854" t="s">
        <v>8437</v>
      </c>
      <c r="T2854" t="s">
        <v>11164</v>
      </c>
      <c r="U2854" t="s">
        <v>11164</v>
      </c>
      <c r="V2854" t="s">
        <v>11164</v>
      </c>
      <c r="W2854" t="s">
        <v>13980</v>
      </c>
      <c r="X2854">
        <v>19</v>
      </c>
      <c r="Y2854" t="s">
        <v>19474</v>
      </c>
      <c r="Z2854" t="s">
        <v>25004</v>
      </c>
      <c r="AA2854">
        <v>0.60535958545877144</v>
      </c>
      <c r="AB2854" t="str">
        <f>HYPERLINK("Melting_Curves/meltCurve_Q12888_TP53BP1.pdf", "Melting_Curves/meltCurve_Q12888_TP53BP1.pdf")</f>
        <v>Melting_Curves/meltCurve_Q12888_TP53BP1.pdf</v>
      </c>
    </row>
    <row r="2855" spans="1:28" x14ac:dyDescent="0.25">
      <c r="A2855" t="s">
        <v>2859</v>
      </c>
      <c r="B2855">
        <v>0.99796759195183404</v>
      </c>
      <c r="C2855">
        <v>1.31102013106449</v>
      </c>
      <c r="D2855">
        <v>1.1517693005710199</v>
      </c>
      <c r="E2855">
        <v>1.1643514283890699</v>
      </c>
      <c r="F2855">
        <v>1.2923233519581401</v>
      </c>
      <c r="G2855">
        <v>1.18165365059605</v>
      </c>
      <c r="H2855">
        <v>0.82679718944435099</v>
      </c>
      <c r="I2855">
        <v>0.70192793497297301</v>
      </c>
      <c r="J2855">
        <v>0.476051598301997</v>
      </c>
      <c r="K2855">
        <v>0.27952572436583201</v>
      </c>
      <c r="L2855">
        <v>1560.5236109571999</v>
      </c>
      <c r="M2855">
        <v>24.997235132922899</v>
      </c>
      <c r="N2855">
        <v>63.445748926149399</v>
      </c>
      <c r="O2855">
        <v>62.032433208819498</v>
      </c>
      <c r="P2855">
        <v>-8.4102274828609505E-2</v>
      </c>
      <c r="Q2855">
        <v>0.16518789450115401</v>
      </c>
      <c r="R2855">
        <v>0.75361541017892197</v>
      </c>
      <c r="S2855" t="s">
        <v>8438</v>
      </c>
      <c r="T2855" t="s">
        <v>11164</v>
      </c>
      <c r="U2855" t="s">
        <v>11164</v>
      </c>
      <c r="V2855" t="s">
        <v>11164</v>
      </c>
      <c r="W2855" t="s">
        <v>13981</v>
      </c>
      <c r="X2855">
        <v>2</v>
      </c>
      <c r="Y2855" t="s">
        <v>19475</v>
      </c>
      <c r="Z2855" t="s">
        <v>25005</v>
      </c>
      <c r="AA2855">
        <v>0.8673826083562034</v>
      </c>
      <c r="AB2855" t="str">
        <f>HYPERLINK("Melting_Curves/meltCurve_Q12893_TMEM115.pdf", "Melting_Curves/meltCurve_Q12893_TMEM115.pdf")</f>
        <v>Melting_Curves/meltCurve_Q12893_TMEM115.pdf</v>
      </c>
    </row>
    <row r="2856" spans="1:28" x14ac:dyDescent="0.25">
      <c r="A2856" t="s">
        <v>2860</v>
      </c>
      <c r="B2856">
        <v>0.99796759195183404</v>
      </c>
      <c r="C2856">
        <v>0.96985483284497498</v>
      </c>
      <c r="D2856">
        <v>0.96349783587743698</v>
      </c>
      <c r="E2856">
        <v>0.83579639200422795</v>
      </c>
      <c r="F2856">
        <v>0.71939968455889802</v>
      </c>
      <c r="G2856">
        <v>0.54198875029779003</v>
      </c>
      <c r="H2856">
        <v>0.37780911413223001</v>
      </c>
      <c r="I2856">
        <v>0.37698979203392602</v>
      </c>
      <c r="J2856">
        <v>0.241124196366165</v>
      </c>
      <c r="K2856">
        <v>0.22294476965072299</v>
      </c>
      <c r="L2856">
        <v>588.91737115291699</v>
      </c>
      <c r="M2856">
        <v>11.093659853967299</v>
      </c>
      <c r="N2856">
        <v>54.9110164157361</v>
      </c>
      <c r="O2856">
        <v>51.448536902915201</v>
      </c>
      <c r="P2856">
        <v>-4.5609597597353502E-2</v>
      </c>
      <c r="Q2856">
        <v>0.154190371261756</v>
      </c>
      <c r="R2856">
        <v>0.99272446988507701</v>
      </c>
      <c r="S2856" t="s">
        <v>8439</v>
      </c>
      <c r="T2856" t="s">
        <v>11164</v>
      </c>
      <c r="U2856" t="s">
        <v>11164</v>
      </c>
      <c r="V2856" t="s">
        <v>11164</v>
      </c>
      <c r="W2856" t="s">
        <v>13982</v>
      </c>
      <c r="X2856">
        <v>8</v>
      </c>
      <c r="Y2856" t="s">
        <v>19476</v>
      </c>
      <c r="Z2856" t="s">
        <v>25006</v>
      </c>
      <c r="AA2856">
        <v>0.62590887617808799</v>
      </c>
      <c r="AB2856" t="str">
        <f>HYPERLINK("Melting_Curves/meltCurve_Q12904_AIMP1.pdf", "Melting_Curves/meltCurve_Q12904_AIMP1.pdf")</f>
        <v>Melting_Curves/meltCurve_Q12904_AIMP1.pdf</v>
      </c>
    </row>
    <row r="2857" spans="1:28" x14ac:dyDescent="0.25">
      <c r="A2857" t="s">
        <v>2861</v>
      </c>
      <c r="B2857">
        <v>0.99796759195183404</v>
      </c>
      <c r="C2857">
        <v>0.89124231280117705</v>
      </c>
      <c r="D2857">
        <v>0.85072449483125701</v>
      </c>
      <c r="E2857">
        <v>0.65466348202798397</v>
      </c>
      <c r="F2857">
        <v>0.55750514536981099</v>
      </c>
      <c r="G2857">
        <v>0.49288235542672398</v>
      </c>
      <c r="H2857">
        <v>0.44687321671066799</v>
      </c>
      <c r="I2857">
        <v>0.36490341339292298</v>
      </c>
      <c r="J2857">
        <v>0.24654106103197901</v>
      </c>
      <c r="K2857">
        <v>8.35716170489368E-2</v>
      </c>
      <c r="L2857">
        <v>353.36369634198098</v>
      </c>
      <c r="M2857">
        <v>6.6560856990647403</v>
      </c>
      <c r="N2857">
        <v>53.088814098242601</v>
      </c>
      <c r="O2857">
        <v>48.911299169314198</v>
      </c>
      <c r="P2857">
        <v>-3.4097019588047402E-2</v>
      </c>
      <c r="Q2857">
        <v>0</v>
      </c>
      <c r="R2857">
        <v>0.95897737099976099</v>
      </c>
      <c r="S2857" t="s">
        <v>8440</v>
      </c>
      <c r="T2857" t="s">
        <v>11164</v>
      </c>
      <c r="U2857" t="s">
        <v>11164</v>
      </c>
      <c r="V2857" t="s">
        <v>11164</v>
      </c>
      <c r="W2857" t="s">
        <v>13983</v>
      </c>
      <c r="X2857">
        <v>5</v>
      </c>
      <c r="Y2857" t="s">
        <v>19477</v>
      </c>
      <c r="Z2857" t="s">
        <v>25007</v>
      </c>
      <c r="AA2857">
        <v>0.55502867852318105</v>
      </c>
      <c r="AB2857" t="str">
        <f>HYPERLINK("Melting_Curves/meltCurve_Q12905_ILF2.pdf", "Melting_Curves/meltCurve_Q12905_ILF2.pdf")</f>
        <v>Melting_Curves/meltCurve_Q12905_ILF2.pdf</v>
      </c>
    </row>
    <row r="2858" spans="1:28" x14ac:dyDescent="0.25">
      <c r="A2858" t="s">
        <v>2862</v>
      </c>
      <c r="B2858">
        <v>0.99796759195183404</v>
      </c>
      <c r="C2858">
        <v>0.91152454506344305</v>
      </c>
      <c r="D2858">
        <v>0.96237372536938903</v>
      </c>
      <c r="E2858">
        <v>0.943270933413213</v>
      </c>
      <c r="F2858">
        <v>0.84800923306194798</v>
      </c>
      <c r="G2858">
        <v>0.92823938048913301</v>
      </c>
      <c r="H2858">
        <v>1.0873600509519601</v>
      </c>
      <c r="I2858">
        <v>0.74124562791151705</v>
      </c>
      <c r="J2858">
        <v>0.27000160472050899</v>
      </c>
      <c r="K2858">
        <v>0.175045183481737</v>
      </c>
      <c r="L2858">
        <v>3870.3455761662799</v>
      </c>
      <c r="M2858">
        <v>62.623481982287601</v>
      </c>
      <c r="N2858">
        <v>62.242319156140397</v>
      </c>
      <c r="O2858">
        <v>61.7404934653118</v>
      </c>
      <c r="P2858">
        <v>-0.20831450621294401</v>
      </c>
      <c r="Q2858">
        <v>0.178491168705913</v>
      </c>
      <c r="R2858">
        <v>0.94286280208951101</v>
      </c>
      <c r="S2858" t="s">
        <v>8441</v>
      </c>
      <c r="T2858" t="s">
        <v>11164</v>
      </c>
      <c r="U2858" t="s">
        <v>11164</v>
      </c>
      <c r="V2858" t="s">
        <v>11164</v>
      </c>
      <c r="W2858" t="s">
        <v>13984</v>
      </c>
      <c r="X2858">
        <v>8</v>
      </c>
      <c r="Y2858" t="s">
        <v>19478</v>
      </c>
      <c r="Z2858" t="s">
        <v>25008</v>
      </c>
      <c r="AA2858">
        <v>0.85886873955885368</v>
      </c>
      <c r="AB2858" t="str">
        <f>HYPERLINK("Melting_Curves/meltCurve_Q12906_ILF3.pdf", "Melting_Curves/meltCurve_Q12906_ILF3.pdf")</f>
        <v>Melting_Curves/meltCurve_Q12906_ILF3.pdf</v>
      </c>
    </row>
    <row r="2859" spans="1:28" x14ac:dyDescent="0.25">
      <c r="A2859" t="s">
        <v>2863</v>
      </c>
      <c r="B2859">
        <v>0.99796759195183404</v>
      </c>
      <c r="C2859">
        <v>1.0292950583009</v>
      </c>
      <c r="D2859">
        <v>1.03771828487849</v>
      </c>
      <c r="E2859">
        <v>0.97159054223085295</v>
      </c>
      <c r="F2859">
        <v>0.92094496984846597</v>
      </c>
      <c r="G2859">
        <v>0.53825483466803203</v>
      </c>
      <c r="H2859">
        <v>0.33299803942866502</v>
      </c>
      <c r="I2859">
        <v>0.25492531978563998</v>
      </c>
      <c r="J2859">
        <v>0.16884450743158899</v>
      </c>
      <c r="K2859">
        <v>0.13586693777584399</v>
      </c>
      <c r="L2859">
        <v>1331.6488994096501</v>
      </c>
      <c r="M2859">
        <v>24.768881663757799</v>
      </c>
      <c r="N2859">
        <v>54.655583871018301</v>
      </c>
      <c r="O2859">
        <v>53.416208232933101</v>
      </c>
      <c r="P2859">
        <v>-9.6641569974718497E-2</v>
      </c>
      <c r="Q2859">
        <v>0.166348441622751</v>
      </c>
      <c r="R2859">
        <v>0.99236820031391604</v>
      </c>
      <c r="S2859" t="s">
        <v>8442</v>
      </c>
      <c r="T2859" t="s">
        <v>11164</v>
      </c>
      <c r="U2859" t="s">
        <v>11164</v>
      </c>
      <c r="V2859" t="s">
        <v>11164</v>
      </c>
      <c r="W2859" t="s">
        <v>13985</v>
      </c>
      <c r="X2859">
        <v>12</v>
      </c>
      <c r="Y2859" t="s">
        <v>19479</v>
      </c>
      <c r="Z2859" t="s">
        <v>25009</v>
      </c>
      <c r="AA2859">
        <v>0.63958347256272696</v>
      </c>
      <c r="AB2859" t="str">
        <f>HYPERLINK("Melting_Curves/meltCurve_Q12907_LMAN2.pdf", "Melting_Curves/meltCurve_Q12907_LMAN2.pdf")</f>
        <v>Melting_Curves/meltCurve_Q12907_LMAN2.pdf</v>
      </c>
    </row>
    <row r="2860" spans="1:28" x14ac:dyDescent="0.25">
      <c r="A2860" t="s">
        <v>2864</v>
      </c>
      <c r="B2860">
        <v>0.99796759195183404</v>
      </c>
      <c r="C2860">
        <v>0.90971571412168295</v>
      </c>
      <c r="D2860">
        <v>0.92669110732368898</v>
      </c>
      <c r="E2860">
        <v>0.89660453766788295</v>
      </c>
      <c r="F2860">
        <v>0.760084300940157</v>
      </c>
      <c r="G2860">
        <v>0.37600995124249598</v>
      </c>
      <c r="H2860">
        <v>0.30160943085724601</v>
      </c>
      <c r="I2860">
        <v>0.19690934626165099</v>
      </c>
      <c r="J2860">
        <v>0.17500305837831701</v>
      </c>
      <c r="K2860">
        <v>0.15188053618963199</v>
      </c>
      <c r="L2860">
        <v>999.51548602337198</v>
      </c>
      <c r="M2860">
        <v>19.267300348349501</v>
      </c>
      <c r="N2860">
        <v>52.863941205753498</v>
      </c>
      <c r="O2860">
        <v>51.3271261198216</v>
      </c>
      <c r="P2860">
        <v>-7.9663398919519707E-2</v>
      </c>
      <c r="Q2860">
        <v>0.15115473476249999</v>
      </c>
      <c r="R2860">
        <v>0.98352727803021001</v>
      </c>
      <c r="S2860" t="s">
        <v>8443</v>
      </c>
      <c r="T2860" t="s">
        <v>11164</v>
      </c>
      <c r="U2860" t="s">
        <v>11164</v>
      </c>
      <c r="V2860" t="s">
        <v>11164</v>
      </c>
      <c r="W2860" t="s">
        <v>13986</v>
      </c>
      <c r="X2860">
        <v>7</v>
      </c>
      <c r="Y2860" t="s">
        <v>19480</v>
      </c>
      <c r="Z2860" t="s">
        <v>25010</v>
      </c>
      <c r="AA2860">
        <v>0.58371962280500955</v>
      </c>
      <c r="AB2860" t="str">
        <f>HYPERLINK("Melting_Curves/meltCurve_Q12929_EPS8.pdf", "Melting_Curves/meltCurve_Q12929_EPS8.pdf")</f>
        <v>Melting_Curves/meltCurve_Q12929_EPS8.pdf</v>
      </c>
    </row>
    <row r="2861" spans="1:28" x14ac:dyDescent="0.25">
      <c r="A2861" t="s">
        <v>2865</v>
      </c>
      <c r="B2861">
        <v>0.99796759195183404</v>
      </c>
      <c r="C2861">
        <v>1.01526956083491</v>
      </c>
      <c r="D2861">
        <v>1.01735922947285</v>
      </c>
      <c r="E2861">
        <v>0.97939555525619304</v>
      </c>
      <c r="F2861">
        <v>0.85343567951662302</v>
      </c>
      <c r="G2861">
        <v>1.15974850786893</v>
      </c>
      <c r="H2861">
        <v>0.76608622439422103</v>
      </c>
      <c r="I2861">
        <v>0.16578061400982999</v>
      </c>
      <c r="J2861">
        <v>0.109905712751464</v>
      </c>
      <c r="K2861">
        <v>7.05427599768189E-2</v>
      </c>
      <c r="L2861">
        <v>3656.6170831929999</v>
      </c>
      <c r="M2861">
        <v>62.598993477311197</v>
      </c>
      <c r="N2861">
        <v>58.607296140703198</v>
      </c>
      <c r="O2861">
        <v>58.353827680833298</v>
      </c>
      <c r="P2861">
        <v>-0.24309776775616099</v>
      </c>
      <c r="Q2861">
        <v>9.3552177388457503E-2</v>
      </c>
      <c r="R2861">
        <v>0.96924766833718601</v>
      </c>
      <c r="S2861" t="s">
        <v>8444</v>
      </c>
      <c r="T2861" t="s">
        <v>11164</v>
      </c>
      <c r="U2861" t="s">
        <v>11164</v>
      </c>
      <c r="V2861" t="s">
        <v>11164</v>
      </c>
      <c r="W2861" t="s">
        <v>13987</v>
      </c>
      <c r="X2861">
        <v>11</v>
      </c>
      <c r="Y2861" t="s">
        <v>19481</v>
      </c>
      <c r="Z2861" t="s">
        <v>25011</v>
      </c>
      <c r="AA2861">
        <v>0.74202946480807119</v>
      </c>
      <c r="AB2861" t="str">
        <f>HYPERLINK("Melting_Curves/meltCurve_Q12933_3_TRAF2.pdf", "Melting_Curves/meltCurve_Q12933_3_TRAF2.pdf")</f>
        <v>Melting_Curves/meltCurve_Q12933_3_TRAF2.pdf</v>
      </c>
    </row>
    <row r="2862" spans="1:28" x14ac:dyDescent="0.25">
      <c r="A2862" t="s">
        <v>2866</v>
      </c>
      <c r="B2862">
        <v>0.99796759195183404</v>
      </c>
      <c r="C2862">
        <v>0.90801888352091598</v>
      </c>
      <c r="D2862">
        <v>0.93877943183891299</v>
      </c>
      <c r="E2862">
        <v>0.83294207240144003</v>
      </c>
      <c r="F2862">
        <v>0.66802653062707296</v>
      </c>
      <c r="G2862">
        <v>0.26781024617147697</v>
      </c>
      <c r="H2862">
        <v>0.17419616353589601</v>
      </c>
      <c r="I2862">
        <v>0.15435470057150699</v>
      </c>
      <c r="J2862">
        <v>0.10897562675919099</v>
      </c>
      <c r="K2862">
        <v>9.6516511716672804E-2</v>
      </c>
      <c r="L2862">
        <v>988.55847391461998</v>
      </c>
      <c r="M2862">
        <v>19.439856279303498</v>
      </c>
      <c r="N2862">
        <v>51.385700575506199</v>
      </c>
      <c r="O2862">
        <v>50.323187944214801</v>
      </c>
      <c r="P2862">
        <v>-8.7752036177762796E-2</v>
      </c>
      <c r="Q2862">
        <v>9.1391833911392301E-2</v>
      </c>
      <c r="R2862">
        <v>0.98616632358561296</v>
      </c>
      <c r="S2862" t="s">
        <v>8445</v>
      </c>
      <c r="T2862" t="s">
        <v>11164</v>
      </c>
      <c r="U2862" t="s">
        <v>11164</v>
      </c>
      <c r="V2862" t="s">
        <v>11164</v>
      </c>
      <c r="W2862" t="s">
        <v>13988</v>
      </c>
      <c r="X2862">
        <v>2</v>
      </c>
      <c r="Y2862" t="s">
        <v>19482</v>
      </c>
      <c r="Z2862" t="s">
        <v>25012</v>
      </c>
      <c r="AA2862">
        <v>0.52341919701149453</v>
      </c>
      <c r="AB2862" t="str">
        <f>HYPERLINK("Melting_Curves/meltCurve_Q12948_FOXC1.pdf", "Melting_Curves/meltCurve_Q12948_FOXC1.pdf")</f>
        <v>Melting_Curves/meltCurve_Q12948_FOXC1.pdf</v>
      </c>
    </row>
    <row r="2863" spans="1:28" x14ac:dyDescent="0.25">
      <c r="A2863" t="s">
        <v>2867</v>
      </c>
      <c r="B2863">
        <v>0.99796759195183404</v>
      </c>
      <c r="C2863">
        <v>0.96902232493828899</v>
      </c>
      <c r="D2863">
        <v>0.87737048999973299</v>
      </c>
      <c r="E2863">
        <v>0.861436315734178</v>
      </c>
      <c r="F2863">
        <v>0.71525157831528696</v>
      </c>
      <c r="G2863">
        <v>0.85068386585599098</v>
      </c>
      <c r="H2863">
        <v>0.37622581725367499</v>
      </c>
      <c r="I2863">
        <v>0.23395779599543801</v>
      </c>
      <c r="J2863">
        <v>0.12472421019105601</v>
      </c>
      <c r="K2863">
        <v>8.4206495418525901E-2</v>
      </c>
      <c r="L2863">
        <v>768.00929124569495</v>
      </c>
      <c r="M2863">
        <v>13.6594451462866</v>
      </c>
      <c r="N2863">
        <v>56.225511885867398</v>
      </c>
      <c r="O2863">
        <v>55.061491922412699</v>
      </c>
      <c r="P2863">
        <v>-6.2028080804324301E-2</v>
      </c>
      <c r="Q2863">
        <v>0</v>
      </c>
      <c r="R2863">
        <v>0.93333018079297703</v>
      </c>
      <c r="S2863" t="s">
        <v>8446</v>
      </c>
      <c r="T2863" t="s">
        <v>11164</v>
      </c>
      <c r="U2863" t="s">
        <v>11164</v>
      </c>
      <c r="V2863" t="s">
        <v>11164</v>
      </c>
      <c r="W2863" t="s">
        <v>13989</v>
      </c>
      <c r="X2863">
        <v>12</v>
      </c>
      <c r="Y2863" t="s">
        <v>19483</v>
      </c>
      <c r="Z2863" t="s">
        <v>25013</v>
      </c>
      <c r="AA2863">
        <v>0.651122033510246</v>
      </c>
      <c r="AB2863" t="str">
        <f>HYPERLINK("Melting_Curves/meltCurve_Q12955_6_ANK3.pdf", "Melting_Curves/meltCurve_Q12955_6_ANK3.pdf")</f>
        <v>Melting_Curves/meltCurve_Q12955_6_ANK3.pdf</v>
      </c>
    </row>
    <row r="2864" spans="1:28" x14ac:dyDescent="0.25">
      <c r="A2864" t="s">
        <v>2868</v>
      </c>
      <c r="B2864">
        <v>0.99796759195183404</v>
      </c>
      <c r="C2864">
        <v>0.98520632886493698</v>
      </c>
      <c r="D2864">
        <v>0.96222959075255798</v>
      </c>
      <c r="E2864">
        <v>0.96085972215341098</v>
      </c>
      <c r="F2864">
        <v>0.76553532068455199</v>
      </c>
      <c r="G2864">
        <v>0.68886564963810903</v>
      </c>
      <c r="H2864">
        <v>0.41077061502443601</v>
      </c>
      <c r="I2864">
        <v>0.233698362306485</v>
      </c>
      <c r="J2864">
        <v>0.176022789115305</v>
      </c>
      <c r="K2864">
        <v>0.147025472571503</v>
      </c>
      <c r="L2864">
        <v>763.31465560978404</v>
      </c>
      <c r="M2864">
        <v>13.72698986756</v>
      </c>
      <c r="N2864">
        <v>55.983035823163199</v>
      </c>
      <c r="O2864">
        <v>54.466558778106297</v>
      </c>
      <c r="P2864">
        <v>-6.02392275872198E-2</v>
      </c>
      <c r="Q2864">
        <v>4.40571098581099E-2</v>
      </c>
      <c r="R2864">
        <v>0.99206496715186299</v>
      </c>
      <c r="S2864" t="s">
        <v>8447</v>
      </c>
      <c r="T2864" t="s">
        <v>11164</v>
      </c>
      <c r="U2864" t="s">
        <v>11164</v>
      </c>
      <c r="V2864" t="s">
        <v>11164</v>
      </c>
      <c r="W2864" t="s">
        <v>13990</v>
      </c>
      <c r="X2864">
        <v>6</v>
      </c>
      <c r="Y2864" t="s">
        <v>19484</v>
      </c>
      <c r="Z2864" t="s">
        <v>25014</v>
      </c>
      <c r="AA2864">
        <v>0.64891850471377432</v>
      </c>
      <c r="AB2864" t="str">
        <f>HYPERLINK("Melting_Curves/meltCurve_Q12959_5_DLG1.pdf", "Melting_Curves/meltCurve_Q12959_5_DLG1.pdf")</f>
        <v>Melting_Curves/meltCurve_Q12959_5_DLG1.pdf</v>
      </c>
    </row>
    <row r="2865" spans="1:28" x14ac:dyDescent="0.25">
      <c r="A2865" t="s">
        <v>2869</v>
      </c>
      <c r="B2865">
        <v>0.99796759195183404</v>
      </c>
      <c r="C2865">
        <v>0.94481137597104803</v>
      </c>
      <c r="D2865">
        <v>0.91566078335864298</v>
      </c>
      <c r="E2865">
        <v>0.90828386129008698</v>
      </c>
      <c r="F2865">
        <v>0.83171661064484304</v>
      </c>
      <c r="G2865">
        <v>0.64387155014216602</v>
      </c>
      <c r="H2865">
        <v>0.67274597150153703</v>
      </c>
      <c r="I2865">
        <v>0.60555021553947097</v>
      </c>
      <c r="J2865">
        <v>0.65992923458677</v>
      </c>
      <c r="K2865">
        <v>0.64324774548033004</v>
      </c>
      <c r="L2865">
        <v>708.12793001659099</v>
      </c>
      <c r="M2865">
        <v>14.3501014809585</v>
      </c>
      <c r="O2865">
        <v>48.417954806063001</v>
      </c>
      <c r="P2865">
        <v>-2.8357488615022401E-2</v>
      </c>
      <c r="Q2865">
        <v>0.61732786715342902</v>
      </c>
      <c r="R2865">
        <v>0.93773616989822794</v>
      </c>
      <c r="S2865" t="s">
        <v>8448</v>
      </c>
      <c r="T2865" t="s">
        <v>11164</v>
      </c>
      <c r="U2865" t="s">
        <v>11164</v>
      </c>
      <c r="V2865" t="s">
        <v>11164</v>
      </c>
      <c r="W2865" t="s">
        <v>13991</v>
      </c>
      <c r="X2865">
        <v>5</v>
      </c>
      <c r="Y2865" t="s">
        <v>19485</v>
      </c>
      <c r="Z2865" t="s">
        <v>25015</v>
      </c>
      <c r="AA2865">
        <v>0.78353563593108833</v>
      </c>
      <c r="AB2865" t="str">
        <f>HYPERLINK("Melting_Curves/meltCurve_Q12962_TAF10.pdf", "Melting_Curves/meltCurve_Q12962_TAF10.pdf")</f>
        <v>Melting_Curves/meltCurve_Q12962_TAF10.pdf</v>
      </c>
    </row>
    <row r="2866" spans="1:28" x14ac:dyDescent="0.25">
      <c r="A2866" t="s">
        <v>2870</v>
      </c>
      <c r="B2866">
        <v>0.99796759195183404</v>
      </c>
      <c r="C2866">
        <v>1.0676715688601399</v>
      </c>
      <c r="D2866">
        <v>1.0491676319652301</v>
      </c>
      <c r="E2866">
        <v>1.0197879500882301</v>
      </c>
      <c r="F2866">
        <v>0.84905255860534401</v>
      </c>
      <c r="G2866">
        <v>0.40186604028724099</v>
      </c>
      <c r="H2866">
        <v>0.189931528579971</v>
      </c>
      <c r="I2866">
        <v>0.16630355204668501</v>
      </c>
      <c r="J2866">
        <v>0.107597992970024</v>
      </c>
      <c r="K2866">
        <v>8.2969458660527004E-2</v>
      </c>
      <c r="L2866">
        <v>1697.2785935239899</v>
      </c>
      <c r="M2866">
        <v>32.242800689622001</v>
      </c>
      <c r="N2866">
        <v>53.0803244391495</v>
      </c>
      <c r="O2866">
        <v>52.4393066951368</v>
      </c>
      <c r="P2866">
        <v>-0.13569815843421101</v>
      </c>
      <c r="Q2866">
        <v>0.11721309090854599</v>
      </c>
      <c r="R2866">
        <v>0.99339449037944505</v>
      </c>
      <c r="S2866" t="s">
        <v>8449</v>
      </c>
      <c r="T2866" t="s">
        <v>11164</v>
      </c>
      <c r="U2866" t="s">
        <v>11164</v>
      </c>
      <c r="V2866" t="s">
        <v>11164</v>
      </c>
      <c r="W2866" t="s">
        <v>13992</v>
      </c>
      <c r="X2866">
        <v>7</v>
      </c>
      <c r="Y2866" t="s">
        <v>19486</v>
      </c>
      <c r="Z2866" t="s">
        <v>25016</v>
      </c>
      <c r="AA2866">
        <v>0.58233996731863791</v>
      </c>
      <c r="AB2866" t="str">
        <f>HYPERLINK("Melting_Curves/meltCurve_Q12965_MYO1E.pdf", "Melting_Curves/meltCurve_Q12965_MYO1E.pdf")</f>
        <v>Melting_Curves/meltCurve_Q12965_MYO1E.pdf</v>
      </c>
    </row>
    <row r="2867" spans="1:28" x14ac:dyDescent="0.25">
      <c r="A2867" t="s">
        <v>2871</v>
      </c>
      <c r="B2867">
        <v>0.99796759195183404</v>
      </c>
      <c r="C2867">
        <v>1.0195684410005199</v>
      </c>
      <c r="D2867">
        <v>1.04916479050536</v>
      </c>
      <c r="E2867">
        <v>0.96476485648976595</v>
      </c>
      <c r="F2867">
        <v>0.90289485752481002</v>
      </c>
      <c r="G2867">
        <v>0.58044978453688101</v>
      </c>
      <c r="H2867">
        <v>0.36328275747727001</v>
      </c>
      <c r="I2867">
        <v>0.27724675152420297</v>
      </c>
      <c r="J2867">
        <v>0.24837460129749001</v>
      </c>
      <c r="K2867">
        <v>0.17151533665628099</v>
      </c>
      <c r="L2867">
        <v>1266.75333944269</v>
      </c>
      <c r="M2867">
        <v>23.545201622010001</v>
      </c>
      <c r="N2867">
        <v>55.055915603782402</v>
      </c>
      <c r="O2867">
        <v>53.417326869929298</v>
      </c>
      <c r="P2867">
        <v>-8.7312308795534699E-2</v>
      </c>
      <c r="Q2867">
        <v>0.20766691137273999</v>
      </c>
      <c r="R2867">
        <v>0.99368255938515004</v>
      </c>
      <c r="S2867" t="s">
        <v>8450</v>
      </c>
      <c r="T2867" t="s">
        <v>11164</v>
      </c>
      <c r="U2867" t="s">
        <v>11164</v>
      </c>
      <c r="V2867" t="s">
        <v>11164</v>
      </c>
      <c r="W2867" t="s">
        <v>13993</v>
      </c>
      <c r="X2867">
        <v>12</v>
      </c>
      <c r="Y2867" t="s">
        <v>19487</v>
      </c>
      <c r="Z2867" t="s">
        <v>25017</v>
      </c>
      <c r="AA2867">
        <v>0.65903782957381052</v>
      </c>
      <c r="AB2867" t="str">
        <f>HYPERLINK("Melting_Curves/meltCurve_Q12972_PPP1R8.pdf", "Melting_Curves/meltCurve_Q12972_PPP1R8.pdf")</f>
        <v>Melting_Curves/meltCurve_Q12972_PPP1R8.pdf</v>
      </c>
    </row>
    <row r="2868" spans="1:28" x14ac:dyDescent="0.25">
      <c r="A2868" t="s">
        <v>2872</v>
      </c>
      <c r="B2868">
        <v>0.99796759195183404</v>
      </c>
      <c r="C2868">
        <v>0.90477425155871105</v>
      </c>
      <c r="D2868">
        <v>0.81869338887075105</v>
      </c>
      <c r="E2868">
        <v>0.85892586410418603</v>
      </c>
      <c r="F2868">
        <v>0.92321225296331699</v>
      </c>
      <c r="G2868">
        <v>0.70003850233649101</v>
      </c>
      <c r="H2868">
        <v>0.514607981341762</v>
      </c>
      <c r="I2868">
        <v>0.49391341089464003</v>
      </c>
      <c r="J2868">
        <v>0.48441600745865099</v>
      </c>
      <c r="K2868">
        <v>0.39221940986904202</v>
      </c>
      <c r="L2868">
        <v>339.90382138876799</v>
      </c>
      <c r="M2868">
        <v>5.5087534337900799</v>
      </c>
      <c r="N2868">
        <v>61.7024932177426</v>
      </c>
      <c r="O2868">
        <v>54.999547676667397</v>
      </c>
      <c r="P2868">
        <v>-2.5149677925094399E-2</v>
      </c>
      <c r="Q2868">
        <v>0</v>
      </c>
      <c r="R2868">
        <v>0.90272976794252802</v>
      </c>
      <c r="S2868" t="s">
        <v>8451</v>
      </c>
      <c r="T2868" t="s">
        <v>11164</v>
      </c>
      <c r="U2868" t="s">
        <v>11164</v>
      </c>
      <c r="V2868" t="s">
        <v>11164</v>
      </c>
      <c r="W2868" t="s">
        <v>13994</v>
      </c>
      <c r="X2868">
        <v>12</v>
      </c>
      <c r="Y2868" t="s">
        <v>19487</v>
      </c>
      <c r="Z2868" t="s">
        <v>25018</v>
      </c>
      <c r="AA2868">
        <v>0.71818434682108834</v>
      </c>
      <c r="AB2868" t="str">
        <f>HYPERLINK("Melting_Curves/meltCurve_Q12972_2_PPP1R8.pdf", "Melting_Curves/meltCurve_Q12972_2_PPP1R8.pdf")</f>
        <v>Melting_Curves/meltCurve_Q12972_2_PPP1R8.pdf</v>
      </c>
    </row>
    <row r="2869" spans="1:28" x14ac:dyDescent="0.25">
      <c r="A2869" t="s">
        <v>2873</v>
      </c>
      <c r="B2869">
        <v>0.99796759195183404</v>
      </c>
      <c r="C2869">
        <v>0.94827727185466204</v>
      </c>
      <c r="D2869">
        <v>0.91206882002982403</v>
      </c>
      <c r="E2869">
        <v>0.79962497235706798</v>
      </c>
      <c r="F2869">
        <v>0.82446798760156503</v>
      </c>
      <c r="G2869">
        <v>0.56476207945560697</v>
      </c>
      <c r="H2869">
        <v>0.34908452832523401</v>
      </c>
      <c r="I2869">
        <v>0.224113807011975</v>
      </c>
      <c r="J2869">
        <v>0.16126399866760499</v>
      </c>
      <c r="K2869">
        <v>0.11477454957673899</v>
      </c>
      <c r="L2869">
        <v>618.42549689786404</v>
      </c>
      <c r="M2869">
        <v>11.285945930667999</v>
      </c>
      <c r="N2869">
        <v>54.796054485672201</v>
      </c>
      <c r="O2869">
        <v>53.160223588924097</v>
      </c>
      <c r="P2869">
        <v>-5.3091363174246099E-2</v>
      </c>
      <c r="Q2869">
        <v>0</v>
      </c>
      <c r="R2869">
        <v>0.98329250501044896</v>
      </c>
      <c r="S2869" t="s">
        <v>8452</v>
      </c>
      <c r="T2869" t="s">
        <v>11164</v>
      </c>
      <c r="U2869" t="s">
        <v>11164</v>
      </c>
      <c r="V2869" t="s">
        <v>11164</v>
      </c>
      <c r="W2869" t="s">
        <v>13995</v>
      </c>
      <c r="X2869">
        <v>4</v>
      </c>
      <c r="Y2869" t="s">
        <v>19488</v>
      </c>
      <c r="Z2869" t="s">
        <v>25019</v>
      </c>
      <c r="AA2869">
        <v>0.60786278378662961</v>
      </c>
      <c r="AB2869" t="str">
        <f>HYPERLINK("Melting_Curves/meltCurve_Q12981_BNIP1.pdf", "Melting_Curves/meltCurve_Q12981_BNIP1.pdf")</f>
        <v>Melting_Curves/meltCurve_Q12981_BNIP1.pdf</v>
      </c>
    </row>
    <row r="2870" spans="1:28" x14ac:dyDescent="0.25">
      <c r="A2870" t="s">
        <v>2874</v>
      </c>
      <c r="B2870">
        <v>0.99796759195183404</v>
      </c>
      <c r="C2870">
        <v>1.03562636409598</v>
      </c>
      <c r="D2870">
        <v>0.96602669931130003</v>
      </c>
      <c r="E2870">
        <v>0.92544627631778698</v>
      </c>
      <c r="F2870">
        <v>0.79228705873500505</v>
      </c>
      <c r="G2870">
        <v>2.1812916494912802</v>
      </c>
      <c r="H2870">
        <v>0.81497617509556697</v>
      </c>
      <c r="I2870">
        <v>0.22392576185789501</v>
      </c>
      <c r="J2870">
        <v>0.128543030829987</v>
      </c>
      <c r="K2870">
        <v>0.141800717655823</v>
      </c>
      <c r="L2870">
        <v>5036.1328292662201</v>
      </c>
      <c r="M2870">
        <v>86.389870087127207</v>
      </c>
      <c r="N2870">
        <v>58.5525285688786</v>
      </c>
      <c r="O2870">
        <v>58.264209935857501</v>
      </c>
      <c r="P2870">
        <v>-0.31216939595156501</v>
      </c>
      <c r="Q2870">
        <v>0.15785051350346399</v>
      </c>
      <c r="R2870">
        <v>0.55442710693956199</v>
      </c>
      <c r="S2870" t="s">
        <v>8453</v>
      </c>
      <c r="T2870" t="s">
        <v>11164</v>
      </c>
      <c r="U2870" t="s">
        <v>11164</v>
      </c>
      <c r="V2870" t="s">
        <v>11164</v>
      </c>
      <c r="W2870" t="s">
        <v>13996</v>
      </c>
      <c r="X2870">
        <v>5</v>
      </c>
      <c r="Y2870" t="s">
        <v>19489</v>
      </c>
      <c r="Z2870" t="s">
        <v>25020</v>
      </c>
      <c r="AA2870">
        <v>0.75637014105985467</v>
      </c>
      <c r="AB2870" t="str">
        <f>HYPERLINK("Melting_Curves/meltCurve_Q12996_CSTF3.pdf", "Melting_Curves/meltCurve_Q12996_CSTF3.pdf")</f>
        <v>Melting_Curves/meltCurve_Q12996_CSTF3.pdf</v>
      </c>
    </row>
    <row r="2871" spans="1:28" x14ac:dyDescent="0.25">
      <c r="A2871" t="s">
        <v>2875</v>
      </c>
      <c r="B2871">
        <v>0.99796759195183404</v>
      </c>
      <c r="C2871">
        <v>1.02164646588216</v>
      </c>
      <c r="D2871">
        <v>0.98016444203087105</v>
      </c>
      <c r="E2871">
        <v>0.92897250842771995</v>
      </c>
      <c r="F2871">
        <v>0.87718629177576601</v>
      </c>
      <c r="G2871">
        <v>1.4444421665920399</v>
      </c>
      <c r="H2871">
        <v>0.91296083044093002</v>
      </c>
      <c r="I2871">
        <v>0.20404345985212999</v>
      </c>
      <c r="J2871">
        <v>0.14652004208460401</v>
      </c>
      <c r="K2871">
        <v>0.10194995946270199</v>
      </c>
      <c r="L2871">
        <v>4480.3338516482099</v>
      </c>
      <c r="M2871">
        <v>75.774549448230701</v>
      </c>
      <c r="N2871">
        <v>59.350026706267499</v>
      </c>
      <c r="O2871">
        <v>59.086016395547603</v>
      </c>
      <c r="P2871">
        <v>-0.28091272570354098</v>
      </c>
      <c r="Q2871">
        <v>0.123821319881826</v>
      </c>
      <c r="R2871">
        <v>0.87959155481128404</v>
      </c>
      <c r="S2871" t="s">
        <v>8454</v>
      </c>
      <c r="T2871" t="s">
        <v>11164</v>
      </c>
      <c r="U2871" t="s">
        <v>11164</v>
      </c>
      <c r="V2871" t="s">
        <v>11164</v>
      </c>
      <c r="W2871" t="s">
        <v>13997</v>
      </c>
      <c r="X2871">
        <v>11</v>
      </c>
      <c r="Y2871" t="s">
        <v>19490</v>
      </c>
      <c r="Z2871" t="s">
        <v>25021</v>
      </c>
      <c r="AA2871">
        <v>0.77105389513424283</v>
      </c>
      <c r="AB2871" t="str">
        <f>HYPERLINK("Melting_Curves/meltCurve_Q13011_ECH1.pdf", "Melting_Curves/meltCurve_Q13011_ECH1.pdf")</f>
        <v>Melting_Curves/meltCurve_Q13011_ECH1.pdf</v>
      </c>
    </row>
    <row r="2872" spans="1:28" x14ac:dyDescent="0.25">
      <c r="A2872" t="s">
        <v>2876</v>
      </c>
      <c r="B2872">
        <v>0.99796759195183404</v>
      </c>
      <c r="C2872">
        <v>0.71005970373579197</v>
      </c>
      <c r="D2872">
        <v>0.92407280807380698</v>
      </c>
      <c r="E2872">
        <v>0.477156597581886</v>
      </c>
      <c r="F2872">
        <v>0.57738783802793503</v>
      </c>
      <c r="G2872">
        <v>0.41190574552121401</v>
      </c>
      <c r="H2872">
        <v>0.26991367227903201</v>
      </c>
      <c r="I2872">
        <v>0.266335083517166</v>
      </c>
      <c r="J2872">
        <v>0.11920133795988</v>
      </c>
      <c r="K2872">
        <v>0.117343750477384</v>
      </c>
      <c r="L2872">
        <v>358.39940934940398</v>
      </c>
      <c r="M2872">
        <v>7.1491473313835403</v>
      </c>
      <c r="N2872">
        <v>50.131769274348599</v>
      </c>
      <c r="O2872">
        <v>46.6538031175497</v>
      </c>
      <c r="P2872">
        <v>-3.8375297528240503E-2</v>
      </c>
      <c r="Q2872">
        <v>0</v>
      </c>
      <c r="R2872">
        <v>0.89721471898500105</v>
      </c>
      <c r="S2872" t="s">
        <v>8455</v>
      </c>
      <c r="T2872" t="s">
        <v>11164</v>
      </c>
      <c r="U2872" t="s">
        <v>11164</v>
      </c>
      <c r="V2872" t="s">
        <v>11164</v>
      </c>
      <c r="W2872" t="s">
        <v>13998</v>
      </c>
      <c r="X2872">
        <v>1</v>
      </c>
      <c r="Y2872" t="s">
        <v>19491</v>
      </c>
      <c r="Z2872" t="s">
        <v>25022</v>
      </c>
      <c r="AA2872">
        <v>0.48058932349320199</v>
      </c>
      <c r="AB2872" t="str">
        <f>HYPERLINK("Melting_Curves/meltCurve_Q13015_MLLT11.pdf", "Melting_Curves/meltCurve_Q13015_MLLT11.pdf")</f>
        <v>Melting_Curves/meltCurve_Q13015_MLLT11.pdf</v>
      </c>
    </row>
    <row r="2873" spans="1:28" x14ac:dyDescent="0.25">
      <c r="A2873" t="s">
        <v>2877</v>
      </c>
      <c r="B2873">
        <v>0.99796759195183404</v>
      </c>
      <c r="C2873">
        <v>0.88101389410840003</v>
      </c>
      <c r="D2873">
        <v>0.85347693212778997</v>
      </c>
      <c r="E2873">
        <v>0.83792182281481398</v>
      </c>
      <c r="F2873">
        <v>0.76193232001924005</v>
      </c>
      <c r="G2873">
        <v>0.140252071850792</v>
      </c>
      <c r="H2873">
        <v>0.11754299653741999</v>
      </c>
      <c r="I2873">
        <v>0.118022055478154</v>
      </c>
      <c r="J2873">
        <v>0.12763738890013601</v>
      </c>
      <c r="K2873">
        <v>0</v>
      </c>
      <c r="L2873">
        <v>2510.6027078422799</v>
      </c>
      <c r="M2873">
        <v>49.045578304298701</v>
      </c>
      <c r="N2873">
        <v>51.384622441946398</v>
      </c>
      <c r="O2873">
        <v>51.104289201978602</v>
      </c>
      <c r="P2873">
        <v>-0.21951466313083301</v>
      </c>
      <c r="Q2873">
        <v>8.5085268670714601E-2</v>
      </c>
      <c r="R2873">
        <v>0.95282106539743605</v>
      </c>
      <c r="S2873" t="s">
        <v>8456</v>
      </c>
      <c r="T2873" t="s">
        <v>11164</v>
      </c>
      <c r="U2873" t="s">
        <v>11164</v>
      </c>
      <c r="V2873" t="s">
        <v>11164</v>
      </c>
      <c r="W2873" t="s">
        <v>13999</v>
      </c>
      <c r="X2873">
        <v>3</v>
      </c>
      <c r="Y2873" t="s">
        <v>19492</v>
      </c>
      <c r="Z2873" t="s">
        <v>25023</v>
      </c>
      <c r="AA2873">
        <v>0.5199617620860546</v>
      </c>
      <c r="AB2873" t="str">
        <f>HYPERLINK("Melting_Curves/meltCurve_Q13017_2_ARHGAP5.pdf", "Melting_Curves/meltCurve_Q13017_2_ARHGAP5.pdf")</f>
        <v>Melting_Curves/meltCurve_Q13017_2_ARHGAP5.pdf</v>
      </c>
    </row>
    <row r="2874" spans="1:28" x14ac:dyDescent="0.25">
      <c r="A2874" t="s">
        <v>2878</v>
      </c>
      <c r="B2874">
        <v>0.99796759195183404</v>
      </c>
      <c r="C2874">
        <v>1.02348118158614</v>
      </c>
      <c r="D2874">
        <v>0.99368780577965299</v>
      </c>
      <c r="E2874">
        <v>0.968183855266874</v>
      </c>
      <c r="F2874">
        <v>0.96472386429856205</v>
      </c>
      <c r="G2874">
        <v>1.45669358149275</v>
      </c>
      <c r="H2874">
        <v>1.2492515392752099</v>
      </c>
      <c r="I2874">
        <v>0.86963137963946202</v>
      </c>
      <c r="J2874">
        <v>0.50228750884405404</v>
      </c>
      <c r="K2874">
        <v>0.31184813179210102</v>
      </c>
      <c r="L2874">
        <v>3394.8790880848501</v>
      </c>
      <c r="M2874">
        <v>53.886641763961698</v>
      </c>
      <c r="N2874">
        <v>64.030173787846607</v>
      </c>
      <c r="O2874">
        <v>62.913812025241199</v>
      </c>
      <c r="P2874">
        <v>-0.15206978648626501</v>
      </c>
      <c r="Q2874">
        <v>0.28982163632660402</v>
      </c>
      <c r="R2874">
        <v>0.71453395084775695</v>
      </c>
      <c r="S2874" t="s">
        <v>8457</v>
      </c>
      <c r="T2874" t="s">
        <v>11164</v>
      </c>
      <c r="U2874" t="s">
        <v>11164</v>
      </c>
      <c r="V2874" t="s">
        <v>11164</v>
      </c>
      <c r="W2874" t="s">
        <v>14000</v>
      </c>
      <c r="X2874">
        <v>4</v>
      </c>
      <c r="Y2874" t="s">
        <v>19493</v>
      </c>
      <c r="Z2874" t="s">
        <v>25024</v>
      </c>
      <c r="AA2874">
        <v>0.90573404773819233</v>
      </c>
      <c r="AB2874" t="str">
        <f>HYPERLINK("Melting_Curves/meltCurve_Q13033_2_STRN3.pdf", "Melting_Curves/meltCurve_Q13033_2_STRN3.pdf")</f>
        <v>Melting_Curves/meltCurve_Q13033_2_STRN3.pdf</v>
      </c>
    </row>
    <row r="2875" spans="1:28" x14ac:dyDescent="0.25">
      <c r="A2875" t="s">
        <v>2879</v>
      </c>
      <c r="B2875">
        <v>0.99796759195183404</v>
      </c>
      <c r="C2875">
        <v>0.99318086326602595</v>
      </c>
      <c r="D2875">
        <v>0.95266466480192402</v>
      </c>
      <c r="E2875">
        <v>0.923116743183095</v>
      </c>
      <c r="F2875">
        <v>0.73687175691922302</v>
      </c>
      <c r="G2875">
        <v>0.56255735656108696</v>
      </c>
      <c r="H2875">
        <v>0.30779226660769299</v>
      </c>
      <c r="I2875">
        <v>0.22682854210021799</v>
      </c>
      <c r="J2875">
        <v>0.18539196022510501</v>
      </c>
      <c r="K2875">
        <v>0.117525842588087</v>
      </c>
      <c r="L2875">
        <v>776.47226421484595</v>
      </c>
      <c r="M2875">
        <v>14.4678782640032</v>
      </c>
      <c r="N2875">
        <v>54.353140369188502</v>
      </c>
      <c r="O2875">
        <v>52.674629583366801</v>
      </c>
      <c r="P2875">
        <v>-6.2955291236134803E-2</v>
      </c>
      <c r="Q2875">
        <v>8.3276560910855807E-2</v>
      </c>
      <c r="R2875">
        <v>0.99689003717184799</v>
      </c>
      <c r="S2875" t="s">
        <v>8458</v>
      </c>
      <c r="T2875" t="s">
        <v>11164</v>
      </c>
      <c r="U2875" t="s">
        <v>11164</v>
      </c>
      <c r="V2875" t="s">
        <v>11164</v>
      </c>
      <c r="W2875" t="s">
        <v>14001</v>
      </c>
      <c r="X2875">
        <v>12</v>
      </c>
      <c r="Y2875" t="s">
        <v>19494</v>
      </c>
      <c r="Z2875" t="s">
        <v>25025</v>
      </c>
      <c r="AA2875">
        <v>0.60845379420009071</v>
      </c>
      <c r="AB2875" t="str">
        <f>HYPERLINK("Melting_Curves/meltCurve_Q13043_STK4.pdf", "Melting_Curves/meltCurve_Q13043_STK4.pdf")</f>
        <v>Melting_Curves/meltCurve_Q13043_STK4.pdf</v>
      </c>
    </row>
    <row r="2876" spans="1:28" x14ac:dyDescent="0.25">
      <c r="A2876" t="s">
        <v>2880</v>
      </c>
      <c r="B2876">
        <v>0.99796759195183404</v>
      </c>
      <c r="C2876">
        <v>1.0654984459582899</v>
      </c>
      <c r="D2876">
        <v>1.0536737536110601</v>
      </c>
      <c r="E2876">
        <v>1.0448332589501499</v>
      </c>
      <c r="F2876">
        <v>0.89687523724335705</v>
      </c>
      <c r="G2876">
        <v>0.44496546602445802</v>
      </c>
      <c r="H2876">
        <v>0.29174313169250199</v>
      </c>
      <c r="I2876">
        <v>0.23245169662043799</v>
      </c>
      <c r="J2876">
        <v>0.153214518576681</v>
      </c>
      <c r="K2876">
        <v>0.11252394298917399</v>
      </c>
      <c r="L2876">
        <v>1708.4256043615801</v>
      </c>
      <c r="M2876">
        <v>32.291380428354799</v>
      </c>
      <c r="N2876">
        <v>53.611194647043497</v>
      </c>
      <c r="O2876">
        <v>52.704887370641401</v>
      </c>
      <c r="P2876">
        <v>-0.126683791539489</v>
      </c>
      <c r="Q2876">
        <v>0.17292820932611699</v>
      </c>
      <c r="R2876">
        <v>0.98598563475470002</v>
      </c>
      <c r="S2876" t="s">
        <v>8459</v>
      </c>
      <c r="T2876" t="s">
        <v>11164</v>
      </c>
      <c r="U2876" t="s">
        <v>11164</v>
      </c>
      <c r="V2876" t="s">
        <v>11164</v>
      </c>
      <c r="W2876" t="s">
        <v>14002</v>
      </c>
      <c r="X2876">
        <v>14</v>
      </c>
      <c r="Y2876" t="s">
        <v>19495</v>
      </c>
      <c r="Z2876" t="s">
        <v>25026</v>
      </c>
      <c r="AA2876">
        <v>0.61603320997372635</v>
      </c>
      <c r="AB2876" t="str">
        <f>HYPERLINK("Melting_Curves/meltCurve_Q13045_2_FLII.pdf", "Melting_Curves/meltCurve_Q13045_2_FLII.pdf")</f>
        <v>Melting_Curves/meltCurve_Q13045_2_FLII.pdf</v>
      </c>
    </row>
    <row r="2877" spans="1:28" x14ac:dyDescent="0.25">
      <c r="A2877" t="s">
        <v>2881</v>
      </c>
      <c r="B2877">
        <v>0.99796759195183404</v>
      </c>
      <c r="C2877">
        <v>0.83351853578677204</v>
      </c>
      <c r="D2877">
        <v>0.82576452071931605</v>
      </c>
      <c r="E2877">
        <v>0.66251470734304996</v>
      </c>
      <c r="F2877">
        <v>0.49748869063821299</v>
      </c>
      <c r="G2877">
        <v>0.53379327737515203</v>
      </c>
      <c r="H2877">
        <v>0.47429645444705598</v>
      </c>
      <c r="I2877">
        <v>0.38953809275761497</v>
      </c>
      <c r="J2877">
        <v>0.18320085576683201</v>
      </c>
      <c r="K2877">
        <v>0.13265801317051201</v>
      </c>
      <c r="L2877">
        <v>323.951147102856</v>
      </c>
      <c r="M2877">
        <v>6.1203471446969804</v>
      </c>
      <c r="N2877">
        <v>52.930191603092702</v>
      </c>
      <c r="O2877">
        <v>48.114610473792901</v>
      </c>
      <c r="P2877">
        <v>-3.1896802101563697E-2</v>
      </c>
      <c r="Q2877">
        <v>0</v>
      </c>
      <c r="R2877">
        <v>0.93540840622868104</v>
      </c>
      <c r="S2877" t="s">
        <v>8460</v>
      </c>
      <c r="T2877" t="s">
        <v>11164</v>
      </c>
      <c r="U2877" t="s">
        <v>11164</v>
      </c>
      <c r="V2877" t="s">
        <v>11164</v>
      </c>
      <c r="W2877" t="s">
        <v>14003</v>
      </c>
      <c r="X2877">
        <v>2</v>
      </c>
      <c r="Y2877" t="s">
        <v>19496</v>
      </c>
      <c r="Z2877" t="s">
        <v>25027</v>
      </c>
      <c r="AA2877">
        <v>0.54977446020205512</v>
      </c>
      <c r="AB2877" t="str">
        <f>HYPERLINK("Melting_Curves/meltCurve_Q13049_TRIM32.pdf", "Melting_Curves/meltCurve_Q13049_TRIM32.pdf")</f>
        <v>Melting_Curves/meltCurve_Q13049_TRIM32.pdf</v>
      </c>
    </row>
    <row r="2878" spans="1:28" x14ac:dyDescent="0.25">
      <c r="A2878" t="s">
        <v>2882</v>
      </c>
      <c r="B2878">
        <v>0.99796759195183404</v>
      </c>
      <c r="C2878">
        <v>1.08915920253897</v>
      </c>
      <c r="D2878">
        <v>1.0761655899884399</v>
      </c>
      <c r="E2878">
        <v>1.0310105243701</v>
      </c>
      <c r="F2878">
        <v>0.75847574325062495</v>
      </c>
      <c r="G2878">
        <v>0.242097085896854</v>
      </c>
      <c r="H2878">
        <v>0.19370344075854901</v>
      </c>
      <c r="I2878">
        <v>0.15282357981709499</v>
      </c>
      <c r="J2878">
        <v>0.113294583182332</v>
      </c>
      <c r="K2878">
        <v>8.0522820717686697E-2</v>
      </c>
      <c r="L2878">
        <v>2137.1011063912802</v>
      </c>
      <c r="M2878">
        <v>41.594668114236597</v>
      </c>
      <c r="N2878">
        <v>51.756285543643997</v>
      </c>
      <c r="O2878">
        <v>51.260894251257703</v>
      </c>
      <c r="P2878">
        <v>-0.17634121492750701</v>
      </c>
      <c r="Q2878">
        <v>0.13071655342175101</v>
      </c>
      <c r="R2878">
        <v>0.98814906788725998</v>
      </c>
      <c r="S2878" t="s">
        <v>8461</v>
      </c>
      <c r="T2878" t="s">
        <v>11164</v>
      </c>
      <c r="U2878" t="s">
        <v>11164</v>
      </c>
      <c r="V2878" t="s">
        <v>11164</v>
      </c>
      <c r="W2878" t="s">
        <v>14004</v>
      </c>
      <c r="X2878">
        <v>15</v>
      </c>
      <c r="Y2878" t="s">
        <v>19497</v>
      </c>
      <c r="Z2878" t="s">
        <v>25028</v>
      </c>
      <c r="AA2878">
        <v>0.55022011235472523</v>
      </c>
      <c r="AB2878" t="str">
        <f>HYPERLINK("Melting_Curves/meltCurve_Q13057_COASY.pdf", "Melting_Curves/meltCurve_Q13057_COASY.pdf")</f>
        <v>Melting_Curves/meltCurve_Q13057_COASY.pdf</v>
      </c>
    </row>
    <row r="2879" spans="1:28" x14ac:dyDescent="0.25">
      <c r="A2879" t="s">
        <v>2883</v>
      </c>
      <c r="B2879">
        <v>0.99796759195183404</v>
      </c>
      <c r="C2879">
        <v>1.04624153580466</v>
      </c>
      <c r="D2879">
        <v>0.98058070671568698</v>
      </c>
      <c r="E2879">
        <v>0.96376802612325496</v>
      </c>
      <c r="F2879">
        <v>0.85046720513173002</v>
      </c>
      <c r="G2879">
        <v>1.07982635530039</v>
      </c>
      <c r="H2879">
        <v>0.82624976764885105</v>
      </c>
      <c r="I2879">
        <v>0.38218661219662198</v>
      </c>
      <c r="J2879">
        <v>0.163254542034623</v>
      </c>
      <c r="K2879">
        <v>0.108225645909131</v>
      </c>
      <c r="L2879">
        <v>2296.57052192118</v>
      </c>
      <c r="M2879">
        <v>38.455884611178497</v>
      </c>
      <c r="N2879">
        <v>60.065895933198497</v>
      </c>
      <c r="O2879">
        <v>59.558808442801201</v>
      </c>
      <c r="P2879">
        <v>-0.14537192504607099</v>
      </c>
      <c r="Q2879">
        <v>9.9419232958156106E-2</v>
      </c>
      <c r="R2879">
        <v>0.97234075066505898</v>
      </c>
      <c r="S2879" t="s">
        <v>8462</v>
      </c>
      <c r="T2879" t="s">
        <v>11164</v>
      </c>
      <c r="U2879" t="s">
        <v>11164</v>
      </c>
      <c r="V2879" t="s">
        <v>11164</v>
      </c>
      <c r="W2879" t="s">
        <v>14005</v>
      </c>
      <c r="X2879">
        <v>13</v>
      </c>
      <c r="Y2879" t="s">
        <v>19498</v>
      </c>
      <c r="Z2879" t="s">
        <v>25029</v>
      </c>
      <c r="AA2879">
        <v>0.78452418343134989</v>
      </c>
      <c r="AB2879" t="str">
        <f>HYPERLINK("Melting_Curves/meltCurve_Q13098_GPS1.pdf", "Melting_Curves/meltCurve_Q13098_GPS1.pdf")</f>
        <v>Melting_Curves/meltCurve_Q13098_GPS1.pdf</v>
      </c>
    </row>
    <row r="2880" spans="1:28" x14ac:dyDescent="0.25">
      <c r="A2880" t="s">
        <v>2884</v>
      </c>
      <c r="B2880">
        <v>0.99796759195183404</v>
      </c>
      <c r="C2880">
        <v>1.3532491591776601</v>
      </c>
      <c r="D2880">
        <v>1.3767403850078199</v>
      </c>
      <c r="E2880">
        <v>1.43263552771915</v>
      </c>
      <c r="F2880">
        <v>1.0237323412980199</v>
      </c>
      <c r="G2880">
        <v>0.76642085357706202</v>
      </c>
      <c r="H2880">
        <v>0.65751044173694095</v>
      </c>
      <c r="I2880">
        <v>0.53565394996078197</v>
      </c>
      <c r="J2880">
        <v>0.58847547589974902</v>
      </c>
      <c r="K2880">
        <v>0.65360807174687796</v>
      </c>
      <c r="L2880">
        <v>3498.6438948728601</v>
      </c>
      <c r="M2880">
        <v>65.373108456340006</v>
      </c>
      <c r="O2880">
        <v>53.468076691361503</v>
      </c>
      <c r="P2880">
        <v>-0.120116586568146</v>
      </c>
      <c r="Q2880">
        <v>0.60703101745183097</v>
      </c>
      <c r="R2880">
        <v>0.57525415881085895</v>
      </c>
      <c r="S2880" t="s">
        <v>8463</v>
      </c>
      <c r="T2880" t="s">
        <v>11164</v>
      </c>
      <c r="U2880" t="s">
        <v>11164</v>
      </c>
      <c r="V2880" t="s">
        <v>11164</v>
      </c>
      <c r="W2880" t="s">
        <v>14006</v>
      </c>
      <c r="X2880">
        <v>2</v>
      </c>
      <c r="Y2880" t="s">
        <v>19499</v>
      </c>
      <c r="Z2880" t="s">
        <v>25030</v>
      </c>
      <c r="AA2880">
        <v>0.82394229761737836</v>
      </c>
      <c r="AB2880" t="str">
        <f>HYPERLINK("Melting_Curves/meltCurve_Q13111_2_CHAF1A.pdf", "Melting_Curves/meltCurve_Q13111_2_CHAF1A.pdf")</f>
        <v>Melting_Curves/meltCurve_Q13111_2_CHAF1A.pdf</v>
      </c>
    </row>
    <row r="2881" spans="1:28" x14ac:dyDescent="0.25">
      <c r="A2881" t="s">
        <v>2885</v>
      </c>
      <c r="B2881">
        <v>0.99796759195183404</v>
      </c>
      <c r="C2881">
        <v>0.97903868538611705</v>
      </c>
      <c r="D2881">
        <v>0.94675482098472996</v>
      </c>
      <c r="E2881">
        <v>0.92125302072216797</v>
      </c>
      <c r="F2881">
        <v>1.0366227634840699</v>
      </c>
      <c r="G2881">
        <v>0.99184926868189804</v>
      </c>
      <c r="H2881">
        <v>0.99568998594284397</v>
      </c>
      <c r="I2881">
        <v>0.69521200028830499</v>
      </c>
      <c r="J2881">
        <v>0.34524872407756202</v>
      </c>
      <c r="K2881">
        <v>0.17302902352652499</v>
      </c>
      <c r="L2881">
        <v>2377.7988096225599</v>
      </c>
      <c r="M2881">
        <v>38.289083857063702</v>
      </c>
      <c r="N2881">
        <v>62.593327278996199</v>
      </c>
      <c r="O2881">
        <v>61.932532456896702</v>
      </c>
      <c r="P2881">
        <v>-0.13447153284865401</v>
      </c>
      <c r="Q2881">
        <v>0.12997195501494499</v>
      </c>
      <c r="R2881">
        <v>0.98550552714147699</v>
      </c>
      <c r="S2881" t="s">
        <v>8464</v>
      </c>
      <c r="T2881" t="s">
        <v>11164</v>
      </c>
      <c r="U2881" t="s">
        <v>11164</v>
      </c>
      <c r="V2881" t="s">
        <v>11164</v>
      </c>
      <c r="W2881" t="s">
        <v>11338</v>
      </c>
      <c r="X2881">
        <v>8</v>
      </c>
      <c r="Y2881" t="s">
        <v>19500</v>
      </c>
      <c r="Z2881" t="s">
        <v>25031</v>
      </c>
      <c r="AA2881">
        <v>0.85857496508656583</v>
      </c>
      <c r="AB2881" t="str">
        <f>HYPERLINK("Melting_Curves/meltCurve_Q13112_CHAF1B.pdf", "Melting_Curves/meltCurve_Q13112_CHAF1B.pdf")</f>
        <v>Melting_Curves/meltCurve_Q13112_CHAF1B.pdf</v>
      </c>
    </row>
    <row r="2882" spans="1:28" x14ac:dyDescent="0.25">
      <c r="A2882" t="s">
        <v>2886</v>
      </c>
      <c r="B2882">
        <v>0.99796759195183404</v>
      </c>
      <c r="C2882">
        <v>0.98325074596509598</v>
      </c>
      <c r="D2882">
        <v>0.91085822737211897</v>
      </c>
      <c r="E2882">
        <v>0.77101277212555497</v>
      </c>
      <c r="F2882">
        <v>0.48222193236639199</v>
      </c>
      <c r="G2882">
        <v>0.44139261983446598</v>
      </c>
      <c r="H2882">
        <v>0.213454805882203</v>
      </c>
      <c r="I2882">
        <v>0.127008955580657</v>
      </c>
      <c r="J2882">
        <v>0.139612363164589</v>
      </c>
      <c r="K2882">
        <v>9.5034830940660994E-2</v>
      </c>
      <c r="L2882">
        <v>621.14350801500302</v>
      </c>
      <c r="M2882">
        <v>12.271909348812301</v>
      </c>
      <c r="N2882">
        <v>51.081341917120596</v>
      </c>
      <c r="O2882">
        <v>49.3273398433344</v>
      </c>
      <c r="P2882">
        <v>-5.89138566442097E-2</v>
      </c>
      <c r="Q2882">
        <v>5.2984630514878797E-2</v>
      </c>
      <c r="R2882">
        <v>0.989222028082959</v>
      </c>
      <c r="S2882" t="s">
        <v>8465</v>
      </c>
      <c r="T2882" t="s">
        <v>11164</v>
      </c>
      <c r="U2882" t="s">
        <v>11164</v>
      </c>
      <c r="V2882" t="s">
        <v>11164</v>
      </c>
      <c r="W2882" t="s">
        <v>14007</v>
      </c>
      <c r="X2882">
        <v>1</v>
      </c>
      <c r="Y2882" t="s">
        <v>19501</v>
      </c>
      <c r="Z2882" t="s">
        <v>25032</v>
      </c>
      <c r="AA2882">
        <v>0.50756630412461257</v>
      </c>
      <c r="AB2882" t="str">
        <f>HYPERLINK("Melting_Curves/meltCurve_Q13115_2_DUSP4.pdf", "Melting_Curves/meltCurve_Q13115_2_DUSP4.pdf")</f>
        <v>Melting_Curves/meltCurve_Q13115_2_DUSP4.pdf</v>
      </c>
    </row>
    <row r="2883" spans="1:28" x14ac:dyDescent="0.25">
      <c r="A2883" t="s">
        <v>2887</v>
      </c>
      <c r="B2883">
        <v>0.99796759195183404</v>
      </c>
      <c r="C2883">
        <v>0.93831756301764802</v>
      </c>
      <c r="D2883">
        <v>0.81770537563103196</v>
      </c>
      <c r="E2883">
        <v>0.85698468438249997</v>
      </c>
      <c r="F2883">
        <v>0.60234977503666998</v>
      </c>
      <c r="G2883">
        <v>0.29523561636687501</v>
      </c>
      <c r="H2883">
        <v>0.36282679361604703</v>
      </c>
      <c r="I2883">
        <v>0.26368244553236703</v>
      </c>
      <c r="J2883">
        <v>0.214751208867349</v>
      </c>
      <c r="K2883">
        <v>0.23396029476962499</v>
      </c>
      <c r="L2883">
        <v>701.35643611495902</v>
      </c>
      <c r="M2883">
        <v>14.113986040112399</v>
      </c>
      <c r="N2883">
        <v>51.568772659996696</v>
      </c>
      <c r="O2883">
        <v>48.726643224969699</v>
      </c>
      <c r="P2883">
        <v>-5.7879032823598901E-2</v>
      </c>
      <c r="Q2883">
        <v>0.20082407986124801</v>
      </c>
      <c r="R2883">
        <v>0.96146107496174604</v>
      </c>
      <c r="S2883" t="s">
        <v>8466</v>
      </c>
      <c r="T2883" t="s">
        <v>11164</v>
      </c>
      <c r="U2883" t="s">
        <v>11164</v>
      </c>
      <c r="V2883" t="s">
        <v>11164</v>
      </c>
      <c r="W2883" t="s">
        <v>14008</v>
      </c>
      <c r="X2883">
        <v>4</v>
      </c>
      <c r="Y2883" t="s">
        <v>19502</v>
      </c>
      <c r="Z2883" t="s">
        <v>25033</v>
      </c>
      <c r="AA2883">
        <v>0.55735979343621189</v>
      </c>
      <c r="AB2883" t="str">
        <f>HYPERLINK("Melting_Curves/meltCurve_Q13123_IK.pdf", "Melting_Curves/meltCurve_Q13123_IK.pdf")</f>
        <v>Melting_Curves/meltCurve_Q13123_IK.pdf</v>
      </c>
    </row>
    <row r="2884" spans="1:28" x14ac:dyDescent="0.25">
      <c r="A2884" t="s">
        <v>2888</v>
      </c>
      <c r="B2884">
        <v>0.99796759195183404</v>
      </c>
      <c r="C2884">
        <v>0.95771295900852704</v>
      </c>
      <c r="D2884">
        <v>0.97572642922253305</v>
      </c>
      <c r="E2884">
        <v>0.94140530381694998</v>
      </c>
      <c r="F2884">
        <v>0.81183720810399596</v>
      </c>
      <c r="G2884">
        <v>0.64078423865767498</v>
      </c>
      <c r="H2884">
        <v>0.68390082893185999</v>
      </c>
      <c r="I2884">
        <v>0.63169018304426106</v>
      </c>
      <c r="J2884">
        <v>0.82776486043928799</v>
      </c>
      <c r="K2884">
        <v>0.93838797774514704</v>
      </c>
      <c r="L2884">
        <v>1937.5951745894499</v>
      </c>
      <c r="M2884">
        <v>40.210048086624298</v>
      </c>
      <c r="O2884">
        <v>48.068122044604401</v>
      </c>
      <c r="P2884">
        <v>-5.2822651948357897E-2</v>
      </c>
      <c r="Q2884">
        <v>0.74741832602318303</v>
      </c>
      <c r="R2884">
        <v>0.59349101834962004</v>
      </c>
      <c r="S2884" t="s">
        <v>8467</v>
      </c>
      <c r="T2884" t="s">
        <v>11164</v>
      </c>
      <c r="U2884" t="s">
        <v>11164</v>
      </c>
      <c r="V2884" t="s">
        <v>11164</v>
      </c>
      <c r="W2884" t="s">
        <v>14009</v>
      </c>
      <c r="X2884">
        <v>13</v>
      </c>
      <c r="Y2884" t="s">
        <v>19503</v>
      </c>
      <c r="Z2884" t="s">
        <v>25034</v>
      </c>
      <c r="AA2884">
        <v>0.84243715552165754</v>
      </c>
      <c r="AB2884" t="str">
        <f>HYPERLINK("Melting_Curves/meltCurve_Q13126_MTAP.pdf", "Melting_Curves/meltCurve_Q13126_MTAP.pdf")</f>
        <v>Melting_Curves/meltCurve_Q13126_MTAP.pdf</v>
      </c>
    </row>
    <row r="2885" spans="1:28" x14ac:dyDescent="0.25">
      <c r="A2885" t="s">
        <v>2889</v>
      </c>
      <c r="B2885">
        <v>0.99796759195183404</v>
      </c>
      <c r="C2885">
        <v>0.99433099820266602</v>
      </c>
      <c r="D2885">
        <v>0.96600010887301202</v>
      </c>
      <c r="E2885">
        <v>0.93135959408219304</v>
      </c>
      <c r="F2885">
        <v>0.81360178023068996</v>
      </c>
      <c r="G2885">
        <v>0.664657693174319</v>
      </c>
      <c r="H2885">
        <v>0.34975279743305399</v>
      </c>
      <c r="I2885">
        <v>0.17533363629708801</v>
      </c>
      <c r="J2885">
        <v>0.120990318939778</v>
      </c>
      <c r="K2885">
        <v>8.9697470313682304E-2</v>
      </c>
      <c r="L2885">
        <v>885.10421705694898</v>
      </c>
      <c r="M2885">
        <v>16.005892205775901</v>
      </c>
      <c r="N2885">
        <v>55.428619947452297</v>
      </c>
      <c r="O2885">
        <v>54.457059087378298</v>
      </c>
      <c r="P2885">
        <v>-7.2131753426886297E-2</v>
      </c>
      <c r="Q2885">
        <v>1.8417595967546201E-2</v>
      </c>
      <c r="R2885">
        <v>0.99618511144251498</v>
      </c>
      <c r="S2885" t="s">
        <v>8468</v>
      </c>
      <c r="T2885" t="s">
        <v>11164</v>
      </c>
      <c r="U2885" t="s">
        <v>11164</v>
      </c>
      <c r="V2885" t="s">
        <v>11164</v>
      </c>
      <c r="W2885" t="s">
        <v>14010</v>
      </c>
      <c r="X2885">
        <v>8</v>
      </c>
      <c r="Y2885" t="s">
        <v>19504</v>
      </c>
      <c r="Z2885" t="s">
        <v>25035</v>
      </c>
      <c r="AA2885">
        <v>0.62996479690252416</v>
      </c>
      <c r="AB2885" t="str">
        <f>HYPERLINK("Melting_Curves/meltCurve_Q13131_PRKAA1.pdf", "Melting_Curves/meltCurve_Q13131_PRKAA1.pdf")</f>
        <v>Melting_Curves/meltCurve_Q13131_PRKAA1.pdf</v>
      </c>
    </row>
    <row r="2886" spans="1:28" x14ac:dyDescent="0.25">
      <c r="A2886" t="s">
        <v>2890</v>
      </c>
      <c r="B2886">
        <v>0.99796759195183404</v>
      </c>
      <c r="C2886">
        <v>1.32382076157357</v>
      </c>
      <c r="D2886">
        <v>0.89942437890114202</v>
      </c>
      <c r="E2886">
        <v>0.90789466641792405</v>
      </c>
      <c r="F2886">
        <v>2.0591513104681201</v>
      </c>
      <c r="G2886">
        <v>2.46205394939971</v>
      </c>
      <c r="H2886">
        <v>0.68066481627875197</v>
      </c>
      <c r="I2886">
        <v>1.30344549545766</v>
      </c>
      <c r="J2886">
        <v>2.7164214866338399</v>
      </c>
      <c r="K2886">
        <v>1.7080093513697101</v>
      </c>
      <c r="L2886">
        <v>4221.5653213077403</v>
      </c>
      <c r="M2886">
        <v>88.130283893926801</v>
      </c>
      <c r="O2886">
        <v>47.8767671478276</v>
      </c>
      <c r="P2886">
        <v>0.230096707664181</v>
      </c>
      <c r="Q2886">
        <v>1.5</v>
      </c>
      <c r="R2886">
        <v>0.19079198393445801</v>
      </c>
      <c r="S2886" t="s">
        <v>8469</v>
      </c>
      <c r="T2886" t="s">
        <v>11164</v>
      </c>
      <c r="U2886" t="s">
        <v>11164</v>
      </c>
      <c r="V2886" t="s">
        <v>11164</v>
      </c>
      <c r="W2886" t="s">
        <v>14011</v>
      </c>
      <c r="X2886">
        <v>8</v>
      </c>
      <c r="Y2886" t="s">
        <v>19505</v>
      </c>
      <c r="Z2886" t="s">
        <v>25036</v>
      </c>
      <c r="AA2886">
        <v>1.3179709801395649</v>
      </c>
      <c r="AB2886" t="str">
        <f>HYPERLINK("Melting_Curves/meltCurve_Q13136_2_PPFIA1.pdf", "Melting_Curves/meltCurve_Q13136_2_PPFIA1.pdf")</f>
        <v>Melting_Curves/meltCurve_Q13136_2_PPFIA1.pdf</v>
      </c>
    </row>
    <row r="2887" spans="1:28" x14ac:dyDescent="0.25">
      <c r="A2887" t="s">
        <v>2891</v>
      </c>
      <c r="B2887">
        <v>0.99796759195183404</v>
      </c>
      <c r="C2887">
        <v>0.99231585582325299</v>
      </c>
      <c r="D2887">
        <v>0.93214123253704195</v>
      </c>
      <c r="E2887">
        <v>0.80790433937111195</v>
      </c>
      <c r="F2887">
        <v>0.64362940597092799</v>
      </c>
      <c r="G2887">
        <v>0.31885298155194303</v>
      </c>
      <c r="H2887">
        <v>0.17983706504090599</v>
      </c>
      <c r="I2887">
        <v>0.118772899226066</v>
      </c>
      <c r="J2887">
        <v>9.9182324807238903E-2</v>
      </c>
      <c r="K2887">
        <v>7.8531825995546506E-2</v>
      </c>
      <c r="L2887">
        <v>822.59309976784903</v>
      </c>
      <c r="M2887">
        <v>16.095456196609401</v>
      </c>
      <c r="N2887">
        <v>51.471439342397801</v>
      </c>
      <c r="O2887">
        <v>50.337780068507001</v>
      </c>
      <c r="P2887">
        <v>-7.5639988655183801E-2</v>
      </c>
      <c r="Q2887">
        <v>5.3830508200716103E-2</v>
      </c>
      <c r="R2887">
        <v>0.99665392157544397</v>
      </c>
      <c r="S2887" t="s">
        <v>8470</v>
      </c>
      <c r="T2887" t="s">
        <v>11164</v>
      </c>
      <c r="U2887" t="s">
        <v>11164</v>
      </c>
      <c r="V2887" t="s">
        <v>11164</v>
      </c>
      <c r="W2887" t="s">
        <v>14012</v>
      </c>
      <c r="X2887">
        <v>5</v>
      </c>
      <c r="Y2887" t="s">
        <v>19506</v>
      </c>
      <c r="Z2887" t="s">
        <v>25037</v>
      </c>
      <c r="AA2887">
        <v>0.51600260967799572</v>
      </c>
      <c r="AB2887" t="str">
        <f>HYPERLINK("Melting_Curves/meltCurve_Q13137_4_CALCOCO2.pdf", "Melting_Curves/meltCurve_Q13137_4_CALCOCO2.pdf")</f>
        <v>Melting_Curves/meltCurve_Q13137_4_CALCOCO2.pdf</v>
      </c>
    </row>
    <row r="2888" spans="1:28" x14ac:dyDescent="0.25">
      <c r="A2888" t="s">
        <v>2892</v>
      </c>
      <c r="B2888">
        <v>0.99796759195183404</v>
      </c>
      <c r="C2888">
        <v>0.98552542072973404</v>
      </c>
      <c r="D2888">
        <v>0.965724925600702</v>
      </c>
      <c r="E2888">
        <v>0.88860925659557199</v>
      </c>
      <c r="F2888">
        <v>0.34436443927600902</v>
      </c>
      <c r="G2888">
        <v>0.182602604024937</v>
      </c>
      <c r="H2888">
        <v>0.152678638528329</v>
      </c>
      <c r="I2888">
        <v>0.124005941909392</v>
      </c>
      <c r="J2888">
        <v>0.112733209777927</v>
      </c>
      <c r="K2888">
        <v>8.3987314603797505E-2</v>
      </c>
      <c r="L2888">
        <v>1843.64061476797</v>
      </c>
      <c r="M2888">
        <v>37.746684976636402</v>
      </c>
      <c r="N2888">
        <v>49.212637019617901</v>
      </c>
      <c r="O2888">
        <v>48.705969701664301</v>
      </c>
      <c r="P2888">
        <v>-0.16980190741534201</v>
      </c>
      <c r="Q2888">
        <v>0.123595096667889</v>
      </c>
      <c r="R2888">
        <v>0.99695393293383106</v>
      </c>
      <c r="S2888" t="s">
        <v>8471</v>
      </c>
      <c r="T2888" t="s">
        <v>11164</v>
      </c>
      <c r="U2888" t="s">
        <v>11164</v>
      </c>
      <c r="V2888" t="s">
        <v>11164</v>
      </c>
      <c r="W2888" t="s">
        <v>14013</v>
      </c>
      <c r="X2888">
        <v>14</v>
      </c>
      <c r="Y2888" t="s">
        <v>19507</v>
      </c>
      <c r="Z2888" t="s">
        <v>25038</v>
      </c>
      <c r="AA2888">
        <v>0.47287911798366328</v>
      </c>
      <c r="AB2888" t="str">
        <f>HYPERLINK("Melting_Curves/meltCurve_Q13148_TARDBP.pdf", "Melting_Curves/meltCurve_Q13148_TARDBP.pdf")</f>
        <v>Melting_Curves/meltCurve_Q13148_TARDBP.pdf</v>
      </c>
    </row>
    <row r="2889" spans="1:28" x14ac:dyDescent="0.25">
      <c r="A2889" t="s">
        <v>2893</v>
      </c>
      <c r="B2889">
        <v>0.99796759195183404</v>
      </c>
      <c r="C2889">
        <v>1.0630636910798501</v>
      </c>
      <c r="D2889">
        <v>1.06415071230915</v>
      </c>
      <c r="E2889">
        <v>1.1217723978146601</v>
      </c>
      <c r="F2889">
        <v>0.47586562983847303</v>
      </c>
      <c r="G2889">
        <v>0.30737431509421997</v>
      </c>
      <c r="H2889">
        <v>0.25846714511959601</v>
      </c>
      <c r="I2889">
        <v>0.20799671971515599</v>
      </c>
      <c r="J2889">
        <v>0.18324303973554301</v>
      </c>
      <c r="K2889">
        <v>0.126337499041977</v>
      </c>
      <c r="L2889">
        <v>8975.4535244214003</v>
      </c>
      <c r="M2889">
        <v>179.4980958836</v>
      </c>
      <c r="N2889">
        <v>50.161795754930203</v>
      </c>
      <c r="O2889">
        <v>49.996852167003603</v>
      </c>
      <c r="P2889">
        <v>-0.70306391131235002</v>
      </c>
      <c r="Q2889">
        <v>0.216682919605313</v>
      </c>
      <c r="R2889">
        <v>0.97401694387039295</v>
      </c>
      <c r="S2889" t="s">
        <v>8472</v>
      </c>
      <c r="T2889" t="s">
        <v>11164</v>
      </c>
      <c r="U2889" t="s">
        <v>11164</v>
      </c>
      <c r="V2889" t="s">
        <v>11164</v>
      </c>
      <c r="W2889" t="s">
        <v>14014</v>
      </c>
      <c r="X2889">
        <v>2</v>
      </c>
      <c r="Y2889" t="s">
        <v>19508</v>
      </c>
      <c r="Z2889" t="s">
        <v>25039</v>
      </c>
      <c r="AA2889">
        <v>0.55633351176387469</v>
      </c>
      <c r="AB2889" t="str">
        <f>HYPERLINK("Melting_Curves/meltCurve_Q13151_HNRNPA0.pdf", "Melting_Curves/meltCurve_Q13151_HNRNPA0.pdf")</f>
        <v>Melting_Curves/meltCurve_Q13151_HNRNPA0.pdf</v>
      </c>
    </row>
    <row r="2890" spans="1:28" x14ac:dyDescent="0.25">
      <c r="A2890" t="s">
        <v>2894</v>
      </c>
      <c r="B2890">
        <v>0.99796759195183404</v>
      </c>
      <c r="C2890">
        <v>0.97374599502902903</v>
      </c>
      <c r="D2890">
        <v>0.93561457782644097</v>
      </c>
      <c r="E2890">
        <v>0.90258380383083003</v>
      </c>
      <c r="F2890">
        <v>0.79448302837598495</v>
      </c>
      <c r="G2890">
        <v>0.63115107671316095</v>
      </c>
      <c r="H2890">
        <v>0.59438423975551102</v>
      </c>
      <c r="I2890">
        <v>0.38819921637990901</v>
      </c>
      <c r="J2890">
        <v>0.171197690061933</v>
      </c>
      <c r="K2890">
        <v>0.127374289037441</v>
      </c>
      <c r="L2890">
        <v>613.33050608141002</v>
      </c>
      <c r="M2890">
        <v>10.7017240975912</v>
      </c>
      <c r="N2890">
        <v>57.311373460138803</v>
      </c>
      <c r="O2890">
        <v>55.418925858944498</v>
      </c>
      <c r="P2890">
        <v>-4.8294591488041397E-2</v>
      </c>
      <c r="Q2890">
        <v>0</v>
      </c>
      <c r="R2890">
        <v>0.97597426236131102</v>
      </c>
      <c r="S2890" t="s">
        <v>8473</v>
      </c>
      <c r="T2890" t="s">
        <v>11164</v>
      </c>
      <c r="U2890" t="s">
        <v>11164</v>
      </c>
      <c r="V2890" t="s">
        <v>11164</v>
      </c>
      <c r="W2890" t="s">
        <v>14015</v>
      </c>
      <c r="X2890">
        <v>21</v>
      </c>
      <c r="Y2890" t="s">
        <v>19509</v>
      </c>
      <c r="Z2890" t="s">
        <v>25040</v>
      </c>
      <c r="AA2890">
        <v>0.67643101386485549</v>
      </c>
      <c r="AB2890" t="str">
        <f>HYPERLINK("Melting_Curves/meltCurve_Q13153_PAK1.pdf", "Melting_Curves/meltCurve_Q13153_PAK1.pdf")</f>
        <v>Melting_Curves/meltCurve_Q13153_PAK1.pdf</v>
      </c>
    </row>
    <row r="2891" spans="1:28" x14ac:dyDescent="0.25">
      <c r="A2891" t="s">
        <v>2895</v>
      </c>
      <c r="B2891">
        <v>0.99796759195183404</v>
      </c>
      <c r="C2891">
        <v>1.0273632487539599</v>
      </c>
      <c r="D2891">
        <v>1.09138557316026</v>
      </c>
      <c r="E2891">
        <v>0.99353596782206699</v>
      </c>
      <c r="F2891">
        <v>0.72937112290511197</v>
      </c>
      <c r="G2891">
        <v>0.26679438619945101</v>
      </c>
      <c r="H2891">
        <v>0.21174758343101799</v>
      </c>
      <c r="I2891">
        <v>0.16814397757010499</v>
      </c>
      <c r="J2891">
        <v>0.13366657184469199</v>
      </c>
      <c r="K2891">
        <v>0.10987268212885699</v>
      </c>
      <c r="L2891">
        <v>1887.5543048493701</v>
      </c>
      <c r="M2891">
        <v>36.831671784057697</v>
      </c>
      <c r="N2891">
        <v>51.745389846993</v>
      </c>
      <c r="O2891">
        <v>51.097756512386098</v>
      </c>
      <c r="P2891">
        <v>-0.15334449557745999</v>
      </c>
      <c r="Q2891">
        <v>0.149043530773143</v>
      </c>
      <c r="R2891">
        <v>0.99166461276115603</v>
      </c>
      <c r="S2891" t="s">
        <v>8474</v>
      </c>
      <c r="T2891" t="s">
        <v>11164</v>
      </c>
      <c r="U2891" t="s">
        <v>11164</v>
      </c>
      <c r="V2891" t="s">
        <v>11164</v>
      </c>
      <c r="W2891" t="s">
        <v>14016</v>
      </c>
      <c r="X2891">
        <v>6</v>
      </c>
      <c r="Y2891" t="s">
        <v>19510</v>
      </c>
      <c r="Z2891" t="s">
        <v>25041</v>
      </c>
      <c r="AA2891">
        <v>0.55674428664777464</v>
      </c>
      <c r="AB2891" t="str">
        <f>HYPERLINK("Melting_Curves/meltCurve_Q13158_FADD.pdf", "Melting_Curves/meltCurve_Q13158_FADD.pdf")</f>
        <v>Melting_Curves/meltCurve_Q13158_FADD.pdf</v>
      </c>
    </row>
    <row r="2892" spans="1:28" x14ac:dyDescent="0.25">
      <c r="A2892" t="s">
        <v>2896</v>
      </c>
      <c r="B2892">
        <v>0.99796759195183404</v>
      </c>
      <c r="C2892">
        <v>1.00425050558685</v>
      </c>
      <c r="D2892">
        <v>0.92958109140391398</v>
      </c>
      <c r="E2892">
        <v>0.85082534339525895</v>
      </c>
      <c r="F2892">
        <v>0.79557907467754696</v>
      </c>
      <c r="G2892">
        <v>0.99470433421031601</v>
      </c>
      <c r="H2892">
        <v>0.85914122677502602</v>
      </c>
      <c r="I2892">
        <v>0.81803384194018602</v>
      </c>
      <c r="J2892">
        <v>0.86297426022550405</v>
      </c>
      <c r="K2892">
        <v>0.70306263461117802</v>
      </c>
      <c r="L2892">
        <v>189.130732864837</v>
      </c>
      <c r="M2892">
        <v>1.58349282052373</v>
      </c>
      <c r="O2892">
        <v>60.809931107644601</v>
      </c>
      <c r="P2892">
        <v>-7.4991935341946602E-3</v>
      </c>
      <c r="Q2892">
        <v>0</v>
      </c>
      <c r="R2892">
        <v>0.51394683090138205</v>
      </c>
      <c r="S2892" t="s">
        <v>8475</v>
      </c>
      <c r="T2892" t="s">
        <v>11164</v>
      </c>
      <c r="U2892" t="s">
        <v>11164</v>
      </c>
      <c r="V2892" t="s">
        <v>11164</v>
      </c>
      <c r="W2892" t="s">
        <v>14017</v>
      </c>
      <c r="X2892">
        <v>7</v>
      </c>
      <c r="Y2892" t="s">
        <v>19511</v>
      </c>
      <c r="Z2892" t="s">
        <v>25042</v>
      </c>
      <c r="AA2892">
        <v>0.88208638803309858</v>
      </c>
      <c r="AB2892" t="str">
        <f>HYPERLINK("Melting_Curves/meltCurve_Q13162_PRDX4.pdf", "Melting_Curves/meltCurve_Q13162_PRDX4.pdf")</f>
        <v>Melting_Curves/meltCurve_Q13162_PRDX4.pdf</v>
      </c>
    </row>
    <row r="2893" spans="1:28" x14ac:dyDescent="0.25">
      <c r="A2893" t="s">
        <v>2897</v>
      </c>
      <c r="B2893">
        <v>0.99796759195183404</v>
      </c>
      <c r="C2893">
        <v>1.0327967506654301</v>
      </c>
      <c r="D2893">
        <v>0.99480273627244997</v>
      </c>
      <c r="E2893">
        <v>0.92127401916482998</v>
      </c>
      <c r="F2893">
        <v>0.80382202738826503</v>
      </c>
      <c r="G2893">
        <v>0.28361644715161</v>
      </c>
      <c r="H2893">
        <v>0.18223263827390501</v>
      </c>
      <c r="I2893">
        <v>0.19605833328814401</v>
      </c>
      <c r="J2893">
        <v>0.150978148489115</v>
      </c>
      <c r="K2893">
        <v>0.15469828772476499</v>
      </c>
      <c r="L2893">
        <v>2122.5588254013501</v>
      </c>
      <c r="M2893">
        <v>41.170522458046399</v>
      </c>
      <c r="N2893">
        <v>52.065152913405903</v>
      </c>
      <c r="O2893">
        <v>51.434121836514898</v>
      </c>
      <c r="P2893">
        <v>-0.16691407061868699</v>
      </c>
      <c r="Q2893">
        <v>0.16590205428218799</v>
      </c>
      <c r="R2893">
        <v>0.99514142146247897</v>
      </c>
      <c r="S2893" t="s">
        <v>8476</v>
      </c>
      <c r="T2893" t="s">
        <v>11164</v>
      </c>
      <c r="U2893" t="s">
        <v>11164</v>
      </c>
      <c r="V2893" t="s">
        <v>11164</v>
      </c>
      <c r="W2893" t="s">
        <v>14018</v>
      </c>
      <c r="X2893">
        <v>7</v>
      </c>
      <c r="Y2893" t="s">
        <v>19512</v>
      </c>
      <c r="Z2893" t="s">
        <v>25043</v>
      </c>
      <c r="AA2893">
        <v>0.57338751591240877</v>
      </c>
      <c r="AB2893" t="str">
        <f>HYPERLINK("Melting_Curves/meltCurve_Q13164_2_MAPK7.pdf", "Melting_Curves/meltCurve_Q13164_2_MAPK7.pdf")</f>
        <v>Melting_Curves/meltCurve_Q13164_2_MAPK7.pdf</v>
      </c>
    </row>
    <row r="2894" spans="1:28" x14ac:dyDescent="0.25">
      <c r="A2894" t="s">
        <v>2898</v>
      </c>
      <c r="B2894">
        <v>0.99796759195183404</v>
      </c>
      <c r="C2894">
        <v>0.96525008816322699</v>
      </c>
      <c r="D2894">
        <v>0.98850031546596695</v>
      </c>
      <c r="E2894">
        <v>0.96024663991843695</v>
      </c>
      <c r="F2894">
        <v>0.81146805761476604</v>
      </c>
      <c r="G2894">
        <v>0.66029146439569497</v>
      </c>
      <c r="H2894">
        <v>0.58045425945393503</v>
      </c>
      <c r="I2894">
        <v>0.37103165675732203</v>
      </c>
      <c r="J2894">
        <v>0.166470295779371</v>
      </c>
      <c r="K2894">
        <v>0.11718557052209801</v>
      </c>
      <c r="L2894">
        <v>699.28365112997506</v>
      </c>
      <c r="M2894">
        <v>12.1576053796685</v>
      </c>
      <c r="N2894">
        <v>57.518206153358598</v>
      </c>
      <c r="O2894">
        <v>56.028386311293502</v>
      </c>
      <c r="P2894">
        <v>-5.4259959952862202E-2</v>
      </c>
      <c r="Q2894">
        <v>0</v>
      </c>
      <c r="R2894">
        <v>0.98502395730577497</v>
      </c>
      <c r="S2894" t="s">
        <v>8477</v>
      </c>
      <c r="T2894" t="s">
        <v>11164</v>
      </c>
      <c r="U2894" t="s">
        <v>11164</v>
      </c>
      <c r="V2894" t="s">
        <v>11164</v>
      </c>
      <c r="W2894" t="s">
        <v>14019</v>
      </c>
      <c r="X2894">
        <v>27</v>
      </c>
      <c r="Y2894" t="s">
        <v>19513</v>
      </c>
      <c r="Z2894" t="s">
        <v>25044</v>
      </c>
      <c r="AA2894">
        <v>0.68595682312534878</v>
      </c>
      <c r="AB2894" t="str">
        <f>HYPERLINK("Melting_Curves/meltCurve_Q13177_PAK2.pdf", "Melting_Curves/meltCurve_Q13177_PAK2.pdf")</f>
        <v>Melting_Curves/meltCurve_Q13177_PAK2.pdf</v>
      </c>
    </row>
    <row r="2895" spans="1:28" x14ac:dyDescent="0.25">
      <c r="A2895" t="s">
        <v>2899</v>
      </c>
      <c r="B2895">
        <v>0.99796759195183404</v>
      </c>
      <c r="C2895">
        <v>1.01699450321287</v>
      </c>
      <c r="D2895">
        <v>1.0009757465286899</v>
      </c>
      <c r="E2895">
        <v>0.95337570704534602</v>
      </c>
      <c r="F2895">
        <v>0.87131141149567604</v>
      </c>
      <c r="G2895">
        <v>0.54561636293040905</v>
      </c>
      <c r="H2895">
        <v>0.32759620898845598</v>
      </c>
      <c r="I2895">
        <v>0.234671362067538</v>
      </c>
      <c r="J2895">
        <v>0.20308068067091001</v>
      </c>
      <c r="K2895">
        <v>0.143481966757871</v>
      </c>
      <c r="L2895">
        <v>1184.02465018105</v>
      </c>
      <c r="M2895">
        <v>22.0871186875954</v>
      </c>
      <c r="N2895">
        <v>54.590858006387499</v>
      </c>
      <c r="O2895">
        <v>53.173389219710799</v>
      </c>
      <c r="P2895">
        <v>-8.6796730580699005E-2</v>
      </c>
      <c r="Q2895">
        <v>0.16418704380368301</v>
      </c>
      <c r="R2895">
        <v>0.99750152155635197</v>
      </c>
      <c r="S2895" t="s">
        <v>8478</v>
      </c>
      <c r="T2895" t="s">
        <v>11164</v>
      </c>
      <c r="U2895" t="s">
        <v>11164</v>
      </c>
      <c r="V2895" t="s">
        <v>11164</v>
      </c>
      <c r="W2895" t="s">
        <v>14020</v>
      </c>
      <c r="X2895">
        <v>12</v>
      </c>
      <c r="Y2895" t="s">
        <v>19514</v>
      </c>
      <c r="Z2895" t="s">
        <v>25045</v>
      </c>
      <c r="AA2895">
        <v>0.63579898927720313</v>
      </c>
      <c r="AB2895" t="str">
        <f>HYPERLINK("Melting_Curves/meltCurve_Q13185_CBX3.pdf", "Melting_Curves/meltCurve_Q13185_CBX3.pdf")</f>
        <v>Melting_Curves/meltCurve_Q13185_CBX3.pdf</v>
      </c>
    </row>
    <row r="2896" spans="1:28" x14ac:dyDescent="0.25">
      <c r="A2896" t="s">
        <v>2900</v>
      </c>
      <c r="B2896">
        <v>0.99796759195183404</v>
      </c>
      <c r="C2896">
        <v>1.00800712659075</v>
      </c>
      <c r="D2896">
        <v>0.95661532896370705</v>
      </c>
      <c r="E2896">
        <v>0.86697298448681503</v>
      </c>
      <c r="F2896">
        <v>0.80845478260371895</v>
      </c>
      <c r="G2896">
        <v>0.69310332523498697</v>
      </c>
      <c r="H2896">
        <v>0.42504434295703097</v>
      </c>
      <c r="I2896">
        <v>0.232263891334135</v>
      </c>
      <c r="J2896">
        <v>0.203473583458329</v>
      </c>
      <c r="K2896">
        <v>0.141224889780735</v>
      </c>
      <c r="L2896">
        <v>674.75974481022604</v>
      </c>
      <c r="M2896">
        <v>11.997335513927601</v>
      </c>
      <c r="N2896">
        <v>56.242466924103702</v>
      </c>
      <c r="O2896">
        <v>54.748200467277897</v>
      </c>
      <c r="P2896">
        <v>-5.4797353163761803E-2</v>
      </c>
      <c r="Q2896">
        <v>0</v>
      </c>
      <c r="R2896">
        <v>0.99043888828712301</v>
      </c>
      <c r="S2896" t="s">
        <v>8479</v>
      </c>
      <c r="T2896" t="s">
        <v>11164</v>
      </c>
      <c r="U2896" t="s">
        <v>11164</v>
      </c>
      <c r="V2896" t="s">
        <v>11164</v>
      </c>
      <c r="W2896" t="s">
        <v>14021</v>
      </c>
      <c r="X2896">
        <v>9</v>
      </c>
      <c r="Y2896" t="s">
        <v>19515</v>
      </c>
      <c r="Z2896" t="s">
        <v>25046</v>
      </c>
      <c r="AA2896">
        <v>0.65002997521317929</v>
      </c>
      <c r="AB2896" t="str">
        <f>HYPERLINK("Melting_Curves/meltCurve_Q13188_STK3.pdf", "Melting_Curves/meltCurve_Q13188_STK3.pdf")</f>
        <v>Melting_Curves/meltCurve_Q13188_STK3.pdf</v>
      </c>
    </row>
    <row r="2897" spans="1:28" x14ac:dyDescent="0.25">
      <c r="A2897" t="s">
        <v>2901</v>
      </c>
      <c r="B2897">
        <v>0.99796759195183404</v>
      </c>
      <c r="C2897">
        <v>0.86735688006415301</v>
      </c>
      <c r="D2897">
        <v>0.86755785118885198</v>
      </c>
      <c r="E2897">
        <v>0.99339159628144602</v>
      </c>
      <c r="F2897">
        <v>0.76328124797818797</v>
      </c>
      <c r="G2897">
        <v>0.62987638884482</v>
      </c>
      <c r="H2897">
        <v>0.74743329948827397</v>
      </c>
      <c r="I2897">
        <v>0.51479325467050796</v>
      </c>
      <c r="J2897">
        <v>0.46371686885806901</v>
      </c>
      <c r="K2897">
        <v>0.44614220717493502</v>
      </c>
      <c r="L2897">
        <v>320.34949307742602</v>
      </c>
      <c r="M2897">
        <v>5.0395807400078096</v>
      </c>
      <c r="N2897">
        <v>63.566715233370402</v>
      </c>
      <c r="O2897">
        <v>55.581060982159201</v>
      </c>
      <c r="P2897">
        <v>-2.28029090598512E-2</v>
      </c>
      <c r="Q2897">
        <v>0</v>
      </c>
      <c r="R2897">
        <v>0.86888798662674205</v>
      </c>
      <c r="S2897" t="s">
        <v>8480</v>
      </c>
      <c r="T2897" t="s">
        <v>11164</v>
      </c>
      <c r="U2897" t="s">
        <v>11164</v>
      </c>
      <c r="V2897" t="s">
        <v>11164</v>
      </c>
      <c r="W2897" t="s">
        <v>14022</v>
      </c>
      <c r="X2897">
        <v>7</v>
      </c>
      <c r="Y2897" t="s">
        <v>19516</v>
      </c>
      <c r="Z2897" t="s">
        <v>25047</v>
      </c>
      <c r="AA2897">
        <v>0.73702838194387632</v>
      </c>
      <c r="AB2897" t="str">
        <f>HYPERLINK("Melting_Curves/meltCurve_Q13200_PSMD2.pdf", "Melting_Curves/meltCurve_Q13200_PSMD2.pdf")</f>
        <v>Melting_Curves/meltCurve_Q13200_PSMD2.pdf</v>
      </c>
    </row>
    <row r="2898" spans="1:28" x14ac:dyDescent="0.25">
      <c r="A2898" t="s">
        <v>2902</v>
      </c>
      <c r="B2898">
        <v>0.99796759195183404</v>
      </c>
      <c r="C2898">
        <v>1.23269137812389</v>
      </c>
      <c r="D2898">
        <v>1.16574856235575</v>
      </c>
      <c r="E2898">
        <v>1.2649878608524501</v>
      </c>
      <c r="F2898">
        <v>1.1542739630480101</v>
      </c>
      <c r="G2898">
        <v>0.78705005210838097</v>
      </c>
      <c r="H2898">
        <v>1.0592261196910899</v>
      </c>
      <c r="I2898">
        <v>0.97383091049117998</v>
      </c>
      <c r="J2898">
        <v>0.34101777808310701</v>
      </c>
      <c r="K2898">
        <v>0.54766432153980804</v>
      </c>
      <c r="L2898">
        <v>15000</v>
      </c>
      <c r="M2898">
        <v>242.90667738813301</v>
      </c>
      <c r="N2898">
        <v>62.315204227114897</v>
      </c>
      <c r="O2898">
        <v>61.747924736679302</v>
      </c>
      <c r="P2898">
        <v>-0.54649196255335997</v>
      </c>
      <c r="Q2898">
        <v>0.44431754822817798</v>
      </c>
      <c r="R2898">
        <v>0.70780347502502705</v>
      </c>
      <c r="S2898" t="s">
        <v>8481</v>
      </c>
      <c r="T2898" t="s">
        <v>11164</v>
      </c>
      <c r="U2898" t="s">
        <v>11164</v>
      </c>
      <c r="V2898" t="s">
        <v>11164</v>
      </c>
      <c r="W2898" t="s">
        <v>14023</v>
      </c>
      <c r="X2898">
        <v>3</v>
      </c>
      <c r="Y2898" t="s">
        <v>19517</v>
      </c>
      <c r="Z2898" t="s">
        <v>25048</v>
      </c>
      <c r="AA2898">
        <v>0.90285845532171016</v>
      </c>
      <c r="AB2898" t="str">
        <f>HYPERLINK("Melting_Curves/meltCurve_Q13206_DDX10.pdf", "Melting_Curves/meltCurve_Q13206_DDX10.pdf")</f>
        <v>Melting_Curves/meltCurve_Q13206_DDX10.pdf</v>
      </c>
    </row>
    <row r="2899" spans="1:28" x14ac:dyDescent="0.25">
      <c r="A2899" t="s">
        <v>2903</v>
      </c>
      <c r="B2899">
        <v>0.99796759195183404</v>
      </c>
      <c r="C2899">
        <v>1.00791760119749</v>
      </c>
      <c r="D2899">
        <v>0.97908016821065702</v>
      </c>
      <c r="E2899">
        <v>0.96111060973801998</v>
      </c>
      <c r="F2899">
        <v>0.74839017951990905</v>
      </c>
      <c r="G2899">
        <v>0.41555992008650799</v>
      </c>
      <c r="H2899">
        <v>0.32366369981672299</v>
      </c>
      <c r="I2899">
        <v>0.30086770437030003</v>
      </c>
      <c r="J2899">
        <v>0.20759245983982699</v>
      </c>
      <c r="K2899">
        <v>0.15827530803233</v>
      </c>
      <c r="L2899">
        <v>1150.9115244156901</v>
      </c>
      <c r="M2899">
        <v>22.210990958113001</v>
      </c>
      <c r="N2899">
        <v>53.119352127585401</v>
      </c>
      <c r="O2899">
        <v>51.402639921048497</v>
      </c>
      <c r="P2899">
        <v>-8.5349490453802399E-2</v>
      </c>
      <c r="Q2899">
        <v>0.20992340319792799</v>
      </c>
      <c r="R2899">
        <v>0.99091848330420496</v>
      </c>
      <c r="S2899" t="s">
        <v>8482</v>
      </c>
      <c r="T2899" t="s">
        <v>11164</v>
      </c>
      <c r="U2899" t="s">
        <v>11164</v>
      </c>
      <c r="V2899" t="s">
        <v>11164</v>
      </c>
      <c r="W2899" t="s">
        <v>14024</v>
      </c>
      <c r="X2899">
        <v>7</v>
      </c>
      <c r="Y2899" t="s">
        <v>19518</v>
      </c>
      <c r="Z2899" t="s">
        <v>25049</v>
      </c>
      <c r="AA2899">
        <v>0.6087621271989494</v>
      </c>
      <c r="AB2899" t="str">
        <f>HYPERLINK("Melting_Curves/meltCurve_Q13217_DNAJC3.pdf", "Melting_Curves/meltCurve_Q13217_DNAJC3.pdf")</f>
        <v>Melting_Curves/meltCurve_Q13217_DNAJC3.pdf</v>
      </c>
    </row>
    <row r="2900" spans="1:28" x14ac:dyDescent="0.25">
      <c r="A2900" t="s">
        <v>2904</v>
      </c>
      <c r="B2900">
        <v>0.99796759195183404</v>
      </c>
      <c r="C2900">
        <v>1.10878592637133</v>
      </c>
      <c r="D2900">
        <v>0.62229095201205298</v>
      </c>
      <c r="E2900">
        <v>0.635938174589051</v>
      </c>
      <c r="F2900">
        <v>0.622293053538166</v>
      </c>
      <c r="G2900">
        <v>0.75248121314259397</v>
      </c>
      <c r="H2900">
        <v>0.59281391883914303</v>
      </c>
      <c r="I2900">
        <v>0.716013358070829</v>
      </c>
      <c r="J2900">
        <v>0.494752529420658</v>
      </c>
      <c r="K2900">
        <v>0.52689991603623099</v>
      </c>
      <c r="L2900">
        <v>10527.623379554099</v>
      </c>
      <c r="M2900">
        <v>250</v>
      </c>
      <c r="O2900">
        <v>42.107810354562098</v>
      </c>
      <c r="P2900">
        <v>-0.56377997942634195</v>
      </c>
      <c r="Q2900">
        <v>0.62016745760273995</v>
      </c>
      <c r="R2900">
        <v>0.82142139457867502</v>
      </c>
      <c r="S2900" t="s">
        <v>8483</v>
      </c>
      <c r="T2900" t="s">
        <v>11164</v>
      </c>
      <c r="U2900" t="s">
        <v>11164</v>
      </c>
      <c r="V2900" t="s">
        <v>11164</v>
      </c>
      <c r="W2900" t="s">
        <v>14025</v>
      </c>
      <c r="X2900">
        <v>3</v>
      </c>
      <c r="Y2900" t="s">
        <v>19519</v>
      </c>
      <c r="Z2900" t="s">
        <v>25050</v>
      </c>
      <c r="AA2900">
        <v>0.68489991999712008</v>
      </c>
      <c r="AB2900" t="str">
        <f>HYPERLINK("Melting_Curves/meltCurve_Q13228_2_SELENBP1.pdf", "Melting_Curves/meltCurve_Q13228_2_SELENBP1.pdf")</f>
        <v>Melting_Curves/meltCurve_Q13228_2_SELENBP1.pdf</v>
      </c>
    </row>
    <row r="2901" spans="1:28" x14ac:dyDescent="0.25">
      <c r="A2901" t="s">
        <v>2905</v>
      </c>
      <c r="B2901">
        <v>0.99796759195183404</v>
      </c>
      <c r="C2901">
        <v>1.0196122016875699</v>
      </c>
      <c r="D2901">
        <v>0.981412364524471</v>
      </c>
      <c r="E2901">
        <v>0.98726905242101504</v>
      </c>
      <c r="F2901">
        <v>0.87939698929447796</v>
      </c>
      <c r="G2901">
        <v>0.82053120623369902</v>
      </c>
      <c r="H2901">
        <v>0.78449436324638999</v>
      </c>
      <c r="I2901">
        <v>0.78042094362124603</v>
      </c>
      <c r="J2901">
        <v>0.97279268100240901</v>
      </c>
      <c r="K2901">
        <v>0.65155371524989403</v>
      </c>
      <c r="L2901">
        <v>1715.3861898242701</v>
      </c>
      <c r="M2901">
        <v>34.502347998135903</v>
      </c>
      <c r="O2901">
        <v>49.551825272214302</v>
      </c>
      <c r="P2901">
        <v>-3.5101761053617599E-2</v>
      </c>
      <c r="Q2901">
        <v>0.79834998232575105</v>
      </c>
      <c r="R2901">
        <v>0.61336581547705205</v>
      </c>
      <c r="S2901" t="s">
        <v>8484</v>
      </c>
      <c r="T2901" t="s">
        <v>11164</v>
      </c>
      <c r="U2901" t="s">
        <v>11164</v>
      </c>
      <c r="V2901" t="s">
        <v>11164</v>
      </c>
      <c r="W2901" t="s">
        <v>14026</v>
      </c>
      <c r="X2901">
        <v>8</v>
      </c>
      <c r="Y2901" t="s">
        <v>19520</v>
      </c>
      <c r="Z2901" t="s">
        <v>25051</v>
      </c>
      <c r="AA2901">
        <v>0.88476785692276705</v>
      </c>
      <c r="AB2901" t="str">
        <f>HYPERLINK("Melting_Curves/meltCurve_Q13232_NME3.pdf", "Melting_Curves/meltCurve_Q13232_NME3.pdf")</f>
        <v>Melting_Curves/meltCurve_Q13232_NME3.pdf</v>
      </c>
    </row>
    <row r="2902" spans="1:28" x14ac:dyDescent="0.25">
      <c r="A2902" t="s">
        <v>2906</v>
      </c>
      <c r="B2902">
        <v>0.99796759195183404</v>
      </c>
      <c r="C2902">
        <v>1.1340154168508401</v>
      </c>
      <c r="D2902">
        <v>1.2211126697124299</v>
      </c>
      <c r="E2902">
        <v>1.0716944292811601</v>
      </c>
      <c r="F2902">
        <v>0.75647172785974703</v>
      </c>
      <c r="G2902">
        <v>0.81404040765193197</v>
      </c>
      <c r="H2902">
        <v>0.58598846147484795</v>
      </c>
      <c r="I2902">
        <v>0.51460347806227502</v>
      </c>
      <c r="J2902">
        <v>0.69306580617574498</v>
      </c>
      <c r="K2902">
        <v>1.0842295432467901</v>
      </c>
      <c r="L2902">
        <v>12419.4760595428</v>
      </c>
      <c r="M2902">
        <v>250</v>
      </c>
      <c r="O2902">
        <v>49.674725263465199</v>
      </c>
      <c r="P2902">
        <v>-0.32915944088422999</v>
      </c>
      <c r="Q2902">
        <v>0.73838552403590196</v>
      </c>
      <c r="R2902">
        <v>0.50170166186714205</v>
      </c>
      <c r="S2902" t="s">
        <v>8485</v>
      </c>
      <c r="T2902" t="s">
        <v>11164</v>
      </c>
      <c r="U2902" t="s">
        <v>11164</v>
      </c>
      <c r="V2902" t="s">
        <v>11164</v>
      </c>
      <c r="W2902" t="s">
        <v>14027</v>
      </c>
      <c r="X2902">
        <v>5</v>
      </c>
      <c r="Y2902" t="s">
        <v>19521</v>
      </c>
      <c r="Z2902" t="s">
        <v>25052</v>
      </c>
      <c r="AA2902">
        <v>0.84896577507204685</v>
      </c>
      <c r="AB2902" t="str">
        <f>HYPERLINK("Melting_Curves/meltCurve_Q13243_3_SRSF5.pdf", "Melting_Curves/meltCurve_Q13243_3_SRSF5.pdf")</f>
        <v>Melting_Curves/meltCurve_Q13243_3_SRSF5.pdf</v>
      </c>
    </row>
    <row r="2903" spans="1:28" x14ac:dyDescent="0.25">
      <c r="A2903" t="s">
        <v>2907</v>
      </c>
      <c r="B2903">
        <v>0.99796759195183404</v>
      </c>
      <c r="C2903">
        <v>1.09887336008057</v>
      </c>
      <c r="D2903">
        <v>1.04203772673592</v>
      </c>
      <c r="E2903">
        <v>0.97381451597661695</v>
      </c>
      <c r="F2903">
        <v>0.82331708648265201</v>
      </c>
      <c r="G2903">
        <v>0.53843034144188695</v>
      </c>
      <c r="H2903">
        <v>0.39867647230261799</v>
      </c>
      <c r="I2903">
        <v>0.38071656274250898</v>
      </c>
      <c r="J2903">
        <v>0.33845083761474698</v>
      </c>
      <c r="K2903">
        <v>0.38438131793544</v>
      </c>
      <c r="L2903">
        <v>1477.1612134838499</v>
      </c>
      <c r="M2903">
        <v>28.4482573966839</v>
      </c>
      <c r="N2903">
        <v>54.398223499195197</v>
      </c>
      <c r="O2903">
        <v>51.669944584219401</v>
      </c>
      <c r="P2903">
        <v>-8.7698037355869798E-2</v>
      </c>
      <c r="Q2903">
        <v>0.362869055178283</v>
      </c>
      <c r="R2903">
        <v>0.985628141307615</v>
      </c>
      <c r="S2903" t="s">
        <v>8486</v>
      </c>
      <c r="T2903" t="s">
        <v>11164</v>
      </c>
      <c r="U2903" t="s">
        <v>11164</v>
      </c>
      <c r="V2903" t="s">
        <v>11164</v>
      </c>
      <c r="W2903" t="s">
        <v>14028</v>
      </c>
      <c r="X2903">
        <v>5</v>
      </c>
      <c r="Y2903" t="s">
        <v>19522</v>
      </c>
      <c r="Z2903" t="s">
        <v>25053</v>
      </c>
      <c r="AA2903">
        <v>0.68427514274463686</v>
      </c>
      <c r="AB2903" t="str">
        <f>HYPERLINK("Melting_Curves/meltCurve_Q13247_3_SRSF6.pdf", "Melting_Curves/meltCurve_Q13247_3_SRSF6.pdf")</f>
        <v>Melting_Curves/meltCurve_Q13247_3_SRSF6.pdf</v>
      </c>
    </row>
    <row r="2904" spans="1:28" x14ac:dyDescent="0.25">
      <c r="A2904" t="s">
        <v>2908</v>
      </c>
      <c r="B2904">
        <v>0.99796759195183404</v>
      </c>
      <c r="C2904">
        <v>0.99693113257236998</v>
      </c>
      <c r="D2904">
        <v>0.982689717823094</v>
      </c>
      <c r="E2904">
        <v>0.93590835924892102</v>
      </c>
      <c r="F2904">
        <v>0.78362547680725603</v>
      </c>
      <c r="G2904">
        <v>0.42687808182127601</v>
      </c>
      <c r="H2904">
        <v>0.257955917832769</v>
      </c>
      <c r="I2904">
        <v>0.213946389296505</v>
      </c>
      <c r="J2904">
        <v>0.183810586923213</v>
      </c>
      <c r="K2904">
        <v>0.15364121988144</v>
      </c>
      <c r="L2904">
        <v>1245.187874963</v>
      </c>
      <c r="M2904">
        <v>23.864526577214399</v>
      </c>
      <c r="N2904">
        <v>53.098338875130302</v>
      </c>
      <c r="O2904">
        <v>51.815104020602099</v>
      </c>
      <c r="P2904">
        <v>-9.5630367240079395E-2</v>
      </c>
      <c r="Q2904">
        <v>0.16947545294126701</v>
      </c>
      <c r="R2904">
        <v>0.99858120289048202</v>
      </c>
      <c r="S2904" t="s">
        <v>8487</v>
      </c>
      <c r="T2904" t="s">
        <v>11164</v>
      </c>
      <c r="U2904" t="s">
        <v>11164</v>
      </c>
      <c r="V2904" t="s">
        <v>11164</v>
      </c>
      <c r="W2904" t="s">
        <v>14029</v>
      </c>
      <c r="X2904">
        <v>9</v>
      </c>
      <c r="Y2904" t="s">
        <v>19523</v>
      </c>
      <c r="Z2904" t="s">
        <v>25054</v>
      </c>
      <c r="AA2904">
        <v>0.59763506709629555</v>
      </c>
      <c r="AB2904" t="str">
        <f>HYPERLINK("Melting_Curves/meltCurve_Q13257_MAD2L1.pdf", "Melting_Curves/meltCurve_Q13257_MAD2L1.pdf")</f>
        <v>Melting_Curves/meltCurve_Q13257_MAD2L1.pdf</v>
      </c>
    </row>
    <row r="2905" spans="1:28" x14ac:dyDescent="0.25">
      <c r="A2905" t="s">
        <v>2909</v>
      </c>
      <c r="B2905">
        <v>0.99796759195183404</v>
      </c>
      <c r="C2905">
        <v>1.0583861718958201</v>
      </c>
      <c r="D2905">
        <v>1.0371322145599</v>
      </c>
      <c r="E2905">
        <v>1.01400824763428</v>
      </c>
      <c r="F2905">
        <v>0.81176995193943202</v>
      </c>
      <c r="G2905">
        <v>0.30278209494790898</v>
      </c>
      <c r="H2905">
        <v>0.195129409403311</v>
      </c>
      <c r="I2905">
        <v>0.15313451287655899</v>
      </c>
      <c r="J2905">
        <v>0.127241312016734</v>
      </c>
      <c r="K2905">
        <v>9.1933552396652796E-2</v>
      </c>
      <c r="L2905">
        <v>1968.7208295699199</v>
      </c>
      <c r="M2905">
        <v>37.9413111486638</v>
      </c>
      <c r="N2905">
        <v>52.316549433434503</v>
      </c>
      <c r="O2905">
        <v>51.745066126759099</v>
      </c>
      <c r="P2905">
        <v>-0.15885383622956301</v>
      </c>
      <c r="Q2905">
        <v>0.13341095799199401</v>
      </c>
      <c r="R2905">
        <v>0.99461088149240295</v>
      </c>
      <c r="S2905" t="s">
        <v>8488</v>
      </c>
      <c r="T2905" t="s">
        <v>11164</v>
      </c>
      <c r="U2905" t="s">
        <v>11164</v>
      </c>
      <c r="V2905" t="s">
        <v>11164</v>
      </c>
      <c r="W2905" t="s">
        <v>14030</v>
      </c>
      <c r="X2905">
        <v>45</v>
      </c>
      <c r="Y2905" t="s">
        <v>19524</v>
      </c>
      <c r="Z2905" t="s">
        <v>25055</v>
      </c>
      <c r="AA2905">
        <v>0.56693248110434236</v>
      </c>
      <c r="AB2905" t="str">
        <f>HYPERLINK("Melting_Curves/meltCurve_Q13263_TRIM28.pdf", "Melting_Curves/meltCurve_Q13263_TRIM28.pdf")</f>
        <v>Melting_Curves/meltCurve_Q13263_TRIM28.pdf</v>
      </c>
    </row>
    <row r="2906" spans="1:28" x14ac:dyDescent="0.25">
      <c r="A2906" t="s">
        <v>2910</v>
      </c>
      <c r="B2906">
        <v>0.99796759195183404</v>
      </c>
      <c r="C2906">
        <v>0.915601425438334</v>
      </c>
      <c r="D2906">
        <v>1.0189635221184199</v>
      </c>
      <c r="E2906">
        <v>0.95868565844901799</v>
      </c>
      <c r="F2906">
        <v>0.89051202752979697</v>
      </c>
      <c r="G2906">
        <v>0.53829680298646299</v>
      </c>
      <c r="H2906">
        <v>0.51517419070928805</v>
      </c>
      <c r="I2906">
        <v>0.41491680261872799</v>
      </c>
      <c r="J2906">
        <v>0.36118795498481199</v>
      </c>
      <c r="K2906">
        <v>0.20300376034049999</v>
      </c>
      <c r="L2906">
        <v>779.64377514372302</v>
      </c>
      <c r="M2906">
        <v>14.308692634264601</v>
      </c>
      <c r="N2906">
        <v>56.948397990877503</v>
      </c>
      <c r="O2906">
        <v>53.4563086135988</v>
      </c>
      <c r="P2906">
        <v>-5.1494049476809599E-2</v>
      </c>
      <c r="Q2906">
        <v>0.230580344627627</v>
      </c>
      <c r="R2906">
        <v>0.956122898239262</v>
      </c>
      <c r="S2906" t="s">
        <v>8489</v>
      </c>
      <c r="T2906" t="s">
        <v>11164</v>
      </c>
      <c r="U2906" t="s">
        <v>11164</v>
      </c>
      <c r="V2906" t="s">
        <v>11164</v>
      </c>
      <c r="W2906" t="s">
        <v>14031</v>
      </c>
      <c r="X2906">
        <v>6</v>
      </c>
      <c r="Y2906" t="s">
        <v>19525</v>
      </c>
      <c r="Z2906" t="s">
        <v>25056</v>
      </c>
      <c r="AA2906">
        <v>0.69109594103940775</v>
      </c>
      <c r="AB2906" t="str">
        <f>HYPERLINK("Melting_Curves/meltCurve_Q13277_2_STX3.pdf", "Melting_Curves/meltCurve_Q13277_2_STX3.pdf")</f>
        <v>Melting_Curves/meltCurve_Q13277_2_STX3.pdf</v>
      </c>
    </row>
    <row r="2907" spans="1:28" x14ac:dyDescent="0.25">
      <c r="A2907" t="s">
        <v>2911</v>
      </c>
      <c r="B2907">
        <v>0.99796759195183404</v>
      </c>
      <c r="C2907">
        <v>0.91379909506892099</v>
      </c>
      <c r="D2907">
        <v>0.86571695149285399</v>
      </c>
      <c r="E2907">
        <v>0.83294572488194496</v>
      </c>
      <c r="F2907">
        <v>0.685414743403154</v>
      </c>
      <c r="G2907">
        <v>0.39308447552468601</v>
      </c>
      <c r="H2907">
        <v>0.22210142707574801</v>
      </c>
      <c r="I2907">
        <v>0.19308442204023299</v>
      </c>
      <c r="J2907">
        <v>0.187254697261792</v>
      </c>
      <c r="K2907">
        <v>0.16788532164772799</v>
      </c>
      <c r="L2907">
        <v>718.67699688380196</v>
      </c>
      <c r="M2907">
        <v>14.0306142196211</v>
      </c>
      <c r="N2907">
        <v>52.200157634013998</v>
      </c>
      <c r="O2907">
        <v>50.215197761481598</v>
      </c>
      <c r="P2907">
        <v>-6.1786324583785697E-2</v>
      </c>
      <c r="Q2907">
        <v>0.115589546708927</v>
      </c>
      <c r="R2907">
        <v>0.98172677798969799</v>
      </c>
      <c r="S2907" t="s">
        <v>8490</v>
      </c>
      <c r="T2907" t="s">
        <v>11164</v>
      </c>
      <c r="U2907" t="s">
        <v>11164</v>
      </c>
      <c r="V2907" t="s">
        <v>11164</v>
      </c>
      <c r="W2907" t="s">
        <v>14032</v>
      </c>
      <c r="X2907">
        <v>14</v>
      </c>
      <c r="Y2907" t="s">
        <v>19526</v>
      </c>
      <c r="Z2907" t="s">
        <v>25057</v>
      </c>
      <c r="AA2907">
        <v>0.55399703513595489</v>
      </c>
      <c r="AB2907" t="str">
        <f>HYPERLINK("Melting_Curves/meltCurve_Q13283_G3BP1.pdf", "Melting_Curves/meltCurve_Q13283_G3BP1.pdf")</f>
        <v>Melting_Curves/meltCurve_Q13283_G3BP1.pdf</v>
      </c>
    </row>
    <row r="2908" spans="1:28" x14ac:dyDescent="0.25">
      <c r="A2908" t="s">
        <v>2912</v>
      </c>
      <c r="B2908">
        <v>0.99796759195183404</v>
      </c>
      <c r="C2908">
        <v>0.95808047406041696</v>
      </c>
      <c r="D2908">
        <v>0.97522788459076704</v>
      </c>
      <c r="E2908">
        <v>0.93839887921349396</v>
      </c>
      <c r="F2908">
        <v>0.783467623664173</v>
      </c>
      <c r="G2908">
        <v>0.59636766354255899</v>
      </c>
      <c r="H2908">
        <v>0.41857405971721001</v>
      </c>
      <c r="I2908">
        <v>0.25175332574188902</v>
      </c>
      <c r="J2908">
        <v>0.157848475746171</v>
      </c>
      <c r="K2908">
        <v>0.104723829863867</v>
      </c>
      <c r="L2908">
        <v>691.41782119878496</v>
      </c>
      <c r="M2908">
        <v>12.4273161874384</v>
      </c>
      <c r="N2908">
        <v>55.636938160546002</v>
      </c>
      <c r="O2908">
        <v>54.255175924132303</v>
      </c>
      <c r="P2908">
        <v>-5.7275312464210797E-2</v>
      </c>
      <c r="Q2908">
        <v>0</v>
      </c>
      <c r="R2908">
        <v>0.99829334723272301</v>
      </c>
      <c r="S2908" t="s">
        <v>8491</v>
      </c>
      <c r="T2908" t="s">
        <v>11164</v>
      </c>
      <c r="U2908" t="s">
        <v>11164</v>
      </c>
      <c r="V2908" t="s">
        <v>11164</v>
      </c>
      <c r="W2908" t="s">
        <v>14033</v>
      </c>
      <c r="X2908">
        <v>24</v>
      </c>
      <c r="Y2908" t="s">
        <v>19527</v>
      </c>
      <c r="Z2908" t="s">
        <v>25058</v>
      </c>
      <c r="AA2908">
        <v>0.63304790155055701</v>
      </c>
      <c r="AB2908" t="str">
        <f>HYPERLINK("Melting_Curves/meltCurve_Q13308_PTK7.pdf", "Melting_Curves/meltCurve_Q13308_PTK7.pdf")</f>
        <v>Melting_Curves/meltCurve_Q13308_PTK7.pdf</v>
      </c>
    </row>
    <row r="2909" spans="1:28" x14ac:dyDescent="0.25">
      <c r="A2909" t="s">
        <v>2913</v>
      </c>
      <c r="B2909">
        <v>0.99796759195183404</v>
      </c>
      <c r="C2909">
        <v>1.14531240582097</v>
      </c>
      <c r="D2909">
        <v>0.99303261016826505</v>
      </c>
      <c r="E2909">
        <v>0.66689879673930397</v>
      </c>
      <c r="F2909">
        <v>0.33387529109222303</v>
      </c>
      <c r="G2909">
        <v>0.32670533023772202</v>
      </c>
      <c r="H2909">
        <v>0.211325948431485</v>
      </c>
      <c r="I2909">
        <v>0.16690672950785199</v>
      </c>
      <c r="J2909">
        <v>0.14788998237516199</v>
      </c>
      <c r="K2909">
        <v>7.8701040788738699E-2</v>
      </c>
      <c r="L2909">
        <v>1107.4136083221699</v>
      </c>
      <c r="M2909">
        <v>23.202540103209301</v>
      </c>
      <c r="N2909">
        <v>48.551224420439297</v>
      </c>
      <c r="O2909">
        <v>47.377829302770301</v>
      </c>
      <c r="P2909">
        <v>-0.102526815123979</v>
      </c>
      <c r="Q2909">
        <v>0.16260718023283799</v>
      </c>
      <c r="R2909">
        <v>0.96743551511113202</v>
      </c>
      <c r="S2909" t="s">
        <v>8492</v>
      </c>
      <c r="T2909" t="s">
        <v>11164</v>
      </c>
      <c r="U2909" t="s">
        <v>11164</v>
      </c>
      <c r="V2909" t="s">
        <v>11164</v>
      </c>
      <c r="W2909" t="s">
        <v>14034</v>
      </c>
      <c r="X2909">
        <v>5</v>
      </c>
      <c r="Y2909" t="s">
        <v>19528</v>
      </c>
      <c r="Z2909" t="s">
        <v>25059</v>
      </c>
      <c r="AA2909">
        <v>0.47030039896129461</v>
      </c>
      <c r="AB2909" t="str">
        <f>HYPERLINK("Melting_Curves/meltCurve_Q13309_SKP2.pdf", "Melting_Curves/meltCurve_Q13309_SKP2.pdf")</f>
        <v>Melting_Curves/meltCurve_Q13309_SKP2.pdf</v>
      </c>
    </row>
    <row r="2910" spans="1:28" x14ac:dyDescent="0.25">
      <c r="A2910" t="s">
        <v>2914</v>
      </c>
      <c r="B2910">
        <v>0.99796759195183404</v>
      </c>
      <c r="C2910">
        <v>0.93918250026049999</v>
      </c>
      <c r="D2910">
        <v>0.91405890272174795</v>
      </c>
      <c r="E2910">
        <v>0.91560308661063405</v>
      </c>
      <c r="F2910">
        <v>0.80347949102873195</v>
      </c>
      <c r="G2910">
        <v>0.33924507381336</v>
      </c>
      <c r="H2910">
        <v>0.17102971851561399</v>
      </c>
      <c r="I2910">
        <v>0.14349817749052199</v>
      </c>
      <c r="J2910">
        <v>0.10875738649531801</v>
      </c>
      <c r="K2910">
        <v>9.4217331995933101E-2</v>
      </c>
      <c r="L2910">
        <v>1530.4622790031999</v>
      </c>
      <c r="M2910">
        <v>29.3928599703864</v>
      </c>
      <c r="N2910">
        <v>52.5091007278942</v>
      </c>
      <c r="O2910">
        <v>51.829951791629803</v>
      </c>
      <c r="P2910">
        <v>-0.126303453897124</v>
      </c>
      <c r="Q2910">
        <v>0.109136618598976</v>
      </c>
      <c r="R2910">
        <v>0.98891338544696405</v>
      </c>
      <c r="S2910" t="s">
        <v>8493</v>
      </c>
      <c r="T2910" t="s">
        <v>11164</v>
      </c>
      <c r="U2910" t="s">
        <v>11164</v>
      </c>
      <c r="V2910" t="s">
        <v>11164</v>
      </c>
      <c r="W2910" t="s">
        <v>14035</v>
      </c>
      <c r="X2910">
        <v>18</v>
      </c>
      <c r="Y2910" t="s">
        <v>19529</v>
      </c>
      <c r="Z2910" t="s">
        <v>25060</v>
      </c>
      <c r="AA2910">
        <v>0.56247163988717475</v>
      </c>
      <c r="AB2910" t="str">
        <f>HYPERLINK("Melting_Curves/meltCurve_Q13310_3_PABPC4.pdf", "Melting_Curves/meltCurve_Q13310_3_PABPC4.pdf")</f>
        <v>Melting_Curves/meltCurve_Q13310_3_PABPC4.pdf</v>
      </c>
    </row>
    <row r="2911" spans="1:28" x14ac:dyDescent="0.25">
      <c r="A2911" t="s">
        <v>2915</v>
      </c>
      <c r="B2911">
        <v>0.99796759195183404</v>
      </c>
      <c r="C2911">
        <v>1.16553474388594</v>
      </c>
      <c r="D2911">
        <v>1.1130313430607399</v>
      </c>
      <c r="E2911">
        <v>1.01923999384005</v>
      </c>
      <c r="F2911">
        <v>0.38611185266859299</v>
      </c>
      <c r="G2911">
        <v>0.21973516284769901</v>
      </c>
      <c r="H2911">
        <v>0.167063444813673</v>
      </c>
      <c r="I2911">
        <v>0.15523067946600499</v>
      </c>
      <c r="J2911">
        <v>0.13051261198271999</v>
      </c>
      <c r="K2911">
        <v>0.126955192020269</v>
      </c>
      <c r="L2911">
        <v>5100.4772376622705</v>
      </c>
      <c r="M2911">
        <v>102.599606843244</v>
      </c>
      <c r="N2911">
        <v>49.899720148666297</v>
      </c>
      <c r="O2911">
        <v>49.693560870331403</v>
      </c>
      <c r="P2911">
        <v>-0.43368117198920197</v>
      </c>
      <c r="Q2911">
        <v>0.15979549488308101</v>
      </c>
      <c r="R2911">
        <v>0.97583950511725004</v>
      </c>
      <c r="S2911" t="s">
        <v>8494</v>
      </c>
      <c r="T2911" t="s">
        <v>11164</v>
      </c>
      <c r="U2911" t="s">
        <v>11164</v>
      </c>
      <c r="V2911" t="s">
        <v>11164</v>
      </c>
      <c r="W2911" t="s">
        <v>14036</v>
      </c>
      <c r="X2911">
        <v>3</v>
      </c>
      <c r="Y2911" t="s">
        <v>19530</v>
      </c>
      <c r="Z2911" t="s">
        <v>25061</v>
      </c>
      <c r="AA2911">
        <v>0.51626629298937021</v>
      </c>
      <c r="AB2911" t="str">
        <f>HYPERLINK("Melting_Curves/meltCurve_Q13322_2_GRB10.pdf", "Melting_Curves/meltCurve_Q13322_2_GRB10.pdf")</f>
        <v>Melting_Curves/meltCurve_Q13322_2_GRB10.pdf</v>
      </c>
    </row>
    <row r="2912" spans="1:28" x14ac:dyDescent="0.25">
      <c r="A2912" t="s">
        <v>2916</v>
      </c>
      <c r="B2912">
        <v>0.99796759195183404</v>
      </c>
      <c r="C2912">
        <v>0.92545076345063904</v>
      </c>
      <c r="D2912">
        <v>0.94138095988079695</v>
      </c>
      <c r="E2912">
        <v>0.85098733495204104</v>
      </c>
      <c r="F2912">
        <v>0.62196294874710201</v>
      </c>
      <c r="G2912">
        <v>0.251978854899083</v>
      </c>
      <c r="H2912">
        <v>0.16623566107736101</v>
      </c>
      <c r="I2912">
        <v>0.147798018696227</v>
      </c>
      <c r="J2912">
        <v>0.15150599102319101</v>
      </c>
      <c r="K2912">
        <v>0.12699223089377901</v>
      </c>
      <c r="L2912">
        <v>1133.1223561440499</v>
      </c>
      <c r="M2912">
        <v>22.496707056627301</v>
      </c>
      <c r="N2912">
        <v>51.015460712422602</v>
      </c>
      <c r="O2912">
        <v>49.975432473536799</v>
      </c>
      <c r="P2912">
        <v>-9.8571811512986704E-2</v>
      </c>
      <c r="Q2912">
        <v>0.124126180534387</v>
      </c>
      <c r="R2912">
        <v>0.991140033139849</v>
      </c>
      <c r="S2912" t="s">
        <v>8495</v>
      </c>
      <c r="T2912" t="s">
        <v>11164</v>
      </c>
      <c r="U2912" t="s">
        <v>11164</v>
      </c>
      <c r="V2912" t="s">
        <v>11164</v>
      </c>
      <c r="W2912" t="s">
        <v>14037</v>
      </c>
      <c r="X2912">
        <v>2</v>
      </c>
      <c r="Y2912" t="s">
        <v>19531</v>
      </c>
      <c r="Z2912" t="s">
        <v>25062</v>
      </c>
      <c r="AA2912">
        <v>0.52377723031239598</v>
      </c>
      <c r="AB2912" t="str">
        <f>HYPERLINK("Melting_Curves/meltCurve_Q13325_IFIT5.pdf", "Melting_Curves/meltCurve_Q13325_IFIT5.pdf")</f>
        <v>Melting_Curves/meltCurve_Q13325_IFIT5.pdf</v>
      </c>
    </row>
    <row r="2913" spans="1:28" x14ac:dyDescent="0.25">
      <c r="A2913" t="s">
        <v>2917</v>
      </c>
      <c r="B2913">
        <v>0.99796759195183404</v>
      </c>
      <c r="C2913">
        <v>1.0070548908172401</v>
      </c>
      <c r="D2913">
        <v>0.97827903246717096</v>
      </c>
      <c r="E2913">
        <v>0.85111854802454501</v>
      </c>
      <c r="F2913">
        <v>0.44218696115481898</v>
      </c>
      <c r="G2913">
        <v>0.24003187988236399</v>
      </c>
      <c r="H2913">
        <v>0.16707459785148299</v>
      </c>
      <c r="I2913">
        <v>0.12763017251832001</v>
      </c>
      <c r="J2913">
        <v>0.10637583847644599</v>
      </c>
      <c r="K2913">
        <v>8.3369883710478598E-2</v>
      </c>
      <c r="L2913">
        <v>1203.7748553425699</v>
      </c>
      <c r="M2913">
        <v>24.382105514529702</v>
      </c>
      <c r="N2913">
        <v>49.892980844508998</v>
      </c>
      <c r="O2913">
        <v>49.042728035672198</v>
      </c>
      <c r="P2913">
        <v>-0.110305431271254</v>
      </c>
      <c r="Q2913">
        <v>0.112529670808137</v>
      </c>
      <c r="R2913">
        <v>0.99772893107956895</v>
      </c>
      <c r="S2913" t="s">
        <v>8496</v>
      </c>
      <c r="T2913" t="s">
        <v>11164</v>
      </c>
      <c r="U2913" t="s">
        <v>11164</v>
      </c>
      <c r="V2913" t="s">
        <v>11164</v>
      </c>
      <c r="W2913" t="s">
        <v>14038</v>
      </c>
      <c r="X2913">
        <v>13</v>
      </c>
      <c r="Y2913" t="s">
        <v>19532</v>
      </c>
      <c r="Z2913" t="s">
        <v>25063</v>
      </c>
      <c r="AA2913">
        <v>0.48658560040054799</v>
      </c>
      <c r="AB2913" t="str">
        <f>HYPERLINK("Melting_Curves/meltCurve_Q13347_EIF3I.pdf", "Melting_Curves/meltCurve_Q13347_EIF3I.pdf")</f>
        <v>Melting_Curves/meltCurve_Q13347_EIF3I.pdf</v>
      </c>
    </row>
    <row r="2914" spans="1:28" x14ac:dyDescent="0.25">
      <c r="A2914" t="s">
        <v>2918</v>
      </c>
      <c r="B2914">
        <v>0.99796759195183404</v>
      </c>
      <c r="C2914">
        <v>1.01255048292869</v>
      </c>
      <c r="D2914">
        <v>0.99571226614068697</v>
      </c>
      <c r="E2914">
        <v>0.92428506456688997</v>
      </c>
      <c r="F2914">
        <v>0.62806833198324397</v>
      </c>
      <c r="G2914">
        <v>0.254612517725471</v>
      </c>
      <c r="H2914">
        <v>0.16671682308598401</v>
      </c>
      <c r="I2914">
        <v>0.110003801929256</v>
      </c>
      <c r="J2914">
        <v>8.4788407432786206E-2</v>
      </c>
      <c r="K2914">
        <v>7.5148676872513406E-2</v>
      </c>
      <c r="L2914">
        <v>1313.2128913475501</v>
      </c>
      <c r="M2914">
        <v>25.805304561990098</v>
      </c>
      <c r="N2914">
        <v>51.282451677393603</v>
      </c>
      <c r="O2914">
        <v>50.586601973332598</v>
      </c>
      <c r="P2914">
        <v>-0.11608522756912799</v>
      </c>
      <c r="Q2914">
        <v>8.9754892543358097E-2</v>
      </c>
      <c r="R2914">
        <v>0.99887964670404905</v>
      </c>
      <c r="S2914" t="s">
        <v>8497</v>
      </c>
      <c r="T2914" t="s">
        <v>11164</v>
      </c>
      <c r="U2914" t="s">
        <v>11164</v>
      </c>
      <c r="V2914" t="s">
        <v>11164</v>
      </c>
      <c r="W2914" t="s">
        <v>14039</v>
      </c>
      <c r="X2914">
        <v>6</v>
      </c>
      <c r="Y2914" t="s">
        <v>19533</v>
      </c>
      <c r="Z2914" t="s">
        <v>25064</v>
      </c>
      <c r="AA2914">
        <v>0.51873775079978668</v>
      </c>
      <c r="AB2914" t="str">
        <f>HYPERLINK("Melting_Curves/meltCurve_Q13356_PPIL2.pdf", "Melting_Curves/meltCurve_Q13356_PPIL2.pdf")</f>
        <v>Melting_Curves/meltCurve_Q13356_PPIL2.pdf</v>
      </c>
    </row>
    <row r="2915" spans="1:28" x14ac:dyDescent="0.25">
      <c r="A2915" t="s">
        <v>2919</v>
      </c>
      <c r="B2915">
        <v>0.99796759195183404</v>
      </c>
      <c r="C2915">
        <v>1.3966400314853999</v>
      </c>
      <c r="D2915">
        <v>1.23345137966522</v>
      </c>
      <c r="E2915">
        <v>1.15388978161972</v>
      </c>
      <c r="F2915">
        <v>1.26764395435974</v>
      </c>
      <c r="G2915">
        <v>0.91478195875852797</v>
      </c>
      <c r="H2915">
        <v>0.45226051097590803</v>
      </c>
      <c r="I2915">
        <v>0.28271930894046698</v>
      </c>
      <c r="J2915">
        <v>0.33663006503533399</v>
      </c>
      <c r="K2915">
        <v>0.141451095417545</v>
      </c>
      <c r="L2915">
        <v>2734.5495736591602</v>
      </c>
      <c r="M2915">
        <v>48.606962803388299</v>
      </c>
      <c r="N2915">
        <v>57.055520081797603</v>
      </c>
      <c r="O2915">
        <v>56.1634156933223</v>
      </c>
      <c r="P2915">
        <v>-0.16303875801617901</v>
      </c>
      <c r="Q2915">
        <v>0.246461502832028</v>
      </c>
      <c r="R2915">
        <v>0.83399381128064098</v>
      </c>
      <c r="S2915" t="s">
        <v>8498</v>
      </c>
      <c r="T2915" t="s">
        <v>11164</v>
      </c>
      <c r="U2915" t="s">
        <v>11164</v>
      </c>
      <c r="V2915" t="s">
        <v>11164</v>
      </c>
      <c r="W2915" t="s">
        <v>14040</v>
      </c>
      <c r="X2915">
        <v>5</v>
      </c>
      <c r="Y2915" t="s">
        <v>19534</v>
      </c>
      <c r="Z2915" t="s">
        <v>25065</v>
      </c>
      <c r="AA2915">
        <v>0.73215425309186044</v>
      </c>
      <c r="AB2915" t="str">
        <f>HYPERLINK("Melting_Curves/meltCurve_Q13362_4_PPP2R5C.pdf", "Melting_Curves/meltCurve_Q13362_4_PPP2R5C.pdf")</f>
        <v>Melting_Curves/meltCurve_Q13362_4_PPP2R5C.pdf</v>
      </c>
    </row>
    <row r="2916" spans="1:28" x14ac:dyDescent="0.25">
      <c r="A2916" t="s">
        <v>2920</v>
      </c>
      <c r="B2916">
        <v>0.99796759195183404</v>
      </c>
      <c r="C2916">
        <v>1.0105731373456399</v>
      </c>
      <c r="D2916">
        <v>0.97593756388403696</v>
      </c>
      <c r="E2916">
        <v>0.97428321833281095</v>
      </c>
      <c r="F2916">
        <v>0.91357298999731895</v>
      </c>
      <c r="G2916">
        <v>0.88635416016410895</v>
      </c>
      <c r="H2916">
        <v>0.60979363388922603</v>
      </c>
      <c r="I2916">
        <v>0.37836658789565403</v>
      </c>
      <c r="J2916">
        <v>0.29764060126980602</v>
      </c>
      <c r="K2916">
        <v>0.261481401458175</v>
      </c>
      <c r="L2916">
        <v>1290.61059608767</v>
      </c>
      <c r="M2916">
        <v>22.494023969073002</v>
      </c>
      <c r="N2916">
        <v>58.972453439200201</v>
      </c>
      <c r="O2916">
        <v>56.928017157453901</v>
      </c>
      <c r="P2916">
        <v>-7.6255281483565598E-2</v>
      </c>
      <c r="Q2916">
        <v>0.22806640000529499</v>
      </c>
      <c r="R2916">
        <v>0.99398524499526297</v>
      </c>
      <c r="S2916" t="s">
        <v>8499</v>
      </c>
      <c r="T2916" t="s">
        <v>11164</v>
      </c>
      <c r="U2916" t="s">
        <v>11164</v>
      </c>
      <c r="V2916" t="s">
        <v>11164</v>
      </c>
      <c r="W2916" t="s">
        <v>14041</v>
      </c>
      <c r="X2916">
        <v>13</v>
      </c>
      <c r="Y2916" t="s">
        <v>19535</v>
      </c>
      <c r="Z2916" t="s">
        <v>25066</v>
      </c>
      <c r="AA2916">
        <v>0.7583309489500959</v>
      </c>
      <c r="AB2916" t="str">
        <f>HYPERLINK("Melting_Curves/meltCurve_Q13363_CTBP1.pdf", "Melting_Curves/meltCurve_Q13363_CTBP1.pdf")</f>
        <v>Melting_Curves/meltCurve_Q13363_CTBP1.pdf</v>
      </c>
    </row>
    <row r="2917" spans="1:28" x14ac:dyDescent="0.25">
      <c r="A2917" t="s">
        <v>2921</v>
      </c>
      <c r="B2917">
        <v>0.99796759195183404</v>
      </c>
      <c r="C2917">
        <v>1.13603843231237</v>
      </c>
      <c r="D2917">
        <v>1.0110897780194299</v>
      </c>
      <c r="E2917">
        <v>0.95455917353049302</v>
      </c>
      <c r="F2917">
        <v>0.75653699698242505</v>
      </c>
      <c r="G2917">
        <v>0.52486293190308897</v>
      </c>
      <c r="H2917">
        <v>0.41298043242353299</v>
      </c>
      <c r="I2917">
        <v>0.215196085348454</v>
      </c>
      <c r="J2917">
        <v>0.27809675591303601</v>
      </c>
      <c r="K2917">
        <v>0.25760871200505098</v>
      </c>
      <c r="L2917">
        <v>1009.55490585598</v>
      </c>
      <c r="M2917">
        <v>19.228725090494201</v>
      </c>
      <c r="N2917">
        <v>54.305318431112802</v>
      </c>
      <c r="O2917">
        <v>51.944481945589601</v>
      </c>
      <c r="P2917">
        <v>-7.0713814806214706E-2</v>
      </c>
      <c r="Q2917">
        <v>0.235923799320362</v>
      </c>
      <c r="R2917">
        <v>0.975272721826134</v>
      </c>
      <c r="S2917" t="s">
        <v>8500</v>
      </c>
      <c r="T2917" t="s">
        <v>11164</v>
      </c>
      <c r="U2917" t="s">
        <v>11164</v>
      </c>
      <c r="V2917" t="s">
        <v>11164</v>
      </c>
      <c r="W2917" t="s">
        <v>14042</v>
      </c>
      <c r="X2917">
        <v>3</v>
      </c>
      <c r="Y2917" t="s">
        <v>19536</v>
      </c>
      <c r="Z2917" t="s">
        <v>25067</v>
      </c>
      <c r="AA2917">
        <v>0.64110429756977005</v>
      </c>
      <c r="AB2917" t="str">
        <f>HYPERLINK("Melting_Curves/meltCurve_Q13371_PDCL.pdf", "Melting_Curves/meltCurve_Q13371_PDCL.pdf")</f>
        <v>Melting_Curves/meltCurve_Q13371_PDCL.pdf</v>
      </c>
    </row>
    <row r="2918" spans="1:28" x14ac:dyDescent="0.25">
      <c r="A2918" t="s">
        <v>2922</v>
      </c>
      <c r="B2918">
        <v>0.99796759195183404</v>
      </c>
      <c r="C2918">
        <v>1.20694479117355</v>
      </c>
      <c r="D2918">
        <v>1.0718171608657201</v>
      </c>
      <c r="E2918">
        <v>0.93796392379639004</v>
      </c>
      <c r="F2918">
        <v>0.85854953429539604</v>
      </c>
      <c r="G2918">
        <v>0.92163885262731604</v>
      </c>
      <c r="H2918">
        <v>0.53493152835717295</v>
      </c>
      <c r="I2918">
        <v>0.25865598905118398</v>
      </c>
      <c r="J2918">
        <v>0.18465859539609999</v>
      </c>
      <c r="K2918">
        <v>0.135261488811695</v>
      </c>
      <c r="L2918">
        <v>1588.4477500446999</v>
      </c>
      <c r="M2918">
        <v>27.743839189318599</v>
      </c>
      <c r="N2918">
        <v>57.869937459175901</v>
      </c>
      <c r="O2918">
        <v>56.959091077507097</v>
      </c>
      <c r="P2918">
        <v>-0.1062059363004</v>
      </c>
      <c r="Q2918">
        <v>0.12782945583550301</v>
      </c>
      <c r="R2918">
        <v>0.95087887934766802</v>
      </c>
      <c r="S2918" t="s">
        <v>8501</v>
      </c>
      <c r="T2918" t="s">
        <v>11164</v>
      </c>
      <c r="U2918" t="s">
        <v>11164</v>
      </c>
      <c r="V2918" t="s">
        <v>11164</v>
      </c>
      <c r="W2918" t="s">
        <v>14043</v>
      </c>
      <c r="X2918">
        <v>5</v>
      </c>
      <c r="Y2918" t="s">
        <v>19537</v>
      </c>
      <c r="Z2918" t="s">
        <v>25068</v>
      </c>
      <c r="AA2918">
        <v>0.72233037684855073</v>
      </c>
      <c r="AB2918" t="str">
        <f>HYPERLINK("Melting_Curves/meltCurve_Q13395_TARBP1.pdf", "Melting_Curves/meltCurve_Q13395_TARBP1.pdf")</f>
        <v>Melting_Curves/meltCurve_Q13395_TARBP1.pdf</v>
      </c>
    </row>
    <row r="2919" spans="1:28" x14ac:dyDescent="0.25">
      <c r="A2919" t="s">
        <v>2923</v>
      </c>
      <c r="B2919">
        <v>0.99796759195183404</v>
      </c>
      <c r="C2919">
        <v>1.0144204036637701</v>
      </c>
      <c r="D2919">
        <v>1.0068343945678599</v>
      </c>
      <c r="E2919">
        <v>0.84220794038790703</v>
      </c>
      <c r="F2919">
        <v>0.82833460590802899</v>
      </c>
      <c r="G2919">
        <v>0.93897466190073298</v>
      </c>
      <c r="H2919">
        <v>1.1468702373127</v>
      </c>
      <c r="I2919">
        <v>0.76758172712011996</v>
      </c>
      <c r="J2919">
        <v>0.65356416431515896</v>
      </c>
      <c r="K2919">
        <v>0.51898543508770301</v>
      </c>
      <c r="L2919">
        <v>6429.7698632127504</v>
      </c>
      <c r="M2919">
        <v>105.62274152366599</v>
      </c>
      <c r="O2919">
        <v>60.853049544362101</v>
      </c>
      <c r="P2919">
        <v>-0.180264831739023</v>
      </c>
      <c r="Q2919">
        <v>0.58457188218074196</v>
      </c>
      <c r="R2919">
        <v>0.72247563395201897</v>
      </c>
      <c r="S2919" t="s">
        <v>8502</v>
      </c>
      <c r="T2919" t="s">
        <v>11164</v>
      </c>
      <c r="U2919" t="s">
        <v>11164</v>
      </c>
      <c r="V2919" t="s">
        <v>11164</v>
      </c>
      <c r="W2919" t="s">
        <v>14044</v>
      </c>
      <c r="X2919">
        <v>2</v>
      </c>
      <c r="Y2919" t="s">
        <v>19538</v>
      </c>
      <c r="Z2919" t="s">
        <v>25069</v>
      </c>
      <c r="AA2919">
        <v>0.91542978348112336</v>
      </c>
      <c r="AB2919" t="str">
        <f>HYPERLINK("Melting_Curves/meltCurve_Q13405_MRPL49.pdf", "Melting_Curves/meltCurve_Q13405_MRPL49.pdf")</f>
        <v>Melting_Curves/meltCurve_Q13405_MRPL49.pdf</v>
      </c>
    </row>
    <row r="2920" spans="1:28" x14ac:dyDescent="0.25">
      <c r="A2920" t="s">
        <v>2924</v>
      </c>
      <c r="B2920">
        <v>0.99796759195183404</v>
      </c>
      <c r="C2920">
        <v>1.04624164542731</v>
      </c>
      <c r="D2920">
        <v>0.99316797937984502</v>
      </c>
      <c r="E2920">
        <v>0.93046782995923805</v>
      </c>
      <c r="F2920">
        <v>0.88008761732692797</v>
      </c>
      <c r="G2920">
        <v>1.3700164320414301</v>
      </c>
      <c r="H2920">
        <v>2.3507336331198401</v>
      </c>
      <c r="I2920">
        <v>1.7231341065549</v>
      </c>
      <c r="J2920">
        <v>0.66837766501592699</v>
      </c>
      <c r="K2920">
        <v>0.28620426718873798</v>
      </c>
      <c r="L2920">
        <v>15000</v>
      </c>
      <c r="M2920">
        <v>233.86728984461701</v>
      </c>
      <c r="N2920">
        <v>64.372742299667493</v>
      </c>
      <c r="O2920">
        <v>64.134248467279605</v>
      </c>
      <c r="P2920">
        <v>-0.65075223727327303</v>
      </c>
      <c r="Q2920">
        <v>0.28616770119920398</v>
      </c>
      <c r="R2920">
        <v>0.15627766789519701</v>
      </c>
      <c r="S2920" t="s">
        <v>8503</v>
      </c>
      <c r="T2920" t="s">
        <v>11164</v>
      </c>
      <c r="U2920" t="s">
        <v>11164</v>
      </c>
      <c r="V2920" t="s">
        <v>11164</v>
      </c>
      <c r="W2920" t="s">
        <v>14045</v>
      </c>
      <c r="X2920">
        <v>9</v>
      </c>
      <c r="Y2920" t="s">
        <v>19539</v>
      </c>
      <c r="Z2920" t="s">
        <v>25070</v>
      </c>
      <c r="AA2920">
        <v>0.93201424945100664</v>
      </c>
      <c r="AB2920" t="str">
        <f>HYPERLINK("Melting_Curves/meltCurve_Q13409_6_DYNC1I2.pdf", "Melting_Curves/meltCurve_Q13409_6_DYNC1I2.pdf")</f>
        <v>Melting_Curves/meltCurve_Q13409_6_DYNC1I2.pdf</v>
      </c>
    </row>
    <row r="2921" spans="1:28" x14ac:dyDescent="0.25">
      <c r="A2921" t="s">
        <v>2925</v>
      </c>
      <c r="B2921">
        <v>0.99796759195183404</v>
      </c>
      <c r="C2921">
        <v>1.14922952494442</v>
      </c>
      <c r="D2921">
        <v>0.992290406008415</v>
      </c>
      <c r="E2921">
        <v>0.98687890475947604</v>
      </c>
      <c r="F2921">
        <v>0.67104442397520503</v>
      </c>
      <c r="G2921">
        <v>0.33917890792884398</v>
      </c>
      <c r="H2921">
        <v>0.33169879746408598</v>
      </c>
      <c r="I2921">
        <v>0.33081218229995502</v>
      </c>
      <c r="J2921">
        <v>0.31545262850903799</v>
      </c>
      <c r="K2921">
        <v>0.34545746096764601</v>
      </c>
      <c r="L2921">
        <v>2953.1912564489899</v>
      </c>
      <c r="M2921">
        <v>58.795251611472899</v>
      </c>
      <c r="N2921">
        <v>51.166384113559801</v>
      </c>
      <c r="O2921">
        <v>50.1703920994782</v>
      </c>
      <c r="P2921">
        <v>-0.196343570693888</v>
      </c>
      <c r="Q2921">
        <v>0.32983506590699802</v>
      </c>
      <c r="R2921">
        <v>0.97934211355906797</v>
      </c>
      <c r="S2921" t="s">
        <v>8504</v>
      </c>
      <c r="T2921" t="s">
        <v>11164</v>
      </c>
      <c r="U2921" t="s">
        <v>11164</v>
      </c>
      <c r="V2921" t="s">
        <v>11164</v>
      </c>
      <c r="W2921" t="s">
        <v>14046</v>
      </c>
      <c r="X2921">
        <v>3</v>
      </c>
      <c r="Y2921" t="s">
        <v>19540</v>
      </c>
      <c r="Z2921" t="s">
        <v>25071</v>
      </c>
      <c r="AA2921">
        <v>0.62641412606866287</v>
      </c>
      <c r="AB2921" t="str">
        <f>HYPERLINK("Melting_Curves/meltCurve_Q13416_ORC2.pdf", "Melting_Curves/meltCurve_Q13416_ORC2.pdf")</f>
        <v>Melting_Curves/meltCurve_Q13416_ORC2.pdf</v>
      </c>
    </row>
    <row r="2922" spans="1:28" x14ac:dyDescent="0.25">
      <c r="A2922" t="s">
        <v>2926</v>
      </c>
      <c r="B2922">
        <v>0.99796759195183404</v>
      </c>
      <c r="C2922">
        <v>0.96727384013904105</v>
      </c>
      <c r="D2922">
        <v>0.90261399286576505</v>
      </c>
      <c r="E2922">
        <v>0.85928133266838602</v>
      </c>
      <c r="F2922">
        <v>0.736386849717097</v>
      </c>
      <c r="G2922">
        <v>0.47979801457453097</v>
      </c>
      <c r="H2922">
        <v>0.237821885123704</v>
      </c>
      <c r="I2922">
        <v>0.18745507552097099</v>
      </c>
      <c r="J2922">
        <v>0.14068820844810601</v>
      </c>
      <c r="K2922">
        <v>0.11924397717508201</v>
      </c>
      <c r="L2922">
        <v>757.07832792773502</v>
      </c>
      <c r="M2922">
        <v>14.353544893464001</v>
      </c>
      <c r="N2922">
        <v>53.263845802749401</v>
      </c>
      <c r="O2922">
        <v>51.7529360333195</v>
      </c>
      <c r="P2922">
        <v>-6.48211842239627E-2</v>
      </c>
      <c r="Q2922">
        <v>6.5238873994763302E-2</v>
      </c>
      <c r="R2922">
        <v>0.99231233389440998</v>
      </c>
      <c r="S2922" t="s">
        <v>8505</v>
      </c>
      <c r="T2922" t="s">
        <v>11164</v>
      </c>
      <c r="U2922" t="s">
        <v>11164</v>
      </c>
      <c r="V2922" t="s">
        <v>11164</v>
      </c>
      <c r="W2922" t="s">
        <v>14047</v>
      </c>
      <c r="X2922">
        <v>11</v>
      </c>
      <c r="Y2922" t="s">
        <v>19541</v>
      </c>
      <c r="Z2922" t="s">
        <v>25072</v>
      </c>
      <c r="AA2922">
        <v>0.57360006703329114</v>
      </c>
      <c r="AB2922" t="str">
        <f>HYPERLINK("Melting_Curves/meltCurve_Q13418_ILK.pdf", "Melting_Curves/meltCurve_Q13418_ILK.pdf")</f>
        <v>Melting_Curves/meltCurve_Q13418_ILK.pdf</v>
      </c>
    </row>
    <row r="2923" spans="1:28" x14ac:dyDescent="0.25">
      <c r="A2923" t="s">
        <v>2927</v>
      </c>
      <c r="B2923">
        <v>0.99796759195183404</v>
      </c>
      <c r="C2923">
        <v>1.0061809054931801</v>
      </c>
      <c r="D2923">
        <v>1.02560498707985</v>
      </c>
      <c r="E2923">
        <v>0.98302548227671005</v>
      </c>
      <c r="F2923">
        <v>0.83785922985818295</v>
      </c>
      <c r="G2923">
        <v>0.95153642687981599</v>
      </c>
      <c r="H2923">
        <v>0.64750864189245705</v>
      </c>
      <c r="I2923">
        <v>0.154393817321516</v>
      </c>
      <c r="J2923">
        <v>0.10834065534693101</v>
      </c>
      <c r="K2923">
        <v>7.8168878572089998E-2</v>
      </c>
      <c r="L2923">
        <v>2572.7180047571801</v>
      </c>
      <c r="M2923">
        <v>44.382178379085303</v>
      </c>
      <c r="N2923">
        <v>58.194105119461803</v>
      </c>
      <c r="O2923">
        <v>57.8500500824805</v>
      </c>
      <c r="P2923">
        <v>-0.176568597951234</v>
      </c>
      <c r="Q2923">
        <v>7.9406319400157604E-2</v>
      </c>
      <c r="R2923">
        <v>0.98115461630935596</v>
      </c>
      <c r="S2923" t="s">
        <v>8506</v>
      </c>
      <c r="T2923" t="s">
        <v>11164</v>
      </c>
      <c r="U2923" t="s">
        <v>11164</v>
      </c>
      <c r="V2923" t="s">
        <v>11164</v>
      </c>
      <c r="W2923" t="s">
        <v>14048</v>
      </c>
      <c r="X2923">
        <v>30</v>
      </c>
      <c r="Y2923" t="s">
        <v>19542</v>
      </c>
      <c r="Z2923" t="s">
        <v>25073</v>
      </c>
      <c r="AA2923">
        <v>0.72567018639943515</v>
      </c>
      <c r="AB2923" t="str">
        <f>HYPERLINK("Melting_Curves/meltCurve_Q13423_NNT.pdf", "Melting_Curves/meltCurve_Q13423_NNT.pdf")</f>
        <v>Melting_Curves/meltCurve_Q13423_NNT.pdf</v>
      </c>
    </row>
    <row r="2924" spans="1:28" x14ac:dyDescent="0.25">
      <c r="A2924" t="s">
        <v>2928</v>
      </c>
      <c r="B2924">
        <v>0.99796759195183404</v>
      </c>
      <c r="C2924">
        <v>1.1349194517330801</v>
      </c>
      <c r="D2924">
        <v>0.978784854439399</v>
      </c>
      <c r="E2924">
        <v>0.98976420165682799</v>
      </c>
      <c r="F2924">
        <v>0.83272686683299202</v>
      </c>
      <c r="G2924">
        <v>0.52266538951869401</v>
      </c>
      <c r="H2924">
        <v>0.37268134439705503</v>
      </c>
      <c r="I2924">
        <v>0.208415969969695</v>
      </c>
      <c r="J2924">
        <v>0.12699464570270799</v>
      </c>
      <c r="K2924">
        <v>0.112885535441547</v>
      </c>
      <c r="L2924">
        <v>974.58127973589399</v>
      </c>
      <c r="M2924">
        <v>18.007929311068001</v>
      </c>
      <c r="N2924">
        <v>54.737284411450197</v>
      </c>
      <c r="O2924">
        <v>53.465415420754297</v>
      </c>
      <c r="P2924">
        <v>-7.6464720877883696E-2</v>
      </c>
      <c r="Q2924">
        <v>9.1951844321856505E-2</v>
      </c>
      <c r="R2924">
        <v>0.98305474165840401</v>
      </c>
      <c r="S2924" t="s">
        <v>8507</v>
      </c>
      <c r="T2924" t="s">
        <v>11164</v>
      </c>
      <c r="U2924" t="s">
        <v>11164</v>
      </c>
      <c r="V2924" t="s">
        <v>11164</v>
      </c>
      <c r="W2924" t="s">
        <v>14049</v>
      </c>
      <c r="X2924">
        <v>2</v>
      </c>
      <c r="Y2924" t="s">
        <v>19543</v>
      </c>
      <c r="Z2924" t="s">
        <v>25074</v>
      </c>
      <c r="AA2924">
        <v>0.62247068397831595</v>
      </c>
      <c r="AB2924" t="str">
        <f>HYPERLINK("Melting_Curves/meltCurve_Q13424_SNTA1.pdf", "Melting_Curves/meltCurve_Q13424_SNTA1.pdf")</f>
        <v>Melting_Curves/meltCurve_Q13424_SNTA1.pdf</v>
      </c>
    </row>
    <row r="2925" spans="1:28" x14ac:dyDescent="0.25">
      <c r="A2925" t="s">
        <v>2929</v>
      </c>
      <c r="B2925">
        <v>0.99796759195183404</v>
      </c>
      <c r="C2925">
        <v>0.99385858811775896</v>
      </c>
      <c r="D2925">
        <v>0.85692280725514003</v>
      </c>
      <c r="E2925">
        <v>0.91275496081704699</v>
      </c>
      <c r="F2925">
        <v>0.73599235230340299</v>
      </c>
      <c r="G2925">
        <v>0.48056881727606898</v>
      </c>
      <c r="H2925">
        <v>0.23466052905742699</v>
      </c>
      <c r="I2925">
        <v>0.269602954427279</v>
      </c>
      <c r="J2925">
        <v>0.156780339029475</v>
      </c>
      <c r="K2925">
        <v>8.1173961812474701E-2</v>
      </c>
      <c r="L2925">
        <v>739.42895389047806</v>
      </c>
      <c r="M2925">
        <v>13.951216455292901</v>
      </c>
      <c r="N2925">
        <v>53.547203136986298</v>
      </c>
      <c r="O2925">
        <v>51.947702107658003</v>
      </c>
      <c r="P2925">
        <v>-6.2696385783397299E-2</v>
      </c>
      <c r="Q2925">
        <v>6.6319032436560704E-2</v>
      </c>
      <c r="R2925">
        <v>0.97903508087910995</v>
      </c>
      <c r="S2925" t="s">
        <v>8508</v>
      </c>
      <c r="T2925" t="s">
        <v>11164</v>
      </c>
      <c r="U2925" t="s">
        <v>11164</v>
      </c>
      <c r="V2925" t="s">
        <v>11164</v>
      </c>
      <c r="W2925" t="s">
        <v>14050</v>
      </c>
      <c r="X2925">
        <v>3</v>
      </c>
      <c r="Y2925" t="s">
        <v>19544</v>
      </c>
      <c r="Z2925" t="s">
        <v>25075</v>
      </c>
      <c r="AA2925">
        <v>0.58209103984575661</v>
      </c>
      <c r="AB2925" t="str">
        <f>HYPERLINK("Melting_Curves/meltCurve_Q13425_SNTB2.pdf", "Melting_Curves/meltCurve_Q13425_SNTB2.pdf")</f>
        <v>Melting_Curves/meltCurve_Q13425_SNTB2.pdf</v>
      </c>
    </row>
    <row r="2926" spans="1:28" x14ac:dyDescent="0.25">
      <c r="A2926" t="s">
        <v>2930</v>
      </c>
      <c r="B2926">
        <v>0.99796759195183404</v>
      </c>
      <c r="C2926">
        <v>0.98771781694234895</v>
      </c>
      <c r="D2926">
        <v>0.98008778162777799</v>
      </c>
      <c r="E2926">
        <v>0.97960879631095898</v>
      </c>
      <c r="F2926">
        <v>0.82985910716945299</v>
      </c>
      <c r="G2926">
        <v>0.71533351176815896</v>
      </c>
      <c r="H2926">
        <v>0.75205611014736096</v>
      </c>
      <c r="I2926">
        <v>0.59746561001583698</v>
      </c>
      <c r="J2926">
        <v>0.54407198895867104</v>
      </c>
      <c r="K2926">
        <v>0.25353030294629397</v>
      </c>
      <c r="L2926">
        <v>514.29781059146899</v>
      </c>
      <c r="M2926">
        <v>8.1902766113618295</v>
      </c>
      <c r="N2926">
        <v>62.793703034372903</v>
      </c>
      <c r="O2926">
        <v>59.383481963665503</v>
      </c>
      <c r="P2926">
        <v>-3.4516163315440399E-2</v>
      </c>
      <c r="Q2926">
        <v>0</v>
      </c>
      <c r="R2926">
        <v>0.92771093359889001</v>
      </c>
      <c r="S2926" t="s">
        <v>8509</v>
      </c>
      <c r="T2926" t="s">
        <v>11164</v>
      </c>
      <c r="U2926" t="s">
        <v>11164</v>
      </c>
      <c r="V2926" t="s">
        <v>11164</v>
      </c>
      <c r="W2926" t="s">
        <v>14051</v>
      </c>
      <c r="X2926">
        <v>9</v>
      </c>
      <c r="Y2926" t="s">
        <v>19545</v>
      </c>
      <c r="Z2926" t="s">
        <v>25076</v>
      </c>
      <c r="AA2926">
        <v>0.78129205370089028</v>
      </c>
      <c r="AB2926" t="str">
        <f>HYPERLINK("Melting_Curves/meltCurve_Q13426_XRCC4.pdf", "Melting_Curves/meltCurve_Q13426_XRCC4.pdf")</f>
        <v>Melting_Curves/meltCurve_Q13426_XRCC4.pdf</v>
      </c>
    </row>
    <row r="2927" spans="1:28" x14ac:dyDescent="0.25">
      <c r="A2927" t="s">
        <v>2931</v>
      </c>
      <c r="B2927">
        <v>0.99796759195183404</v>
      </c>
      <c r="C2927">
        <v>1.0348983900106099</v>
      </c>
      <c r="D2927">
        <v>1.10668046450993</v>
      </c>
      <c r="E2927">
        <v>0.96096458341102897</v>
      </c>
      <c r="F2927">
        <v>0.60259380285828801</v>
      </c>
      <c r="G2927">
        <v>0.36157819164634097</v>
      </c>
      <c r="H2927">
        <v>0.234315391326816</v>
      </c>
      <c r="I2927">
        <v>0.168285737990892</v>
      </c>
      <c r="J2927">
        <v>0.15610559958189099</v>
      </c>
      <c r="K2927">
        <v>9.0489358947733203E-2</v>
      </c>
      <c r="L2927">
        <v>1197.9797598791399</v>
      </c>
      <c r="M2927">
        <v>23.480694198231799</v>
      </c>
      <c r="N2927">
        <v>51.749738611560097</v>
      </c>
      <c r="O2927">
        <v>50.654054696637203</v>
      </c>
      <c r="P2927">
        <v>-9.9552515954556803E-2</v>
      </c>
      <c r="Q2927">
        <v>0.140970832910112</v>
      </c>
      <c r="R2927">
        <v>0.98444108950086096</v>
      </c>
      <c r="S2927" t="s">
        <v>8510</v>
      </c>
      <c r="T2927" t="s">
        <v>11164</v>
      </c>
      <c r="U2927" t="s">
        <v>11164</v>
      </c>
      <c r="V2927" t="s">
        <v>11164</v>
      </c>
      <c r="W2927" t="s">
        <v>14052</v>
      </c>
      <c r="X2927">
        <v>5</v>
      </c>
      <c r="Y2927" t="s">
        <v>19546</v>
      </c>
      <c r="Z2927" t="s">
        <v>25077</v>
      </c>
      <c r="AA2927">
        <v>0.55092124889634364</v>
      </c>
      <c r="AB2927" t="str">
        <f>HYPERLINK("Melting_Curves/meltCurve_Q13432_2_UNC119.pdf", "Melting_Curves/meltCurve_Q13432_2_UNC119.pdf")</f>
        <v>Melting_Curves/meltCurve_Q13432_2_UNC119.pdf</v>
      </c>
    </row>
    <row r="2928" spans="1:28" x14ac:dyDescent="0.25">
      <c r="A2928" t="s">
        <v>2932</v>
      </c>
      <c r="B2928">
        <v>0.99796759195183404</v>
      </c>
      <c r="C2928">
        <v>0.96597424403749999</v>
      </c>
      <c r="D2928">
        <v>0.97005842400466502</v>
      </c>
      <c r="E2928">
        <v>0.82784182807358997</v>
      </c>
      <c r="F2928">
        <v>0.57609384125632002</v>
      </c>
      <c r="G2928">
        <v>0.54432018499707402</v>
      </c>
      <c r="H2928">
        <v>0.48023758226145702</v>
      </c>
      <c r="I2928">
        <v>0.34213843313438203</v>
      </c>
      <c r="J2928">
        <v>0.32325691732496598</v>
      </c>
      <c r="K2928">
        <v>0.287561062490368</v>
      </c>
      <c r="L2928">
        <v>593.25501474133205</v>
      </c>
      <c r="M2928">
        <v>11.6767154218277</v>
      </c>
      <c r="N2928">
        <v>54.360003698166899</v>
      </c>
      <c r="O2928">
        <v>49.3851513745456</v>
      </c>
      <c r="P2928">
        <v>-4.3343724027245102E-2</v>
      </c>
      <c r="Q2928">
        <v>0.26692982399006998</v>
      </c>
      <c r="R2928">
        <v>0.97974445296550206</v>
      </c>
      <c r="S2928" t="s">
        <v>8511</v>
      </c>
      <c r="T2928" t="s">
        <v>11164</v>
      </c>
      <c r="U2928" t="s">
        <v>11164</v>
      </c>
      <c r="V2928" t="s">
        <v>11164</v>
      </c>
      <c r="W2928" t="s">
        <v>14053</v>
      </c>
      <c r="X2928">
        <v>11</v>
      </c>
      <c r="Y2928" t="s">
        <v>19547</v>
      </c>
      <c r="Z2928" t="s">
        <v>25078</v>
      </c>
      <c r="AA2928">
        <v>0.62422500213685173</v>
      </c>
      <c r="AB2928" t="str">
        <f>HYPERLINK("Melting_Curves/meltCurve_Q13435_SF3B2.pdf", "Melting_Curves/meltCurve_Q13435_SF3B2.pdf")</f>
        <v>Melting_Curves/meltCurve_Q13435_SF3B2.pdf</v>
      </c>
    </row>
    <row r="2929" spans="1:28" x14ac:dyDescent="0.25">
      <c r="A2929" t="s">
        <v>2933</v>
      </c>
      <c r="B2929">
        <v>0.99796759195183404</v>
      </c>
      <c r="C2929">
        <v>0.81653470196727296</v>
      </c>
      <c r="D2929">
        <v>0.86274905002664404</v>
      </c>
      <c r="E2929">
        <v>0.74061813319202996</v>
      </c>
      <c r="F2929">
        <v>0.61938719888314098</v>
      </c>
      <c r="G2929">
        <v>0.43292078810269502</v>
      </c>
      <c r="H2929">
        <v>0.104190627623888</v>
      </c>
      <c r="I2929">
        <v>9.7239219237096094E-2</v>
      </c>
      <c r="J2929">
        <v>5.5465515762081599E-2</v>
      </c>
      <c r="K2929">
        <v>5.99394791596971E-2</v>
      </c>
      <c r="L2929">
        <v>604.672329923284</v>
      </c>
      <c r="M2929">
        <v>11.8399214156636</v>
      </c>
      <c r="N2929">
        <v>51.070636767900503</v>
      </c>
      <c r="O2929">
        <v>49.679103199963002</v>
      </c>
      <c r="P2929">
        <v>-5.9597130509823501E-2</v>
      </c>
      <c r="Q2929">
        <v>0</v>
      </c>
      <c r="R2929">
        <v>0.96172013467551598</v>
      </c>
      <c r="S2929" t="s">
        <v>8512</v>
      </c>
      <c r="T2929" t="s">
        <v>11164</v>
      </c>
      <c r="U2929" t="s">
        <v>11164</v>
      </c>
      <c r="V2929" t="s">
        <v>11164</v>
      </c>
      <c r="W2929" t="s">
        <v>14054</v>
      </c>
      <c r="X2929">
        <v>2</v>
      </c>
      <c r="Y2929" t="s">
        <v>19548</v>
      </c>
      <c r="Z2929" t="s">
        <v>25079</v>
      </c>
      <c r="AA2929">
        <v>0.49524408325129421</v>
      </c>
      <c r="AB2929" t="str">
        <f>HYPERLINK("Melting_Curves/meltCurve_Q13438_5_OS9.pdf", "Melting_Curves/meltCurve_Q13438_5_OS9.pdf")</f>
        <v>Melting_Curves/meltCurve_Q13438_5_OS9.pdf</v>
      </c>
    </row>
    <row r="2930" spans="1:28" x14ac:dyDescent="0.25">
      <c r="A2930" t="s">
        <v>2934</v>
      </c>
      <c r="B2930">
        <v>0.99796759195183404</v>
      </c>
      <c r="C2930">
        <v>0.957984225489658</v>
      </c>
      <c r="D2930">
        <v>1.01066686542966</v>
      </c>
      <c r="E2930">
        <v>0.96648747204465002</v>
      </c>
      <c r="F2930">
        <v>0.89882577524114804</v>
      </c>
      <c r="G2930">
        <v>0.657901249673147</v>
      </c>
      <c r="H2930">
        <v>1.34541793094003</v>
      </c>
      <c r="I2930">
        <v>1.62273527492745</v>
      </c>
      <c r="J2930">
        <v>2.27730094956202</v>
      </c>
      <c r="K2930">
        <v>2.24862619502073</v>
      </c>
      <c r="L2930">
        <v>14303.8487461485</v>
      </c>
      <c r="M2930">
        <v>250</v>
      </c>
      <c r="O2930">
        <v>57.211733602607602</v>
      </c>
      <c r="P2930">
        <v>0.54621662518893199</v>
      </c>
      <c r="Q2930">
        <v>1.5</v>
      </c>
      <c r="R2930">
        <v>0.55406253745867395</v>
      </c>
      <c r="S2930" t="s">
        <v>8513</v>
      </c>
      <c r="T2930" t="s">
        <v>11164</v>
      </c>
      <c r="U2930" t="s">
        <v>11164</v>
      </c>
      <c r="V2930" t="s">
        <v>11164</v>
      </c>
      <c r="W2930" t="s">
        <v>14055</v>
      </c>
      <c r="X2930">
        <v>24</v>
      </c>
      <c r="Y2930" t="s">
        <v>19549</v>
      </c>
      <c r="Z2930" t="s">
        <v>25080</v>
      </c>
      <c r="AA2930">
        <v>1.1630265441929</v>
      </c>
      <c r="AB2930" t="str">
        <f>HYPERLINK("Melting_Curves/meltCurve_Q13442_PDAP1.pdf", "Melting_Curves/meltCurve_Q13442_PDAP1.pdf")</f>
        <v>Melting_Curves/meltCurve_Q13442_PDAP1.pdf</v>
      </c>
    </row>
    <row r="2931" spans="1:28" x14ac:dyDescent="0.25">
      <c r="A2931" t="s">
        <v>2935</v>
      </c>
      <c r="B2931">
        <v>0.99796759195183404</v>
      </c>
      <c r="C2931">
        <v>1.04768864716882</v>
      </c>
      <c r="D2931">
        <v>1.0264129671395501</v>
      </c>
      <c r="E2931">
        <v>0.98560384156705105</v>
      </c>
      <c r="F2931">
        <v>0.85163300390271901</v>
      </c>
      <c r="G2931">
        <v>0.72683319881494601</v>
      </c>
      <c r="H2931">
        <v>0.65894059493778101</v>
      </c>
      <c r="I2931">
        <v>0.56575143088907398</v>
      </c>
      <c r="J2931">
        <v>0.552332273995635</v>
      </c>
      <c r="K2931">
        <v>0.25259427656782402</v>
      </c>
      <c r="L2931">
        <v>522.01616305571201</v>
      </c>
      <c r="M2931">
        <v>8.3944449090565101</v>
      </c>
      <c r="N2931">
        <v>62.185902746055604</v>
      </c>
      <c r="O2931">
        <v>58.957299753529298</v>
      </c>
      <c r="P2931">
        <v>-3.5629055882899101E-2</v>
      </c>
      <c r="Q2931">
        <v>0</v>
      </c>
      <c r="R2931">
        <v>0.94169651221790196</v>
      </c>
      <c r="S2931" t="s">
        <v>8514</v>
      </c>
      <c r="T2931" t="s">
        <v>11164</v>
      </c>
      <c r="U2931" t="s">
        <v>11164</v>
      </c>
      <c r="V2931" t="s">
        <v>11164</v>
      </c>
      <c r="W2931" t="s">
        <v>14056</v>
      </c>
      <c r="X2931">
        <v>8</v>
      </c>
      <c r="Y2931" t="s">
        <v>19550</v>
      </c>
      <c r="Z2931" t="s">
        <v>25081</v>
      </c>
      <c r="AA2931">
        <v>0.77211354650605057</v>
      </c>
      <c r="AB2931" t="str">
        <f>HYPERLINK("Melting_Curves/meltCurve_Q13443_ADAM9.pdf", "Melting_Curves/meltCurve_Q13443_ADAM9.pdf")</f>
        <v>Melting_Curves/meltCurve_Q13443_ADAM9.pdf</v>
      </c>
    </row>
    <row r="2932" spans="1:28" x14ac:dyDescent="0.25">
      <c r="A2932" t="s">
        <v>2936</v>
      </c>
      <c r="B2932">
        <v>0.99796759195183404</v>
      </c>
      <c r="C2932">
        <v>1.0285403049681601</v>
      </c>
      <c r="D2932">
        <v>1.0210906383596801</v>
      </c>
      <c r="E2932">
        <v>0.85697723550017701</v>
      </c>
      <c r="F2932">
        <v>0.80052164260477199</v>
      </c>
      <c r="G2932">
        <v>0.65441176040512605</v>
      </c>
      <c r="H2932">
        <v>0.452003693953617</v>
      </c>
      <c r="I2932">
        <v>0.442895134675241</v>
      </c>
      <c r="J2932">
        <v>0.28004457932426602</v>
      </c>
      <c r="K2932">
        <v>0.18250146221958199</v>
      </c>
      <c r="L2932">
        <v>535.71535342420498</v>
      </c>
      <c r="M2932">
        <v>9.3158495864752595</v>
      </c>
      <c r="N2932">
        <v>57.505777387201803</v>
      </c>
      <c r="O2932">
        <v>55.042446722428302</v>
      </c>
      <c r="P2932">
        <v>-4.2339079049896602E-2</v>
      </c>
      <c r="Q2932">
        <v>0</v>
      </c>
      <c r="R2932">
        <v>0.981599866040058</v>
      </c>
      <c r="S2932" t="s">
        <v>8515</v>
      </c>
      <c r="T2932" t="s">
        <v>11164</v>
      </c>
      <c r="U2932" t="s">
        <v>11164</v>
      </c>
      <c r="V2932" t="s">
        <v>11164</v>
      </c>
      <c r="W2932" t="s">
        <v>14057</v>
      </c>
      <c r="X2932">
        <v>5</v>
      </c>
      <c r="Y2932" t="s">
        <v>19551</v>
      </c>
      <c r="Z2932" t="s">
        <v>25082</v>
      </c>
      <c r="AA2932">
        <v>0.6757229751377295</v>
      </c>
      <c r="AB2932" t="str">
        <f>HYPERLINK("Melting_Curves/meltCurve_Q13444_8_ADAM15.pdf", "Melting_Curves/meltCurve_Q13444_8_ADAM15.pdf")</f>
        <v>Melting_Curves/meltCurve_Q13444_8_ADAM15.pdf</v>
      </c>
    </row>
    <row r="2933" spans="1:28" x14ac:dyDescent="0.25">
      <c r="A2933" t="s">
        <v>2937</v>
      </c>
      <c r="B2933">
        <v>0.99796759195183404</v>
      </c>
      <c r="C2933">
        <v>1.2686616379014199</v>
      </c>
      <c r="D2933">
        <v>1.05973401761376</v>
      </c>
      <c r="E2933">
        <v>1.1410040163478099</v>
      </c>
      <c r="F2933">
        <v>1.05097544410571</v>
      </c>
      <c r="G2933">
        <v>0.70909827267444003</v>
      </c>
      <c r="H2933">
        <v>0.73904995550099495</v>
      </c>
      <c r="I2933">
        <v>0.58617269972362096</v>
      </c>
      <c r="J2933">
        <v>0.34879169120902598</v>
      </c>
      <c r="K2933">
        <v>0.30646512420155703</v>
      </c>
      <c r="L2933">
        <v>856.92864576339298</v>
      </c>
      <c r="M2933">
        <v>14.2345420101204</v>
      </c>
      <c r="N2933">
        <v>61.565826174542302</v>
      </c>
      <c r="O2933">
        <v>59.049909914303598</v>
      </c>
      <c r="P2933">
        <v>-5.2115147619797603E-2</v>
      </c>
      <c r="Q2933">
        <v>0.13533928591473299</v>
      </c>
      <c r="R2933">
        <v>0.860255116471212</v>
      </c>
      <c r="S2933" t="s">
        <v>8516</v>
      </c>
      <c r="T2933" t="s">
        <v>11164</v>
      </c>
      <c r="U2933" t="s">
        <v>11164</v>
      </c>
      <c r="V2933" t="s">
        <v>11164</v>
      </c>
      <c r="W2933" t="s">
        <v>14058</v>
      </c>
      <c r="X2933">
        <v>1</v>
      </c>
      <c r="Y2933" t="s">
        <v>19552</v>
      </c>
      <c r="Z2933" t="s">
        <v>25083</v>
      </c>
      <c r="AA2933">
        <v>0.79530702718918256</v>
      </c>
      <c r="AB2933" t="str">
        <f>HYPERLINK("Melting_Curves/meltCurve_Q13445_TMED1.pdf", "Melting_Curves/meltCurve_Q13445_TMED1.pdf")</f>
        <v>Melting_Curves/meltCurve_Q13445_TMED1.pdf</v>
      </c>
    </row>
    <row r="2934" spans="1:28" x14ac:dyDescent="0.25">
      <c r="A2934" t="s">
        <v>2938</v>
      </c>
      <c r="B2934">
        <v>0.99796759195183404</v>
      </c>
      <c r="C2934">
        <v>0.99967411214269797</v>
      </c>
      <c r="D2934">
        <v>0.96053294160550895</v>
      </c>
      <c r="E2934">
        <v>0.96170733561658805</v>
      </c>
      <c r="F2934">
        <v>0.66321152724943699</v>
      </c>
      <c r="G2934">
        <v>0.29539472123030802</v>
      </c>
      <c r="H2934">
        <v>0.24337798947578099</v>
      </c>
      <c r="I2934">
        <v>0.18701979349504499</v>
      </c>
      <c r="J2934">
        <v>0.163283776072084</v>
      </c>
      <c r="K2934">
        <v>0.104589299597956</v>
      </c>
      <c r="L2934">
        <v>1412.2709260188999</v>
      </c>
      <c r="M2934">
        <v>27.721708210039399</v>
      </c>
      <c r="N2934">
        <v>51.652738168739198</v>
      </c>
      <c r="O2934">
        <v>50.681696662354703</v>
      </c>
      <c r="P2934">
        <v>-0.11512734012649201</v>
      </c>
      <c r="Q2934">
        <v>0.15808984893519901</v>
      </c>
      <c r="R2934">
        <v>0.99433752532167397</v>
      </c>
      <c r="S2934" t="s">
        <v>8517</v>
      </c>
      <c r="T2934" t="s">
        <v>11164</v>
      </c>
      <c r="U2934" t="s">
        <v>11164</v>
      </c>
      <c r="V2934" t="s">
        <v>11164</v>
      </c>
      <c r="W2934" t="s">
        <v>14059</v>
      </c>
      <c r="X2934">
        <v>21</v>
      </c>
      <c r="Y2934" t="s">
        <v>19553</v>
      </c>
      <c r="Z2934" t="s">
        <v>25084</v>
      </c>
      <c r="AA2934">
        <v>0.55553301540737166</v>
      </c>
      <c r="AB2934" t="str">
        <f>HYPERLINK("Melting_Curves/meltCurve_Q13451_FKBP5.pdf", "Melting_Curves/meltCurve_Q13451_FKBP5.pdf")</f>
        <v>Melting_Curves/meltCurve_Q13451_FKBP5.pdf</v>
      </c>
    </row>
    <row r="2935" spans="1:28" x14ac:dyDescent="0.25">
      <c r="A2935" t="s">
        <v>2939</v>
      </c>
      <c r="B2935">
        <v>0.99796759195183404</v>
      </c>
      <c r="C2935">
        <v>0.97873101749225799</v>
      </c>
      <c r="D2935">
        <v>0.95690890792390504</v>
      </c>
      <c r="E2935">
        <v>0.94282601080085005</v>
      </c>
      <c r="F2935">
        <v>0.87554478396862201</v>
      </c>
      <c r="G2935">
        <v>0.52632167683680697</v>
      </c>
      <c r="H2935">
        <v>0.26718648869519102</v>
      </c>
      <c r="I2935">
        <v>0.208728012862921</v>
      </c>
      <c r="J2935">
        <v>0.15366374438158401</v>
      </c>
      <c r="K2935">
        <v>0.11975559980919</v>
      </c>
      <c r="L2935">
        <v>1289.9746928725799</v>
      </c>
      <c r="M2935">
        <v>24.121866724298801</v>
      </c>
      <c r="N2935">
        <v>54.189271151282803</v>
      </c>
      <c r="O2935">
        <v>53.113914922565399</v>
      </c>
      <c r="P2935">
        <v>-9.8122486730122999E-2</v>
      </c>
      <c r="Q2935">
        <v>0.135789939681243</v>
      </c>
      <c r="R2935">
        <v>0.99589836912206098</v>
      </c>
      <c r="S2935" t="s">
        <v>8518</v>
      </c>
      <c r="T2935" t="s">
        <v>11164</v>
      </c>
      <c r="U2935" t="s">
        <v>11164</v>
      </c>
      <c r="V2935" t="s">
        <v>11164</v>
      </c>
      <c r="W2935" t="s">
        <v>14060</v>
      </c>
      <c r="X2935">
        <v>13</v>
      </c>
      <c r="Y2935" t="s">
        <v>19554</v>
      </c>
      <c r="Z2935" t="s">
        <v>25085</v>
      </c>
      <c r="AA2935">
        <v>0.6185210480010348</v>
      </c>
      <c r="AB2935" t="str">
        <f>HYPERLINK("Melting_Curves/meltCurve_Q13464_ROCK1.pdf", "Melting_Curves/meltCurve_Q13464_ROCK1.pdf")</f>
        <v>Melting_Curves/meltCurve_Q13464_ROCK1.pdf</v>
      </c>
    </row>
    <row r="2936" spans="1:28" x14ac:dyDescent="0.25">
      <c r="A2936" t="s">
        <v>2940</v>
      </c>
      <c r="B2936">
        <v>0.99796759195183404</v>
      </c>
      <c r="C2936">
        <v>1.16987184905074</v>
      </c>
      <c r="D2936">
        <v>1.12403472912428</v>
      </c>
      <c r="E2936">
        <v>1.0264384496597101</v>
      </c>
      <c r="F2936">
        <v>0.87373895588073203</v>
      </c>
      <c r="G2936">
        <v>0.62926751083077503</v>
      </c>
      <c r="H2936">
        <v>0.358241941708627</v>
      </c>
      <c r="I2936">
        <v>0.267437382075352</v>
      </c>
      <c r="J2936">
        <v>0.20577536081167899</v>
      </c>
      <c r="K2936">
        <v>0.16543965127155499</v>
      </c>
      <c r="L2936">
        <v>1236.4797015695899</v>
      </c>
      <c r="M2936">
        <v>22.777512557342899</v>
      </c>
      <c r="N2936">
        <v>55.355725288727101</v>
      </c>
      <c r="O2936">
        <v>53.8718750643893</v>
      </c>
      <c r="P2936">
        <v>-8.6872702212234101E-2</v>
      </c>
      <c r="Q2936">
        <v>0.17815357544830401</v>
      </c>
      <c r="R2936">
        <v>0.966857815540898</v>
      </c>
      <c r="S2936" t="s">
        <v>8519</v>
      </c>
      <c r="T2936" t="s">
        <v>11164</v>
      </c>
      <c r="U2936" t="s">
        <v>11164</v>
      </c>
      <c r="V2936" t="s">
        <v>11164</v>
      </c>
      <c r="W2936" t="s">
        <v>14061</v>
      </c>
      <c r="X2936">
        <v>10</v>
      </c>
      <c r="Y2936" t="s">
        <v>19555</v>
      </c>
      <c r="Z2936" t="s">
        <v>25086</v>
      </c>
      <c r="AA2936">
        <v>0.65989257292031889</v>
      </c>
      <c r="AB2936" t="str">
        <f>HYPERLINK("Melting_Curves/meltCurve_Q13480_2_GAB1.pdf", "Melting_Curves/meltCurve_Q13480_2_GAB1.pdf")</f>
        <v>Melting_Curves/meltCurve_Q13480_2_GAB1.pdf</v>
      </c>
    </row>
    <row r="2937" spans="1:28" x14ac:dyDescent="0.25">
      <c r="A2937" t="s">
        <v>2941</v>
      </c>
      <c r="B2937">
        <v>0.99796759195183404</v>
      </c>
      <c r="C2937">
        <v>0.96608605912205203</v>
      </c>
      <c r="D2937">
        <v>0.93216852752233603</v>
      </c>
      <c r="E2937">
        <v>0.89070070608224305</v>
      </c>
      <c r="F2937">
        <v>0.78316835667263895</v>
      </c>
      <c r="G2937">
        <v>0.57933047734744803</v>
      </c>
      <c r="H2937">
        <v>0.44183243057314497</v>
      </c>
      <c r="I2937">
        <v>0.18686905408076701</v>
      </c>
      <c r="J2937">
        <v>0.15984728998686901</v>
      </c>
      <c r="K2937">
        <v>0.12118961614264501</v>
      </c>
      <c r="L2937">
        <v>663.06038508570805</v>
      </c>
      <c r="M2937">
        <v>11.9879979526513</v>
      </c>
      <c r="N2937">
        <v>55.310351910034001</v>
      </c>
      <c r="O2937">
        <v>53.8386795271485</v>
      </c>
      <c r="P2937">
        <v>-5.5679760407504802E-2</v>
      </c>
      <c r="Q2937">
        <v>0</v>
      </c>
      <c r="R2937">
        <v>0.99269214753784196</v>
      </c>
      <c r="S2937" t="s">
        <v>8520</v>
      </c>
      <c r="T2937" t="s">
        <v>11164</v>
      </c>
      <c r="U2937" t="s">
        <v>11164</v>
      </c>
      <c r="V2937" t="s">
        <v>11164</v>
      </c>
      <c r="W2937" t="s">
        <v>14062</v>
      </c>
      <c r="X2937">
        <v>11</v>
      </c>
      <c r="Y2937" t="s">
        <v>19556</v>
      </c>
      <c r="Z2937" t="s">
        <v>25087</v>
      </c>
      <c r="AA2937">
        <v>0.62323280824788307</v>
      </c>
      <c r="AB2937" t="str">
        <f>HYPERLINK("Melting_Curves/meltCurve_Q13492_3_PICALM.pdf", "Melting_Curves/meltCurve_Q13492_3_PICALM.pdf")</f>
        <v>Melting_Curves/meltCurve_Q13492_3_PICALM.pdf</v>
      </c>
    </row>
    <row r="2938" spans="1:28" x14ac:dyDescent="0.25">
      <c r="A2938" t="s">
        <v>2942</v>
      </c>
      <c r="B2938">
        <v>0.99796759195183404</v>
      </c>
      <c r="C2938">
        <v>0.89763759677684496</v>
      </c>
      <c r="D2938">
        <v>0.86401469331235603</v>
      </c>
      <c r="E2938">
        <v>0.648153088298975</v>
      </c>
      <c r="F2938">
        <v>1.1500616183316701</v>
      </c>
      <c r="G2938">
        <v>0.97763428497470195</v>
      </c>
      <c r="H2938">
        <v>0.69180093361816097</v>
      </c>
      <c r="I2938">
        <v>0.83741620406861295</v>
      </c>
      <c r="J2938">
        <v>0.83900266072910801</v>
      </c>
      <c r="K2938">
        <v>0.92529212563942598</v>
      </c>
      <c r="L2938">
        <v>2941.5043440918298</v>
      </c>
      <c r="M2938">
        <v>74.919962190568</v>
      </c>
      <c r="O2938">
        <v>39.234025437350503</v>
      </c>
      <c r="P2938">
        <v>-6.3658368482310601E-2</v>
      </c>
      <c r="Q2938">
        <v>0.86665381903343197</v>
      </c>
      <c r="R2938">
        <v>8.1231799144113201E-2</v>
      </c>
      <c r="S2938" t="s">
        <v>8521</v>
      </c>
      <c r="T2938" t="s">
        <v>11164</v>
      </c>
      <c r="U2938" t="s">
        <v>11164</v>
      </c>
      <c r="V2938" t="s">
        <v>11164</v>
      </c>
      <c r="W2938" t="s">
        <v>14063</v>
      </c>
      <c r="X2938">
        <v>2</v>
      </c>
      <c r="Y2938" t="s">
        <v>19557</v>
      </c>
      <c r="Z2938" t="s">
        <v>25088</v>
      </c>
      <c r="AA2938">
        <v>0.87683105911479209</v>
      </c>
      <c r="AB2938" t="str">
        <f>HYPERLINK("Melting_Curves/meltCurve_Q13503_MED21.pdf", "Melting_Curves/meltCurve_Q13503_MED21.pdf")</f>
        <v>Melting_Curves/meltCurve_Q13503_MED21.pdf</v>
      </c>
    </row>
    <row r="2939" spans="1:28" x14ac:dyDescent="0.25">
      <c r="A2939" t="s">
        <v>2943</v>
      </c>
      <c r="B2939">
        <v>0.99796759195183404</v>
      </c>
      <c r="C2939">
        <v>0.99931717789168195</v>
      </c>
      <c r="D2939">
        <v>0.97881096687539404</v>
      </c>
      <c r="E2939">
        <v>0.94606027887942001</v>
      </c>
      <c r="F2939">
        <v>0.787858537142195</v>
      </c>
      <c r="G2939">
        <v>0.58194836330369704</v>
      </c>
      <c r="H2939">
        <v>0.41162982677701299</v>
      </c>
      <c r="I2939">
        <v>0.18671520916561599</v>
      </c>
      <c r="J2939">
        <v>0.117442410817337</v>
      </c>
      <c r="K2939">
        <v>8.6368983756109297E-2</v>
      </c>
      <c r="L2939">
        <v>770.43333221457704</v>
      </c>
      <c r="M2939">
        <v>13.942185951042701</v>
      </c>
      <c r="N2939">
        <v>55.2591493412706</v>
      </c>
      <c r="O2939">
        <v>54.159559358507501</v>
      </c>
      <c r="P2939">
        <v>-6.4365650138451594E-2</v>
      </c>
      <c r="Q2939">
        <v>0</v>
      </c>
      <c r="R2939">
        <v>0.99778021887980795</v>
      </c>
      <c r="S2939" t="s">
        <v>8522</v>
      </c>
      <c r="T2939" t="s">
        <v>11164</v>
      </c>
      <c r="U2939" t="s">
        <v>11164</v>
      </c>
      <c r="V2939" t="s">
        <v>11164</v>
      </c>
      <c r="W2939" t="s">
        <v>14064</v>
      </c>
      <c r="X2939">
        <v>12</v>
      </c>
      <c r="Y2939" t="s">
        <v>19558</v>
      </c>
      <c r="Z2939" t="s">
        <v>25089</v>
      </c>
      <c r="AA2939">
        <v>0.62227056814793313</v>
      </c>
      <c r="AB2939" t="str">
        <f>HYPERLINK("Melting_Curves/meltCurve_Q13505_3_MTX1.pdf", "Melting_Curves/meltCurve_Q13505_3_MTX1.pdf")</f>
        <v>Melting_Curves/meltCurve_Q13505_3_MTX1.pdf</v>
      </c>
    </row>
    <row r="2940" spans="1:28" x14ac:dyDescent="0.25">
      <c r="A2940" t="s">
        <v>2944</v>
      </c>
      <c r="B2940">
        <v>0.99796759195183404</v>
      </c>
      <c r="C2940">
        <v>0.97845943315730899</v>
      </c>
      <c r="D2940">
        <v>0.97586292501414595</v>
      </c>
      <c r="E2940">
        <v>0.93552464374273203</v>
      </c>
      <c r="F2940">
        <v>0.90753483094548104</v>
      </c>
      <c r="G2940">
        <v>0.76584947697541195</v>
      </c>
      <c r="H2940">
        <v>0.62762180930516898</v>
      </c>
      <c r="I2940">
        <v>0.48057491188219298</v>
      </c>
      <c r="J2940">
        <v>0.274418912815664</v>
      </c>
      <c r="K2940">
        <v>0.14211010693797199</v>
      </c>
      <c r="L2940">
        <v>753.91949483841302</v>
      </c>
      <c r="M2940">
        <v>12.6687589001003</v>
      </c>
      <c r="N2940">
        <v>59.510130480093899</v>
      </c>
      <c r="O2940">
        <v>58.0858094844262</v>
      </c>
      <c r="P2940">
        <v>-5.4536718159667701E-2</v>
      </c>
      <c r="Q2940">
        <v>0</v>
      </c>
      <c r="R2940">
        <v>0.98972158208879601</v>
      </c>
      <c r="S2940" t="s">
        <v>8523</v>
      </c>
      <c r="T2940" t="s">
        <v>11164</v>
      </c>
      <c r="U2940" t="s">
        <v>11164</v>
      </c>
      <c r="V2940" t="s">
        <v>11164</v>
      </c>
      <c r="W2940" t="s">
        <v>14065</v>
      </c>
      <c r="X2940">
        <v>27</v>
      </c>
      <c r="Y2940" t="s">
        <v>19559</v>
      </c>
      <c r="Z2940" t="s">
        <v>25090</v>
      </c>
      <c r="AA2940">
        <v>0.74053021543817021</v>
      </c>
      <c r="AB2940" t="str">
        <f>HYPERLINK("Melting_Curves/meltCurve_Q13509_TUBB3.pdf", "Melting_Curves/meltCurve_Q13509_TUBB3.pdf")</f>
        <v>Melting_Curves/meltCurve_Q13509_TUBB3.pdf</v>
      </c>
    </row>
    <row r="2941" spans="1:28" x14ac:dyDescent="0.25">
      <c r="A2941" t="s">
        <v>2945</v>
      </c>
      <c r="B2941">
        <v>0.99796759195183404</v>
      </c>
      <c r="C2941">
        <v>0.98341501803795095</v>
      </c>
      <c r="D2941">
        <v>1.0203057157211399</v>
      </c>
      <c r="E2941">
        <v>0.91625535912553202</v>
      </c>
      <c r="F2941">
        <v>0.78406940098951905</v>
      </c>
      <c r="G2941">
        <v>0.34675328213887402</v>
      </c>
      <c r="H2941">
        <v>0.233123384036723</v>
      </c>
      <c r="I2941">
        <v>0.162756324459775</v>
      </c>
      <c r="J2941">
        <v>0.17887889654747</v>
      </c>
      <c r="K2941">
        <v>0.17360798622535301</v>
      </c>
      <c r="L2941">
        <v>1567.94427724551</v>
      </c>
      <c r="M2941">
        <v>30.3240092236632</v>
      </c>
      <c r="N2941">
        <v>52.433539412854202</v>
      </c>
      <c r="O2941">
        <v>51.483060171023403</v>
      </c>
      <c r="P2941">
        <v>-0.121976251917807</v>
      </c>
      <c r="Q2941">
        <v>0.171656821732976</v>
      </c>
      <c r="R2941">
        <v>0.99598897731890601</v>
      </c>
      <c r="S2941" t="s">
        <v>8524</v>
      </c>
      <c r="T2941" t="s">
        <v>11164</v>
      </c>
      <c r="U2941" t="s">
        <v>11164</v>
      </c>
      <c r="V2941" t="s">
        <v>11164</v>
      </c>
      <c r="W2941" t="s">
        <v>14066</v>
      </c>
      <c r="X2941">
        <v>10</v>
      </c>
      <c r="Y2941" t="s">
        <v>19560</v>
      </c>
      <c r="Z2941" t="s">
        <v>25091</v>
      </c>
      <c r="AA2941">
        <v>0.58282263047682292</v>
      </c>
      <c r="AB2941" t="str">
        <f>HYPERLINK("Melting_Curves/meltCurve_Q13526_PIN1.pdf", "Melting_Curves/meltCurve_Q13526_PIN1.pdf")</f>
        <v>Melting_Curves/meltCurve_Q13526_PIN1.pdf</v>
      </c>
    </row>
    <row r="2942" spans="1:28" x14ac:dyDescent="0.25">
      <c r="A2942" t="s">
        <v>2946</v>
      </c>
      <c r="B2942">
        <v>0.99796759195183404</v>
      </c>
      <c r="C2942">
        <v>1.0744363394865999</v>
      </c>
      <c r="D2942">
        <v>1.0433847174050299</v>
      </c>
      <c r="E2942">
        <v>0.97080449715948203</v>
      </c>
      <c r="F2942">
        <v>0.94715906253783</v>
      </c>
      <c r="G2942">
        <v>0.70915531192636805</v>
      </c>
      <c r="H2942">
        <v>0.59915269246438796</v>
      </c>
      <c r="I2942">
        <v>0.51811826472606604</v>
      </c>
      <c r="J2942">
        <v>0.66063785872076697</v>
      </c>
      <c r="K2942">
        <v>0.597021079302542</v>
      </c>
      <c r="L2942">
        <v>2154.9007651370198</v>
      </c>
      <c r="M2942">
        <v>40.988510394256501</v>
      </c>
      <c r="O2942">
        <v>52.448618079995803</v>
      </c>
      <c r="P2942">
        <v>-7.9967881918572001E-2</v>
      </c>
      <c r="Q2942">
        <v>0.59069539066948995</v>
      </c>
      <c r="R2942">
        <v>0.95492936359537695</v>
      </c>
      <c r="S2942" t="s">
        <v>8525</v>
      </c>
      <c r="T2942" t="s">
        <v>11164</v>
      </c>
      <c r="U2942" t="s">
        <v>11164</v>
      </c>
      <c r="V2942" t="s">
        <v>11164</v>
      </c>
      <c r="W2942" t="s">
        <v>14067</v>
      </c>
      <c r="X2942">
        <v>9</v>
      </c>
      <c r="Y2942" t="s">
        <v>19561</v>
      </c>
      <c r="Z2942" t="s">
        <v>25092</v>
      </c>
      <c r="AA2942">
        <v>0.80458123058072806</v>
      </c>
      <c r="AB2942" t="str">
        <f>HYPERLINK("Melting_Curves/meltCurve_Q13541_EIF4EBP1.pdf", "Melting_Curves/meltCurve_Q13541_EIF4EBP1.pdf")</f>
        <v>Melting_Curves/meltCurve_Q13541_EIF4EBP1.pdf</v>
      </c>
    </row>
    <row r="2943" spans="1:28" x14ac:dyDescent="0.25">
      <c r="A2943" t="s">
        <v>2947</v>
      </c>
      <c r="B2943">
        <v>0.99796759195183404</v>
      </c>
      <c r="C2943">
        <v>1.0058831292961099</v>
      </c>
      <c r="D2943">
        <v>0.94531856166168404</v>
      </c>
      <c r="E2943">
        <v>0.89420224614325305</v>
      </c>
      <c r="F2943">
        <v>0.89689511483645001</v>
      </c>
      <c r="G2943">
        <v>0.67409414217902297</v>
      </c>
      <c r="H2943">
        <v>0.53399271224659794</v>
      </c>
      <c r="I2943">
        <v>0.39332724972820599</v>
      </c>
      <c r="J2943">
        <v>0.40270216613043103</v>
      </c>
      <c r="K2943">
        <v>0.29729993663099802</v>
      </c>
      <c r="L2943">
        <v>709.50695545658095</v>
      </c>
      <c r="M2943">
        <v>12.8195219550042</v>
      </c>
      <c r="N2943">
        <v>58.395254521015403</v>
      </c>
      <c r="O2943">
        <v>54.050930476566201</v>
      </c>
      <c r="P2943">
        <v>-4.4834223930579599E-2</v>
      </c>
      <c r="Q2943">
        <v>0.244003150128802</v>
      </c>
      <c r="R2943">
        <v>0.985281606114631</v>
      </c>
      <c r="S2943" t="s">
        <v>8526</v>
      </c>
      <c r="T2943" t="s">
        <v>11164</v>
      </c>
      <c r="U2943" t="s">
        <v>11164</v>
      </c>
      <c r="V2943" t="s">
        <v>11164</v>
      </c>
      <c r="W2943" t="s">
        <v>14068</v>
      </c>
      <c r="X2943">
        <v>5</v>
      </c>
      <c r="Y2943" t="s">
        <v>19562</v>
      </c>
      <c r="Z2943" t="s">
        <v>25093</v>
      </c>
      <c r="AA2943">
        <v>0.71627537721973633</v>
      </c>
      <c r="AB2943" t="str">
        <f>HYPERLINK("Melting_Curves/meltCurve_Q13542_EIF4EBP2.pdf", "Melting_Curves/meltCurve_Q13542_EIF4EBP2.pdf")</f>
        <v>Melting_Curves/meltCurve_Q13542_EIF4EBP2.pdf</v>
      </c>
    </row>
    <row r="2944" spans="1:28" x14ac:dyDescent="0.25">
      <c r="A2944" t="s">
        <v>2948</v>
      </c>
      <c r="B2944">
        <v>0.99796759195183404</v>
      </c>
      <c r="C2944">
        <v>1.0194476620000299</v>
      </c>
      <c r="D2944">
        <v>1.01518573104268</v>
      </c>
      <c r="E2944">
        <v>0.93756187166806504</v>
      </c>
      <c r="F2944">
        <v>0.68674046360865204</v>
      </c>
      <c r="G2944">
        <v>0.39348081927563799</v>
      </c>
      <c r="H2944">
        <v>0.262843694525141</v>
      </c>
      <c r="I2944">
        <v>0.198132650031909</v>
      </c>
      <c r="J2944">
        <v>0.16824189311662299</v>
      </c>
      <c r="K2944">
        <v>0.13132164035263799</v>
      </c>
      <c r="L2944">
        <v>1097.4064913601001</v>
      </c>
      <c r="M2944">
        <v>21.2743453765667</v>
      </c>
      <c r="N2944">
        <v>52.485172568815003</v>
      </c>
      <c r="O2944">
        <v>51.134291353872001</v>
      </c>
      <c r="P2944">
        <v>-8.8094230269160301E-2</v>
      </c>
      <c r="Q2944">
        <v>0.15306070086037299</v>
      </c>
      <c r="R2944">
        <v>0.99768741124920302</v>
      </c>
      <c r="S2944" t="s">
        <v>8527</v>
      </c>
      <c r="T2944" t="s">
        <v>11164</v>
      </c>
      <c r="U2944" t="s">
        <v>11164</v>
      </c>
      <c r="V2944" t="s">
        <v>11164</v>
      </c>
      <c r="W2944" t="s">
        <v>14069</v>
      </c>
      <c r="X2944">
        <v>10</v>
      </c>
      <c r="Y2944" t="s">
        <v>19563</v>
      </c>
      <c r="Z2944" t="s">
        <v>25094</v>
      </c>
      <c r="AA2944">
        <v>0.57472306118580108</v>
      </c>
      <c r="AB2944" t="str">
        <f>HYPERLINK("Melting_Curves/meltCurve_Q13546_2_RIPK1.pdf", "Melting_Curves/meltCurve_Q13546_2_RIPK1.pdf")</f>
        <v>Melting_Curves/meltCurve_Q13546_2_RIPK1.pdf</v>
      </c>
    </row>
    <row r="2945" spans="1:28" x14ac:dyDescent="0.25">
      <c r="A2945" t="s">
        <v>2949</v>
      </c>
      <c r="B2945">
        <v>0.99796759195183404</v>
      </c>
      <c r="C2945">
        <v>1.0633885893569801</v>
      </c>
      <c r="D2945">
        <v>1.0253867766940401</v>
      </c>
      <c r="E2945">
        <v>0.91873928366900404</v>
      </c>
      <c r="F2945">
        <v>0.78190053830594297</v>
      </c>
      <c r="G2945">
        <v>0.61099037185681004</v>
      </c>
      <c r="H2945">
        <v>0.20307727254434901</v>
      </c>
      <c r="I2945">
        <v>0.14484521421417901</v>
      </c>
      <c r="J2945">
        <v>0.10749105773848799</v>
      </c>
      <c r="K2945">
        <v>7.0565598395183698E-2</v>
      </c>
      <c r="L2945">
        <v>1049.62197740683</v>
      </c>
      <c r="M2945">
        <v>19.4527690489817</v>
      </c>
      <c r="N2945">
        <v>54.232442068117102</v>
      </c>
      <c r="O2945">
        <v>53.3969476972023</v>
      </c>
      <c r="P2945">
        <v>-8.6802143613477198E-2</v>
      </c>
      <c r="Q2945">
        <v>4.6963202430857699E-2</v>
      </c>
      <c r="R2945">
        <v>0.98798885617625398</v>
      </c>
      <c r="S2945" t="s">
        <v>8528</v>
      </c>
      <c r="T2945" t="s">
        <v>11164</v>
      </c>
      <c r="U2945" t="s">
        <v>11164</v>
      </c>
      <c r="V2945" t="s">
        <v>11164</v>
      </c>
      <c r="W2945" t="s">
        <v>14070</v>
      </c>
      <c r="X2945">
        <v>17</v>
      </c>
      <c r="Y2945" t="s">
        <v>19564</v>
      </c>
      <c r="Z2945" t="s">
        <v>25095</v>
      </c>
      <c r="AA2945">
        <v>0.59763024119207708</v>
      </c>
      <c r="AB2945" t="str">
        <f>HYPERLINK("Melting_Curves/meltCurve_Q13564_2_NAE1.pdf", "Melting_Curves/meltCurve_Q13564_2_NAE1.pdf")</f>
        <v>Melting_Curves/meltCurve_Q13564_2_NAE1.pdf</v>
      </c>
    </row>
    <row r="2946" spans="1:28" x14ac:dyDescent="0.25">
      <c r="A2946" t="s">
        <v>2950</v>
      </c>
      <c r="B2946">
        <v>0.99796759195183404</v>
      </c>
      <c r="C2946">
        <v>0.95550377538439901</v>
      </c>
      <c r="D2946">
        <v>0.95204745757017095</v>
      </c>
      <c r="E2946">
        <v>0.88108193711233895</v>
      </c>
      <c r="F2946">
        <v>0.92931330613163199</v>
      </c>
      <c r="G2946">
        <v>0.58480640446778598</v>
      </c>
      <c r="H2946">
        <v>0.270988929638948</v>
      </c>
      <c r="I2946">
        <v>0.23188362363626999</v>
      </c>
      <c r="J2946">
        <v>0.20279043030624</v>
      </c>
      <c r="K2946">
        <v>0.13819747322466</v>
      </c>
      <c r="L2946">
        <v>1522.4446065442801</v>
      </c>
      <c r="M2946">
        <v>28.305538763623499</v>
      </c>
      <c r="N2946">
        <v>54.599779602898899</v>
      </c>
      <c r="O2946">
        <v>53.519789758453101</v>
      </c>
      <c r="P2946">
        <v>-0.109469096237818</v>
      </c>
      <c r="Q2946">
        <v>0.17207513555244699</v>
      </c>
      <c r="R2946">
        <v>0.98350293263733202</v>
      </c>
      <c r="S2946" t="s">
        <v>8529</v>
      </c>
      <c r="T2946" t="s">
        <v>11164</v>
      </c>
      <c r="U2946" t="s">
        <v>11164</v>
      </c>
      <c r="V2946" t="s">
        <v>11164</v>
      </c>
      <c r="W2946" t="s">
        <v>14071</v>
      </c>
      <c r="X2946">
        <v>3</v>
      </c>
      <c r="Y2946" t="s">
        <v>19565</v>
      </c>
      <c r="Z2946" t="s">
        <v>25096</v>
      </c>
      <c r="AA2946">
        <v>0.64119719706027667</v>
      </c>
      <c r="AB2946" t="str">
        <f>HYPERLINK("Melting_Curves/meltCurve_Q13572_ITPK1.pdf", "Melting_Curves/meltCurve_Q13572_ITPK1.pdf")</f>
        <v>Melting_Curves/meltCurve_Q13572_ITPK1.pdf</v>
      </c>
    </row>
    <row r="2947" spans="1:28" x14ac:dyDescent="0.25">
      <c r="A2947" t="s">
        <v>2951</v>
      </c>
      <c r="B2947">
        <v>0.99796759195183404</v>
      </c>
      <c r="C2947">
        <v>1.0193761347888399</v>
      </c>
      <c r="D2947">
        <v>1.04161805331679</v>
      </c>
      <c r="E2947">
        <v>1.07144081857408</v>
      </c>
      <c r="F2947">
        <v>0.89717343218578405</v>
      </c>
      <c r="G2947">
        <v>0.88062717301805704</v>
      </c>
      <c r="H2947">
        <v>0.65073587563396396</v>
      </c>
      <c r="I2947">
        <v>0.48075328375906701</v>
      </c>
      <c r="J2947">
        <v>0.33383495311057398</v>
      </c>
      <c r="K2947">
        <v>0.21741353899497601</v>
      </c>
      <c r="L2947">
        <v>890.99863637636201</v>
      </c>
      <c r="M2947">
        <v>14.893294864640501</v>
      </c>
      <c r="N2947">
        <v>60.4489401669817</v>
      </c>
      <c r="O2947">
        <v>58.777972516650898</v>
      </c>
      <c r="P2947">
        <v>-5.8841815487439997E-2</v>
      </c>
      <c r="Q2947">
        <v>7.1194560754138395E-2</v>
      </c>
      <c r="R2947">
        <v>0.98427285039594503</v>
      </c>
      <c r="S2947" t="s">
        <v>8530</v>
      </c>
      <c r="T2947" t="s">
        <v>11164</v>
      </c>
      <c r="U2947" t="s">
        <v>11164</v>
      </c>
      <c r="V2947" t="s">
        <v>11164</v>
      </c>
      <c r="W2947" t="s">
        <v>14072</v>
      </c>
      <c r="X2947">
        <v>27</v>
      </c>
      <c r="Y2947" t="s">
        <v>19566</v>
      </c>
      <c r="Z2947" t="s">
        <v>25097</v>
      </c>
      <c r="AA2947">
        <v>0.77242854897632396</v>
      </c>
      <c r="AB2947" t="str">
        <f>HYPERLINK("Melting_Curves/meltCurve_Q13573_SNW1.pdf", "Melting_Curves/meltCurve_Q13573_SNW1.pdf")</f>
        <v>Melting_Curves/meltCurve_Q13573_SNW1.pdf</v>
      </c>
    </row>
    <row r="2948" spans="1:28" x14ac:dyDescent="0.25">
      <c r="A2948" t="s">
        <v>2952</v>
      </c>
      <c r="B2948">
        <v>0.99796759195183404</v>
      </c>
      <c r="C2948">
        <v>1.03530587991931</v>
      </c>
      <c r="D2948">
        <v>0.91279248226482801</v>
      </c>
      <c r="E2948">
        <v>0.88430688726973194</v>
      </c>
      <c r="F2948">
        <v>0.66014955828603605</v>
      </c>
      <c r="G2948">
        <v>0.30752648037300501</v>
      </c>
      <c r="H2948">
        <v>0.204286195869438</v>
      </c>
      <c r="I2948">
        <v>0.120239838629219</v>
      </c>
      <c r="J2948">
        <v>0.105296266313379</v>
      </c>
      <c r="K2948">
        <v>0.101143195512856</v>
      </c>
      <c r="L2948">
        <v>1021.1847072775701</v>
      </c>
      <c r="M2948">
        <v>19.9515906190524</v>
      </c>
      <c r="N2948">
        <v>51.699218293973999</v>
      </c>
      <c r="O2948">
        <v>50.677256409673802</v>
      </c>
      <c r="P2948">
        <v>-8.95407994986126E-2</v>
      </c>
      <c r="Q2948">
        <v>9.0291511842175098E-2</v>
      </c>
      <c r="R2948">
        <v>0.99429881980510804</v>
      </c>
      <c r="S2948" t="s">
        <v>8531</v>
      </c>
      <c r="T2948" t="s">
        <v>11164</v>
      </c>
      <c r="U2948" t="s">
        <v>11164</v>
      </c>
      <c r="V2948" t="s">
        <v>11164</v>
      </c>
      <c r="W2948" t="s">
        <v>14073</v>
      </c>
      <c r="X2948">
        <v>6</v>
      </c>
      <c r="Y2948" t="s">
        <v>19567</v>
      </c>
      <c r="Z2948" t="s">
        <v>25098</v>
      </c>
      <c r="AA2948">
        <v>0.53231128195951927</v>
      </c>
      <c r="AB2948" t="str">
        <f>HYPERLINK("Melting_Curves/meltCurve_Q13576_IQGAP2.pdf", "Melting_Curves/meltCurve_Q13576_IQGAP2.pdf")</f>
        <v>Melting_Curves/meltCurve_Q13576_IQGAP2.pdf</v>
      </c>
    </row>
    <row r="2949" spans="1:28" x14ac:dyDescent="0.25">
      <c r="A2949" t="s">
        <v>2953</v>
      </c>
      <c r="B2949">
        <v>0.99796759195183404</v>
      </c>
      <c r="C2949">
        <v>1.1442811138206399</v>
      </c>
      <c r="D2949">
        <v>1.05401299161364</v>
      </c>
      <c r="E2949">
        <v>1.0455536620904899</v>
      </c>
      <c r="F2949">
        <v>0.90460054826118197</v>
      </c>
      <c r="G2949">
        <v>0.60113772843065405</v>
      </c>
      <c r="H2949">
        <v>0.438016448704523</v>
      </c>
      <c r="I2949">
        <v>0.29945600088087998</v>
      </c>
      <c r="J2949">
        <v>0.24981741078347899</v>
      </c>
      <c r="K2949">
        <v>0.192200187501057</v>
      </c>
      <c r="L2949">
        <v>1171.87787066481</v>
      </c>
      <c r="M2949">
        <v>21.566307234662101</v>
      </c>
      <c r="N2949">
        <v>55.779353410224601</v>
      </c>
      <c r="O2949">
        <v>53.877633987068997</v>
      </c>
      <c r="P2949">
        <v>-7.8699885490471105E-2</v>
      </c>
      <c r="Q2949">
        <v>0.21357677926513599</v>
      </c>
      <c r="R2949">
        <v>0.97322879126336503</v>
      </c>
      <c r="S2949" t="s">
        <v>8532</v>
      </c>
      <c r="T2949" t="s">
        <v>11164</v>
      </c>
      <c r="U2949" t="s">
        <v>11164</v>
      </c>
      <c r="V2949" t="s">
        <v>11164</v>
      </c>
      <c r="W2949" t="s">
        <v>14074</v>
      </c>
      <c r="X2949">
        <v>12</v>
      </c>
      <c r="Y2949" t="s">
        <v>19568</v>
      </c>
      <c r="Z2949" t="s">
        <v>25099</v>
      </c>
      <c r="AA2949">
        <v>0.67655613086989486</v>
      </c>
      <c r="AB2949" t="str">
        <f>HYPERLINK("Melting_Curves/meltCurve_Q13586_STIM1.pdf", "Melting_Curves/meltCurve_Q13586_STIM1.pdf")</f>
        <v>Melting_Curves/meltCurve_Q13586_STIM1.pdf</v>
      </c>
    </row>
    <row r="2950" spans="1:28" x14ac:dyDescent="0.25">
      <c r="A2950" t="s">
        <v>2954</v>
      </c>
      <c r="B2950">
        <v>0.99796759195183404</v>
      </c>
      <c r="C2950">
        <v>0.992813132367243</v>
      </c>
      <c r="D2950">
        <v>1.01070991290927</v>
      </c>
      <c r="E2950">
        <v>0.94892049396561096</v>
      </c>
      <c r="F2950">
        <v>0.79627456347973602</v>
      </c>
      <c r="G2950">
        <v>0.48970933949100298</v>
      </c>
      <c r="H2950">
        <v>0.19830105804338599</v>
      </c>
      <c r="I2950">
        <v>0.14490235935319501</v>
      </c>
      <c r="J2950">
        <v>0.11477719891192301</v>
      </c>
      <c r="K2950">
        <v>0.106430523075298</v>
      </c>
      <c r="L2950">
        <v>1224.2697270849101</v>
      </c>
      <c r="M2950">
        <v>23.1039269335132</v>
      </c>
      <c r="N2950">
        <v>53.479716856776903</v>
      </c>
      <c r="O2950">
        <v>52.597469392751897</v>
      </c>
      <c r="P2950">
        <v>-9.9340441542801305E-2</v>
      </c>
      <c r="Q2950">
        <v>9.5398507748086905E-2</v>
      </c>
      <c r="R2950">
        <v>0.99878521135592702</v>
      </c>
      <c r="S2950" t="s">
        <v>8533</v>
      </c>
      <c r="T2950" t="s">
        <v>11164</v>
      </c>
      <c r="U2950" t="s">
        <v>11164</v>
      </c>
      <c r="V2950" t="s">
        <v>11164</v>
      </c>
      <c r="W2950" t="s">
        <v>14075</v>
      </c>
      <c r="X2950">
        <v>16</v>
      </c>
      <c r="Y2950" t="s">
        <v>19569</v>
      </c>
      <c r="Z2950" t="s">
        <v>25100</v>
      </c>
      <c r="AA2950">
        <v>0.5866668822368093</v>
      </c>
      <c r="AB2950" t="str">
        <f>HYPERLINK("Melting_Curves/meltCurve_Q13596_2_SNX1.pdf", "Melting_Curves/meltCurve_Q13596_2_SNX1.pdf")</f>
        <v>Melting_Curves/meltCurve_Q13596_2_SNX1.pdf</v>
      </c>
    </row>
    <row r="2951" spans="1:28" x14ac:dyDescent="0.25">
      <c r="A2951" t="s">
        <v>2955</v>
      </c>
      <c r="B2951">
        <v>0.99796759195183404</v>
      </c>
      <c r="C2951">
        <v>1.0484862125718299</v>
      </c>
      <c r="D2951">
        <v>0.96479068495962295</v>
      </c>
      <c r="E2951">
        <v>0.93274886002118695</v>
      </c>
      <c r="F2951">
        <v>0.84049084772090199</v>
      </c>
      <c r="G2951">
        <v>0.81008691607663497</v>
      </c>
      <c r="H2951">
        <v>0.56417001733082095</v>
      </c>
      <c r="I2951">
        <v>0.41543433577049099</v>
      </c>
      <c r="J2951">
        <v>0.22433796265400799</v>
      </c>
      <c r="K2951">
        <v>0.20892104736012199</v>
      </c>
      <c r="L2951">
        <v>706.90348879235398</v>
      </c>
      <c r="M2951">
        <v>12.0122321599952</v>
      </c>
      <c r="N2951">
        <v>58.8486369637886</v>
      </c>
      <c r="O2951">
        <v>57.2888559033115</v>
      </c>
      <c r="P2951">
        <v>-5.2432171654084599E-2</v>
      </c>
      <c r="Q2951">
        <v>0</v>
      </c>
      <c r="R2951">
        <v>0.98671310880320495</v>
      </c>
      <c r="S2951" t="s">
        <v>8534</v>
      </c>
      <c r="T2951" t="s">
        <v>11164</v>
      </c>
      <c r="U2951" t="s">
        <v>11164</v>
      </c>
      <c r="V2951" t="s">
        <v>11164</v>
      </c>
      <c r="W2951" t="s">
        <v>14076</v>
      </c>
      <c r="X2951">
        <v>7</v>
      </c>
      <c r="Y2951" t="s">
        <v>19570</v>
      </c>
      <c r="Z2951" t="s">
        <v>25101</v>
      </c>
      <c r="AA2951">
        <v>0.72115842562089294</v>
      </c>
      <c r="AB2951" t="str">
        <f>HYPERLINK("Melting_Curves/meltCurve_Q13614_MTMR2.pdf", "Melting_Curves/meltCurve_Q13614_MTMR2.pdf")</f>
        <v>Melting_Curves/meltCurve_Q13614_MTMR2.pdf</v>
      </c>
    </row>
    <row r="2952" spans="1:28" x14ac:dyDescent="0.25">
      <c r="A2952" t="s">
        <v>2956</v>
      </c>
      <c r="B2952">
        <v>0.99796759195183404</v>
      </c>
      <c r="C2952">
        <v>1.06094449781967</v>
      </c>
      <c r="D2952">
        <v>1.0026743015221</v>
      </c>
      <c r="E2952">
        <v>1.03887291943572</v>
      </c>
      <c r="F2952">
        <v>0.91384096180488095</v>
      </c>
      <c r="G2952">
        <v>1.4421832266484</v>
      </c>
      <c r="H2952">
        <v>1.5388601207720201</v>
      </c>
      <c r="I2952">
        <v>1.3686149855546099</v>
      </c>
      <c r="J2952">
        <v>0.88417087930012095</v>
      </c>
      <c r="K2952">
        <v>0.21319893176331001</v>
      </c>
      <c r="L2952">
        <v>15000</v>
      </c>
      <c r="M2952">
        <v>232.252442657442</v>
      </c>
      <c r="N2952">
        <v>64.739650980820002</v>
      </c>
      <c r="O2952">
        <v>64.580089534018796</v>
      </c>
      <c r="P2952">
        <v>-0.707565988679421</v>
      </c>
      <c r="Q2952">
        <v>0.21301688173746799</v>
      </c>
      <c r="R2952">
        <v>0.49066945077808599</v>
      </c>
      <c r="S2952" t="s">
        <v>8535</v>
      </c>
      <c r="T2952" t="s">
        <v>11164</v>
      </c>
      <c r="U2952" t="s">
        <v>11164</v>
      </c>
      <c r="V2952" t="s">
        <v>11164</v>
      </c>
      <c r="W2952" t="s">
        <v>14077</v>
      </c>
      <c r="X2952">
        <v>18</v>
      </c>
      <c r="Y2952" t="s">
        <v>19571</v>
      </c>
      <c r="Z2952" t="s">
        <v>25102</v>
      </c>
      <c r="AA2952">
        <v>0.93674667325054306</v>
      </c>
      <c r="AB2952" t="str">
        <f>HYPERLINK("Melting_Curves/meltCurve_Q13616_CUL1.pdf", "Melting_Curves/meltCurve_Q13616_CUL1.pdf")</f>
        <v>Melting_Curves/meltCurve_Q13616_CUL1.pdf</v>
      </c>
    </row>
    <row r="2953" spans="1:28" x14ac:dyDescent="0.25">
      <c r="A2953" t="s">
        <v>2957</v>
      </c>
      <c r="B2953">
        <v>0.99796759195183404</v>
      </c>
      <c r="C2953">
        <v>1.0499663149251801</v>
      </c>
      <c r="D2953">
        <v>0.98664725606404502</v>
      </c>
      <c r="E2953">
        <v>1.0238561510406201</v>
      </c>
      <c r="F2953">
        <v>1.02140085243719</v>
      </c>
      <c r="G2953">
        <v>1.2409418245893</v>
      </c>
      <c r="H2953">
        <v>0.93376515263495496</v>
      </c>
      <c r="I2953">
        <v>0.27409537855549698</v>
      </c>
      <c r="J2953">
        <v>0.12551040439076599</v>
      </c>
      <c r="K2953">
        <v>8.2353303668426803E-2</v>
      </c>
      <c r="L2953">
        <v>3910.6693934894001</v>
      </c>
      <c r="M2953">
        <v>65.523729110417804</v>
      </c>
      <c r="N2953">
        <v>59.883394679755298</v>
      </c>
      <c r="O2953">
        <v>59.6277334525466</v>
      </c>
      <c r="P2953">
        <v>-0.247705318561809</v>
      </c>
      <c r="Q2953">
        <v>9.8335633249450299E-2</v>
      </c>
      <c r="R2953">
        <v>0.96284822307086304</v>
      </c>
      <c r="S2953" t="s">
        <v>8536</v>
      </c>
      <c r="T2953" t="s">
        <v>11164</v>
      </c>
      <c r="U2953" t="s">
        <v>11164</v>
      </c>
      <c r="V2953" t="s">
        <v>11164</v>
      </c>
      <c r="W2953" t="s">
        <v>14078</v>
      </c>
      <c r="X2953">
        <v>22</v>
      </c>
      <c r="Y2953" t="s">
        <v>19572</v>
      </c>
      <c r="Z2953" t="s">
        <v>25103</v>
      </c>
      <c r="AA2953">
        <v>0.78144281170522967</v>
      </c>
      <c r="AB2953" t="str">
        <f>HYPERLINK("Melting_Curves/meltCurve_Q13617_CUL2.pdf", "Melting_Curves/meltCurve_Q13617_CUL2.pdf")</f>
        <v>Melting_Curves/meltCurve_Q13617_CUL2.pdf</v>
      </c>
    </row>
    <row r="2954" spans="1:28" x14ac:dyDescent="0.25">
      <c r="A2954" t="s">
        <v>2958</v>
      </c>
      <c r="B2954">
        <v>0.99796759195183404</v>
      </c>
      <c r="C2954">
        <v>1.0571673554774501</v>
      </c>
      <c r="D2954">
        <v>1.0388532156838399</v>
      </c>
      <c r="E2954">
        <v>1.06183677232412</v>
      </c>
      <c r="F2954">
        <v>0.95687751487811001</v>
      </c>
      <c r="G2954">
        <v>1.5065392084245099</v>
      </c>
      <c r="H2954">
        <v>1.3044403220749199</v>
      </c>
      <c r="I2954">
        <v>0.31298694616087303</v>
      </c>
      <c r="J2954">
        <v>0.15532971994436001</v>
      </c>
      <c r="K2954">
        <v>0.14313491900627001</v>
      </c>
      <c r="L2954">
        <v>15000</v>
      </c>
      <c r="M2954">
        <v>247.33560286549201</v>
      </c>
      <c r="N2954">
        <v>60.733386760848198</v>
      </c>
      <c r="O2954">
        <v>60.642389024681201</v>
      </c>
      <c r="P2954">
        <v>-0.86748513774559299</v>
      </c>
      <c r="Q2954">
        <v>0.14923105869490599</v>
      </c>
      <c r="R2954">
        <v>0.82574473450792896</v>
      </c>
      <c r="S2954" t="s">
        <v>8537</v>
      </c>
      <c r="T2954" t="s">
        <v>11164</v>
      </c>
      <c r="U2954" t="s">
        <v>11164</v>
      </c>
      <c r="V2954" t="s">
        <v>11164</v>
      </c>
      <c r="W2954" t="s">
        <v>14079</v>
      </c>
      <c r="X2954">
        <v>18</v>
      </c>
      <c r="Y2954" t="s">
        <v>19573</v>
      </c>
      <c r="Z2954" t="s">
        <v>25104</v>
      </c>
      <c r="AA2954">
        <v>0.81990939948747277</v>
      </c>
      <c r="AB2954" t="str">
        <f>HYPERLINK("Melting_Curves/meltCurve_Q13618_2_CUL3.pdf", "Melting_Curves/meltCurve_Q13618_2_CUL3.pdf")</f>
        <v>Melting_Curves/meltCurve_Q13618_2_CUL3.pdf</v>
      </c>
    </row>
    <row r="2955" spans="1:28" x14ac:dyDescent="0.25">
      <c r="A2955" t="s">
        <v>2959</v>
      </c>
      <c r="B2955">
        <v>0.99796759195183404</v>
      </c>
      <c r="C2955">
        <v>1.0036940639040699</v>
      </c>
      <c r="D2955">
        <v>1.01934462244</v>
      </c>
      <c r="E2955">
        <v>0.91364097782075304</v>
      </c>
      <c r="F2955">
        <v>0.82704277721838204</v>
      </c>
      <c r="G2955">
        <v>0.42447536643851003</v>
      </c>
      <c r="H2955">
        <v>0.315285529338656</v>
      </c>
      <c r="I2955">
        <v>0.27983813546250402</v>
      </c>
      <c r="J2955">
        <v>0.30739648435790601</v>
      </c>
      <c r="K2955">
        <v>0.46949991621722398</v>
      </c>
      <c r="L2955">
        <v>2150.3679175347602</v>
      </c>
      <c r="M2955">
        <v>41.8699887188166</v>
      </c>
      <c r="N2955">
        <v>52.801207372671698</v>
      </c>
      <c r="O2955">
        <v>51.241498511085297</v>
      </c>
      <c r="P2955">
        <v>-0.13466641125342299</v>
      </c>
      <c r="Q2955">
        <v>0.34076945657471502</v>
      </c>
      <c r="R2955">
        <v>0.96882845846522003</v>
      </c>
      <c r="S2955" t="s">
        <v>8538</v>
      </c>
      <c r="T2955" t="s">
        <v>11164</v>
      </c>
      <c r="U2955" t="s">
        <v>11164</v>
      </c>
      <c r="V2955" t="s">
        <v>11164</v>
      </c>
      <c r="W2955" t="s">
        <v>14080</v>
      </c>
      <c r="X2955">
        <v>9</v>
      </c>
      <c r="Y2955" t="s">
        <v>19574</v>
      </c>
      <c r="Z2955" t="s">
        <v>25105</v>
      </c>
      <c r="AA2955">
        <v>0.65841401791898235</v>
      </c>
      <c r="AB2955" t="str">
        <f>HYPERLINK("Melting_Curves/meltCurve_Q13625_TP53BP2.pdf", "Melting_Curves/meltCurve_Q13625_TP53BP2.pdf")</f>
        <v>Melting_Curves/meltCurve_Q13625_TP53BP2.pdf</v>
      </c>
    </row>
    <row r="2956" spans="1:28" x14ac:dyDescent="0.25">
      <c r="A2956" t="s">
        <v>2960</v>
      </c>
      <c r="B2956">
        <v>0.99796759195183404</v>
      </c>
      <c r="C2956">
        <v>0.99501711188039599</v>
      </c>
      <c r="D2956">
        <v>0.98061476125589897</v>
      </c>
      <c r="E2956">
        <v>0.90973414333804103</v>
      </c>
      <c r="F2956">
        <v>0.85453427224423795</v>
      </c>
      <c r="G2956">
        <v>0.71197339887663402</v>
      </c>
      <c r="H2956">
        <v>0.61871113549715995</v>
      </c>
      <c r="I2956">
        <v>0.50891619628777496</v>
      </c>
      <c r="J2956">
        <v>0.376015263577272</v>
      </c>
      <c r="K2956">
        <v>0.10525680877716601</v>
      </c>
      <c r="L2956">
        <v>617.35081123396503</v>
      </c>
      <c r="M2956">
        <v>10.3739761647631</v>
      </c>
      <c r="N2956">
        <v>59.509565245186799</v>
      </c>
      <c r="O2956">
        <v>57.425642453792598</v>
      </c>
      <c r="P2956">
        <v>-4.51817329123528E-2</v>
      </c>
      <c r="Q2956">
        <v>0</v>
      </c>
      <c r="R2956">
        <v>0.96404654783592303</v>
      </c>
      <c r="S2956" t="s">
        <v>8539</v>
      </c>
      <c r="T2956" t="s">
        <v>11164</v>
      </c>
      <c r="U2956" t="s">
        <v>11164</v>
      </c>
      <c r="V2956" t="s">
        <v>11164</v>
      </c>
      <c r="W2956" t="s">
        <v>14081</v>
      </c>
      <c r="X2956">
        <v>10</v>
      </c>
      <c r="Y2956" t="s">
        <v>19575</v>
      </c>
      <c r="Z2956" t="s">
        <v>25106</v>
      </c>
      <c r="AA2956">
        <v>0.73047213196847793</v>
      </c>
      <c r="AB2956" t="str">
        <f>HYPERLINK("Melting_Curves/meltCurve_Q13630_TSTA3.pdf", "Melting_Curves/meltCurve_Q13630_TSTA3.pdf")</f>
        <v>Melting_Curves/meltCurve_Q13630_TSTA3.pdf</v>
      </c>
    </row>
    <row r="2957" spans="1:28" x14ac:dyDescent="0.25">
      <c r="A2957" t="s">
        <v>2961</v>
      </c>
      <c r="B2957">
        <v>0.99796759195183404</v>
      </c>
      <c r="C2957">
        <v>0.97505370974152095</v>
      </c>
      <c r="D2957">
        <v>0.98701480842985201</v>
      </c>
      <c r="E2957">
        <v>0.93397175014655098</v>
      </c>
      <c r="F2957">
        <v>0.78308792962054996</v>
      </c>
      <c r="G2957">
        <v>0.54616754386673205</v>
      </c>
      <c r="H2957">
        <v>0.41215606153169299</v>
      </c>
      <c r="I2957">
        <v>0.22752484737908499</v>
      </c>
      <c r="J2957">
        <v>0.13060887799076801</v>
      </c>
      <c r="K2957">
        <v>0.10310802937510199</v>
      </c>
      <c r="L2957">
        <v>714.98736882866206</v>
      </c>
      <c r="M2957">
        <v>12.9778081798973</v>
      </c>
      <c r="N2957">
        <v>55.163753790953898</v>
      </c>
      <c r="O2957">
        <v>53.834173861454801</v>
      </c>
      <c r="P2957">
        <v>-5.9781236089737601E-2</v>
      </c>
      <c r="Q2957">
        <v>8.2451024628545106E-3</v>
      </c>
      <c r="R2957">
        <v>0.99717575742328701</v>
      </c>
      <c r="S2957" t="s">
        <v>8540</v>
      </c>
      <c r="T2957" t="s">
        <v>11164</v>
      </c>
      <c r="U2957" t="s">
        <v>11164</v>
      </c>
      <c r="V2957" t="s">
        <v>11164</v>
      </c>
      <c r="W2957" t="s">
        <v>14082</v>
      </c>
      <c r="X2957">
        <v>7</v>
      </c>
      <c r="Y2957" t="s">
        <v>19576</v>
      </c>
      <c r="Z2957" t="s">
        <v>25107</v>
      </c>
      <c r="AA2957">
        <v>0.62037850468048272</v>
      </c>
      <c r="AB2957" t="str">
        <f>HYPERLINK("Melting_Curves/meltCurve_Q13636_RAB31.pdf", "Melting_Curves/meltCurve_Q13636_RAB31.pdf")</f>
        <v>Melting_Curves/meltCurve_Q13636_RAB31.pdf</v>
      </c>
    </row>
    <row r="2958" spans="1:28" x14ac:dyDescent="0.25">
      <c r="A2958" t="s">
        <v>2962</v>
      </c>
      <c r="B2958">
        <v>0.99796759195183404</v>
      </c>
      <c r="C2958">
        <v>1.2415706270632201</v>
      </c>
      <c r="D2958">
        <v>1.12972134302458</v>
      </c>
      <c r="E2958">
        <v>1.0280516784371501</v>
      </c>
      <c r="F2958">
        <v>1.0203599562964301</v>
      </c>
      <c r="G2958">
        <v>0.66797795552547501</v>
      </c>
      <c r="H2958">
        <v>0.65165711610558597</v>
      </c>
      <c r="I2958">
        <v>0.70053300635914295</v>
      </c>
      <c r="J2958">
        <v>0.37694503655754003</v>
      </c>
      <c r="K2958">
        <v>0.222446377133527</v>
      </c>
      <c r="L2958">
        <v>700.16371223877195</v>
      </c>
      <c r="M2958">
        <v>11.3535464584631</v>
      </c>
      <c r="N2958">
        <v>61.669179301701</v>
      </c>
      <c r="O2958">
        <v>59.848930497458703</v>
      </c>
      <c r="P2958">
        <v>-4.7440017337335702E-2</v>
      </c>
      <c r="Q2958">
        <v>0</v>
      </c>
      <c r="R2958">
        <v>0.84650682775901298</v>
      </c>
      <c r="S2958" t="s">
        <v>8541</v>
      </c>
      <c r="T2958" t="s">
        <v>11164</v>
      </c>
      <c r="U2958" t="s">
        <v>11164</v>
      </c>
      <c r="V2958" t="s">
        <v>11164</v>
      </c>
      <c r="W2958" t="s">
        <v>14083</v>
      </c>
      <c r="X2958">
        <v>1</v>
      </c>
      <c r="Y2958" t="s">
        <v>19577</v>
      </c>
      <c r="Z2958" t="s">
        <v>25108</v>
      </c>
      <c r="AA2958">
        <v>0.78634770497982587</v>
      </c>
      <c r="AB2958" t="str">
        <f>HYPERLINK("Melting_Curves/meltCurve_Q13637_RAB32.pdf", "Melting_Curves/meltCurve_Q13637_RAB32.pdf")</f>
        <v>Melting_Curves/meltCurve_Q13637_RAB32.pdf</v>
      </c>
    </row>
    <row r="2959" spans="1:28" x14ac:dyDescent="0.25">
      <c r="A2959" t="s">
        <v>2963</v>
      </c>
      <c r="B2959">
        <v>0.99796759195183404</v>
      </c>
      <c r="C2959">
        <v>0.95157417989006599</v>
      </c>
      <c r="D2959">
        <v>0.96641184247051504</v>
      </c>
      <c r="E2959">
        <v>0.90755159618566805</v>
      </c>
      <c r="F2959">
        <v>0.80469430278694098</v>
      </c>
      <c r="G2959">
        <v>0.54714181841409404</v>
      </c>
      <c r="H2959">
        <v>0.53572263173867296</v>
      </c>
      <c r="I2959">
        <v>0.45581237347450299</v>
      </c>
      <c r="J2959">
        <v>0.50568127495467796</v>
      </c>
      <c r="K2959">
        <v>0.44437046635233901</v>
      </c>
      <c r="L2959">
        <v>1057.4196124869</v>
      </c>
      <c r="M2959">
        <v>20.796897427721699</v>
      </c>
      <c r="N2959">
        <v>57.990049628765803</v>
      </c>
      <c r="O2959">
        <v>50.381955683216603</v>
      </c>
      <c r="P2959">
        <v>-5.5578842690382303E-2</v>
      </c>
      <c r="Q2959">
        <v>0.46144030174716499</v>
      </c>
      <c r="R2959">
        <v>0.98020848913375802</v>
      </c>
      <c r="S2959" t="s">
        <v>8542</v>
      </c>
      <c r="T2959" t="s">
        <v>11164</v>
      </c>
      <c r="U2959" t="s">
        <v>11164</v>
      </c>
      <c r="V2959" t="s">
        <v>11164</v>
      </c>
      <c r="W2959" t="s">
        <v>14084</v>
      </c>
      <c r="X2959">
        <v>6</v>
      </c>
      <c r="Y2959" t="s">
        <v>19578</v>
      </c>
      <c r="Z2959" t="s">
        <v>25109</v>
      </c>
      <c r="AA2959">
        <v>0.71659391654643423</v>
      </c>
      <c r="AB2959" t="str">
        <f>HYPERLINK("Melting_Curves/meltCurve_Q13641_TPBG.pdf", "Melting_Curves/meltCurve_Q13641_TPBG.pdf")</f>
        <v>Melting_Curves/meltCurve_Q13641_TPBG.pdf</v>
      </c>
    </row>
    <row r="2960" spans="1:28" x14ac:dyDescent="0.25">
      <c r="A2960" t="s">
        <v>2964</v>
      </c>
      <c r="B2960">
        <v>0.99796759195183404</v>
      </c>
      <c r="C2960">
        <v>1.03334600094127</v>
      </c>
      <c r="D2960">
        <v>1.0675807321728199</v>
      </c>
      <c r="E2960">
        <v>1.0530331429212001</v>
      </c>
      <c r="F2960">
        <v>0.88922730713303599</v>
      </c>
      <c r="G2960">
        <v>0.64276501371016703</v>
      </c>
      <c r="H2960">
        <v>0.73101149137031096</v>
      </c>
      <c r="I2960">
        <v>0.712619143756132</v>
      </c>
      <c r="J2960">
        <v>0.97123673574784997</v>
      </c>
      <c r="K2960">
        <v>0.87222653807941697</v>
      </c>
      <c r="L2960">
        <v>12546.47224114</v>
      </c>
      <c r="M2960">
        <v>250</v>
      </c>
      <c r="O2960">
        <v>50.182692709688297</v>
      </c>
      <c r="P2960">
        <v>-0.266561372118086</v>
      </c>
      <c r="Q2960">
        <v>0.78597178642882803</v>
      </c>
      <c r="R2960">
        <v>0.63108593946737601</v>
      </c>
      <c r="S2960" t="s">
        <v>8543</v>
      </c>
      <c r="T2960" t="s">
        <v>11164</v>
      </c>
      <c r="U2960" t="s">
        <v>11164</v>
      </c>
      <c r="V2960" t="s">
        <v>11164</v>
      </c>
      <c r="W2960" t="s">
        <v>14085</v>
      </c>
      <c r="X2960">
        <v>33</v>
      </c>
      <c r="Y2960" t="s">
        <v>19579</v>
      </c>
      <c r="Z2960" t="s">
        <v>25110</v>
      </c>
      <c r="AA2960">
        <v>0.88006237904200857</v>
      </c>
      <c r="AB2960" t="str">
        <f>HYPERLINK("Melting_Curves/meltCurve_Q13642_5_FHL1.pdf", "Melting_Curves/meltCurve_Q13642_5_FHL1.pdf")</f>
        <v>Melting_Curves/meltCurve_Q13642_5_FHL1.pdf</v>
      </c>
    </row>
    <row r="2961" spans="1:28" x14ac:dyDescent="0.25">
      <c r="A2961" t="s">
        <v>2965</v>
      </c>
      <c r="B2961">
        <v>0.99796759195183404</v>
      </c>
      <c r="C2961">
        <v>1.0692827902767099</v>
      </c>
      <c r="D2961">
        <v>1.02809359601877</v>
      </c>
      <c r="E2961">
        <v>1.0354099142462401</v>
      </c>
      <c r="F2961">
        <v>0.833420224920152</v>
      </c>
      <c r="G2961">
        <v>0.67590038822087395</v>
      </c>
      <c r="H2961">
        <v>0.672582252000267</v>
      </c>
      <c r="I2961">
        <v>0.57999423232569602</v>
      </c>
      <c r="J2961">
        <v>0.58197346763096602</v>
      </c>
      <c r="K2961">
        <v>0.52703006402186703</v>
      </c>
      <c r="L2961">
        <v>1252.51707195112</v>
      </c>
      <c r="M2961">
        <v>24.233879995370501</v>
      </c>
      <c r="O2961">
        <v>51.336459741582402</v>
      </c>
      <c r="P2961">
        <v>-5.04494555156067E-2</v>
      </c>
      <c r="Q2961">
        <v>0.57252288893707104</v>
      </c>
      <c r="R2961">
        <v>0.95901575052892896</v>
      </c>
      <c r="S2961" t="s">
        <v>8544</v>
      </c>
      <c r="T2961" t="s">
        <v>11164</v>
      </c>
      <c r="U2961" t="s">
        <v>11164</v>
      </c>
      <c r="V2961" t="s">
        <v>11164</v>
      </c>
      <c r="W2961" t="s">
        <v>14086</v>
      </c>
      <c r="X2961">
        <v>11</v>
      </c>
      <c r="Y2961" t="s">
        <v>19580</v>
      </c>
      <c r="Z2961" t="s">
        <v>25111</v>
      </c>
      <c r="AA2961">
        <v>0.78576970499814491</v>
      </c>
      <c r="AB2961" t="str">
        <f>HYPERLINK("Melting_Curves/meltCurve_Q13643_FHL3.pdf", "Melting_Curves/meltCurve_Q13643_FHL3.pdf")</f>
        <v>Melting_Curves/meltCurve_Q13643_FHL3.pdf</v>
      </c>
    </row>
    <row r="2962" spans="1:28" x14ac:dyDescent="0.25">
      <c r="A2962" t="s">
        <v>2966</v>
      </c>
      <c r="B2962">
        <v>0.99796759195183404</v>
      </c>
      <c r="C2962">
        <v>0.95556089112831</v>
      </c>
      <c r="D2962">
        <v>0.91891454378914394</v>
      </c>
      <c r="E2962">
        <v>0.90278206378352999</v>
      </c>
      <c r="F2962">
        <v>0.73244470567426401</v>
      </c>
      <c r="G2962">
        <v>0.44343256061971997</v>
      </c>
      <c r="H2962">
        <v>0.39552611998620701</v>
      </c>
      <c r="I2962">
        <v>0.25454616861145002</v>
      </c>
      <c r="J2962">
        <v>0.15751349499945699</v>
      </c>
      <c r="K2962">
        <v>9.8380429870735198E-2</v>
      </c>
      <c r="L2962">
        <v>600.26360864581</v>
      </c>
      <c r="M2962">
        <v>11.0857053295575</v>
      </c>
      <c r="N2962">
        <v>54.248236567660001</v>
      </c>
      <c r="O2962">
        <v>52.475097955573297</v>
      </c>
      <c r="P2962">
        <v>-5.2293357463046197E-2</v>
      </c>
      <c r="Q2962">
        <v>1.0184247383207799E-2</v>
      </c>
      <c r="R2962">
        <v>0.98863894731510804</v>
      </c>
      <c r="S2962" t="s">
        <v>8545</v>
      </c>
      <c r="T2962" t="s">
        <v>11164</v>
      </c>
      <c r="U2962" t="s">
        <v>11164</v>
      </c>
      <c r="V2962" t="s">
        <v>11164</v>
      </c>
      <c r="W2962" t="s">
        <v>14087</v>
      </c>
      <c r="X2962">
        <v>5</v>
      </c>
      <c r="Y2962" t="s">
        <v>19581</v>
      </c>
      <c r="Z2962" t="s">
        <v>25112</v>
      </c>
      <c r="AA2962">
        <v>0.59315135070217528</v>
      </c>
      <c r="AB2962" t="str">
        <f>HYPERLINK("Melting_Curves/meltCurve_Q13686_ALKBH1.pdf", "Melting_Curves/meltCurve_Q13686_ALKBH1.pdf")</f>
        <v>Melting_Curves/meltCurve_Q13686_ALKBH1.pdf</v>
      </c>
    </row>
    <row r="2963" spans="1:28" x14ac:dyDescent="0.25">
      <c r="A2963" t="s">
        <v>2967</v>
      </c>
      <c r="B2963">
        <v>0.99796759195183404</v>
      </c>
      <c r="C2963">
        <v>1.0842915280506999</v>
      </c>
      <c r="D2963">
        <v>1.0238883428551999</v>
      </c>
      <c r="E2963">
        <v>0.99278353481346204</v>
      </c>
      <c r="F2963">
        <v>0.91940004410905196</v>
      </c>
      <c r="G2963">
        <v>0.64844375325830295</v>
      </c>
      <c r="H2963">
        <v>0.27261623979052602</v>
      </c>
      <c r="I2963">
        <v>0.246846457846156</v>
      </c>
      <c r="J2963">
        <v>0.15440059785531801</v>
      </c>
      <c r="K2963">
        <v>0.133506702648025</v>
      </c>
      <c r="L2963">
        <v>1573.63097303943</v>
      </c>
      <c r="M2963">
        <v>28.9692713976007</v>
      </c>
      <c r="N2963">
        <v>55.025431540524103</v>
      </c>
      <c r="O2963">
        <v>54.063822633356303</v>
      </c>
      <c r="P2963">
        <v>-0.11319781577596599</v>
      </c>
      <c r="Q2963">
        <v>0.15498587967185201</v>
      </c>
      <c r="R2963">
        <v>0.99114242592961999</v>
      </c>
      <c r="S2963" t="s">
        <v>8546</v>
      </c>
      <c r="T2963" t="s">
        <v>11164</v>
      </c>
      <c r="U2963" t="s">
        <v>11164</v>
      </c>
      <c r="V2963" t="s">
        <v>11164</v>
      </c>
      <c r="W2963" t="s">
        <v>14088</v>
      </c>
      <c r="X2963">
        <v>14</v>
      </c>
      <c r="Y2963" t="s">
        <v>19582</v>
      </c>
      <c r="Z2963" t="s">
        <v>25113</v>
      </c>
      <c r="AA2963">
        <v>0.64859466678928979</v>
      </c>
      <c r="AB2963" t="str">
        <f>HYPERLINK("Melting_Curves/meltCurve_Q13724_MOGS.pdf", "Melting_Curves/meltCurve_Q13724_MOGS.pdf")</f>
        <v>Melting_Curves/meltCurve_Q13724_MOGS.pdf</v>
      </c>
    </row>
    <row r="2964" spans="1:28" x14ac:dyDescent="0.25">
      <c r="A2964" t="s">
        <v>2968</v>
      </c>
      <c r="B2964">
        <v>0.99796759195183404</v>
      </c>
      <c r="C2964">
        <v>0.95110803165461799</v>
      </c>
      <c r="D2964">
        <v>0.991244977312012</v>
      </c>
      <c r="E2964">
        <v>0.89480540952475496</v>
      </c>
      <c r="F2964">
        <v>0.81828722228237305</v>
      </c>
      <c r="G2964">
        <v>0.60718675740370398</v>
      </c>
      <c r="H2964">
        <v>0.59093500893424999</v>
      </c>
      <c r="I2964">
        <v>0.50465727949934502</v>
      </c>
      <c r="J2964">
        <v>0.70026312238668298</v>
      </c>
      <c r="K2964">
        <v>0.54072734942872902</v>
      </c>
      <c r="L2964">
        <v>1138.2719009300999</v>
      </c>
      <c r="M2964">
        <v>22.7762781033171</v>
      </c>
      <c r="O2964">
        <v>49.595731164887603</v>
      </c>
      <c r="P2964">
        <v>-4.9049142142640702E-2</v>
      </c>
      <c r="Q2964">
        <v>0.57278696380620997</v>
      </c>
      <c r="R2964">
        <v>0.91388892700276003</v>
      </c>
      <c r="S2964" t="s">
        <v>8547</v>
      </c>
      <c r="T2964" t="s">
        <v>11164</v>
      </c>
      <c r="U2964" t="s">
        <v>11164</v>
      </c>
      <c r="V2964" t="s">
        <v>11164</v>
      </c>
      <c r="W2964" t="s">
        <v>14089</v>
      </c>
      <c r="X2964">
        <v>9</v>
      </c>
      <c r="Y2964" t="s">
        <v>19583</v>
      </c>
      <c r="Z2964" t="s">
        <v>25114</v>
      </c>
      <c r="AA2964">
        <v>0.76202393745199637</v>
      </c>
      <c r="AB2964" t="str">
        <f>HYPERLINK("Melting_Curves/meltCurve_Q13740_2_ALCAM.pdf", "Melting_Curves/meltCurve_Q13740_2_ALCAM.pdf")</f>
        <v>Melting_Curves/meltCurve_Q13740_2_ALCAM.pdf</v>
      </c>
    </row>
    <row r="2965" spans="1:28" x14ac:dyDescent="0.25">
      <c r="A2965" t="s">
        <v>2969</v>
      </c>
      <c r="B2965">
        <v>0.99796759195183404</v>
      </c>
      <c r="C2965">
        <v>1.05384623122905</v>
      </c>
      <c r="D2965">
        <v>1.0240640846989</v>
      </c>
      <c r="E2965">
        <v>0.84879511048418399</v>
      </c>
      <c r="F2965">
        <v>0.72008887062376603</v>
      </c>
      <c r="G2965">
        <v>0.52925317378589298</v>
      </c>
      <c r="H2965">
        <v>0.37059112150644202</v>
      </c>
      <c r="I2965">
        <v>0.30923378428426301</v>
      </c>
      <c r="J2965">
        <v>0.21214723382665801</v>
      </c>
      <c r="K2965">
        <v>0.12501497668908201</v>
      </c>
      <c r="L2965">
        <v>655.07425739682401</v>
      </c>
      <c r="M2965">
        <v>12.192027665072301</v>
      </c>
      <c r="N2965">
        <v>54.614099232880903</v>
      </c>
      <c r="O2965">
        <v>52.345521935052702</v>
      </c>
      <c r="P2965">
        <v>-5.30245243499664E-2</v>
      </c>
      <c r="Q2965">
        <v>8.9579318639779804E-2</v>
      </c>
      <c r="R2965">
        <v>0.98787290143533901</v>
      </c>
      <c r="S2965" t="s">
        <v>8548</v>
      </c>
      <c r="T2965" t="s">
        <v>11164</v>
      </c>
      <c r="U2965" t="s">
        <v>11164</v>
      </c>
      <c r="V2965" t="s">
        <v>11164</v>
      </c>
      <c r="W2965" t="s">
        <v>14090</v>
      </c>
      <c r="X2965">
        <v>7</v>
      </c>
      <c r="Y2965" t="s">
        <v>19584</v>
      </c>
      <c r="Z2965" t="s">
        <v>25115</v>
      </c>
      <c r="AA2965">
        <v>0.61433896318336134</v>
      </c>
      <c r="AB2965" t="str">
        <f>HYPERLINK("Melting_Curves/meltCurve_Q13796_SHROOM2.pdf", "Melting_Curves/meltCurve_Q13796_SHROOM2.pdf")</f>
        <v>Melting_Curves/meltCurve_Q13796_SHROOM2.pdf</v>
      </c>
    </row>
    <row r="2966" spans="1:28" x14ac:dyDescent="0.25">
      <c r="A2966" t="s">
        <v>2970</v>
      </c>
      <c r="B2966">
        <v>0.99796759195183404</v>
      </c>
      <c r="C2966">
        <v>1.0023886225629799</v>
      </c>
      <c r="D2966">
        <v>0.92586807926390702</v>
      </c>
      <c r="E2966">
        <v>0.94087655359170697</v>
      </c>
      <c r="F2966">
        <v>0.84462633515075303</v>
      </c>
      <c r="G2966">
        <v>2.1104093851977899</v>
      </c>
      <c r="H2966">
        <v>1.3128866256687799</v>
      </c>
      <c r="I2966">
        <v>0.694127379149025</v>
      </c>
      <c r="J2966">
        <v>0.34008930424489497</v>
      </c>
      <c r="K2966">
        <v>0.20722747789199</v>
      </c>
      <c r="L2966">
        <v>5228.0005242740199</v>
      </c>
      <c r="M2966">
        <v>85.307495231585705</v>
      </c>
      <c r="N2966">
        <v>61.824631006709801</v>
      </c>
      <c r="O2966">
        <v>61.250533530808497</v>
      </c>
      <c r="P2966">
        <v>-0.25668388037330098</v>
      </c>
      <c r="Q2966">
        <v>0.26280695645915197</v>
      </c>
      <c r="R2966">
        <v>0.447226246942241</v>
      </c>
      <c r="S2966" t="s">
        <v>8549</v>
      </c>
      <c r="T2966" t="s">
        <v>11164</v>
      </c>
      <c r="U2966" t="s">
        <v>11164</v>
      </c>
      <c r="V2966" t="s">
        <v>11164</v>
      </c>
      <c r="W2966" t="s">
        <v>14091</v>
      </c>
      <c r="X2966">
        <v>19</v>
      </c>
      <c r="Y2966" t="s">
        <v>19585</v>
      </c>
      <c r="Z2966" t="s">
        <v>25116</v>
      </c>
      <c r="AA2966">
        <v>0.86021188464877751</v>
      </c>
      <c r="AB2966" t="str">
        <f>HYPERLINK("Melting_Curves/meltCurve_Q13813_3_SPTAN1.pdf", "Melting_Curves/meltCurve_Q13813_3_SPTAN1.pdf")</f>
        <v>Melting_Curves/meltCurve_Q13813_3_SPTAN1.pdf</v>
      </c>
    </row>
    <row r="2967" spans="1:28" x14ac:dyDescent="0.25">
      <c r="A2967" t="s">
        <v>2971</v>
      </c>
      <c r="B2967">
        <v>0.99796759195183404</v>
      </c>
      <c r="C2967">
        <v>1.0142608830876301</v>
      </c>
      <c r="D2967">
        <v>0.99775225444022497</v>
      </c>
      <c r="E2967">
        <v>0.92105687133227399</v>
      </c>
      <c r="F2967">
        <v>0.79343702584675802</v>
      </c>
      <c r="G2967">
        <v>0.72463874712438203</v>
      </c>
      <c r="H2967">
        <v>0.24747916696852301</v>
      </c>
      <c r="I2967">
        <v>0.18409770258499999</v>
      </c>
      <c r="J2967">
        <v>0.15973310915434699</v>
      </c>
      <c r="K2967">
        <v>0.133729059033554</v>
      </c>
      <c r="L2967">
        <v>1141.2489260877501</v>
      </c>
      <c r="M2967">
        <v>20.929969058567799</v>
      </c>
      <c r="N2967">
        <v>55.122729510822403</v>
      </c>
      <c r="O2967">
        <v>54.036557984578103</v>
      </c>
      <c r="P2967">
        <v>-8.7033769658712595E-2</v>
      </c>
      <c r="Q2967">
        <v>0.10121619478218</v>
      </c>
      <c r="R2967">
        <v>0.97774983710280094</v>
      </c>
      <c r="S2967" t="s">
        <v>8550</v>
      </c>
      <c r="T2967" t="s">
        <v>11164</v>
      </c>
      <c r="U2967" t="s">
        <v>11164</v>
      </c>
      <c r="V2967" t="s">
        <v>11164</v>
      </c>
      <c r="W2967" t="s">
        <v>14092</v>
      </c>
      <c r="X2967">
        <v>5</v>
      </c>
      <c r="Y2967" t="s">
        <v>19586</v>
      </c>
      <c r="Z2967" t="s">
        <v>25117</v>
      </c>
      <c r="AA2967">
        <v>0.63628936556608973</v>
      </c>
      <c r="AB2967" t="str">
        <f>HYPERLINK("Melting_Curves/meltCurve_Q13825_AUH.pdf", "Melting_Curves/meltCurve_Q13825_AUH.pdf")</f>
        <v>Melting_Curves/meltCurve_Q13825_AUH.pdf</v>
      </c>
    </row>
    <row r="2968" spans="1:28" x14ac:dyDescent="0.25">
      <c r="A2968" t="s">
        <v>2972</v>
      </c>
      <c r="B2968">
        <v>0.99796759195183404</v>
      </c>
      <c r="C2968">
        <v>0.96293524855157697</v>
      </c>
      <c r="D2968">
        <v>0.95995310618399299</v>
      </c>
      <c r="E2968">
        <v>0.90047770817136197</v>
      </c>
      <c r="F2968">
        <v>0.75867465764312803</v>
      </c>
      <c r="G2968">
        <v>0.21566382175558299</v>
      </c>
      <c r="H2968">
        <v>0.193504545623438</v>
      </c>
      <c r="I2968">
        <v>0.15107136797902701</v>
      </c>
      <c r="J2968">
        <v>0.122984403702124</v>
      </c>
      <c r="K2968">
        <v>4.7390621375853398E-2</v>
      </c>
      <c r="L2968">
        <v>1963.77677755744</v>
      </c>
      <c r="M2968">
        <v>38.264425599459997</v>
      </c>
      <c r="N2968">
        <v>51.686468054843303</v>
      </c>
      <c r="O2968">
        <v>51.181658446994703</v>
      </c>
      <c r="P2968">
        <v>-0.164764404025636</v>
      </c>
      <c r="Q2968">
        <v>0.118461395161893</v>
      </c>
      <c r="R2968">
        <v>0.98650959611614397</v>
      </c>
      <c r="S2968" t="s">
        <v>8551</v>
      </c>
      <c r="T2968" t="s">
        <v>11164</v>
      </c>
      <c r="U2968" t="s">
        <v>11164</v>
      </c>
      <c r="V2968" t="s">
        <v>11164</v>
      </c>
      <c r="W2968" t="s">
        <v>14093</v>
      </c>
      <c r="X2968">
        <v>2</v>
      </c>
      <c r="Y2968" t="s">
        <v>19587</v>
      </c>
      <c r="Z2968" t="s">
        <v>25118</v>
      </c>
      <c r="AA2968">
        <v>0.54269666787123849</v>
      </c>
      <c r="AB2968" t="str">
        <f>HYPERLINK("Melting_Curves/meltCurve_Q13884_SNTB1.pdf", "Melting_Curves/meltCurve_Q13884_SNTB1.pdf")</f>
        <v>Melting_Curves/meltCurve_Q13884_SNTB1.pdf</v>
      </c>
    </row>
    <row r="2969" spans="1:28" x14ac:dyDescent="0.25">
      <c r="A2969" t="s">
        <v>2973</v>
      </c>
      <c r="B2969">
        <v>0.99796759195183404</v>
      </c>
      <c r="C2969">
        <v>1.0954138550579</v>
      </c>
      <c r="D2969">
        <v>1.0868237413891599</v>
      </c>
      <c r="E2969">
        <v>1.04590938894603</v>
      </c>
      <c r="F2969">
        <v>0.794424213931468</v>
      </c>
      <c r="G2969">
        <v>0.99566097715078505</v>
      </c>
      <c r="H2969">
        <v>0.79707830844060101</v>
      </c>
      <c r="I2969">
        <v>0.53485804391950698</v>
      </c>
      <c r="J2969">
        <v>0.23192570530971501</v>
      </c>
      <c r="K2969">
        <v>8.2584611296785501E-2</v>
      </c>
      <c r="L2969">
        <v>1465.33237550583</v>
      </c>
      <c r="M2969">
        <v>24.002214185673001</v>
      </c>
      <c r="N2969">
        <v>61.049883308714001</v>
      </c>
      <c r="O2969">
        <v>60.630844656600402</v>
      </c>
      <c r="P2969">
        <v>-9.8970225850210702E-2</v>
      </c>
      <c r="Q2969">
        <v>0</v>
      </c>
      <c r="R2969">
        <v>0.94842069605576396</v>
      </c>
      <c r="S2969" t="s">
        <v>8552</v>
      </c>
      <c r="T2969" t="s">
        <v>11164</v>
      </c>
      <c r="U2969" t="s">
        <v>11164</v>
      </c>
      <c r="V2969" t="s">
        <v>11164</v>
      </c>
      <c r="W2969" t="s">
        <v>14094</v>
      </c>
      <c r="X2969">
        <v>36</v>
      </c>
      <c r="Y2969" t="s">
        <v>19588</v>
      </c>
      <c r="Z2969" t="s">
        <v>25119</v>
      </c>
      <c r="AA2969">
        <v>0.80086674697622517</v>
      </c>
      <c r="AB2969" t="str">
        <f>HYPERLINK("Melting_Curves/meltCurve_Q13885_TUBB2A.pdf", "Melting_Curves/meltCurve_Q13885_TUBB2A.pdf")</f>
        <v>Melting_Curves/meltCurve_Q13885_TUBB2A.pdf</v>
      </c>
    </row>
    <row r="2970" spans="1:28" x14ac:dyDescent="0.25">
      <c r="A2970" t="s">
        <v>2974</v>
      </c>
      <c r="B2970">
        <v>0.99796759195183404</v>
      </c>
      <c r="C2970">
        <v>1.13935682994653</v>
      </c>
      <c r="D2970">
        <v>1.1029693648988901</v>
      </c>
      <c r="E2970">
        <v>1.0588855652709199</v>
      </c>
      <c r="F2970">
        <v>0.97968707772844799</v>
      </c>
      <c r="G2970">
        <v>0.46842122648763801</v>
      </c>
      <c r="H2970">
        <v>0.38966384664130399</v>
      </c>
      <c r="I2970">
        <v>0.39793375744701698</v>
      </c>
      <c r="J2970">
        <v>0.29464618414617</v>
      </c>
      <c r="K2970">
        <v>0.19627769800884301</v>
      </c>
      <c r="L2970">
        <v>3231.38414015733</v>
      </c>
      <c r="M2970">
        <v>61.279461633826898</v>
      </c>
      <c r="N2970">
        <v>53.613438044899702</v>
      </c>
      <c r="O2970">
        <v>52.675857702421901</v>
      </c>
      <c r="P2970">
        <v>-0.198509918762629</v>
      </c>
      <c r="Q2970">
        <v>0.31744333715283801</v>
      </c>
      <c r="R2970">
        <v>0.95432415345214405</v>
      </c>
      <c r="S2970" t="s">
        <v>8553</v>
      </c>
      <c r="T2970" t="s">
        <v>11164</v>
      </c>
      <c r="U2970" t="s">
        <v>11164</v>
      </c>
      <c r="V2970" t="s">
        <v>11164</v>
      </c>
      <c r="W2970" t="s">
        <v>14095</v>
      </c>
      <c r="X2970">
        <v>6</v>
      </c>
      <c r="Y2970" t="s">
        <v>19589</v>
      </c>
      <c r="Z2970" t="s">
        <v>25120</v>
      </c>
      <c r="AA2970">
        <v>0.67642932488272711</v>
      </c>
      <c r="AB2970" t="str">
        <f>HYPERLINK("Melting_Curves/meltCurve_Q13895_BYSL.pdf", "Melting_Curves/meltCurve_Q13895_BYSL.pdf")</f>
        <v>Melting_Curves/meltCurve_Q13895_BYSL.pdf</v>
      </c>
    </row>
    <row r="2971" spans="1:28" x14ac:dyDescent="0.25">
      <c r="A2971" t="s">
        <v>2975</v>
      </c>
      <c r="B2971">
        <v>0.99796759195183404</v>
      </c>
      <c r="C2971">
        <v>1.0678882743995199</v>
      </c>
      <c r="D2971">
        <v>1.0582667766854099</v>
      </c>
      <c r="E2971">
        <v>0.99976448876712598</v>
      </c>
      <c r="F2971">
        <v>0.87223323839741596</v>
      </c>
      <c r="G2971">
        <v>0.46827319439627302</v>
      </c>
      <c r="H2971">
        <v>0.455646211561192</v>
      </c>
      <c r="I2971">
        <v>0.35898704258373298</v>
      </c>
      <c r="J2971">
        <v>0.36505102123234801</v>
      </c>
      <c r="K2971">
        <v>0.26458034893731602</v>
      </c>
      <c r="L2971">
        <v>1926.6129511755</v>
      </c>
      <c r="M2971">
        <v>37.072713454175897</v>
      </c>
      <c r="N2971">
        <v>53.717802518811297</v>
      </c>
      <c r="O2971">
        <v>51.817971572970201</v>
      </c>
      <c r="P2971">
        <v>-0.116171284670932</v>
      </c>
      <c r="Q2971">
        <v>0.35049335654056601</v>
      </c>
      <c r="R2971">
        <v>0.97610133614775696</v>
      </c>
      <c r="S2971" t="s">
        <v>8554</v>
      </c>
      <c r="T2971" t="s">
        <v>11164</v>
      </c>
      <c r="U2971" t="s">
        <v>11164</v>
      </c>
      <c r="V2971" t="s">
        <v>11164</v>
      </c>
      <c r="W2971" t="s">
        <v>14096</v>
      </c>
      <c r="X2971">
        <v>10</v>
      </c>
      <c r="Y2971" t="s">
        <v>19590</v>
      </c>
      <c r="Z2971" t="s">
        <v>25121</v>
      </c>
      <c r="AA2971">
        <v>0.67727215116962947</v>
      </c>
      <c r="AB2971" t="str">
        <f>HYPERLINK("Melting_Curves/meltCurve_Q13907_IDI1.pdf", "Melting_Curves/meltCurve_Q13907_IDI1.pdf")</f>
        <v>Melting_Curves/meltCurve_Q13907_IDI1.pdf</v>
      </c>
    </row>
    <row r="2972" spans="1:28" x14ac:dyDescent="0.25">
      <c r="A2972" t="s">
        <v>2976</v>
      </c>
      <c r="B2972">
        <v>0.99796759195183404</v>
      </c>
      <c r="C2972">
        <v>1.05612441078451</v>
      </c>
      <c r="D2972">
        <v>1.05208686143533</v>
      </c>
      <c r="E2972">
        <v>0.966466117456519</v>
      </c>
      <c r="F2972">
        <v>0.82340859558669</v>
      </c>
      <c r="G2972">
        <v>0.365081323266709</v>
      </c>
      <c r="H2972">
        <v>0.22712989916437201</v>
      </c>
      <c r="I2972">
        <v>0.147445216186253</v>
      </c>
      <c r="J2972">
        <v>0.110520659446842</v>
      </c>
      <c r="K2972">
        <v>8.7694829412771999E-2</v>
      </c>
      <c r="L2972">
        <v>1540.44881444251</v>
      </c>
      <c r="M2972">
        <v>29.423319826883301</v>
      </c>
      <c r="N2972">
        <v>52.839286650711799</v>
      </c>
      <c r="O2972">
        <v>52.114640676388099</v>
      </c>
      <c r="P2972">
        <v>-0.124456694155948</v>
      </c>
      <c r="Q2972">
        <v>0.118254484504406</v>
      </c>
      <c r="R2972">
        <v>0.99340757891192</v>
      </c>
      <c r="S2972" t="s">
        <v>8555</v>
      </c>
      <c r="T2972" t="s">
        <v>11164</v>
      </c>
      <c r="U2972" t="s">
        <v>11164</v>
      </c>
      <c r="V2972" t="s">
        <v>11164</v>
      </c>
      <c r="W2972" t="s">
        <v>14097</v>
      </c>
      <c r="X2972">
        <v>18</v>
      </c>
      <c r="Y2972" t="s">
        <v>19591</v>
      </c>
      <c r="Z2972" t="s">
        <v>25122</v>
      </c>
      <c r="AA2972">
        <v>0.57534505553934467</v>
      </c>
      <c r="AB2972" t="str">
        <f>HYPERLINK("Melting_Curves/meltCurve_Q13951_2_CBFB.pdf", "Melting_Curves/meltCurve_Q13951_2_CBFB.pdf")</f>
        <v>Melting_Curves/meltCurve_Q13951_2_CBFB.pdf</v>
      </c>
    </row>
    <row r="2973" spans="1:28" x14ac:dyDescent="0.25">
      <c r="A2973" t="s">
        <v>2977</v>
      </c>
      <c r="B2973">
        <v>0.99796759195183404</v>
      </c>
      <c r="C2973">
        <v>0.89542080420508696</v>
      </c>
      <c r="D2973">
        <v>0.80438873572272696</v>
      </c>
      <c r="E2973">
        <v>0.816669027858267</v>
      </c>
      <c r="F2973">
        <v>0.72355135191618503</v>
      </c>
      <c r="G2973">
        <v>0.60019188553407798</v>
      </c>
      <c r="H2973">
        <v>0.39075225914242401</v>
      </c>
      <c r="I2973">
        <v>0.196693357402076</v>
      </c>
      <c r="J2973">
        <v>0.11791747103967699</v>
      </c>
      <c r="K2973">
        <v>9.6569613903719306E-2</v>
      </c>
      <c r="L2973">
        <v>546.50657612513703</v>
      </c>
      <c r="M2973">
        <v>10.0816118030864</v>
      </c>
      <c r="N2973">
        <v>54.2082542634232</v>
      </c>
      <c r="O2973">
        <v>52.2050414798533</v>
      </c>
      <c r="P2973">
        <v>-4.8301689316561001E-2</v>
      </c>
      <c r="Q2973">
        <v>0</v>
      </c>
      <c r="R2973">
        <v>0.96307565055711397</v>
      </c>
      <c r="S2973" t="s">
        <v>8556</v>
      </c>
      <c r="T2973" t="s">
        <v>11164</v>
      </c>
      <c r="U2973" t="s">
        <v>11164</v>
      </c>
      <c r="V2973" t="s">
        <v>11164</v>
      </c>
      <c r="W2973" t="s">
        <v>14098</v>
      </c>
      <c r="X2973">
        <v>6</v>
      </c>
      <c r="Y2973" t="s">
        <v>19592</v>
      </c>
      <c r="Z2973" t="s">
        <v>25123</v>
      </c>
      <c r="AA2973">
        <v>0.59019376619538044</v>
      </c>
      <c r="AB2973" t="str">
        <f>HYPERLINK("Melting_Curves/meltCurve_Q13952_3_NFYC.pdf", "Melting_Curves/meltCurve_Q13952_3_NFYC.pdf")</f>
        <v>Melting_Curves/meltCurve_Q13952_3_NFYC.pdf</v>
      </c>
    </row>
    <row r="2974" spans="1:28" x14ac:dyDescent="0.25">
      <c r="A2974" t="s">
        <v>2978</v>
      </c>
      <c r="B2974">
        <v>0.99796759195183404</v>
      </c>
      <c r="C2974">
        <v>1.0209123791359</v>
      </c>
      <c r="D2974">
        <v>0.97144565804375504</v>
      </c>
      <c r="E2974">
        <v>0.90885577475900003</v>
      </c>
      <c r="F2974">
        <v>0.73325506047980105</v>
      </c>
      <c r="G2974">
        <v>0.29839092385284099</v>
      </c>
      <c r="H2974">
        <v>0.20336349283414301</v>
      </c>
      <c r="I2974">
        <v>0.14945955670178299</v>
      </c>
      <c r="J2974">
        <v>0.120388512187316</v>
      </c>
      <c r="K2974">
        <v>7.7389996047781601E-2</v>
      </c>
      <c r="L2974">
        <v>1316.12541289618</v>
      </c>
      <c r="M2974">
        <v>25.536479862034501</v>
      </c>
      <c r="N2974">
        <v>52.047537449649198</v>
      </c>
      <c r="O2974">
        <v>51.226106328077996</v>
      </c>
      <c r="P2974">
        <v>-0.11086870315455601</v>
      </c>
      <c r="Q2974">
        <v>0.11040208374471799</v>
      </c>
      <c r="R2974">
        <v>0.99499789642705605</v>
      </c>
      <c r="S2974" t="s">
        <v>8557</v>
      </c>
      <c r="T2974" t="s">
        <v>11164</v>
      </c>
      <c r="U2974" t="s">
        <v>11164</v>
      </c>
      <c r="V2974" t="s">
        <v>11164</v>
      </c>
      <c r="W2974" t="s">
        <v>14099</v>
      </c>
      <c r="X2974">
        <v>23</v>
      </c>
      <c r="Y2974" t="s">
        <v>19593</v>
      </c>
      <c r="Z2974" t="s">
        <v>25124</v>
      </c>
      <c r="AA2974">
        <v>0.54910262124039777</v>
      </c>
      <c r="AB2974" t="str">
        <f>HYPERLINK("Melting_Curves/meltCurve_Q14008_2_CKAP5.pdf", "Melting_Curves/meltCurve_Q14008_2_CKAP5.pdf")</f>
        <v>Melting_Curves/meltCurve_Q14008_2_CKAP5.pdf</v>
      </c>
    </row>
    <row r="2975" spans="1:28" x14ac:dyDescent="0.25">
      <c r="A2975" t="s">
        <v>2979</v>
      </c>
      <c r="B2975">
        <v>0.99796759195183404</v>
      </c>
      <c r="C2975">
        <v>1.1649515971209701</v>
      </c>
      <c r="D2975">
        <v>1.0253231079607099</v>
      </c>
      <c r="E2975">
        <v>1.13963137057597</v>
      </c>
      <c r="F2975">
        <v>0.96236829976972105</v>
      </c>
      <c r="G2975">
        <v>0.81276523791557798</v>
      </c>
      <c r="H2975">
        <v>0.79338159066973502</v>
      </c>
      <c r="I2975">
        <v>0.70979938901417094</v>
      </c>
      <c r="J2975">
        <v>0.50165796312965005</v>
      </c>
      <c r="K2975">
        <v>0.38368981003494801</v>
      </c>
      <c r="L2975">
        <v>728.22123437964694</v>
      </c>
      <c r="M2975">
        <v>11.2998346053399</v>
      </c>
      <c r="N2975">
        <v>64.445303364173398</v>
      </c>
      <c r="O2975">
        <v>62.525886053022603</v>
      </c>
      <c r="P2975">
        <v>-4.5194367654793503E-2</v>
      </c>
      <c r="Q2975">
        <v>0</v>
      </c>
      <c r="R2975">
        <v>0.89646521756865905</v>
      </c>
      <c r="S2975" t="s">
        <v>8558</v>
      </c>
      <c r="T2975" t="s">
        <v>11164</v>
      </c>
      <c r="U2975" t="s">
        <v>11164</v>
      </c>
      <c r="V2975" t="s">
        <v>11164</v>
      </c>
      <c r="W2975" t="s">
        <v>14100</v>
      </c>
      <c r="X2975">
        <v>4</v>
      </c>
      <c r="Y2975" t="s">
        <v>19594</v>
      </c>
      <c r="Z2975" t="s">
        <v>25125</v>
      </c>
      <c r="AA2975">
        <v>0.84276753229773071</v>
      </c>
      <c r="AB2975" t="str">
        <f>HYPERLINK("Melting_Curves/meltCurve_Q14011_CIRBP.pdf", "Melting_Curves/meltCurve_Q14011_CIRBP.pdf")</f>
        <v>Melting_Curves/meltCurve_Q14011_CIRBP.pdf</v>
      </c>
    </row>
    <row r="2976" spans="1:28" x14ac:dyDescent="0.25">
      <c r="A2976" t="s">
        <v>2980</v>
      </c>
      <c r="B2976">
        <v>0.99796759195183404</v>
      </c>
      <c r="C2976">
        <v>0.98173565406523899</v>
      </c>
      <c r="D2976">
        <v>0.87748158739505799</v>
      </c>
      <c r="E2976">
        <v>0.82250265883478002</v>
      </c>
      <c r="F2976">
        <v>0.93199313657487004</v>
      </c>
      <c r="G2976">
        <v>0.59918223585331498</v>
      </c>
      <c r="H2976">
        <v>0.17847668660025801</v>
      </c>
      <c r="I2976">
        <v>0.13613259562695501</v>
      </c>
      <c r="J2976">
        <v>0.15395989013497199</v>
      </c>
      <c r="K2976">
        <v>4.1014842713877002E-2</v>
      </c>
      <c r="L2976">
        <v>1754.4188565822501</v>
      </c>
      <c r="M2976">
        <v>32.4485319665554</v>
      </c>
      <c r="N2976">
        <v>54.411420888998897</v>
      </c>
      <c r="O2976">
        <v>53.863634603753198</v>
      </c>
      <c r="P2976">
        <v>-0.13665048646984099</v>
      </c>
      <c r="Q2976">
        <v>9.2660820416811299E-2</v>
      </c>
      <c r="R2976">
        <v>0.96320930030612095</v>
      </c>
      <c r="S2976" t="s">
        <v>8559</v>
      </c>
      <c r="T2976" t="s">
        <v>11164</v>
      </c>
      <c r="U2976" t="s">
        <v>11164</v>
      </c>
      <c r="V2976" t="s">
        <v>11164</v>
      </c>
      <c r="W2976" t="s">
        <v>14101</v>
      </c>
      <c r="X2976">
        <v>5</v>
      </c>
      <c r="Y2976" t="s">
        <v>19595</v>
      </c>
      <c r="Z2976" t="s">
        <v>25126</v>
      </c>
      <c r="AA2976">
        <v>0.61388706093071643</v>
      </c>
      <c r="AB2976" t="str">
        <f>HYPERLINK("Melting_Curves/meltCurve_Q14012_CAMK1.pdf", "Melting_Curves/meltCurve_Q14012_CAMK1.pdf")</f>
        <v>Melting_Curves/meltCurve_Q14012_CAMK1.pdf</v>
      </c>
    </row>
    <row r="2977" spans="1:28" x14ac:dyDescent="0.25">
      <c r="A2977" t="s">
        <v>2981</v>
      </c>
      <c r="B2977">
        <v>0.99796759195183404</v>
      </c>
      <c r="C2977">
        <v>0.92446070682704495</v>
      </c>
      <c r="D2977">
        <v>0.916616590049664</v>
      </c>
      <c r="E2977">
        <v>0.96331937515760102</v>
      </c>
      <c r="F2977">
        <v>0.807271949232785</v>
      </c>
      <c r="G2977">
        <v>0.46864550351932199</v>
      </c>
      <c r="H2977">
        <v>0.39517199702314698</v>
      </c>
      <c r="I2977">
        <v>0.24110026375488999</v>
      </c>
      <c r="J2977">
        <v>0.20880287003471701</v>
      </c>
      <c r="K2977">
        <v>0.158678164471489</v>
      </c>
      <c r="L2977">
        <v>902.52348252895604</v>
      </c>
      <c r="M2977">
        <v>16.978090865749</v>
      </c>
      <c r="N2977">
        <v>54.357626997359603</v>
      </c>
      <c r="O2977">
        <v>52.437106849437001</v>
      </c>
      <c r="P2977">
        <v>-6.8302763567299599E-2</v>
      </c>
      <c r="Q2977">
        <v>0.15623592940779901</v>
      </c>
      <c r="R2977">
        <v>0.98139375520276595</v>
      </c>
      <c r="S2977" t="s">
        <v>8560</v>
      </c>
      <c r="T2977" t="s">
        <v>11164</v>
      </c>
      <c r="U2977" t="s">
        <v>11164</v>
      </c>
      <c r="V2977" t="s">
        <v>11164</v>
      </c>
      <c r="W2977" t="s">
        <v>14102</v>
      </c>
      <c r="X2977">
        <v>6</v>
      </c>
      <c r="Y2977" t="s">
        <v>19596</v>
      </c>
      <c r="Z2977" t="s">
        <v>25127</v>
      </c>
      <c r="AA2977">
        <v>0.62375265317533468</v>
      </c>
      <c r="AB2977" t="str">
        <f>HYPERLINK("Melting_Curves/meltCurve_Q14019_COTL1.pdf", "Melting_Curves/meltCurve_Q14019_COTL1.pdf")</f>
        <v>Melting_Curves/meltCurve_Q14019_COTL1.pdf</v>
      </c>
    </row>
    <row r="2978" spans="1:28" x14ac:dyDescent="0.25">
      <c r="A2978" t="s">
        <v>2982</v>
      </c>
      <c r="B2978">
        <v>0.99796759195183404</v>
      </c>
      <c r="C2978">
        <v>0.91430159207200701</v>
      </c>
      <c r="D2978">
        <v>1.0181047887563299</v>
      </c>
      <c r="E2978">
        <v>0.92298408853650604</v>
      </c>
      <c r="F2978">
        <v>0.91855348616046195</v>
      </c>
      <c r="G2978">
        <v>0.54197792686250201</v>
      </c>
      <c r="H2978">
        <v>0.68258082398486497</v>
      </c>
      <c r="I2978">
        <v>0.57282448202393199</v>
      </c>
      <c r="J2978">
        <v>0.50872001913091103</v>
      </c>
      <c r="K2978">
        <v>0.46323308826378301</v>
      </c>
      <c r="L2978">
        <v>12625.2543467574</v>
      </c>
      <c r="M2978">
        <v>250</v>
      </c>
      <c r="O2978">
        <v>50.4977856748636</v>
      </c>
      <c r="P2978">
        <v>-0.55216870547766395</v>
      </c>
      <c r="Q2978">
        <v>0.55386724955253597</v>
      </c>
      <c r="R2978">
        <v>0.90659637101439605</v>
      </c>
      <c r="S2978" t="s">
        <v>8561</v>
      </c>
      <c r="T2978" t="s">
        <v>11164</v>
      </c>
      <c r="U2978" t="s">
        <v>11164</v>
      </c>
      <c r="V2978" t="s">
        <v>11164</v>
      </c>
      <c r="W2978" t="s">
        <v>14103</v>
      </c>
      <c r="X2978">
        <v>2</v>
      </c>
      <c r="Y2978" t="s">
        <v>19597</v>
      </c>
      <c r="Z2978" t="s">
        <v>25128</v>
      </c>
      <c r="AA2978">
        <v>0.75468165698595735</v>
      </c>
      <c r="AB2978" t="str">
        <f>HYPERLINK("Melting_Curves/meltCurve_Q14050_COL9A3.pdf", "Melting_Curves/meltCurve_Q14050_COL9A3.pdf")</f>
        <v>Melting_Curves/meltCurve_Q14050_COL9A3.pdf</v>
      </c>
    </row>
    <row r="2979" spans="1:28" x14ac:dyDescent="0.25">
      <c r="A2979" t="s">
        <v>2983</v>
      </c>
      <c r="B2979">
        <v>0.99796759195183404</v>
      </c>
      <c r="C2979">
        <v>1.1009278962517699</v>
      </c>
      <c r="D2979">
        <v>1.2523487376966</v>
      </c>
      <c r="E2979">
        <v>1.1940284350462</v>
      </c>
      <c r="F2979">
        <v>1.0877366173176899</v>
      </c>
      <c r="G2979">
        <v>0.54846002698849605</v>
      </c>
      <c r="H2979">
        <v>0.74251873759472098</v>
      </c>
      <c r="I2979">
        <v>0.83786359422731305</v>
      </c>
      <c r="J2979">
        <v>0.99445546056457201</v>
      </c>
      <c r="K2979">
        <v>1.00503815092209</v>
      </c>
      <c r="L2979">
        <v>2901.9848858847099</v>
      </c>
      <c r="M2979">
        <v>56.457548797721799</v>
      </c>
      <c r="O2979">
        <v>51.336803148145499</v>
      </c>
      <c r="P2979">
        <v>-4.6017633905594699E-2</v>
      </c>
      <c r="Q2979">
        <v>0.83262486147352599</v>
      </c>
      <c r="R2979">
        <v>0.32011062218743502</v>
      </c>
      <c r="S2979" t="s">
        <v>8562</v>
      </c>
      <c r="T2979" t="s">
        <v>11164</v>
      </c>
      <c r="U2979" t="s">
        <v>11164</v>
      </c>
      <c r="V2979" t="s">
        <v>11164</v>
      </c>
      <c r="W2979" t="s">
        <v>14104</v>
      </c>
      <c r="X2979">
        <v>4</v>
      </c>
      <c r="Y2979" t="s">
        <v>19598</v>
      </c>
      <c r="Z2979" t="s">
        <v>25129</v>
      </c>
      <c r="AA2979">
        <v>0.91326880519840847</v>
      </c>
      <c r="AB2979" t="str">
        <f>HYPERLINK("Melting_Curves/meltCurve_Q14061_COX17.pdf", "Melting_Curves/meltCurve_Q14061_COX17.pdf")</f>
        <v>Melting_Curves/meltCurve_Q14061_COX17.pdf</v>
      </c>
    </row>
    <row r="2980" spans="1:28" x14ac:dyDescent="0.25">
      <c r="A2980" t="s">
        <v>2984</v>
      </c>
      <c r="B2980">
        <v>0.99796759195183404</v>
      </c>
      <c r="C2980">
        <v>1.1149878730878799</v>
      </c>
      <c r="D2980">
        <v>0.88608239435499903</v>
      </c>
      <c r="E2980">
        <v>1.17684617103579</v>
      </c>
      <c r="F2980">
        <v>0.88206426602462895</v>
      </c>
      <c r="G2980">
        <v>0.97659119730611998</v>
      </c>
      <c r="H2980">
        <v>0.49673817041760898</v>
      </c>
      <c r="I2980">
        <v>0.46685352253268397</v>
      </c>
      <c r="J2980">
        <v>0.33640347587922398</v>
      </c>
      <c r="K2980">
        <v>0.46017544566225099</v>
      </c>
      <c r="L2980">
        <v>4217.4292541819595</v>
      </c>
      <c r="M2980">
        <v>75.335698238581699</v>
      </c>
      <c r="N2980">
        <v>57.380426115054</v>
      </c>
      <c r="O2980">
        <v>55.9424056525202</v>
      </c>
      <c r="P2980">
        <v>-0.195167713572964</v>
      </c>
      <c r="Q2980">
        <v>0.42029341937629999</v>
      </c>
      <c r="R2980">
        <v>0.90400225483563101</v>
      </c>
      <c r="S2980" t="s">
        <v>8563</v>
      </c>
      <c r="T2980" t="s">
        <v>11164</v>
      </c>
      <c r="U2980" t="s">
        <v>11164</v>
      </c>
      <c r="V2980" t="s">
        <v>11164</v>
      </c>
      <c r="W2980" t="s">
        <v>14105</v>
      </c>
      <c r="X2980">
        <v>20</v>
      </c>
      <c r="Y2980" t="s">
        <v>19599</v>
      </c>
      <c r="Z2980" t="s">
        <v>25130</v>
      </c>
      <c r="AA2980">
        <v>0.78771806471803218</v>
      </c>
      <c r="AB2980" t="str">
        <f>HYPERLINK("Melting_Curves/meltCurve_Q14103_3_HNRNPD.pdf", "Melting_Curves/meltCurve_Q14103_3_HNRNPD.pdf")</f>
        <v>Melting_Curves/meltCurve_Q14103_3_HNRNPD.pdf</v>
      </c>
    </row>
    <row r="2981" spans="1:28" x14ac:dyDescent="0.25">
      <c r="A2981" t="s">
        <v>2985</v>
      </c>
      <c r="B2981">
        <v>0.99796759195183404</v>
      </c>
      <c r="C2981">
        <v>0.96770752146744698</v>
      </c>
      <c r="D2981">
        <v>1.0289191846707799</v>
      </c>
      <c r="E2981">
        <v>0.95034411227217097</v>
      </c>
      <c r="F2981">
        <v>0.81790571758153396</v>
      </c>
      <c r="G2981">
        <v>0.67914419386547797</v>
      </c>
      <c r="H2981">
        <v>0.70436305739712801</v>
      </c>
      <c r="I2981">
        <v>0.60714827068065202</v>
      </c>
      <c r="J2981">
        <v>0.75711712823428701</v>
      </c>
      <c r="K2981">
        <v>0.42718012440775299</v>
      </c>
      <c r="L2981">
        <v>688.38317169380502</v>
      </c>
      <c r="M2981">
        <v>13.1909567408209</v>
      </c>
      <c r="O2981">
        <v>51.030348927359299</v>
      </c>
      <c r="P2981">
        <v>-2.8590464221023501E-2</v>
      </c>
      <c r="Q2981">
        <v>0.557655157559935</v>
      </c>
      <c r="R2981">
        <v>0.82510168918734195</v>
      </c>
      <c r="S2981" t="s">
        <v>8564</v>
      </c>
      <c r="T2981" t="s">
        <v>11164</v>
      </c>
      <c r="U2981" t="s">
        <v>11164</v>
      </c>
      <c r="V2981" t="s">
        <v>11164</v>
      </c>
      <c r="W2981" t="s">
        <v>14106</v>
      </c>
      <c r="X2981">
        <v>7</v>
      </c>
      <c r="Y2981" t="s">
        <v>19600</v>
      </c>
      <c r="Z2981" t="s">
        <v>25131</v>
      </c>
      <c r="AA2981">
        <v>0.79110157146561</v>
      </c>
      <c r="AB2981" t="str">
        <f>HYPERLINK("Melting_Curves/meltCurve_Q14108_SCARB2.pdf", "Melting_Curves/meltCurve_Q14108_SCARB2.pdf")</f>
        <v>Melting_Curves/meltCurve_Q14108_SCARB2.pdf</v>
      </c>
    </row>
    <row r="2982" spans="1:28" x14ac:dyDescent="0.25">
      <c r="A2982" t="s">
        <v>2986</v>
      </c>
      <c r="B2982">
        <v>0.99796759195183404</v>
      </c>
      <c r="C2982">
        <v>0.96885670576429095</v>
      </c>
      <c r="D2982">
        <v>1.03474305654695</v>
      </c>
      <c r="E2982">
        <v>1.0439954053987699</v>
      </c>
      <c r="F2982">
        <v>0.90359732008496396</v>
      </c>
      <c r="G2982">
        <v>0.60480024391256504</v>
      </c>
      <c r="H2982">
        <v>0.59025697935051002</v>
      </c>
      <c r="I2982">
        <v>0.39893340496910401</v>
      </c>
      <c r="J2982">
        <v>0.47493456366687298</v>
      </c>
      <c r="K2982">
        <v>0.30459664626077998</v>
      </c>
      <c r="L2982">
        <v>1094.66709461152</v>
      </c>
      <c r="M2982">
        <v>20.375757627415101</v>
      </c>
      <c r="N2982">
        <v>57.6678573990676</v>
      </c>
      <c r="O2982">
        <v>53.214547696542397</v>
      </c>
      <c r="P2982">
        <v>-5.9744006854421002E-2</v>
      </c>
      <c r="Q2982">
        <v>0.37589478231166301</v>
      </c>
      <c r="R2982">
        <v>0.95391479304120397</v>
      </c>
      <c r="S2982" t="s">
        <v>8565</v>
      </c>
      <c r="T2982" t="s">
        <v>11164</v>
      </c>
      <c r="U2982" t="s">
        <v>11164</v>
      </c>
      <c r="V2982" t="s">
        <v>11164</v>
      </c>
      <c r="W2982" t="s">
        <v>14107</v>
      </c>
      <c r="X2982">
        <v>2</v>
      </c>
      <c r="Y2982" t="s">
        <v>19601</v>
      </c>
      <c r="Z2982" t="s">
        <v>25132</v>
      </c>
      <c r="AA2982">
        <v>0.73127052204223963</v>
      </c>
      <c r="AB2982" t="str">
        <f>HYPERLINK("Melting_Curves/meltCurve_Q14114_2_LRP8.pdf", "Melting_Curves/meltCurve_Q14114_2_LRP8.pdf")</f>
        <v>Melting_Curves/meltCurve_Q14114_2_LRP8.pdf</v>
      </c>
    </row>
    <row r="2983" spans="1:28" x14ac:dyDescent="0.25">
      <c r="A2983" t="s">
        <v>2987</v>
      </c>
      <c r="B2983">
        <v>0.99796759195183404</v>
      </c>
      <c r="C2983">
        <v>0.98953335228081796</v>
      </c>
      <c r="D2983">
        <v>0.963879386418248</v>
      </c>
      <c r="E2983">
        <v>0.86700708841477103</v>
      </c>
      <c r="F2983">
        <v>0.72145643972481599</v>
      </c>
      <c r="G2983">
        <v>0.55429670414009002</v>
      </c>
      <c r="H2983">
        <v>0.520107260217189</v>
      </c>
      <c r="I2983">
        <v>0.49691513451145602</v>
      </c>
      <c r="J2983">
        <v>0.57476484093861602</v>
      </c>
      <c r="K2983">
        <v>0.55984644490813495</v>
      </c>
      <c r="L2983">
        <v>1098.5132619600599</v>
      </c>
      <c r="M2983">
        <v>22.517841062631302</v>
      </c>
      <c r="O2983">
        <v>48.4042692424999</v>
      </c>
      <c r="P2983">
        <v>-5.46668052316506E-2</v>
      </c>
      <c r="Q2983">
        <v>0.52996330754140397</v>
      </c>
      <c r="R2983">
        <v>0.98302250356234899</v>
      </c>
      <c r="S2983" t="s">
        <v>8566</v>
      </c>
      <c r="T2983" t="s">
        <v>11164</v>
      </c>
      <c r="U2983" t="s">
        <v>11164</v>
      </c>
      <c r="V2983" t="s">
        <v>11164</v>
      </c>
      <c r="W2983" t="s">
        <v>14108</v>
      </c>
      <c r="X2983">
        <v>8</v>
      </c>
      <c r="Y2983" t="s">
        <v>19602</v>
      </c>
      <c r="Z2983" t="s">
        <v>25133</v>
      </c>
      <c r="AA2983">
        <v>0.71955193942224271</v>
      </c>
      <c r="AB2983" t="str">
        <f>HYPERLINK("Melting_Curves/meltCurve_Q14118_DAG1.pdf", "Melting_Curves/meltCurve_Q14118_DAG1.pdf")</f>
        <v>Melting_Curves/meltCurve_Q14118_DAG1.pdf</v>
      </c>
    </row>
    <row r="2984" spans="1:28" x14ac:dyDescent="0.25">
      <c r="A2984" t="s">
        <v>2988</v>
      </c>
      <c r="B2984">
        <v>0.99796759195183404</v>
      </c>
      <c r="C2984">
        <v>0.97796659091828697</v>
      </c>
      <c r="D2984">
        <v>0.95373906154354804</v>
      </c>
      <c r="E2984">
        <v>0.85750492178688198</v>
      </c>
      <c r="F2984">
        <v>0.76795980074761505</v>
      </c>
      <c r="G2984">
        <v>0.73420330079572804</v>
      </c>
      <c r="H2984">
        <v>0.74989593035838298</v>
      </c>
      <c r="I2984">
        <v>0.64739362654583599</v>
      </c>
      <c r="J2984">
        <v>0.58475852280986695</v>
      </c>
      <c r="K2984">
        <v>0.417722477774358</v>
      </c>
      <c r="L2984">
        <v>318.31866758928498</v>
      </c>
      <c r="M2984">
        <v>4.7743099975292802</v>
      </c>
      <c r="N2984">
        <v>66.673229881131206</v>
      </c>
      <c r="O2984">
        <v>57.544901138672998</v>
      </c>
      <c r="P2984">
        <v>-2.0890416233700401E-2</v>
      </c>
      <c r="Q2984">
        <v>0</v>
      </c>
      <c r="R2984">
        <v>0.93878658588715902</v>
      </c>
      <c r="S2984" t="s">
        <v>8567</v>
      </c>
      <c r="T2984" t="s">
        <v>11164</v>
      </c>
      <c r="U2984" t="s">
        <v>11164</v>
      </c>
      <c r="V2984" t="s">
        <v>11164</v>
      </c>
      <c r="W2984" t="s">
        <v>14109</v>
      </c>
      <c r="X2984">
        <v>16</v>
      </c>
      <c r="Y2984" t="s">
        <v>19603</v>
      </c>
      <c r="Z2984" t="s">
        <v>25134</v>
      </c>
      <c r="AA2984">
        <v>0.77337294197972528</v>
      </c>
      <c r="AB2984" t="str">
        <f>HYPERLINK("Melting_Curves/meltCurve_Q14126_DSG2.pdf", "Melting_Curves/meltCurve_Q14126_DSG2.pdf")</f>
        <v>Melting_Curves/meltCurve_Q14126_DSG2.pdf</v>
      </c>
    </row>
    <row r="2985" spans="1:28" x14ac:dyDescent="0.25">
      <c r="A2985" t="s">
        <v>2989</v>
      </c>
      <c r="B2985">
        <v>0.99796759195183404</v>
      </c>
      <c r="C2985">
        <v>0.93528617447715501</v>
      </c>
      <c r="D2985">
        <v>0.708090615118806</v>
      </c>
      <c r="E2985">
        <v>0.76256199358513099</v>
      </c>
      <c r="F2985">
        <v>0.50066752712269402</v>
      </c>
      <c r="G2985">
        <v>0.43109892042914699</v>
      </c>
      <c r="H2985">
        <v>0.29703332183080999</v>
      </c>
      <c r="I2985">
        <v>0.25160707837355301</v>
      </c>
      <c r="J2985">
        <v>0.27567198410406601</v>
      </c>
      <c r="K2985">
        <v>0.182216408508064</v>
      </c>
      <c r="L2985">
        <v>437.275995156519</v>
      </c>
      <c r="M2985">
        <v>8.8549263347389697</v>
      </c>
      <c r="N2985">
        <v>51.082341688973003</v>
      </c>
      <c r="O2985">
        <v>47.058231867444697</v>
      </c>
      <c r="P2985">
        <v>-4.1070273933152698E-2</v>
      </c>
      <c r="Q2985">
        <v>0.12762545525278701</v>
      </c>
      <c r="R2985">
        <v>0.96681081587097895</v>
      </c>
      <c r="S2985" t="s">
        <v>8568</v>
      </c>
      <c r="T2985" t="s">
        <v>11164</v>
      </c>
      <c r="U2985" t="s">
        <v>11164</v>
      </c>
      <c r="V2985" t="s">
        <v>11164</v>
      </c>
      <c r="W2985" t="s">
        <v>14110</v>
      </c>
      <c r="X2985">
        <v>2</v>
      </c>
      <c r="Y2985" t="s">
        <v>19604</v>
      </c>
      <c r="Z2985" t="s">
        <v>25135</v>
      </c>
      <c r="AA2985">
        <v>0.52304045998922899</v>
      </c>
      <c r="AB2985" t="str">
        <f>HYPERLINK("Melting_Curves/meltCurve_Q14129_DGCR6.pdf", "Melting_Curves/meltCurve_Q14129_DGCR6.pdf")</f>
        <v>Melting_Curves/meltCurve_Q14129_DGCR6.pdf</v>
      </c>
    </row>
    <row r="2986" spans="1:28" x14ac:dyDescent="0.25">
      <c r="A2986" t="s">
        <v>2990</v>
      </c>
      <c r="B2986">
        <v>0.99796759195183404</v>
      </c>
      <c r="C2986">
        <v>0.94694227783956497</v>
      </c>
      <c r="D2986">
        <v>0.90749827165546104</v>
      </c>
      <c r="E2986">
        <v>0.84025219594409295</v>
      </c>
      <c r="F2986">
        <v>0.87680797068005201</v>
      </c>
      <c r="G2986">
        <v>0.635488917526985</v>
      </c>
      <c r="H2986">
        <v>0.63013334078795602</v>
      </c>
      <c r="I2986">
        <v>0.46110525347731901</v>
      </c>
      <c r="J2986">
        <v>0.51236153600788803</v>
      </c>
      <c r="K2986">
        <v>0.37181689524012801</v>
      </c>
      <c r="L2986">
        <v>367.72631388539099</v>
      </c>
      <c r="M2986">
        <v>6.0943759115540601</v>
      </c>
      <c r="N2986">
        <v>61.712000861607301</v>
      </c>
      <c r="O2986">
        <v>54.8089705691511</v>
      </c>
      <c r="P2986">
        <v>-2.6115132578219E-2</v>
      </c>
      <c r="Q2986">
        <v>6.3416201708791406E-2</v>
      </c>
      <c r="R2986">
        <v>0.95222616364421697</v>
      </c>
      <c r="S2986" t="s">
        <v>8569</v>
      </c>
      <c r="T2986" t="s">
        <v>11164</v>
      </c>
      <c r="U2986" t="s">
        <v>11164</v>
      </c>
      <c r="V2986" t="s">
        <v>11164</v>
      </c>
      <c r="W2986" t="s">
        <v>14111</v>
      </c>
      <c r="X2986">
        <v>5</v>
      </c>
      <c r="Y2986" t="s">
        <v>19605</v>
      </c>
      <c r="Z2986" t="s">
        <v>25136</v>
      </c>
      <c r="AA2986">
        <v>0.72366442044288548</v>
      </c>
      <c r="AB2986" t="str">
        <f>HYPERLINK("Melting_Curves/meltCurve_Q14135_VGLL4.pdf", "Melting_Curves/meltCurve_Q14135_VGLL4.pdf")</f>
        <v>Melting_Curves/meltCurve_Q14135_VGLL4.pdf</v>
      </c>
    </row>
    <row r="2987" spans="1:28" x14ac:dyDescent="0.25">
      <c r="A2987" t="s">
        <v>2991</v>
      </c>
      <c r="B2987">
        <v>0.99796759195183404</v>
      </c>
      <c r="C2987">
        <v>0.93320958825171696</v>
      </c>
      <c r="D2987">
        <v>0.84890014475780295</v>
      </c>
      <c r="E2987">
        <v>0.80326741001602597</v>
      </c>
      <c r="F2987">
        <v>0.69633528230024699</v>
      </c>
      <c r="G2987">
        <v>0.81423833516032595</v>
      </c>
      <c r="H2987">
        <v>0.56294344236196203</v>
      </c>
      <c r="I2987">
        <v>0.40467801188189201</v>
      </c>
      <c r="J2987">
        <v>0.37385217213031902</v>
      </c>
      <c r="K2987">
        <v>0.22309026065981</v>
      </c>
      <c r="L2987">
        <v>395.62788812760601</v>
      </c>
      <c r="M2987">
        <v>6.7441173434632997</v>
      </c>
      <c r="N2987">
        <v>58.662663737620498</v>
      </c>
      <c r="O2987">
        <v>54.151515964196697</v>
      </c>
      <c r="P2987">
        <v>-3.1201544048223201E-2</v>
      </c>
      <c r="Q2987">
        <v>0</v>
      </c>
      <c r="R2987">
        <v>0.92242378159056004</v>
      </c>
      <c r="S2987" t="s">
        <v>8570</v>
      </c>
      <c r="T2987" t="s">
        <v>11164</v>
      </c>
      <c r="U2987" t="s">
        <v>11164</v>
      </c>
      <c r="V2987" t="s">
        <v>11164</v>
      </c>
      <c r="W2987" t="s">
        <v>14112</v>
      </c>
      <c r="X2987">
        <v>5</v>
      </c>
      <c r="Y2987" t="s">
        <v>19606</v>
      </c>
      <c r="Z2987" t="s">
        <v>25137</v>
      </c>
      <c r="AA2987">
        <v>0.68121628546162838</v>
      </c>
      <c r="AB2987" t="str">
        <f>HYPERLINK("Melting_Curves/meltCurve_Q14137_BOP1.pdf", "Melting_Curves/meltCurve_Q14137_BOP1.pdf")</f>
        <v>Melting_Curves/meltCurve_Q14137_BOP1.pdf</v>
      </c>
    </row>
    <row r="2988" spans="1:28" x14ac:dyDescent="0.25">
      <c r="A2988" t="s">
        <v>2992</v>
      </c>
      <c r="B2988">
        <v>0.99796759195183404</v>
      </c>
      <c r="C2988">
        <v>0.98904467393311801</v>
      </c>
      <c r="D2988">
        <v>1.0032378110581901</v>
      </c>
      <c r="E2988">
        <v>1.03856012385907</v>
      </c>
      <c r="F2988">
        <v>0.81162935819041004</v>
      </c>
      <c r="G2988">
        <v>0.19458272132473101</v>
      </c>
      <c r="H2988">
        <v>0.13629758837704101</v>
      </c>
      <c r="I2988">
        <v>0.11375848006396599</v>
      </c>
      <c r="J2988">
        <v>8.9684979941402607E-2</v>
      </c>
      <c r="K2988">
        <v>3.7306107625640898E-2</v>
      </c>
      <c r="L2988">
        <v>2539.2193370975101</v>
      </c>
      <c r="M2988">
        <v>49.231758188541498</v>
      </c>
      <c r="N2988">
        <v>51.790711721604602</v>
      </c>
      <c r="O2988">
        <v>51.491970048851698</v>
      </c>
      <c r="P2988">
        <v>-0.217039830278007</v>
      </c>
      <c r="Q2988">
        <v>9.1984599457568303E-2</v>
      </c>
      <c r="R2988">
        <v>0.99629224989981002</v>
      </c>
      <c r="S2988" t="s">
        <v>8571</v>
      </c>
      <c r="T2988" t="s">
        <v>11164</v>
      </c>
      <c r="U2988" t="s">
        <v>11164</v>
      </c>
      <c r="V2988" t="s">
        <v>11164</v>
      </c>
      <c r="W2988" t="s">
        <v>14113</v>
      </c>
      <c r="X2988">
        <v>7</v>
      </c>
      <c r="Y2988" t="s">
        <v>19607</v>
      </c>
      <c r="Z2988" t="s">
        <v>25138</v>
      </c>
      <c r="AA2988">
        <v>0.53531542720111092</v>
      </c>
      <c r="AB2988" t="str">
        <f>HYPERLINK("Melting_Curves/meltCurve_Q14139_UBE4A.pdf", "Melting_Curves/meltCurve_Q14139_UBE4A.pdf")</f>
        <v>Melting_Curves/meltCurve_Q14139_UBE4A.pdf</v>
      </c>
    </row>
    <row r="2989" spans="1:28" x14ac:dyDescent="0.25">
      <c r="A2989" t="s">
        <v>2993</v>
      </c>
      <c r="B2989">
        <v>0.99796759195183404</v>
      </c>
      <c r="C2989">
        <v>1.1373562238517001</v>
      </c>
      <c r="D2989">
        <v>0.96198800976420296</v>
      </c>
      <c r="E2989">
        <v>0.83336633643866098</v>
      </c>
      <c r="F2989">
        <v>0.65698442709829996</v>
      </c>
      <c r="G2989">
        <v>0.46131241519590999</v>
      </c>
      <c r="H2989">
        <v>0.219548942002043</v>
      </c>
      <c r="I2989">
        <v>0.18525915189860701</v>
      </c>
      <c r="J2989">
        <v>0.157775207297116</v>
      </c>
      <c r="K2989">
        <v>9.1680462209390495E-2</v>
      </c>
      <c r="L2989">
        <v>786.74037929686199</v>
      </c>
      <c r="M2989">
        <v>15.1340198277639</v>
      </c>
      <c r="N2989">
        <v>52.614482164530401</v>
      </c>
      <c r="O2989">
        <v>51.102580764838002</v>
      </c>
      <c r="P2989">
        <v>-6.7912155476289801E-2</v>
      </c>
      <c r="Q2989">
        <v>8.2821896920797097E-2</v>
      </c>
      <c r="R2989">
        <v>0.98123497988259401</v>
      </c>
      <c r="S2989" t="s">
        <v>8572</v>
      </c>
      <c r="T2989" t="s">
        <v>11164</v>
      </c>
      <c r="U2989" t="s">
        <v>11164</v>
      </c>
      <c r="V2989" t="s">
        <v>11164</v>
      </c>
      <c r="W2989" t="s">
        <v>14114</v>
      </c>
      <c r="X2989">
        <v>1</v>
      </c>
      <c r="Y2989" t="s">
        <v>19608</v>
      </c>
      <c r="Z2989" t="s">
        <v>25139</v>
      </c>
      <c r="AA2989">
        <v>0.55833483858890787</v>
      </c>
      <c r="AB2989" t="str">
        <f>HYPERLINK("Melting_Curves/meltCurve_Q14145_KEAP1.pdf", "Melting_Curves/meltCurve_Q14145_KEAP1.pdf")</f>
        <v>Melting_Curves/meltCurve_Q14145_KEAP1.pdf</v>
      </c>
    </row>
    <row r="2990" spans="1:28" x14ac:dyDescent="0.25">
      <c r="A2990" t="s">
        <v>2994</v>
      </c>
      <c r="B2990">
        <v>0.99796759195183404</v>
      </c>
      <c r="C2990">
        <v>1.05053233188688</v>
      </c>
      <c r="D2990">
        <v>1.0505045974254701</v>
      </c>
      <c r="E2990">
        <v>0.98910945576481402</v>
      </c>
      <c r="F2990">
        <v>0.88906486999446799</v>
      </c>
      <c r="G2990">
        <v>0.67244183400639901</v>
      </c>
      <c r="H2990">
        <v>0.66909597980408597</v>
      </c>
      <c r="I2990">
        <v>0.59575495981341697</v>
      </c>
      <c r="J2990">
        <v>0.54461503398593303</v>
      </c>
      <c r="K2990">
        <v>0.50900864512919797</v>
      </c>
      <c r="L2990">
        <v>1070.35578378075</v>
      </c>
      <c r="M2990">
        <v>20.3118560386628</v>
      </c>
      <c r="O2990">
        <v>52.193311767079003</v>
      </c>
      <c r="P2990">
        <v>-4.4636481463038197E-2</v>
      </c>
      <c r="Q2990">
        <v>0.54122274568988005</v>
      </c>
      <c r="R2990">
        <v>0.96754524772204598</v>
      </c>
      <c r="S2990" t="s">
        <v>8573</v>
      </c>
      <c r="T2990" t="s">
        <v>11164</v>
      </c>
      <c r="U2990" t="s">
        <v>11164</v>
      </c>
      <c r="V2990" t="s">
        <v>11164</v>
      </c>
      <c r="W2990" t="s">
        <v>14115</v>
      </c>
      <c r="X2990">
        <v>6</v>
      </c>
      <c r="Y2990" t="s">
        <v>19609</v>
      </c>
      <c r="Z2990" t="s">
        <v>25140</v>
      </c>
      <c r="AA2990">
        <v>0.78695473019436513</v>
      </c>
      <c r="AB2990" t="str">
        <f>HYPERLINK("Melting_Curves/meltCurve_Q14151_SAFB2.pdf", "Melting_Curves/meltCurve_Q14151_SAFB2.pdf")</f>
        <v>Melting_Curves/meltCurve_Q14151_SAFB2.pdf</v>
      </c>
    </row>
    <row r="2991" spans="1:28" x14ac:dyDescent="0.25">
      <c r="A2991" t="s">
        <v>2995</v>
      </c>
      <c r="B2991">
        <v>0.99796759195183404</v>
      </c>
      <c r="C2991">
        <v>1.0042999331395299</v>
      </c>
      <c r="D2991">
        <v>0.88613975052990601</v>
      </c>
      <c r="E2991">
        <v>0.86603472263412296</v>
      </c>
      <c r="F2991">
        <v>0.96100186721023995</v>
      </c>
      <c r="G2991">
        <v>0.63961306913774496</v>
      </c>
      <c r="H2991">
        <v>0.51621343226976102</v>
      </c>
      <c r="I2991">
        <v>0.40891232949690698</v>
      </c>
      <c r="J2991">
        <v>0.31140411661602602</v>
      </c>
      <c r="K2991">
        <v>0.29724723838400502</v>
      </c>
      <c r="L2991">
        <v>726.01409512420798</v>
      </c>
      <c r="M2991">
        <v>13.068354204029401</v>
      </c>
      <c r="N2991">
        <v>57.9529453107805</v>
      </c>
      <c r="O2991">
        <v>54.302546733769503</v>
      </c>
      <c r="P2991">
        <v>-4.7608613448576698E-2</v>
      </c>
      <c r="Q2991">
        <v>0.20883026933292101</v>
      </c>
      <c r="R2991">
        <v>0.95729312646819298</v>
      </c>
      <c r="S2991" t="s">
        <v>8574</v>
      </c>
      <c r="T2991" t="s">
        <v>11164</v>
      </c>
      <c r="U2991" t="s">
        <v>11164</v>
      </c>
      <c r="V2991" t="s">
        <v>11164</v>
      </c>
      <c r="W2991" t="s">
        <v>14116</v>
      </c>
      <c r="X2991">
        <v>16</v>
      </c>
      <c r="Y2991" t="s">
        <v>19610</v>
      </c>
      <c r="Z2991" t="s">
        <v>25141</v>
      </c>
      <c r="AA2991">
        <v>0.7080552608277173</v>
      </c>
      <c r="AB2991" t="str">
        <f>HYPERLINK("Melting_Curves/meltCurve_Q14152_EIF3A.pdf", "Melting_Curves/meltCurve_Q14152_EIF3A.pdf")</f>
        <v>Melting_Curves/meltCurve_Q14152_EIF3A.pdf</v>
      </c>
    </row>
    <row r="2992" spans="1:28" x14ac:dyDescent="0.25">
      <c r="A2992" t="s">
        <v>2996</v>
      </c>
      <c r="B2992">
        <v>0.99796759195183404</v>
      </c>
      <c r="C2992">
        <v>0.95979588832243201</v>
      </c>
      <c r="D2992">
        <v>0.95011007842867901</v>
      </c>
      <c r="E2992">
        <v>0.92181803383152205</v>
      </c>
      <c r="F2992">
        <v>0.77649756241550705</v>
      </c>
      <c r="G2992">
        <v>0.634639569727945</v>
      </c>
      <c r="H2992">
        <v>0.838924957168378</v>
      </c>
      <c r="I2992">
        <v>0.82823710323048305</v>
      </c>
      <c r="J2992">
        <v>1.08098629662238</v>
      </c>
      <c r="K2992">
        <v>1.0222313075294001</v>
      </c>
      <c r="L2992">
        <v>1272.94377483893</v>
      </c>
      <c r="M2992">
        <v>29.197664683280699</v>
      </c>
      <c r="O2992">
        <v>43.394474763936103</v>
      </c>
      <c r="P2992">
        <v>-2.21139422082718E-2</v>
      </c>
      <c r="Q2992">
        <v>0.86853524594328302</v>
      </c>
      <c r="R2992">
        <v>0.131795707137353</v>
      </c>
      <c r="S2992" t="s">
        <v>8575</v>
      </c>
      <c r="T2992" t="s">
        <v>11164</v>
      </c>
      <c r="U2992" t="s">
        <v>11164</v>
      </c>
      <c r="V2992" t="s">
        <v>11164</v>
      </c>
      <c r="W2992" t="s">
        <v>14117</v>
      </c>
      <c r="X2992">
        <v>22</v>
      </c>
      <c r="Y2992" t="s">
        <v>19611</v>
      </c>
      <c r="Z2992" t="s">
        <v>25142</v>
      </c>
      <c r="AA2992">
        <v>0.89821975941995691</v>
      </c>
      <c r="AB2992" t="str">
        <f>HYPERLINK("Melting_Curves/meltCurve_Q14157_UBAP2L.pdf", "Melting_Curves/meltCurve_Q14157_UBAP2L.pdf")</f>
        <v>Melting_Curves/meltCurve_Q14157_UBAP2L.pdf</v>
      </c>
    </row>
    <row r="2993" spans="1:28" x14ac:dyDescent="0.25">
      <c r="A2993" t="s">
        <v>2997</v>
      </c>
      <c r="B2993">
        <v>0.99796759195183404</v>
      </c>
      <c r="C2993">
        <v>1.27548312734172</v>
      </c>
      <c r="D2993">
        <v>1.0807386656024101</v>
      </c>
      <c r="E2993">
        <v>0.94678933826894895</v>
      </c>
      <c r="F2993">
        <v>0.88613820755041395</v>
      </c>
      <c r="G2993">
        <v>0.69683480916788898</v>
      </c>
      <c r="H2993">
        <v>0.78957509616800003</v>
      </c>
      <c r="I2993">
        <v>0.64274088588057898</v>
      </c>
      <c r="J2993">
        <v>0.73986488262122896</v>
      </c>
      <c r="K2993">
        <v>0.61325582903284503</v>
      </c>
      <c r="L2993">
        <v>1400.3363559827001</v>
      </c>
      <c r="M2993">
        <v>27.560689982933699</v>
      </c>
      <c r="O2993">
        <v>50.543943919406701</v>
      </c>
      <c r="P2993">
        <v>-4.3106303680302202E-2</v>
      </c>
      <c r="Q2993">
        <v>0.68378974712073504</v>
      </c>
      <c r="R2993">
        <v>0.74010412253373503</v>
      </c>
      <c r="S2993" t="s">
        <v>8576</v>
      </c>
      <c r="T2993" t="s">
        <v>11164</v>
      </c>
      <c r="U2993" t="s">
        <v>11164</v>
      </c>
      <c r="V2993" t="s">
        <v>11164</v>
      </c>
      <c r="W2993" t="s">
        <v>14118</v>
      </c>
      <c r="X2993">
        <v>23</v>
      </c>
      <c r="Y2993" t="s">
        <v>19611</v>
      </c>
      <c r="Z2993" t="s">
        <v>25143</v>
      </c>
      <c r="AA2993">
        <v>0.83165911000547554</v>
      </c>
      <c r="AB2993" t="str">
        <f>HYPERLINK("Melting_Curves/meltCurve_Q14157_1_UBAP2L.pdf", "Melting_Curves/meltCurve_Q14157_1_UBAP2L.pdf")</f>
        <v>Melting_Curves/meltCurve_Q14157_1_UBAP2L.pdf</v>
      </c>
    </row>
    <row r="2994" spans="1:28" x14ac:dyDescent="0.25">
      <c r="A2994" t="s">
        <v>2998</v>
      </c>
      <c r="B2994">
        <v>0.99796759195183404</v>
      </c>
      <c r="C2994">
        <v>0.96409623548187995</v>
      </c>
      <c r="D2994">
        <v>0.92576078137208995</v>
      </c>
      <c r="E2994">
        <v>0.85774037720159602</v>
      </c>
      <c r="F2994">
        <v>0.440785108474534</v>
      </c>
      <c r="G2994">
        <v>0.246004292581434</v>
      </c>
      <c r="H2994">
        <v>0.205000688908868</v>
      </c>
      <c r="I2994">
        <v>0.19398883181226001</v>
      </c>
      <c r="J2994">
        <v>0.16089293220969</v>
      </c>
      <c r="K2994">
        <v>0.122556985664039</v>
      </c>
      <c r="L2994">
        <v>1275.2422328625501</v>
      </c>
      <c r="M2994">
        <v>26.0035857411115</v>
      </c>
      <c r="N2994">
        <v>49.798646647976398</v>
      </c>
      <c r="O2994">
        <v>48.753739553392101</v>
      </c>
      <c r="P2994">
        <v>-0.111558776331363</v>
      </c>
      <c r="Q2994">
        <v>0.163370004534865</v>
      </c>
      <c r="R2994">
        <v>0.99365857644452704</v>
      </c>
      <c r="S2994" t="s">
        <v>8577</v>
      </c>
      <c r="T2994" t="s">
        <v>11164</v>
      </c>
      <c r="U2994" t="s">
        <v>11164</v>
      </c>
      <c r="V2994" t="s">
        <v>11164</v>
      </c>
      <c r="W2994" t="s">
        <v>14119</v>
      </c>
      <c r="X2994">
        <v>31</v>
      </c>
      <c r="Y2994" t="s">
        <v>19612</v>
      </c>
      <c r="Z2994" t="s">
        <v>25144</v>
      </c>
      <c r="AA2994">
        <v>0.50586481559743934</v>
      </c>
      <c r="AB2994" t="str">
        <f>HYPERLINK("Melting_Curves/meltCurve_Q14160_SCRIB.pdf", "Melting_Curves/meltCurve_Q14160_SCRIB.pdf")</f>
        <v>Melting_Curves/meltCurve_Q14160_SCRIB.pdf</v>
      </c>
    </row>
    <row r="2995" spans="1:28" x14ac:dyDescent="0.25">
      <c r="A2995" t="s">
        <v>2999</v>
      </c>
      <c r="B2995">
        <v>0.99796759195183404</v>
      </c>
      <c r="C2995">
        <v>1.1223708730634001</v>
      </c>
      <c r="D2995">
        <v>1.1151383183566499</v>
      </c>
      <c r="E2995">
        <v>1.02298407561691</v>
      </c>
      <c r="F2995">
        <v>0.93672329575022495</v>
      </c>
      <c r="G2995">
        <v>0.97705932612791602</v>
      </c>
      <c r="H2995">
        <v>0.41618074663836202</v>
      </c>
      <c r="I2995">
        <v>0.23070862179719501</v>
      </c>
      <c r="J2995">
        <v>0.11047440129677499</v>
      </c>
      <c r="K2995">
        <v>7.9327822795804304E-2</v>
      </c>
      <c r="L2995">
        <v>2815.54512987113</v>
      </c>
      <c r="M2995">
        <v>49.662010669715002</v>
      </c>
      <c r="N2995">
        <v>57.029750302846303</v>
      </c>
      <c r="O2995">
        <v>56.602440704624399</v>
      </c>
      <c r="P2995">
        <v>-0.191552775337853</v>
      </c>
      <c r="Q2995">
        <v>0.12670912236194201</v>
      </c>
      <c r="R2995">
        <v>0.97494401592922497</v>
      </c>
      <c r="S2995" t="s">
        <v>8578</v>
      </c>
      <c r="T2995" t="s">
        <v>11164</v>
      </c>
      <c r="U2995" t="s">
        <v>11164</v>
      </c>
      <c r="V2995" t="s">
        <v>11164</v>
      </c>
      <c r="W2995" t="s">
        <v>14120</v>
      </c>
      <c r="X2995">
        <v>11</v>
      </c>
      <c r="Y2995" t="s">
        <v>19613</v>
      </c>
      <c r="Z2995" t="s">
        <v>25145</v>
      </c>
      <c r="AA2995">
        <v>0.70219008029180541</v>
      </c>
      <c r="AB2995" t="str">
        <f>HYPERLINK("Melting_Curves/meltCurve_Q14165_MLEC.pdf", "Melting_Curves/meltCurve_Q14165_MLEC.pdf")</f>
        <v>Melting_Curves/meltCurve_Q14165_MLEC.pdf</v>
      </c>
    </row>
    <row r="2996" spans="1:28" x14ac:dyDescent="0.25">
      <c r="A2996" t="s">
        <v>3000</v>
      </c>
      <c r="B2996">
        <v>0.99796759195183404</v>
      </c>
      <c r="C2996">
        <v>1.05013787177842</v>
      </c>
      <c r="D2996">
        <v>1.04216730862309</v>
      </c>
      <c r="E2996">
        <v>0.89515632725267702</v>
      </c>
      <c r="F2996">
        <v>0.38415765601173302</v>
      </c>
      <c r="G2996">
        <v>0.23007785282919899</v>
      </c>
      <c r="H2996">
        <v>0.16538555338098801</v>
      </c>
      <c r="I2996">
        <v>0.141165501094939</v>
      </c>
      <c r="J2996">
        <v>0.114171818268406</v>
      </c>
      <c r="K2996">
        <v>9.4999415201204404E-2</v>
      </c>
      <c r="L2996">
        <v>1731.1379079907099</v>
      </c>
      <c r="M2996">
        <v>35.293903536693399</v>
      </c>
      <c r="N2996">
        <v>49.501514178728399</v>
      </c>
      <c r="O2996">
        <v>48.892538496125503</v>
      </c>
      <c r="P2996">
        <v>-0.15559378786776201</v>
      </c>
      <c r="Q2996">
        <v>0.13782851601556101</v>
      </c>
      <c r="R2996">
        <v>0.99304849464348899</v>
      </c>
      <c r="S2996" t="s">
        <v>8579</v>
      </c>
      <c r="T2996" t="s">
        <v>11164</v>
      </c>
      <c r="U2996" t="s">
        <v>11164</v>
      </c>
      <c r="V2996" t="s">
        <v>11164</v>
      </c>
      <c r="W2996" t="s">
        <v>14121</v>
      </c>
      <c r="X2996">
        <v>28</v>
      </c>
      <c r="Y2996" t="s">
        <v>19614</v>
      </c>
      <c r="Z2996" t="s">
        <v>25146</v>
      </c>
      <c r="AA2996">
        <v>0.48787039321988213</v>
      </c>
      <c r="AB2996" t="str">
        <f>HYPERLINK("Melting_Curves/meltCurve_Q14166_TTLL12.pdf", "Melting_Curves/meltCurve_Q14166_TTLL12.pdf")</f>
        <v>Melting_Curves/meltCurve_Q14166_TTLL12.pdf</v>
      </c>
    </row>
    <row r="2997" spans="1:28" x14ac:dyDescent="0.25">
      <c r="A2997" t="s">
        <v>3001</v>
      </c>
      <c r="B2997">
        <v>0.99796759195183404</v>
      </c>
      <c r="C2997">
        <v>0.97824954733152403</v>
      </c>
      <c r="D2997">
        <v>1.0071313283013299</v>
      </c>
      <c r="E2997">
        <v>0.84640879243507205</v>
      </c>
      <c r="F2997">
        <v>0.66081165765732097</v>
      </c>
      <c r="G2997">
        <v>0.58646041613482303</v>
      </c>
      <c r="H2997">
        <v>0.33759245459929299</v>
      </c>
      <c r="I2997">
        <v>0.246553301096119</v>
      </c>
      <c r="J2997">
        <v>0.19059000071708501</v>
      </c>
      <c r="K2997">
        <v>0.18123127769364999</v>
      </c>
      <c r="L2997">
        <v>644.95091715338594</v>
      </c>
      <c r="M2997">
        <v>12.1095337651695</v>
      </c>
      <c r="N2997">
        <v>54.219264870344503</v>
      </c>
      <c r="O2997">
        <v>51.869741169610698</v>
      </c>
      <c r="P2997">
        <v>-5.2748292623219603E-2</v>
      </c>
      <c r="Q2997">
        <v>9.6446245018784404E-2</v>
      </c>
      <c r="R2997">
        <v>0.98979473441389199</v>
      </c>
      <c r="S2997" t="s">
        <v>8580</v>
      </c>
      <c r="T2997" t="s">
        <v>11164</v>
      </c>
      <c r="U2997" t="s">
        <v>11164</v>
      </c>
      <c r="V2997" t="s">
        <v>11164</v>
      </c>
      <c r="W2997" t="s">
        <v>14122</v>
      </c>
      <c r="X2997">
        <v>4</v>
      </c>
      <c r="Y2997" t="s">
        <v>19615</v>
      </c>
      <c r="Z2997" t="s">
        <v>25147</v>
      </c>
      <c r="AA2997">
        <v>0.60443842385213198</v>
      </c>
      <c r="AB2997" t="str">
        <f>HYPERLINK("Melting_Curves/meltCurve_Q14181_POLA2.pdf", "Melting_Curves/meltCurve_Q14181_POLA2.pdf")</f>
        <v>Melting_Curves/meltCurve_Q14181_POLA2.pdf</v>
      </c>
    </row>
    <row r="2998" spans="1:28" x14ac:dyDescent="0.25">
      <c r="A2998" t="s">
        <v>3002</v>
      </c>
      <c r="B2998">
        <v>0.99796759195183404</v>
      </c>
      <c r="C2998">
        <v>1.0292590312998799</v>
      </c>
      <c r="D2998">
        <v>0.96141247419976195</v>
      </c>
      <c r="E2998">
        <v>0.94015569079218397</v>
      </c>
      <c r="F2998">
        <v>0.91197570571807096</v>
      </c>
      <c r="G2998">
        <v>1.2232572964310799</v>
      </c>
      <c r="H2998">
        <v>1.0166975368503901</v>
      </c>
      <c r="I2998">
        <v>0.83314633087567103</v>
      </c>
      <c r="J2998">
        <v>0.52933698437411303</v>
      </c>
      <c r="K2998">
        <v>0.19683820517199699</v>
      </c>
      <c r="L2998">
        <v>2166.2463581533402</v>
      </c>
      <c r="M2998">
        <v>33.718426939168097</v>
      </c>
      <c r="N2998">
        <v>64.245189328783894</v>
      </c>
      <c r="O2998">
        <v>64.020467760057002</v>
      </c>
      <c r="P2998">
        <v>-0.131671040054123</v>
      </c>
      <c r="Q2998">
        <v>0</v>
      </c>
      <c r="R2998">
        <v>0.91461021965141298</v>
      </c>
      <c r="S2998" t="s">
        <v>8581</v>
      </c>
      <c r="T2998" t="s">
        <v>11164</v>
      </c>
      <c r="U2998" t="s">
        <v>11164</v>
      </c>
      <c r="V2998" t="s">
        <v>11164</v>
      </c>
      <c r="W2998" t="s">
        <v>14123</v>
      </c>
      <c r="X2998">
        <v>24</v>
      </c>
      <c r="Y2998" t="s">
        <v>19616</v>
      </c>
      <c r="Z2998" t="s">
        <v>25148</v>
      </c>
      <c r="AA2998">
        <v>0.89791606054347528</v>
      </c>
      <c r="AB2998" t="str">
        <f>HYPERLINK("Melting_Curves/meltCurve_Q14195_2_DPYSL3.pdf", "Melting_Curves/meltCurve_Q14195_2_DPYSL3.pdf")</f>
        <v>Melting_Curves/meltCurve_Q14195_2_DPYSL3.pdf</v>
      </c>
    </row>
    <row r="2999" spans="1:28" x14ac:dyDescent="0.25">
      <c r="A2999" t="s">
        <v>3003</v>
      </c>
      <c r="B2999">
        <v>0.99796759195183404</v>
      </c>
      <c r="C2999">
        <v>0.80048663863306702</v>
      </c>
      <c r="D2999">
        <v>0.98211141067730601</v>
      </c>
      <c r="E2999">
        <v>0.79481600287609999</v>
      </c>
      <c r="F2999">
        <v>0.68586392057872803</v>
      </c>
      <c r="G2999">
        <v>0.67028138607903398</v>
      </c>
      <c r="H2999">
        <v>0.70196270873176003</v>
      </c>
      <c r="I2999">
        <v>0.63569697475063203</v>
      </c>
      <c r="J2999">
        <v>0.97325959462686296</v>
      </c>
      <c r="K2999">
        <v>0.73602795603883897</v>
      </c>
      <c r="L2999">
        <v>608.00059635866899</v>
      </c>
      <c r="M2999">
        <v>14.3498952533911</v>
      </c>
      <c r="O2999">
        <v>41.572344870486702</v>
      </c>
      <c r="P2999">
        <v>-2.2938844103945401E-2</v>
      </c>
      <c r="Q2999">
        <v>0.73421214681182201</v>
      </c>
      <c r="R2999">
        <v>0.35498141790745102</v>
      </c>
      <c r="S2999" t="s">
        <v>8582</v>
      </c>
      <c r="T2999" t="s">
        <v>11164</v>
      </c>
      <c r="U2999" t="s">
        <v>11164</v>
      </c>
      <c r="V2999" t="s">
        <v>11164</v>
      </c>
      <c r="W2999" t="s">
        <v>14124</v>
      </c>
      <c r="X2999">
        <v>6</v>
      </c>
      <c r="Y2999" t="s">
        <v>19617</v>
      </c>
      <c r="Z2999" t="s">
        <v>25149</v>
      </c>
      <c r="AA2999">
        <v>0.78991170497695218</v>
      </c>
      <c r="AB2999" t="str">
        <f>HYPERLINK("Melting_Curves/meltCurve_Q14204_DYNC1H1.pdf", "Melting_Curves/meltCurve_Q14204_DYNC1H1.pdf")</f>
        <v>Melting_Curves/meltCurve_Q14204_DYNC1H1.pdf</v>
      </c>
    </row>
    <row r="3000" spans="1:28" x14ac:dyDescent="0.25">
      <c r="A3000" t="s">
        <v>3004</v>
      </c>
      <c r="B3000">
        <v>0.99796759195183404</v>
      </c>
      <c r="C3000">
        <v>0.94324815280563601</v>
      </c>
      <c r="D3000">
        <v>0.92084045190057495</v>
      </c>
      <c r="E3000">
        <v>0.91408380358403696</v>
      </c>
      <c r="F3000">
        <v>0.83260112108932105</v>
      </c>
      <c r="G3000">
        <v>0.73683570719440805</v>
      </c>
      <c r="H3000">
        <v>0.57857147234964101</v>
      </c>
      <c r="I3000">
        <v>0.39339536547009202</v>
      </c>
      <c r="J3000">
        <v>0.140880254352345</v>
      </c>
      <c r="K3000">
        <v>0.112217721204577</v>
      </c>
      <c r="L3000">
        <v>753.66466871664295</v>
      </c>
      <c r="M3000">
        <v>13.015811065870301</v>
      </c>
      <c r="N3000">
        <v>57.903780758876799</v>
      </c>
      <c r="O3000">
        <v>56.588079178168698</v>
      </c>
      <c r="P3000">
        <v>-5.7512553254285698E-2</v>
      </c>
      <c r="Q3000">
        <v>0</v>
      </c>
      <c r="R3000">
        <v>0.97539155569706704</v>
      </c>
      <c r="S3000" t="s">
        <v>8583</v>
      </c>
      <c r="T3000" t="s">
        <v>11164</v>
      </c>
      <c r="U3000" t="s">
        <v>11164</v>
      </c>
      <c r="V3000" t="s">
        <v>11164</v>
      </c>
      <c r="W3000" t="s">
        <v>14125</v>
      </c>
      <c r="X3000">
        <v>11</v>
      </c>
      <c r="Y3000" t="s">
        <v>19618</v>
      </c>
      <c r="Z3000" t="s">
        <v>25150</v>
      </c>
      <c r="AA3000">
        <v>0.69840156796219754</v>
      </c>
      <c r="AB3000" t="str">
        <f>HYPERLINK("Melting_Curves/meltCurve_Q14232_EIF2B1.pdf", "Melting_Curves/meltCurve_Q14232_EIF2B1.pdf")</f>
        <v>Melting_Curves/meltCurve_Q14232_EIF2B1.pdf</v>
      </c>
    </row>
    <row r="3001" spans="1:28" x14ac:dyDescent="0.25">
      <c r="A3001" t="s">
        <v>3005</v>
      </c>
      <c r="B3001">
        <v>0.99796759195183404</v>
      </c>
      <c r="C3001">
        <v>0.99712408868089497</v>
      </c>
      <c r="D3001">
        <v>1.0720503391553799</v>
      </c>
      <c r="E3001">
        <v>1.0427433535567701</v>
      </c>
      <c r="F3001">
        <v>0.89722053456053197</v>
      </c>
      <c r="G3001">
        <v>0.93202033093446901</v>
      </c>
      <c r="H3001">
        <v>0.71791663779513804</v>
      </c>
      <c r="I3001">
        <v>0.38916754643534901</v>
      </c>
      <c r="J3001">
        <v>0.124290498383654</v>
      </c>
      <c r="K3001">
        <v>8.1318765961719205E-2</v>
      </c>
      <c r="L3001">
        <v>1418.8361731299501</v>
      </c>
      <c r="M3001">
        <v>23.791889566521601</v>
      </c>
      <c r="N3001">
        <v>59.6353015630065</v>
      </c>
      <c r="O3001">
        <v>59.218773612502098</v>
      </c>
      <c r="P3001">
        <v>-0.100442298597318</v>
      </c>
      <c r="Q3001">
        <v>0</v>
      </c>
      <c r="R3001">
        <v>0.98695204070879206</v>
      </c>
      <c r="S3001" t="s">
        <v>8584</v>
      </c>
      <c r="T3001" t="s">
        <v>11164</v>
      </c>
      <c r="U3001" t="s">
        <v>11164</v>
      </c>
      <c r="V3001" t="s">
        <v>11164</v>
      </c>
      <c r="W3001" t="s">
        <v>14126</v>
      </c>
      <c r="X3001">
        <v>21</v>
      </c>
      <c r="Y3001" t="s">
        <v>19619</v>
      </c>
      <c r="Z3001" t="s">
        <v>25151</v>
      </c>
      <c r="AA3001">
        <v>0.75807271600120285</v>
      </c>
      <c r="AB3001" t="str">
        <f>HYPERLINK("Melting_Curves/meltCurve_Q14240_EIF4A2.pdf", "Melting_Curves/meltCurve_Q14240_EIF4A2.pdf")</f>
        <v>Melting_Curves/meltCurve_Q14240_EIF4A2.pdf</v>
      </c>
    </row>
    <row r="3002" spans="1:28" x14ac:dyDescent="0.25">
      <c r="A3002" t="s">
        <v>3006</v>
      </c>
      <c r="B3002">
        <v>0.99796759195183404</v>
      </c>
      <c r="C3002">
        <v>1.06152225211507</v>
      </c>
      <c r="D3002">
        <v>1.0676589285481399</v>
      </c>
      <c r="E3002">
        <v>0.89304978177690897</v>
      </c>
      <c r="F3002">
        <v>0.62582373824520998</v>
      </c>
      <c r="G3002">
        <v>0.23931100661493401</v>
      </c>
      <c r="H3002">
        <v>0.15897495039519499</v>
      </c>
      <c r="I3002">
        <v>0.13044805912510599</v>
      </c>
      <c r="J3002">
        <v>0.111952453216664</v>
      </c>
      <c r="K3002">
        <v>2.5648990397935899E-2</v>
      </c>
      <c r="L3002">
        <v>1302.6669496617501</v>
      </c>
      <c r="M3002">
        <v>25.643861094244201</v>
      </c>
      <c r="N3002">
        <v>51.177909739117901</v>
      </c>
      <c r="O3002">
        <v>50.492500148521501</v>
      </c>
      <c r="P3002">
        <v>-0.11597600677481</v>
      </c>
      <c r="Q3002">
        <v>8.6588806579813701E-2</v>
      </c>
      <c r="R3002">
        <v>0.99016258489704201</v>
      </c>
      <c r="S3002" t="s">
        <v>8585</v>
      </c>
      <c r="T3002" t="s">
        <v>11164</v>
      </c>
      <c r="U3002" t="s">
        <v>11164</v>
      </c>
      <c r="V3002" t="s">
        <v>11164</v>
      </c>
      <c r="W3002" t="s">
        <v>14127</v>
      </c>
      <c r="X3002">
        <v>3</v>
      </c>
      <c r="Y3002" t="s">
        <v>19620</v>
      </c>
      <c r="Z3002" t="s">
        <v>25152</v>
      </c>
      <c r="AA3002">
        <v>0.51438117004332151</v>
      </c>
      <c r="AB3002" t="str">
        <f>HYPERLINK("Melting_Curves/meltCurve_Q14241_TCEB3.pdf", "Melting_Curves/meltCurve_Q14241_TCEB3.pdf")</f>
        <v>Melting_Curves/meltCurve_Q14241_TCEB3.pdf</v>
      </c>
    </row>
    <row r="3003" spans="1:28" x14ac:dyDescent="0.25">
      <c r="A3003" t="s">
        <v>3007</v>
      </c>
      <c r="B3003">
        <v>0.99796759195183404</v>
      </c>
      <c r="C3003">
        <v>0.90847049242509703</v>
      </c>
      <c r="D3003">
        <v>0.945246450368327</v>
      </c>
      <c r="E3003">
        <v>1.0391951267734301</v>
      </c>
      <c r="F3003">
        <v>0.72979893824214204</v>
      </c>
      <c r="G3003">
        <v>0.54914896296840898</v>
      </c>
      <c r="H3003">
        <v>0.55548599305577895</v>
      </c>
      <c r="I3003">
        <v>0.44877183552908301</v>
      </c>
      <c r="J3003">
        <v>0.32553655548772498</v>
      </c>
      <c r="K3003">
        <v>0.33112314942436499</v>
      </c>
      <c r="L3003">
        <v>770.86387435188306</v>
      </c>
      <c r="M3003">
        <v>14.6124597966566</v>
      </c>
      <c r="N3003">
        <v>56.744692117345799</v>
      </c>
      <c r="O3003">
        <v>51.795409353215803</v>
      </c>
      <c r="P3003">
        <v>-4.7889192141664899E-2</v>
      </c>
      <c r="Q3003">
        <v>0.32108276571618499</v>
      </c>
      <c r="R3003">
        <v>0.94115132793794498</v>
      </c>
      <c r="S3003" t="s">
        <v>8586</v>
      </c>
      <c r="T3003" t="s">
        <v>11164</v>
      </c>
      <c r="U3003" t="s">
        <v>11164</v>
      </c>
      <c r="V3003" t="s">
        <v>11164</v>
      </c>
      <c r="W3003" t="s">
        <v>14128</v>
      </c>
      <c r="X3003">
        <v>3</v>
      </c>
      <c r="Y3003" t="s">
        <v>19621</v>
      </c>
      <c r="Z3003" t="s">
        <v>25153</v>
      </c>
      <c r="AA3003">
        <v>0.6902791476424146</v>
      </c>
      <c r="AB3003" t="str">
        <f>HYPERLINK("Melting_Curves/meltCurve_Q14244_MAP7.pdf", "Melting_Curves/meltCurve_Q14244_MAP7.pdf")</f>
        <v>Melting_Curves/meltCurve_Q14244_MAP7.pdf</v>
      </c>
    </row>
    <row r="3004" spans="1:28" x14ac:dyDescent="0.25">
      <c r="A3004" t="s">
        <v>3008</v>
      </c>
      <c r="B3004">
        <v>0.99796759195183404</v>
      </c>
      <c r="C3004">
        <v>1.0348329378087999</v>
      </c>
      <c r="D3004">
        <v>1.03032798505028</v>
      </c>
      <c r="E3004">
        <v>1.00789871824624</v>
      </c>
      <c r="F3004">
        <v>0.88585086672559898</v>
      </c>
      <c r="G3004">
        <v>0.66950517261078002</v>
      </c>
      <c r="H3004">
        <v>0.73900916734674005</v>
      </c>
      <c r="I3004">
        <v>0.69086025754649905</v>
      </c>
      <c r="J3004">
        <v>0.89503434174095098</v>
      </c>
      <c r="K3004">
        <v>0.83495774545213397</v>
      </c>
      <c r="L3004">
        <v>12552.4998767692</v>
      </c>
      <c r="M3004">
        <v>250</v>
      </c>
      <c r="O3004">
        <v>50.206792747407</v>
      </c>
      <c r="P3004">
        <v>-0.29145295837915702</v>
      </c>
      <c r="Q3004">
        <v>0.76587333738361396</v>
      </c>
      <c r="R3004">
        <v>0.78059489178831098</v>
      </c>
      <c r="S3004" t="s">
        <v>8587</v>
      </c>
      <c r="T3004" t="s">
        <v>11164</v>
      </c>
      <c r="U3004" t="s">
        <v>11164</v>
      </c>
      <c r="V3004" t="s">
        <v>11164</v>
      </c>
      <c r="W3004" t="s">
        <v>14129</v>
      </c>
      <c r="X3004">
        <v>66</v>
      </c>
      <c r="Y3004" t="s">
        <v>19622</v>
      </c>
      <c r="Z3004" t="s">
        <v>25154</v>
      </c>
      <c r="AA3004">
        <v>0.8689877380276817</v>
      </c>
      <c r="AB3004" t="str">
        <f>HYPERLINK("Melting_Curves/meltCurve_Q14247_CTTN.pdf", "Melting_Curves/meltCurve_Q14247_CTTN.pdf")</f>
        <v>Melting_Curves/meltCurve_Q14247_CTTN.pdf</v>
      </c>
    </row>
    <row r="3005" spans="1:28" x14ac:dyDescent="0.25">
      <c r="A3005" t="s">
        <v>3009</v>
      </c>
      <c r="B3005">
        <v>0.99796759195183404</v>
      </c>
      <c r="C3005">
        <v>1.41138536638279</v>
      </c>
      <c r="D3005">
        <v>1.48287845229558</v>
      </c>
      <c r="E3005">
        <v>1.15817865975324</v>
      </c>
      <c r="F3005">
        <v>1.00006257390298</v>
      </c>
      <c r="G3005">
        <v>0.91262955152025504</v>
      </c>
      <c r="H3005">
        <v>0.62683153522159896</v>
      </c>
      <c r="I3005">
        <v>0.232303556267799</v>
      </c>
      <c r="J3005">
        <v>0.23276871514075601</v>
      </c>
      <c r="K3005">
        <v>0.25001809905477101</v>
      </c>
      <c r="L3005">
        <v>2497.5586464070502</v>
      </c>
      <c r="M3005">
        <v>43.528886593455503</v>
      </c>
      <c r="N3005">
        <v>58.1540200284023</v>
      </c>
      <c r="O3005">
        <v>57.256338269075798</v>
      </c>
      <c r="P3005">
        <v>-0.14815439532973901</v>
      </c>
      <c r="Q3005">
        <v>0.22049323785126501</v>
      </c>
      <c r="R3005">
        <v>0.78661162239027904</v>
      </c>
      <c r="S3005" t="s">
        <v>8588</v>
      </c>
      <c r="T3005" t="s">
        <v>11164</v>
      </c>
      <c r="U3005" t="s">
        <v>11164</v>
      </c>
      <c r="V3005" t="s">
        <v>11164</v>
      </c>
      <c r="W3005" t="s">
        <v>14130</v>
      </c>
      <c r="X3005">
        <v>1</v>
      </c>
      <c r="Y3005" t="s">
        <v>19623</v>
      </c>
      <c r="Z3005" t="s">
        <v>25155</v>
      </c>
      <c r="AA3005">
        <v>0.75247384942050077</v>
      </c>
      <c r="AB3005" t="str">
        <f>HYPERLINK("Melting_Curves/meltCurve_Q14249_ENDOG.pdf", "Melting_Curves/meltCurve_Q14249_ENDOG.pdf")</f>
        <v>Melting_Curves/meltCurve_Q14249_ENDOG.pdf</v>
      </c>
    </row>
    <row r="3006" spans="1:28" x14ac:dyDescent="0.25">
      <c r="A3006" t="s">
        <v>3010</v>
      </c>
      <c r="B3006">
        <v>0.99796759195183404</v>
      </c>
      <c r="C3006">
        <v>0.94354068963862003</v>
      </c>
      <c r="D3006">
        <v>0.92121721829707004</v>
      </c>
      <c r="E3006">
        <v>0.84863056877951004</v>
      </c>
      <c r="F3006">
        <v>0.74112710067884002</v>
      </c>
      <c r="G3006">
        <v>0.60772161882718501</v>
      </c>
      <c r="H3006">
        <v>0.47626085887585301</v>
      </c>
      <c r="I3006">
        <v>0.38847019095183599</v>
      </c>
      <c r="J3006">
        <v>0.36355920968740302</v>
      </c>
      <c r="K3006">
        <v>0.27534286077603998</v>
      </c>
      <c r="L3006">
        <v>461.62717763771002</v>
      </c>
      <c r="M3006">
        <v>8.3900499103177193</v>
      </c>
      <c r="N3006">
        <v>57.0927404893446</v>
      </c>
      <c r="O3006">
        <v>52.161455310419903</v>
      </c>
      <c r="P3006">
        <v>-3.4967261223052298E-2</v>
      </c>
      <c r="Q3006">
        <v>0.13124768927844499</v>
      </c>
      <c r="R3006">
        <v>0.99678011209752104</v>
      </c>
      <c r="S3006" t="s">
        <v>8589</v>
      </c>
      <c r="T3006" t="s">
        <v>11164</v>
      </c>
      <c r="U3006" t="s">
        <v>11164</v>
      </c>
      <c r="V3006" t="s">
        <v>11164</v>
      </c>
      <c r="W3006" t="s">
        <v>14131</v>
      </c>
      <c r="X3006">
        <v>4</v>
      </c>
      <c r="Y3006" t="s">
        <v>19624</v>
      </c>
      <c r="Z3006" t="s">
        <v>25156</v>
      </c>
      <c r="AA3006">
        <v>0.66008164595884866</v>
      </c>
      <c r="AB3006" t="str">
        <f>HYPERLINK("Melting_Curves/meltCurve_Q14257_RCN2.pdf", "Melting_Curves/meltCurve_Q14257_RCN2.pdf")</f>
        <v>Melting_Curves/meltCurve_Q14257_RCN2.pdf</v>
      </c>
    </row>
    <row r="3007" spans="1:28" x14ac:dyDescent="0.25">
      <c r="A3007" t="s">
        <v>3011</v>
      </c>
      <c r="B3007">
        <v>0.99796759195183404</v>
      </c>
      <c r="C3007">
        <v>0.94483882764859195</v>
      </c>
      <c r="D3007">
        <v>0.88516079463342501</v>
      </c>
      <c r="E3007">
        <v>0.93561200893237495</v>
      </c>
      <c r="F3007">
        <v>0.85607792774790603</v>
      </c>
      <c r="G3007">
        <v>0.89335800281375299</v>
      </c>
      <c r="H3007">
        <v>0.59142520010718702</v>
      </c>
      <c r="I3007">
        <v>0.29101374791960599</v>
      </c>
      <c r="J3007">
        <v>0.21335507645520699</v>
      </c>
      <c r="K3007">
        <v>0.17463916103367899</v>
      </c>
      <c r="L3007">
        <v>1246.8558016422601</v>
      </c>
      <c r="M3007">
        <v>21.6274595008387</v>
      </c>
      <c r="N3007">
        <v>58.387890771925399</v>
      </c>
      <c r="O3007">
        <v>57.165419872511201</v>
      </c>
      <c r="P3007">
        <v>-8.3295135489340894E-2</v>
      </c>
      <c r="Q3007">
        <v>0.119362651473265</v>
      </c>
      <c r="R3007">
        <v>0.96410450997533104</v>
      </c>
      <c r="S3007" t="s">
        <v>8590</v>
      </c>
      <c r="T3007" t="s">
        <v>11164</v>
      </c>
      <c r="U3007" t="s">
        <v>11164</v>
      </c>
      <c r="V3007" t="s">
        <v>11164</v>
      </c>
      <c r="W3007" t="s">
        <v>14132</v>
      </c>
      <c r="X3007">
        <v>12</v>
      </c>
      <c r="Y3007" t="s">
        <v>19625</v>
      </c>
      <c r="Z3007" t="s">
        <v>25157</v>
      </c>
      <c r="AA3007">
        <v>0.73214875426556203</v>
      </c>
      <c r="AB3007" t="str">
        <f>HYPERLINK("Melting_Curves/meltCurve_Q14315_2_FLNC.pdf", "Melting_Curves/meltCurve_Q14315_2_FLNC.pdf")</f>
        <v>Melting_Curves/meltCurve_Q14315_2_FLNC.pdf</v>
      </c>
    </row>
    <row r="3008" spans="1:28" x14ac:dyDescent="0.25">
      <c r="A3008" t="s">
        <v>3012</v>
      </c>
      <c r="B3008">
        <v>0.99796759195183404</v>
      </c>
      <c r="C3008">
        <v>0.98432450743474398</v>
      </c>
      <c r="D3008">
        <v>0.96338178707004396</v>
      </c>
      <c r="E3008">
        <v>0.74750939682152895</v>
      </c>
      <c r="F3008">
        <v>0.28712617007385699</v>
      </c>
      <c r="G3008">
        <v>0.165740322296106</v>
      </c>
      <c r="H3008">
        <v>0.125595276310665</v>
      </c>
      <c r="I3008">
        <v>9.8802627678908905E-2</v>
      </c>
      <c r="J3008">
        <v>7.2665766474013405E-2</v>
      </c>
      <c r="K3008">
        <v>5.2107278092829799E-2</v>
      </c>
      <c r="L3008">
        <v>1329.6791973597899</v>
      </c>
      <c r="M3008">
        <v>27.631626840616999</v>
      </c>
      <c r="N3008">
        <v>48.460138581032403</v>
      </c>
      <c r="O3008">
        <v>47.871711291432703</v>
      </c>
      <c r="P3008">
        <v>-0.13163735050647701</v>
      </c>
      <c r="Q3008">
        <v>8.7762978682149301E-2</v>
      </c>
      <c r="R3008">
        <v>0.99740542038762203</v>
      </c>
      <c r="S3008" t="s">
        <v>8591</v>
      </c>
      <c r="T3008" t="s">
        <v>11164</v>
      </c>
      <c r="U3008" t="s">
        <v>11164</v>
      </c>
      <c r="V3008" t="s">
        <v>11164</v>
      </c>
      <c r="W3008" t="s">
        <v>14133</v>
      </c>
      <c r="X3008">
        <v>13</v>
      </c>
      <c r="Y3008" t="s">
        <v>19626</v>
      </c>
      <c r="Z3008" t="s">
        <v>25158</v>
      </c>
      <c r="AA3008">
        <v>0.43233252294035951</v>
      </c>
      <c r="AB3008" t="str">
        <f>HYPERLINK("Melting_Curves/meltCurve_Q14318_2_FKBP8.pdf", "Melting_Curves/meltCurve_Q14318_2_FKBP8.pdf")</f>
        <v>Melting_Curves/meltCurve_Q14318_2_FKBP8.pdf</v>
      </c>
    </row>
    <row r="3009" spans="1:28" x14ac:dyDescent="0.25">
      <c r="A3009" t="s">
        <v>3013</v>
      </c>
      <c r="B3009">
        <v>0.99796759195183404</v>
      </c>
      <c r="C3009">
        <v>0.99176952965716902</v>
      </c>
      <c r="D3009">
        <v>1.0000071692171899</v>
      </c>
      <c r="E3009">
        <v>0.96181999548533004</v>
      </c>
      <c r="F3009">
        <v>0.74810444358146999</v>
      </c>
      <c r="G3009">
        <v>0.33994010158702298</v>
      </c>
      <c r="H3009">
        <v>0.27293168337786999</v>
      </c>
      <c r="I3009">
        <v>0.20679859870932499</v>
      </c>
      <c r="J3009">
        <v>0.164666182198525</v>
      </c>
      <c r="K3009">
        <v>0.15305265661787301</v>
      </c>
      <c r="L3009">
        <v>1485.86660443357</v>
      </c>
      <c r="M3009">
        <v>28.845258463110699</v>
      </c>
      <c r="N3009">
        <v>52.326922100234697</v>
      </c>
      <c r="O3009">
        <v>51.265970415821599</v>
      </c>
      <c r="P3009">
        <v>-0.115204997004502</v>
      </c>
      <c r="Q3009">
        <v>0.181002186428913</v>
      </c>
      <c r="R3009">
        <v>0.99624108858260596</v>
      </c>
      <c r="S3009" t="s">
        <v>8592</v>
      </c>
      <c r="T3009" t="s">
        <v>11164</v>
      </c>
      <c r="U3009" t="s">
        <v>11164</v>
      </c>
      <c r="V3009" t="s">
        <v>11164</v>
      </c>
      <c r="W3009" t="s">
        <v>14134</v>
      </c>
      <c r="X3009">
        <v>10</v>
      </c>
      <c r="Y3009" t="s">
        <v>19627</v>
      </c>
      <c r="Z3009" t="s">
        <v>25159</v>
      </c>
      <c r="AA3009">
        <v>0.58270980038943543</v>
      </c>
      <c r="AB3009" t="str">
        <f>HYPERLINK("Melting_Curves/meltCurve_Q14320_FAM50A.pdf", "Melting_Curves/meltCurve_Q14320_FAM50A.pdf")</f>
        <v>Melting_Curves/meltCurve_Q14320_FAM50A.pdf</v>
      </c>
    </row>
    <row r="3010" spans="1:28" x14ac:dyDescent="0.25">
      <c r="A3010" t="s">
        <v>3014</v>
      </c>
      <c r="B3010">
        <v>0.99796759195183404</v>
      </c>
      <c r="C3010">
        <v>0.86924389188631801</v>
      </c>
      <c r="D3010">
        <v>0.79262893274555601</v>
      </c>
      <c r="E3010">
        <v>0.92588325537958405</v>
      </c>
      <c r="F3010">
        <v>0.83314255609335597</v>
      </c>
      <c r="G3010">
        <v>0.42712398446997402</v>
      </c>
      <c r="H3010">
        <v>0.31125048230484798</v>
      </c>
      <c r="I3010">
        <v>0.20576298091953901</v>
      </c>
      <c r="J3010">
        <v>0.185253031603545</v>
      </c>
      <c r="K3010">
        <v>0.209405248253202</v>
      </c>
      <c r="L3010">
        <v>1229.59145430852</v>
      </c>
      <c r="M3010">
        <v>23.490640985720798</v>
      </c>
      <c r="N3010">
        <v>53.425608343673098</v>
      </c>
      <c r="O3010">
        <v>51.968983303294301</v>
      </c>
      <c r="P3010">
        <v>-9.1618869187990407E-2</v>
      </c>
      <c r="Q3010">
        <v>0.18925044603247199</v>
      </c>
      <c r="R3010">
        <v>0.93610220315919401</v>
      </c>
      <c r="S3010" t="s">
        <v>8593</v>
      </c>
      <c r="T3010" t="s">
        <v>11164</v>
      </c>
      <c r="U3010" t="s">
        <v>11164</v>
      </c>
      <c r="V3010" t="s">
        <v>11164</v>
      </c>
      <c r="W3010" t="s">
        <v>14135</v>
      </c>
      <c r="X3010">
        <v>6</v>
      </c>
      <c r="Y3010" t="s">
        <v>19628</v>
      </c>
      <c r="Z3010" t="s">
        <v>25160</v>
      </c>
      <c r="AA3010">
        <v>0.6119252128354421</v>
      </c>
      <c r="AB3010" t="str">
        <f>HYPERLINK("Melting_Curves/meltCurve_Q14331_FRG1.pdf", "Melting_Curves/meltCurve_Q14331_FRG1.pdf")</f>
        <v>Melting_Curves/meltCurve_Q14331_FRG1.pdf</v>
      </c>
    </row>
    <row r="3011" spans="1:28" x14ac:dyDescent="0.25">
      <c r="A3011" t="s">
        <v>3015</v>
      </c>
      <c r="B3011">
        <v>0.99796759195183404</v>
      </c>
      <c r="C3011">
        <v>0.97249307695915999</v>
      </c>
      <c r="D3011">
        <v>0.94312260990679297</v>
      </c>
      <c r="E3011">
        <v>0.90702273781476395</v>
      </c>
      <c r="F3011">
        <v>0.80496301146655302</v>
      </c>
      <c r="G3011">
        <v>0.66370851121034002</v>
      </c>
      <c r="H3011">
        <v>0.53405760780605005</v>
      </c>
      <c r="I3011">
        <v>0.17197194552394399</v>
      </c>
      <c r="J3011">
        <v>0.12061149543244901</v>
      </c>
      <c r="K3011">
        <v>8.2875418509867599E-2</v>
      </c>
      <c r="L3011">
        <v>798.40232897419799</v>
      </c>
      <c r="M3011">
        <v>14.1919140210821</v>
      </c>
      <c r="N3011">
        <v>56.257551547815098</v>
      </c>
      <c r="O3011">
        <v>55.175906009082198</v>
      </c>
      <c r="P3011">
        <v>-6.4311108880863499E-2</v>
      </c>
      <c r="Q3011">
        <v>0</v>
      </c>
      <c r="R3011">
        <v>0.98057330248111596</v>
      </c>
      <c r="S3011" t="s">
        <v>8594</v>
      </c>
      <c r="T3011" t="s">
        <v>11164</v>
      </c>
      <c r="U3011" t="s">
        <v>11164</v>
      </c>
      <c r="V3011" t="s">
        <v>11164</v>
      </c>
      <c r="W3011" t="s">
        <v>14136</v>
      </c>
      <c r="X3011">
        <v>10</v>
      </c>
      <c r="Y3011" t="s">
        <v>19629</v>
      </c>
      <c r="Z3011" t="s">
        <v>25161</v>
      </c>
      <c r="AA3011">
        <v>0.65234653345917182</v>
      </c>
      <c r="AB3011" t="str">
        <f>HYPERLINK("Melting_Curves/meltCurve_Q14344_GNA13.pdf", "Melting_Curves/meltCurve_Q14344_GNA13.pdf")</f>
        <v>Melting_Curves/meltCurve_Q14344_GNA13.pdf</v>
      </c>
    </row>
    <row r="3012" spans="1:28" x14ac:dyDescent="0.25">
      <c r="A3012" t="s">
        <v>3016</v>
      </c>
      <c r="B3012">
        <v>0.99796759195183404</v>
      </c>
      <c r="C3012">
        <v>0.86796783200706396</v>
      </c>
      <c r="D3012">
        <v>0.95192954694770204</v>
      </c>
      <c r="E3012">
        <v>0.77362920470887897</v>
      </c>
      <c r="F3012">
        <v>0.864121338066828</v>
      </c>
      <c r="G3012">
        <v>0.55662917385184996</v>
      </c>
      <c r="H3012">
        <v>0.337408790150384</v>
      </c>
      <c r="I3012">
        <v>0.197792630857762</v>
      </c>
      <c r="J3012">
        <v>0.13428237975639501</v>
      </c>
      <c r="K3012">
        <v>8.6224396368064796E-2</v>
      </c>
      <c r="L3012">
        <v>682.463814215208</v>
      </c>
      <c r="M3012">
        <v>12.4766932071723</v>
      </c>
      <c r="N3012">
        <v>54.699093992164997</v>
      </c>
      <c r="O3012">
        <v>53.350933176206397</v>
      </c>
      <c r="P3012">
        <v>-5.8477323737327697E-2</v>
      </c>
      <c r="Q3012">
        <v>0</v>
      </c>
      <c r="R3012">
        <v>0.96253964137584103</v>
      </c>
      <c r="S3012" t="s">
        <v>8595</v>
      </c>
      <c r="T3012" t="s">
        <v>11164</v>
      </c>
      <c r="U3012" t="s">
        <v>11164</v>
      </c>
      <c r="V3012" t="s">
        <v>11164</v>
      </c>
      <c r="W3012" t="s">
        <v>14137</v>
      </c>
      <c r="X3012">
        <v>3</v>
      </c>
      <c r="Y3012" t="s">
        <v>19630</v>
      </c>
      <c r="Z3012" t="s">
        <v>25162</v>
      </c>
      <c r="AA3012">
        <v>0.60541255246672709</v>
      </c>
      <c r="AB3012" t="str">
        <f>HYPERLINK("Melting_Curves/meltCurve_Q14353_GAMT.pdf", "Melting_Curves/meltCurve_Q14353_GAMT.pdf")</f>
        <v>Melting_Curves/meltCurve_Q14353_GAMT.pdf</v>
      </c>
    </row>
    <row r="3013" spans="1:28" x14ac:dyDescent="0.25">
      <c r="A3013" t="s">
        <v>3017</v>
      </c>
      <c r="B3013">
        <v>0.99796759195183404</v>
      </c>
      <c r="C3013">
        <v>1.0177917495593201</v>
      </c>
      <c r="D3013">
        <v>1.05449246140883</v>
      </c>
      <c r="E3013">
        <v>0.90667938116220104</v>
      </c>
      <c r="F3013">
        <v>0.82812168884756698</v>
      </c>
      <c r="G3013">
        <v>0.51838719498505903</v>
      </c>
      <c r="H3013">
        <v>0.20424051368565199</v>
      </c>
      <c r="I3013">
        <v>0.171599353411586</v>
      </c>
      <c r="J3013">
        <v>0.16531624627351901</v>
      </c>
      <c r="K3013">
        <v>0.122102003883373</v>
      </c>
      <c r="L3013">
        <v>1281.6471414221501</v>
      </c>
      <c r="M3013">
        <v>24.142467199078698</v>
      </c>
      <c r="N3013">
        <v>53.731944155196899</v>
      </c>
      <c r="O3013">
        <v>52.7266070219749</v>
      </c>
      <c r="P3013">
        <v>-0.100069559609477</v>
      </c>
      <c r="Q3013">
        <v>0.12581448599915299</v>
      </c>
      <c r="R3013">
        <v>0.99231008558209</v>
      </c>
      <c r="S3013" t="s">
        <v>8596</v>
      </c>
      <c r="T3013" t="s">
        <v>11164</v>
      </c>
      <c r="U3013" t="s">
        <v>11164</v>
      </c>
      <c r="V3013" t="s">
        <v>11164</v>
      </c>
      <c r="W3013" t="s">
        <v>14138</v>
      </c>
      <c r="X3013">
        <v>5</v>
      </c>
      <c r="Y3013" t="s">
        <v>19631</v>
      </c>
      <c r="Z3013" t="s">
        <v>25163</v>
      </c>
      <c r="AA3013">
        <v>0.60276717372367683</v>
      </c>
      <c r="AB3013" t="str">
        <f>HYPERLINK("Melting_Curves/meltCurve_Q14376_GALE.pdf", "Melting_Curves/meltCurve_Q14376_GALE.pdf")</f>
        <v>Melting_Curves/meltCurve_Q14376_GALE.pdf</v>
      </c>
    </row>
    <row r="3014" spans="1:28" x14ac:dyDescent="0.25">
      <c r="A3014" t="s">
        <v>3018</v>
      </c>
      <c r="B3014">
        <v>0.99796759195183404</v>
      </c>
      <c r="C3014">
        <v>0.93966972116313996</v>
      </c>
      <c r="D3014">
        <v>0.89587414384719999</v>
      </c>
      <c r="E3014">
        <v>0.83009118855967201</v>
      </c>
      <c r="F3014">
        <v>0.79012554314866001</v>
      </c>
      <c r="G3014">
        <v>0.63524288328377898</v>
      </c>
      <c r="H3014">
        <v>1.2189431138409601</v>
      </c>
      <c r="I3014">
        <v>1.54581948598256</v>
      </c>
      <c r="J3014">
        <v>1.53484143370199</v>
      </c>
      <c r="K3014">
        <v>0.99251681170013895</v>
      </c>
      <c r="L3014">
        <v>14323.8312007324</v>
      </c>
      <c r="M3014">
        <v>250</v>
      </c>
      <c r="O3014">
        <v>57.291658351118897</v>
      </c>
      <c r="P3014">
        <v>0.39024649804058198</v>
      </c>
      <c r="Q3014">
        <v>1.3577259037656</v>
      </c>
      <c r="R3014">
        <v>0.49805431555124402</v>
      </c>
      <c r="S3014" t="s">
        <v>8597</v>
      </c>
      <c r="T3014" t="s">
        <v>11164</v>
      </c>
      <c r="U3014" t="s">
        <v>11164</v>
      </c>
      <c r="V3014" t="s">
        <v>11164</v>
      </c>
      <c r="W3014" t="s">
        <v>14139</v>
      </c>
      <c r="X3014">
        <v>16</v>
      </c>
      <c r="Y3014" t="s">
        <v>19632</v>
      </c>
      <c r="Z3014" t="s">
        <v>25164</v>
      </c>
      <c r="AA3014">
        <v>1.1156844866547679</v>
      </c>
      <c r="AB3014" t="str">
        <f>HYPERLINK("Melting_Curves/meltCurve_Q14444_2_CAPRIN1.pdf", "Melting_Curves/meltCurve_Q14444_2_CAPRIN1.pdf")</f>
        <v>Melting_Curves/meltCurve_Q14444_2_CAPRIN1.pdf</v>
      </c>
    </row>
    <row r="3015" spans="1:28" x14ac:dyDescent="0.25">
      <c r="A3015" t="s">
        <v>3019</v>
      </c>
      <c r="B3015">
        <v>0.99796759195183404</v>
      </c>
      <c r="C3015">
        <v>0.91948952640136705</v>
      </c>
      <c r="D3015">
        <v>0.87342527353090305</v>
      </c>
      <c r="E3015">
        <v>0.85634742890051296</v>
      </c>
      <c r="F3015">
        <v>0.79399312927715904</v>
      </c>
      <c r="G3015">
        <v>0.59238770645218897</v>
      </c>
      <c r="H3015">
        <v>0.67223560105511604</v>
      </c>
      <c r="I3015">
        <v>1.05298232727456</v>
      </c>
      <c r="J3015">
        <v>0.71230935231613901</v>
      </c>
      <c r="K3015">
        <v>0.45849253134670698</v>
      </c>
      <c r="L3015">
        <v>176.04072116701701</v>
      </c>
      <c r="M3015">
        <v>2.0487063148193401</v>
      </c>
      <c r="O3015">
        <v>51.7903099410305</v>
      </c>
      <c r="P3015">
        <v>-1.0727521744090401E-2</v>
      </c>
      <c r="Q3015">
        <v>0</v>
      </c>
      <c r="R3015">
        <v>0.34732001759773801</v>
      </c>
      <c r="S3015" t="s">
        <v>8598</v>
      </c>
      <c r="T3015" t="s">
        <v>11164</v>
      </c>
      <c r="U3015" t="s">
        <v>11164</v>
      </c>
      <c r="V3015" t="s">
        <v>11164</v>
      </c>
      <c r="W3015" t="s">
        <v>14140</v>
      </c>
      <c r="X3015">
        <v>3</v>
      </c>
      <c r="Y3015" t="s">
        <v>19633</v>
      </c>
      <c r="Z3015" t="s">
        <v>25165</v>
      </c>
      <c r="AA3015">
        <v>0.79143682850314323</v>
      </c>
      <c r="AB3015" t="str">
        <f>HYPERLINK("Melting_Curves/meltCurve_Q14469_HES1.pdf", "Melting_Curves/meltCurve_Q14469_HES1.pdf")</f>
        <v>Melting_Curves/meltCurve_Q14469_HES1.pdf</v>
      </c>
    </row>
    <row r="3016" spans="1:28" x14ac:dyDescent="0.25">
      <c r="A3016" t="s">
        <v>3020</v>
      </c>
      <c r="B3016">
        <v>0.99796759195183404</v>
      </c>
      <c r="C3016">
        <v>1.10012694299108</v>
      </c>
      <c r="D3016">
        <v>0.99627295003860294</v>
      </c>
      <c r="E3016">
        <v>0.84328140026169196</v>
      </c>
      <c r="F3016">
        <v>0.72554268239978403</v>
      </c>
      <c r="G3016">
        <v>0.30728375846848499</v>
      </c>
      <c r="H3016">
        <v>0.19607381212644101</v>
      </c>
      <c r="I3016">
        <v>0.147384897985708</v>
      </c>
      <c r="J3016">
        <v>0.109767952249181</v>
      </c>
      <c r="K3016">
        <v>9.9129305353105601E-2</v>
      </c>
      <c r="L3016">
        <v>1115.2051014849501</v>
      </c>
      <c r="M3016">
        <v>21.677215939657799</v>
      </c>
      <c r="N3016">
        <v>51.981872401724701</v>
      </c>
      <c r="O3016">
        <v>51.014142030047502</v>
      </c>
      <c r="P3016">
        <v>-9.5596136005305504E-2</v>
      </c>
      <c r="Q3016">
        <v>0.100135507487224</v>
      </c>
      <c r="R3016">
        <v>0.98641461041160505</v>
      </c>
      <c r="S3016" t="s">
        <v>8599</v>
      </c>
      <c r="T3016" t="s">
        <v>11164</v>
      </c>
      <c r="U3016" t="s">
        <v>11164</v>
      </c>
      <c r="V3016" t="s">
        <v>11164</v>
      </c>
      <c r="W3016" t="s">
        <v>14141</v>
      </c>
      <c r="X3016">
        <v>8</v>
      </c>
      <c r="Y3016" t="s">
        <v>19634</v>
      </c>
      <c r="Z3016" t="s">
        <v>25166</v>
      </c>
      <c r="AA3016">
        <v>0.54369937349625297</v>
      </c>
      <c r="AB3016" t="str">
        <f>HYPERLINK("Melting_Curves/meltCurve_Q14498_2_RBM39.pdf", "Melting_Curves/meltCurve_Q14498_2_RBM39.pdf")</f>
        <v>Melting_Curves/meltCurve_Q14498_2_RBM39.pdf</v>
      </c>
    </row>
    <row r="3017" spans="1:28" x14ac:dyDescent="0.25">
      <c r="A3017" t="s">
        <v>3021</v>
      </c>
      <c r="B3017">
        <v>0.99796759195183404</v>
      </c>
      <c r="C3017">
        <v>0.97544905390152004</v>
      </c>
      <c r="D3017">
        <v>1.01591426619891</v>
      </c>
      <c r="E3017">
        <v>0.98930334263540698</v>
      </c>
      <c r="F3017">
        <v>0.91997718329313705</v>
      </c>
      <c r="G3017">
        <v>0.585791263502767</v>
      </c>
      <c r="H3017">
        <v>0.448747101336335</v>
      </c>
      <c r="I3017">
        <v>0.19297998485239801</v>
      </c>
      <c r="J3017">
        <v>0.116763617834007</v>
      </c>
      <c r="K3017">
        <v>7.4523092129566995E-2</v>
      </c>
      <c r="L3017">
        <v>958.38590197398605</v>
      </c>
      <c r="M3017">
        <v>17.194371201175301</v>
      </c>
      <c r="N3017">
        <v>55.910568112722203</v>
      </c>
      <c r="O3017">
        <v>55.000810758199002</v>
      </c>
      <c r="P3017">
        <v>-7.6143835477024704E-2</v>
      </c>
      <c r="Q3017">
        <v>2.5791708312942099E-2</v>
      </c>
      <c r="R3017">
        <v>0.99133215807151998</v>
      </c>
      <c r="S3017" t="s">
        <v>8600</v>
      </c>
      <c r="T3017" t="s">
        <v>11164</v>
      </c>
      <c r="U3017" t="s">
        <v>11164</v>
      </c>
      <c r="V3017" t="s">
        <v>11164</v>
      </c>
      <c r="W3017" t="s">
        <v>14142</v>
      </c>
      <c r="X3017">
        <v>1</v>
      </c>
      <c r="Y3017" t="s">
        <v>19635</v>
      </c>
      <c r="Z3017" t="s">
        <v>25167</v>
      </c>
      <c r="AA3017">
        <v>0.64575838286014287</v>
      </c>
      <c r="AB3017" t="str">
        <f>HYPERLINK("Melting_Curves/meltCurve_Q14520_2_HABP2.pdf", "Melting_Curves/meltCurve_Q14520_2_HABP2.pdf")</f>
        <v>Melting_Curves/meltCurve_Q14520_2_HABP2.pdf</v>
      </c>
    </row>
    <row r="3018" spans="1:28" x14ac:dyDescent="0.25">
      <c r="A3018" t="s">
        <v>3022</v>
      </c>
      <c r="B3018">
        <v>0.99796759195183404</v>
      </c>
      <c r="C3018">
        <v>1.0345770561898</v>
      </c>
      <c r="D3018">
        <v>1.12526837648831</v>
      </c>
      <c r="E3018">
        <v>0.98246135636814103</v>
      </c>
      <c r="F3018">
        <v>0.89190103678333899</v>
      </c>
      <c r="G3018">
        <v>0.55041563478724198</v>
      </c>
      <c r="H3018">
        <v>0.24059030109905499</v>
      </c>
      <c r="I3018">
        <v>0.15339079686934501</v>
      </c>
      <c r="J3018">
        <v>0.109919343932988</v>
      </c>
      <c r="K3018">
        <v>6.9473088480549394E-2</v>
      </c>
      <c r="L3018">
        <v>1414.7051993740299</v>
      </c>
      <c r="M3018">
        <v>26.243768215034901</v>
      </c>
      <c r="N3018">
        <v>54.313409869569803</v>
      </c>
      <c r="O3018">
        <v>53.596251906506502</v>
      </c>
      <c r="P3018">
        <v>-0.111486180434605</v>
      </c>
      <c r="Q3018">
        <v>8.9280918426248301E-2</v>
      </c>
      <c r="R3018">
        <v>0.98915265459559498</v>
      </c>
      <c r="S3018" t="s">
        <v>8601</v>
      </c>
      <c r="T3018" t="s">
        <v>11164</v>
      </c>
      <c r="U3018" t="s">
        <v>11164</v>
      </c>
      <c r="V3018" t="s">
        <v>11164</v>
      </c>
      <c r="W3018" t="s">
        <v>14143</v>
      </c>
      <c r="X3018">
        <v>6</v>
      </c>
      <c r="Y3018" t="s">
        <v>19636</v>
      </c>
      <c r="Z3018" t="s">
        <v>25168</v>
      </c>
      <c r="AA3018">
        <v>0.60986050726181096</v>
      </c>
      <c r="AB3018" t="str">
        <f>HYPERLINK("Melting_Curves/meltCurve_Q14534_SQLE.pdf", "Melting_Curves/meltCurve_Q14534_SQLE.pdf")</f>
        <v>Melting_Curves/meltCurve_Q14534_SQLE.pdf</v>
      </c>
    </row>
    <row r="3019" spans="1:28" x14ac:dyDescent="0.25">
      <c r="A3019" t="s">
        <v>3023</v>
      </c>
      <c r="B3019">
        <v>0.99796759195183404</v>
      </c>
      <c r="C3019">
        <v>1.16929303567163</v>
      </c>
      <c r="D3019">
        <v>1.2335984095774899</v>
      </c>
      <c r="E3019">
        <v>1.1427242654166501</v>
      </c>
      <c r="F3019">
        <v>0.78830280255819096</v>
      </c>
      <c r="G3019">
        <v>0.59082626982723696</v>
      </c>
      <c r="H3019">
        <v>0.30693714155051</v>
      </c>
      <c r="I3019">
        <v>0.45757630120238602</v>
      </c>
      <c r="J3019">
        <v>0.19537148419490499</v>
      </c>
      <c r="K3019">
        <v>0.124783084106104</v>
      </c>
      <c r="L3019">
        <v>1196.6348714727201</v>
      </c>
      <c r="M3019">
        <v>22.365797948292901</v>
      </c>
      <c r="N3019">
        <v>54.8981476208685</v>
      </c>
      <c r="O3019">
        <v>53.080679674682102</v>
      </c>
      <c r="P3019">
        <v>-8.2503594175195899E-2</v>
      </c>
      <c r="Q3019">
        <v>0.21679426059423099</v>
      </c>
      <c r="R3019">
        <v>0.89427193304848096</v>
      </c>
      <c r="S3019" t="s">
        <v>8602</v>
      </c>
      <c r="T3019" t="s">
        <v>11164</v>
      </c>
      <c r="U3019" t="s">
        <v>11164</v>
      </c>
      <c r="V3019" t="s">
        <v>11164</v>
      </c>
      <c r="W3019" t="s">
        <v>14144</v>
      </c>
      <c r="X3019">
        <v>4</v>
      </c>
      <c r="Y3019" t="s">
        <v>19637</v>
      </c>
      <c r="Z3019" t="s">
        <v>25169</v>
      </c>
      <c r="AA3019">
        <v>0.65586865900802283</v>
      </c>
      <c r="AB3019" t="str">
        <f>HYPERLINK("Melting_Curves/meltCurve_Q14554_PDIA5.pdf", "Melting_Curves/meltCurve_Q14554_PDIA5.pdf")</f>
        <v>Melting_Curves/meltCurve_Q14554_PDIA5.pdf</v>
      </c>
    </row>
    <row r="3020" spans="1:28" x14ac:dyDescent="0.25">
      <c r="A3020" t="s">
        <v>3024</v>
      </c>
      <c r="B3020">
        <v>0.99796759195183404</v>
      </c>
      <c r="C3020">
        <v>1.0483798838662399</v>
      </c>
      <c r="D3020">
        <v>1.00428447662123</v>
      </c>
      <c r="E3020">
        <v>1.16074433717909</v>
      </c>
      <c r="F3020">
        <v>1.0817995273907799</v>
      </c>
      <c r="G3020">
        <v>1.57189834211846</v>
      </c>
      <c r="H3020">
        <v>0.42381021275313102</v>
      </c>
      <c r="I3020">
        <v>0.36814188745358101</v>
      </c>
      <c r="J3020">
        <v>0.24466968367053099</v>
      </c>
      <c r="K3020">
        <v>0.20365669685217899</v>
      </c>
      <c r="L3020">
        <v>14273.3810032319</v>
      </c>
      <c r="M3020">
        <v>250</v>
      </c>
      <c r="N3020">
        <v>57.273593056528398</v>
      </c>
      <c r="O3020">
        <v>57.0898597322618</v>
      </c>
      <c r="P3020">
        <v>-0.79681838857681198</v>
      </c>
      <c r="Q3020">
        <v>0.27215586379816498</v>
      </c>
      <c r="R3020">
        <v>0.80575667289344599</v>
      </c>
      <c r="S3020" t="s">
        <v>8603</v>
      </c>
      <c r="T3020" t="s">
        <v>11164</v>
      </c>
      <c r="U3020" t="s">
        <v>11164</v>
      </c>
      <c r="V3020" t="s">
        <v>11164</v>
      </c>
      <c r="W3020" t="s">
        <v>14145</v>
      </c>
      <c r="X3020">
        <v>18</v>
      </c>
      <c r="Y3020" t="s">
        <v>19638</v>
      </c>
      <c r="Z3020" t="s">
        <v>25170</v>
      </c>
      <c r="AA3020">
        <v>0.75972724678536285</v>
      </c>
      <c r="AB3020" t="str">
        <f>HYPERLINK("Melting_Curves/meltCurve_Q14566_MCM6.pdf", "Melting_Curves/meltCurve_Q14566_MCM6.pdf")</f>
        <v>Melting_Curves/meltCurve_Q14566_MCM6.pdf</v>
      </c>
    </row>
    <row r="3021" spans="1:28" x14ac:dyDescent="0.25">
      <c r="A3021" t="s">
        <v>3025</v>
      </c>
      <c r="B3021">
        <v>0.99796759195183404</v>
      </c>
      <c r="C3021">
        <v>0.99854616050316403</v>
      </c>
      <c r="D3021">
        <v>0.99438562833385202</v>
      </c>
      <c r="E3021">
        <v>0.92831556008355998</v>
      </c>
      <c r="F3021">
        <v>0.83974545228364805</v>
      </c>
      <c r="G3021">
        <v>0.63444874511497495</v>
      </c>
      <c r="H3021">
        <v>0.25497392891672999</v>
      </c>
      <c r="I3021">
        <v>0.18667364324254099</v>
      </c>
      <c r="J3021">
        <v>0.15799911641290701</v>
      </c>
      <c r="K3021">
        <v>0.11990059321984201</v>
      </c>
      <c r="L3021">
        <v>1185.7310060838799</v>
      </c>
      <c r="M3021">
        <v>21.907957304585398</v>
      </c>
      <c r="N3021">
        <v>54.743513347405603</v>
      </c>
      <c r="O3021">
        <v>53.678401094180302</v>
      </c>
      <c r="P3021">
        <v>-9.0822024444214097E-2</v>
      </c>
      <c r="Q3021">
        <v>0.109899564049925</v>
      </c>
      <c r="R3021">
        <v>0.99368604667554195</v>
      </c>
      <c r="S3021" t="s">
        <v>8604</v>
      </c>
      <c r="T3021" t="s">
        <v>11164</v>
      </c>
      <c r="U3021" t="s">
        <v>11164</v>
      </c>
      <c r="V3021" t="s">
        <v>11164</v>
      </c>
      <c r="W3021" t="s">
        <v>14146</v>
      </c>
      <c r="X3021">
        <v>15</v>
      </c>
      <c r="Y3021" t="s">
        <v>19639</v>
      </c>
      <c r="Z3021" t="s">
        <v>25171</v>
      </c>
      <c r="AA3021">
        <v>0.62741264250314777</v>
      </c>
      <c r="AB3021" t="str">
        <f>HYPERLINK("Melting_Curves/meltCurve_Q14651_PLS1.pdf", "Melting_Curves/meltCurve_Q14651_PLS1.pdf")</f>
        <v>Melting_Curves/meltCurve_Q14651_PLS1.pdf</v>
      </c>
    </row>
    <row r="3022" spans="1:28" x14ac:dyDescent="0.25">
      <c r="A3022" t="s">
        <v>3026</v>
      </c>
      <c r="B3022">
        <v>0.99796759195183404</v>
      </c>
      <c r="C3022">
        <v>0.88979960927736101</v>
      </c>
      <c r="D3022">
        <v>0.92364230639193601</v>
      </c>
      <c r="E3022">
        <v>0.894541737123142</v>
      </c>
      <c r="F3022">
        <v>0.71514376510156796</v>
      </c>
      <c r="G3022">
        <v>0.49318817697104</v>
      </c>
      <c r="H3022">
        <v>0.32014406870518097</v>
      </c>
      <c r="I3022">
        <v>0.132171620450245</v>
      </c>
      <c r="J3022">
        <v>8.7962078395801405E-2</v>
      </c>
      <c r="K3022">
        <v>6.3244244592361804E-2</v>
      </c>
      <c r="L3022">
        <v>713.88810722377798</v>
      </c>
      <c r="M3022">
        <v>13.3143548415889</v>
      </c>
      <c r="N3022">
        <v>53.617917319039002</v>
      </c>
      <c r="O3022">
        <v>52.451696648513398</v>
      </c>
      <c r="P3022">
        <v>-6.3470292247578594E-2</v>
      </c>
      <c r="Q3022">
        <v>0</v>
      </c>
      <c r="R3022">
        <v>0.98916172387499601</v>
      </c>
      <c r="S3022" t="s">
        <v>8605</v>
      </c>
      <c r="T3022" t="s">
        <v>11164</v>
      </c>
      <c r="U3022" t="s">
        <v>11164</v>
      </c>
      <c r="V3022" t="s">
        <v>11164</v>
      </c>
      <c r="W3022" t="s">
        <v>14147</v>
      </c>
      <c r="X3022">
        <v>4</v>
      </c>
      <c r="Y3022" t="s">
        <v>19640</v>
      </c>
      <c r="Z3022" t="s">
        <v>25172</v>
      </c>
      <c r="AA3022">
        <v>0.57225781934870434</v>
      </c>
      <c r="AB3022" t="str">
        <f>HYPERLINK("Melting_Curves/meltCurve_Q14653_IRF3.pdf", "Melting_Curves/meltCurve_Q14653_IRF3.pdf")</f>
        <v>Melting_Curves/meltCurve_Q14653_IRF3.pdf</v>
      </c>
    </row>
    <row r="3023" spans="1:28" x14ac:dyDescent="0.25">
      <c r="A3023" t="s">
        <v>3027</v>
      </c>
      <c r="B3023">
        <v>0.99796759195183404</v>
      </c>
      <c r="C3023">
        <v>1.0913581700756401</v>
      </c>
      <c r="D3023">
        <v>1.00860919149804</v>
      </c>
      <c r="E3023">
        <v>0.99781445503126298</v>
      </c>
      <c r="F3023">
        <v>0.91459026824498402</v>
      </c>
      <c r="G3023">
        <v>0.72322717967178196</v>
      </c>
      <c r="H3023">
        <v>0.71553229239625704</v>
      </c>
      <c r="I3023">
        <v>0.56781862855487997</v>
      </c>
      <c r="J3023">
        <v>0.48921285298143602</v>
      </c>
      <c r="K3023">
        <v>0.427166082501794</v>
      </c>
      <c r="L3023">
        <v>694.98673497970503</v>
      </c>
      <c r="M3023">
        <v>12.1015894856064</v>
      </c>
      <c r="N3023">
        <v>63.447824690454198</v>
      </c>
      <c r="O3023">
        <v>55.928649419128497</v>
      </c>
      <c r="P3023">
        <v>-3.5637184685255702E-2</v>
      </c>
      <c r="Q3023">
        <v>0.34135112772802001</v>
      </c>
      <c r="R3023">
        <v>0.96449613039896898</v>
      </c>
      <c r="S3023" t="s">
        <v>8606</v>
      </c>
      <c r="T3023" t="s">
        <v>11164</v>
      </c>
      <c r="U3023" t="s">
        <v>11164</v>
      </c>
      <c r="V3023" t="s">
        <v>11164</v>
      </c>
      <c r="W3023" t="s">
        <v>14148</v>
      </c>
      <c r="X3023">
        <v>6</v>
      </c>
      <c r="Y3023" t="s">
        <v>19641</v>
      </c>
      <c r="Z3023" t="s">
        <v>25173</v>
      </c>
      <c r="AA3023">
        <v>0.7914667130165014</v>
      </c>
      <c r="AB3023" t="str">
        <f>HYPERLINK("Melting_Curves/meltCurve_Q14657_LAGE3.pdf", "Melting_Curves/meltCurve_Q14657_LAGE3.pdf")</f>
        <v>Melting_Curves/meltCurve_Q14657_LAGE3.pdf</v>
      </c>
    </row>
    <row r="3024" spans="1:28" x14ac:dyDescent="0.25">
      <c r="A3024" t="s">
        <v>3028</v>
      </c>
      <c r="B3024">
        <v>0.99796759195183404</v>
      </c>
      <c r="C3024">
        <v>1.12738020105054</v>
      </c>
      <c r="D3024">
        <v>1.0496346945742501</v>
      </c>
      <c r="E3024">
        <v>0.93407978994158403</v>
      </c>
      <c r="F3024">
        <v>0.42438200009453603</v>
      </c>
      <c r="G3024">
        <v>0.308028614662129</v>
      </c>
      <c r="H3024">
        <v>0.22001881045757399</v>
      </c>
      <c r="I3024">
        <v>0.135762475987661</v>
      </c>
      <c r="J3024">
        <v>0.12708281923463199</v>
      </c>
      <c r="K3024">
        <v>0.104585240935282</v>
      </c>
      <c r="L3024">
        <v>1595.62534084814</v>
      </c>
      <c r="M3024">
        <v>32.308475882240998</v>
      </c>
      <c r="N3024">
        <v>49.981427232627297</v>
      </c>
      <c r="O3024">
        <v>49.199164166940697</v>
      </c>
      <c r="P3024">
        <v>-0.13799176731680499</v>
      </c>
      <c r="Q3024">
        <v>0.159471938838979</v>
      </c>
      <c r="R3024">
        <v>0.97623433551244498</v>
      </c>
      <c r="S3024" t="s">
        <v>8607</v>
      </c>
      <c r="T3024" t="s">
        <v>11164</v>
      </c>
      <c r="U3024" t="s">
        <v>11164</v>
      </c>
      <c r="V3024" t="s">
        <v>11164</v>
      </c>
      <c r="W3024" t="s">
        <v>14149</v>
      </c>
      <c r="X3024">
        <v>11</v>
      </c>
      <c r="Y3024" t="s">
        <v>19642</v>
      </c>
      <c r="Z3024" t="s">
        <v>25174</v>
      </c>
      <c r="AA3024">
        <v>0.51093509355714117</v>
      </c>
      <c r="AB3024" t="str">
        <f>HYPERLINK("Melting_Curves/meltCurve_Q14669_2_TRIP12.pdf", "Melting_Curves/meltCurve_Q14669_2_TRIP12.pdf")</f>
        <v>Melting_Curves/meltCurve_Q14669_2_TRIP12.pdf</v>
      </c>
    </row>
    <row r="3025" spans="1:28" x14ac:dyDescent="0.25">
      <c r="A3025" t="s">
        <v>3029</v>
      </c>
      <c r="B3025">
        <v>0.99796759195183404</v>
      </c>
      <c r="C3025">
        <v>1.02353734116132</v>
      </c>
      <c r="D3025">
        <v>1.02454847237886</v>
      </c>
      <c r="E3025">
        <v>0.96103374959166998</v>
      </c>
      <c r="F3025">
        <v>0.80713341527545501</v>
      </c>
      <c r="G3025">
        <v>0.435046667694377</v>
      </c>
      <c r="H3025">
        <v>0.26949505395260898</v>
      </c>
      <c r="I3025">
        <v>0.22403305596299999</v>
      </c>
      <c r="J3025">
        <v>0.18327479132312099</v>
      </c>
      <c r="K3025">
        <v>0.16183231717784</v>
      </c>
      <c r="L3025">
        <v>1372.8805703579701</v>
      </c>
      <c r="M3025">
        <v>26.238223359018399</v>
      </c>
      <c r="N3025">
        <v>53.241736003428102</v>
      </c>
      <c r="O3025">
        <v>52.022586711415499</v>
      </c>
      <c r="P3025">
        <v>-0.103148407888164</v>
      </c>
      <c r="Q3025">
        <v>0.181958721418125</v>
      </c>
      <c r="R3025">
        <v>0.99777753537320502</v>
      </c>
      <c r="S3025" t="s">
        <v>8608</v>
      </c>
      <c r="T3025" t="s">
        <v>11164</v>
      </c>
      <c r="U3025" t="s">
        <v>11164</v>
      </c>
      <c r="V3025" t="s">
        <v>11164</v>
      </c>
      <c r="W3025" t="s">
        <v>14150</v>
      </c>
      <c r="X3025">
        <v>15</v>
      </c>
      <c r="Y3025" t="s">
        <v>19643</v>
      </c>
      <c r="Z3025" t="s">
        <v>25175</v>
      </c>
      <c r="AA3025">
        <v>0.60645093754082136</v>
      </c>
      <c r="AB3025" t="str">
        <f>HYPERLINK("Melting_Curves/meltCurve_Q14671_PUM1.pdf", "Melting_Curves/meltCurve_Q14671_PUM1.pdf")</f>
        <v>Melting_Curves/meltCurve_Q14671_PUM1.pdf</v>
      </c>
    </row>
    <row r="3026" spans="1:28" x14ac:dyDescent="0.25">
      <c r="A3026" t="s">
        <v>3030</v>
      </c>
      <c r="B3026">
        <v>0.99796759195183404</v>
      </c>
      <c r="C3026">
        <v>0.927242245371242</v>
      </c>
      <c r="D3026">
        <v>1.01523046868504</v>
      </c>
      <c r="E3026">
        <v>0.78347153080265797</v>
      </c>
      <c r="F3026">
        <v>0.62395855776605502</v>
      </c>
      <c r="G3026">
        <v>0.485582899492494</v>
      </c>
      <c r="H3026">
        <v>0.25770169085328698</v>
      </c>
      <c r="I3026">
        <v>0.15173442832783099</v>
      </c>
      <c r="J3026">
        <v>0.158735479373</v>
      </c>
      <c r="K3026">
        <v>0.14199703040477399</v>
      </c>
      <c r="L3026">
        <v>672.53525015361902</v>
      </c>
      <c r="M3026">
        <v>12.9652748608622</v>
      </c>
      <c r="N3026">
        <v>52.533149280106102</v>
      </c>
      <c r="O3026">
        <v>50.684556904947101</v>
      </c>
      <c r="P3026">
        <v>-5.9147595854412802E-2</v>
      </c>
      <c r="Q3026">
        <v>7.52735224210513E-2</v>
      </c>
      <c r="R3026">
        <v>0.98644941298053301</v>
      </c>
      <c r="S3026" t="s">
        <v>8609</v>
      </c>
      <c r="T3026" t="s">
        <v>11164</v>
      </c>
      <c r="U3026" t="s">
        <v>11164</v>
      </c>
      <c r="V3026" t="s">
        <v>11164</v>
      </c>
      <c r="W3026" t="s">
        <v>14151</v>
      </c>
      <c r="X3026">
        <v>1</v>
      </c>
      <c r="Y3026" t="s">
        <v>19644</v>
      </c>
      <c r="Z3026" t="s">
        <v>25176</v>
      </c>
      <c r="AA3026">
        <v>0.55448957355675288</v>
      </c>
      <c r="AB3026" t="str">
        <f>HYPERLINK("Melting_Curves/meltCurve_Q14674_ESPL1.pdf", "Melting_Curves/meltCurve_Q14674_ESPL1.pdf")</f>
        <v>Melting_Curves/meltCurve_Q14674_ESPL1.pdf</v>
      </c>
    </row>
    <row r="3027" spans="1:28" x14ac:dyDescent="0.25">
      <c r="A3027" t="s">
        <v>3031</v>
      </c>
      <c r="B3027">
        <v>0.99796759195183404</v>
      </c>
      <c r="C3027">
        <v>0.93639169182677895</v>
      </c>
      <c r="D3027">
        <v>0.91095219827281804</v>
      </c>
      <c r="E3027">
        <v>0.89988721498714197</v>
      </c>
      <c r="F3027">
        <v>0.79769889236092995</v>
      </c>
      <c r="G3027">
        <v>0.64934034030069898</v>
      </c>
      <c r="H3027">
        <v>0.45397772016647397</v>
      </c>
      <c r="I3027">
        <v>0.28612925884659002</v>
      </c>
      <c r="J3027">
        <v>0.211226653419259</v>
      </c>
      <c r="K3027">
        <v>0.156025275897656</v>
      </c>
      <c r="L3027">
        <v>602.33395563120405</v>
      </c>
      <c r="M3027">
        <v>10.6865204305186</v>
      </c>
      <c r="N3027">
        <v>56.363898775816502</v>
      </c>
      <c r="O3027">
        <v>54.497731569181298</v>
      </c>
      <c r="P3027">
        <v>-4.9041267645097399E-2</v>
      </c>
      <c r="Q3027">
        <v>0</v>
      </c>
      <c r="R3027">
        <v>0.992903394109243</v>
      </c>
      <c r="S3027" t="s">
        <v>8610</v>
      </c>
      <c r="T3027" t="s">
        <v>11164</v>
      </c>
      <c r="U3027" t="s">
        <v>11164</v>
      </c>
      <c r="V3027" t="s">
        <v>11164</v>
      </c>
      <c r="W3027" t="s">
        <v>14152</v>
      </c>
      <c r="X3027">
        <v>29</v>
      </c>
      <c r="Y3027" t="s">
        <v>19645</v>
      </c>
      <c r="Z3027" t="s">
        <v>25177</v>
      </c>
      <c r="AA3027">
        <v>0.65097235262304676</v>
      </c>
      <c r="AB3027" t="str">
        <f>HYPERLINK("Melting_Curves/meltCurve_Q14676_3_MDC1.pdf", "Melting_Curves/meltCurve_Q14676_3_MDC1.pdf")</f>
        <v>Melting_Curves/meltCurve_Q14676_3_MDC1.pdf</v>
      </c>
    </row>
    <row r="3028" spans="1:28" x14ac:dyDescent="0.25">
      <c r="A3028" t="s">
        <v>3032</v>
      </c>
      <c r="B3028">
        <v>0.99796759195183404</v>
      </c>
      <c r="C3028">
        <v>1.03705183898738</v>
      </c>
      <c r="D3028">
        <v>1.02668723941962</v>
      </c>
      <c r="E3028">
        <v>0.92541217182952695</v>
      </c>
      <c r="F3028">
        <v>0.73566533639463005</v>
      </c>
      <c r="G3028">
        <v>0.59437807537872001</v>
      </c>
      <c r="H3028">
        <v>0.44500330352566497</v>
      </c>
      <c r="I3028">
        <v>0.27904570424226399</v>
      </c>
      <c r="J3028">
        <v>0.25103866948942599</v>
      </c>
      <c r="K3028">
        <v>0.16867424274575499</v>
      </c>
      <c r="L3028">
        <v>700.31793211969295</v>
      </c>
      <c r="M3028">
        <v>12.8521166643022</v>
      </c>
      <c r="N3028">
        <v>55.625357477245899</v>
      </c>
      <c r="O3028">
        <v>53.221807359808601</v>
      </c>
      <c r="P3028">
        <v>-5.3418101018772098E-2</v>
      </c>
      <c r="Q3028">
        <v>0.11532616059282701</v>
      </c>
      <c r="R3028">
        <v>0.99161014385669299</v>
      </c>
      <c r="S3028" t="s">
        <v>8611</v>
      </c>
      <c r="T3028" t="s">
        <v>11164</v>
      </c>
      <c r="U3028" t="s">
        <v>11164</v>
      </c>
      <c r="V3028" t="s">
        <v>11164</v>
      </c>
      <c r="W3028" t="s">
        <v>14153</v>
      </c>
      <c r="X3028">
        <v>12</v>
      </c>
      <c r="Y3028" t="s">
        <v>19646</v>
      </c>
      <c r="Z3028" t="s">
        <v>25178</v>
      </c>
      <c r="AA3028">
        <v>0.64536256245461077</v>
      </c>
      <c r="AB3028" t="str">
        <f>HYPERLINK("Melting_Curves/meltCurve_Q14677_CLINT1.pdf", "Melting_Curves/meltCurve_Q14677_CLINT1.pdf")</f>
        <v>Melting_Curves/meltCurve_Q14677_CLINT1.pdf</v>
      </c>
    </row>
    <row r="3029" spans="1:28" x14ac:dyDescent="0.25">
      <c r="A3029" t="s">
        <v>3033</v>
      </c>
      <c r="B3029">
        <v>0.99796759195183404</v>
      </c>
      <c r="C3029">
        <v>0.95889926774711598</v>
      </c>
      <c r="D3029">
        <v>0.71503096116349096</v>
      </c>
      <c r="E3029">
        <v>0.78035270241032095</v>
      </c>
      <c r="F3029">
        <v>0.88999268166940604</v>
      </c>
      <c r="G3029">
        <v>0.87717523963968502</v>
      </c>
      <c r="H3029">
        <v>0.78848761666793299</v>
      </c>
      <c r="I3029">
        <v>0.68601945120896701</v>
      </c>
      <c r="J3029">
        <v>0.55433586232782495</v>
      </c>
      <c r="K3029">
        <v>0.492219246215018</v>
      </c>
      <c r="L3029">
        <v>245.401167421803</v>
      </c>
      <c r="M3029">
        <v>3.3880532293020398</v>
      </c>
      <c r="O3029">
        <v>56.087232578741002</v>
      </c>
      <c r="P3029">
        <v>-1.5427463082125999E-2</v>
      </c>
      <c r="Q3029">
        <v>0</v>
      </c>
      <c r="R3029">
        <v>0.67028250355743701</v>
      </c>
      <c r="S3029" t="s">
        <v>8612</v>
      </c>
      <c r="T3029" t="s">
        <v>11164</v>
      </c>
      <c r="U3029" t="s">
        <v>11164</v>
      </c>
      <c r="V3029" t="s">
        <v>11164</v>
      </c>
      <c r="W3029" t="s">
        <v>14154</v>
      </c>
      <c r="X3029">
        <v>2</v>
      </c>
      <c r="Y3029" t="s">
        <v>19647</v>
      </c>
      <c r="Z3029" t="s">
        <v>25179</v>
      </c>
      <c r="AA3029">
        <v>0.78259955943045045</v>
      </c>
      <c r="AB3029" t="str">
        <f>HYPERLINK("Melting_Curves/meltCurve_Q14681_KCTD2.pdf", "Melting_Curves/meltCurve_Q14681_KCTD2.pdf")</f>
        <v>Melting_Curves/meltCurve_Q14681_KCTD2.pdf</v>
      </c>
    </row>
    <row r="3030" spans="1:28" x14ac:dyDescent="0.25">
      <c r="A3030" t="s">
        <v>3034</v>
      </c>
      <c r="B3030">
        <v>0.99796759195183404</v>
      </c>
      <c r="C3030">
        <v>1.0987262109456899</v>
      </c>
      <c r="D3030">
        <v>1.0345428446498799</v>
      </c>
      <c r="E3030">
        <v>0.98635482602569502</v>
      </c>
      <c r="F3030">
        <v>0.82157679644562298</v>
      </c>
      <c r="G3030">
        <v>0.86333367062396704</v>
      </c>
      <c r="H3030">
        <v>0.51039157682077296</v>
      </c>
      <c r="I3030">
        <v>0.23599501931241201</v>
      </c>
      <c r="J3030">
        <v>0.15805706828609201</v>
      </c>
      <c r="K3030">
        <v>0.122606584628791</v>
      </c>
      <c r="L3030">
        <v>1168.2991603693199</v>
      </c>
      <c r="M3030">
        <v>20.4326056565247</v>
      </c>
      <c r="N3030">
        <v>57.553127620939797</v>
      </c>
      <c r="O3030">
        <v>56.638956919983997</v>
      </c>
      <c r="P3030">
        <v>-8.4570290079869895E-2</v>
      </c>
      <c r="Q3030">
        <v>6.2316661961386403E-2</v>
      </c>
      <c r="R3030">
        <v>0.97588623875867198</v>
      </c>
      <c r="S3030" t="s">
        <v>8613</v>
      </c>
      <c r="T3030" t="s">
        <v>11164</v>
      </c>
      <c r="U3030" t="s">
        <v>11164</v>
      </c>
      <c r="V3030" t="s">
        <v>11164</v>
      </c>
      <c r="W3030" t="s">
        <v>14155</v>
      </c>
      <c r="X3030">
        <v>30</v>
      </c>
      <c r="Y3030" t="s">
        <v>19648</v>
      </c>
      <c r="Z3030" t="s">
        <v>25180</v>
      </c>
      <c r="AA3030">
        <v>0.70089864830209669</v>
      </c>
      <c r="AB3030" t="str">
        <f>HYPERLINK("Melting_Curves/meltCurve_Q14683_SMC1A.pdf", "Melting_Curves/meltCurve_Q14683_SMC1A.pdf")</f>
        <v>Melting_Curves/meltCurve_Q14683_SMC1A.pdf</v>
      </c>
    </row>
    <row r="3031" spans="1:28" x14ac:dyDescent="0.25">
      <c r="A3031" t="s">
        <v>3035</v>
      </c>
      <c r="B3031">
        <v>0.99796759195183404</v>
      </c>
      <c r="C3031">
        <v>0.85614231204448199</v>
      </c>
      <c r="D3031">
        <v>0.87572892352765497</v>
      </c>
      <c r="E3031">
        <v>0.78611433015714804</v>
      </c>
      <c r="F3031">
        <v>0.63063708619589398</v>
      </c>
      <c r="G3031">
        <v>0.40910757510522999</v>
      </c>
      <c r="H3031">
        <v>0.36430484285008602</v>
      </c>
      <c r="I3031">
        <v>0.19358989715132599</v>
      </c>
      <c r="J3031">
        <v>0.133192087856738</v>
      </c>
      <c r="K3031">
        <v>0.12044701703242899</v>
      </c>
      <c r="L3031">
        <v>480.45286085115799</v>
      </c>
      <c r="M3031">
        <v>9.1507769339863501</v>
      </c>
      <c r="N3031">
        <v>52.504051213428603</v>
      </c>
      <c r="O3031">
        <v>50.178991254943</v>
      </c>
      <c r="P3031">
        <v>-4.5621767254168E-2</v>
      </c>
      <c r="Q3031">
        <v>0</v>
      </c>
      <c r="R3031">
        <v>0.98474039878566499</v>
      </c>
      <c r="S3031" t="s">
        <v>8614</v>
      </c>
      <c r="T3031" t="s">
        <v>11164</v>
      </c>
      <c r="U3031" t="s">
        <v>11164</v>
      </c>
      <c r="V3031" t="s">
        <v>11164</v>
      </c>
      <c r="W3031" t="s">
        <v>14156</v>
      </c>
      <c r="X3031">
        <v>1</v>
      </c>
      <c r="Y3031" t="s">
        <v>19649</v>
      </c>
      <c r="Z3031" t="s">
        <v>25181</v>
      </c>
      <c r="AA3031">
        <v>0.54190533818975384</v>
      </c>
      <c r="AB3031" t="str">
        <f>HYPERLINK("Melting_Curves/meltCurve_Q14684_2_RRP1B.pdf", "Melting_Curves/meltCurve_Q14684_2_RRP1B.pdf")</f>
        <v>Melting_Curves/meltCurve_Q14684_2_RRP1B.pdf</v>
      </c>
    </row>
    <row r="3032" spans="1:28" x14ac:dyDescent="0.25">
      <c r="A3032" t="s">
        <v>3036</v>
      </c>
      <c r="B3032">
        <v>0.99796759195183404</v>
      </c>
      <c r="C3032">
        <v>0.94971025001894804</v>
      </c>
      <c r="D3032">
        <v>0.91392139756511104</v>
      </c>
      <c r="E3032">
        <v>0.91743716203148196</v>
      </c>
      <c r="F3032">
        <v>0.73746801197332301</v>
      </c>
      <c r="G3032">
        <v>0.538881221053501</v>
      </c>
      <c r="H3032">
        <v>0.40601946242680598</v>
      </c>
      <c r="I3032">
        <v>0.32812735208524002</v>
      </c>
      <c r="J3032">
        <v>0.25398108092007998</v>
      </c>
      <c r="K3032">
        <v>0.190450119740734</v>
      </c>
      <c r="L3032">
        <v>611.39354821166899</v>
      </c>
      <c r="M3032">
        <v>11.3527429236215</v>
      </c>
      <c r="N3032">
        <v>55.208398798447902</v>
      </c>
      <c r="O3032">
        <v>52.264470691285197</v>
      </c>
      <c r="P3032">
        <v>-4.7719224743582901E-2</v>
      </c>
      <c r="Q3032">
        <v>0.121524903885389</v>
      </c>
      <c r="R3032">
        <v>0.99297540323266698</v>
      </c>
      <c r="S3032" t="s">
        <v>8615</v>
      </c>
      <c r="T3032" t="s">
        <v>11164</v>
      </c>
      <c r="U3032" t="s">
        <v>11164</v>
      </c>
      <c r="V3032" t="s">
        <v>11164</v>
      </c>
      <c r="W3032" t="s">
        <v>14157</v>
      </c>
      <c r="X3032">
        <v>2</v>
      </c>
      <c r="Y3032" t="s">
        <v>19650</v>
      </c>
      <c r="Z3032" t="s">
        <v>25182</v>
      </c>
      <c r="AA3032">
        <v>0.63137144568592618</v>
      </c>
      <c r="AB3032" t="str">
        <f>HYPERLINK("Melting_Curves/meltCurve_Q14686_NCOA6.pdf", "Melting_Curves/meltCurve_Q14686_NCOA6.pdf")</f>
        <v>Melting_Curves/meltCurve_Q14686_NCOA6.pdf</v>
      </c>
    </row>
    <row r="3033" spans="1:28" x14ac:dyDescent="0.25">
      <c r="A3033" t="s">
        <v>3037</v>
      </c>
      <c r="B3033">
        <v>0.99796759195183404</v>
      </c>
      <c r="C3033">
        <v>1.10736851700947</v>
      </c>
      <c r="D3033">
        <v>0.92449460459523602</v>
      </c>
      <c r="E3033">
        <v>0.75024605845793702</v>
      </c>
      <c r="F3033">
        <v>0.704242638151647</v>
      </c>
      <c r="G3033">
        <v>0.412927807809988</v>
      </c>
      <c r="H3033">
        <v>0.278543192403786</v>
      </c>
      <c r="I3033">
        <v>0.34571032570628002</v>
      </c>
      <c r="J3033">
        <v>0.161138593639302</v>
      </c>
      <c r="K3033">
        <v>0.131952186515714</v>
      </c>
      <c r="L3033">
        <v>639.45239387259403</v>
      </c>
      <c r="M3033">
        <v>12.370233481848899</v>
      </c>
      <c r="N3033">
        <v>52.827395397010903</v>
      </c>
      <c r="O3033">
        <v>50.397650709217302</v>
      </c>
      <c r="P3033">
        <v>-5.4216508499308098E-2</v>
      </c>
      <c r="Q3033">
        <v>0.116653938470701</v>
      </c>
      <c r="R3033">
        <v>0.96253305704618897</v>
      </c>
      <c r="S3033" t="s">
        <v>8616</v>
      </c>
      <c r="T3033" t="s">
        <v>11164</v>
      </c>
      <c r="U3033" t="s">
        <v>11164</v>
      </c>
      <c r="V3033" t="s">
        <v>11164</v>
      </c>
      <c r="W3033" t="s">
        <v>14158</v>
      </c>
      <c r="X3033">
        <v>2</v>
      </c>
      <c r="Y3033" t="s">
        <v>19651</v>
      </c>
      <c r="Z3033" t="s">
        <v>25183</v>
      </c>
      <c r="AA3033">
        <v>0.57035047864908084</v>
      </c>
      <c r="AB3033" t="str">
        <f>HYPERLINK("Melting_Curves/meltCurve_Q14687_2_GSE1.pdf", "Melting_Curves/meltCurve_Q14687_2_GSE1.pdf")</f>
        <v>Melting_Curves/meltCurve_Q14687_2_GSE1.pdf</v>
      </c>
    </row>
    <row r="3034" spans="1:28" x14ac:dyDescent="0.25">
      <c r="A3034" t="s">
        <v>3038</v>
      </c>
      <c r="B3034">
        <v>0.99796759195183404</v>
      </c>
      <c r="C3034">
        <v>0.96914693032693799</v>
      </c>
      <c r="D3034">
        <v>1.02507981395185</v>
      </c>
      <c r="E3034">
        <v>0.93863371100848003</v>
      </c>
      <c r="F3034">
        <v>0.91127926177581797</v>
      </c>
      <c r="G3034">
        <v>0.51179577360061002</v>
      </c>
      <c r="H3034">
        <v>0.18213964129820301</v>
      </c>
      <c r="I3034">
        <v>0.12835910992271199</v>
      </c>
      <c r="J3034">
        <v>0.107200377219645</v>
      </c>
      <c r="K3034">
        <v>7.52422874805765E-2</v>
      </c>
      <c r="L3034">
        <v>1694.54533709871</v>
      </c>
      <c r="M3034">
        <v>31.648597957523901</v>
      </c>
      <c r="N3034">
        <v>53.893039787028798</v>
      </c>
      <c r="O3034">
        <v>53.330102370483701</v>
      </c>
      <c r="P3034">
        <v>-0.13456160820431901</v>
      </c>
      <c r="Q3034">
        <v>9.3021901030157506E-2</v>
      </c>
      <c r="R3034">
        <v>0.99668081173336398</v>
      </c>
      <c r="S3034" t="s">
        <v>8617</v>
      </c>
      <c r="T3034" t="s">
        <v>11164</v>
      </c>
      <c r="U3034" t="s">
        <v>11164</v>
      </c>
      <c r="V3034" t="s">
        <v>11164</v>
      </c>
      <c r="W3034" t="s">
        <v>14159</v>
      </c>
      <c r="X3034">
        <v>4</v>
      </c>
      <c r="Y3034" t="s">
        <v>19652</v>
      </c>
      <c r="Z3034" t="s">
        <v>25184</v>
      </c>
      <c r="AA3034">
        <v>0.59838615764099268</v>
      </c>
      <c r="AB3034" t="str">
        <f>HYPERLINK("Melting_Curves/meltCurve_Q14691_GINS1.pdf", "Melting_Curves/meltCurve_Q14691_GINS1.pdf")</f>
        <v>Melting_Curves/meltCurve_Q14691_GINS1.pdf</v>
      </c>
    </row>
    <row r="3035" spans="1:28" x14ac:dyDescent="0.25">
      <c r="A3035" t="s">
        <v>3039</v>
      </c>
      <c r="B3035">
        <v>0.99796759195183404</v>
      </c>
      <c r="C3035">
        <v>0.93372262975526699</v>
      </c>
      <c r="D3035">
        <v>0.899160982044937</v>
      </c>
      <c r="E3035">
        <v>0.75981756524376298</v>
      </c>
      <c r="F3035">
        <v>0.64657424260747398</v>
      </c>
      <c r="G3035">
        <v>0.35220414649815002</v>
      </c>
      <c r="H3035">
        <v>0.213186570282728</v>
      </c>
      <c r="I3035">
        <v>0.17520481600702101</v>
      </c>
      <c r="J3035">
        <v>0.19025389585205699</v>
      </c>
      <c r="K3035">
        <v>0.18615098204650399</v>
      </c>
      <c r="L3035">
        <v>702.163433237351</v>
      </c>
      <c r="M3035">
        <v>13.9557456364213</v>
      </c>
      <c r="N3035">
        <v>51.400765706990299</v>
      </c>
      <c r="O3035">
        <v>49.314274930139597</v>
      </c>
      <c r="P3035">
        <v>-6.1715429641205799E-2</v>
      </c>
      <c r="Q3035">
        <v>0.127801815844201</v>
      </c>
      <c r="R3035">
        <v>0.98710222651678703</v>
      </c>
      <c r="S3035" t="s">
        <v>8618</v>
      </c>
      <c r="T3035" t="s">
        <v>11164</v>
      </c>
      <c r="U3035" t="s">
        <v>11164</v>
      </c>
      <c r="V3035" t="s">
        <v>11164</v>
      </c>
      <c r="W3035" t="s">
        <v>14160</v>
      </c>
      <c r="X3035">
        <v>7</v>
      </c>
      <c r="Y3035" t="s">
        <v>19653</v>
      </c>
      <c r="Z3035" t="s">
        <v>25185</v>
      </c>
      <c r="AA3035">
        <v>0.53476848897302753</v>
      </c>
      <c r="AB3035" t="str">
        <f>HYPERLINK("Melting_Curves/meltCurve_Q14694_USP10.pdf", "Melting_Curves/meltCurve_Q14694_USP10.pdf")</f>
        <v>Melting_Curves/meltCurve_Q14694_USP10.pdf</v>
      </c>
    </row>
    <row r="3036" spans="1:28" x14ac:dyDescent="0.25">
      <c r="A3036" t="s">
        <v>3040</v>
      </c>
      <c r="B3036">
        <v>0.99796759195183404</v>
      </c>
      <c r="C3036">
        <v>1.01963114469407</v>
      </c>
      <c r="D3036">
        <v>0.93088774069254998</v>
      </c>
      <c r="E3036">
        <v>0.99500491966254101</v>
      </c>
      <c r="F3036">
        <v>0.956813300076919</v>
      </c>
      <c r="G3036">
        <v>0.52348670985549095</v>
      </c>
      <c r="H3036">
        <v>0.50324672002101001</v>
      </c>
      <c r="I3036">
        <v>0.37263949007886499</v>
      </c>
      <c r="J3036">
        <v>0.31675986228438602</v>
      </c>
      <c r="K3036">
        <v>0.23308726297246599</v>
      </c>
      <c r="L3036">
        <v>1249.4396477411301</v>
      </c>
      <c r="M3036">
        <v>23.3539314779844</v>
      </c>
      <c r="N3036">
        <v>55.660542553798201</v>
      </c>
      <c r="O3036">
        <v>53.112540549689697</v>
      </c>
      <c r="P3036">
        <v>-7.7167676775411698E-2</v>
      </c>
      <c r="Q3036">
        <v>0.29801978291171399</v>
      </c>
      <c r="R3036">
        <v>0.96143531409499705</v>
      </c>
      <c r="S3036" t="s">
        <v>8619</v>
      </c>
      <c r="T3036" t="s">
        <v>11164</v>
      </c>
      <c r="U3036" t="s">
        <v>11164</v>
      </c>
      <c r="V3036" t="s">
        <v>11164</v>
      </c>
      <c r="W3036" t="s">
        <v>14161</v>
      </c>
      <c r="X3036">
        <v>4</v>
      </c>
      <c r="Y3036" t="s">
        <v>19654</v>
      </c>
      <c r="Z3036" t="s">
        <v>25186</v>
      </c>
      <c r="AA3036">
        <v>0.69101341080595235</v>
      </c>
      <c r="AB3036" t="str">
        <f>HYPERLINK("Melting_Curves/meltCurve_Q14696_MESDC2.pdf", "Melting_Curves/meltCurve_Q14696_MESDC2.pdf")</f>
        <v>Melting_Curves/meltCurve_Q14696_MESDC2.pdf</v>
      </c>
    </row>
    <row r="3037" spans="1:28" x14ac:dyDescent="0.25">
      <c r="A3037" t="s">
        <v>3041</v>
      </c>
      <c r="B3037">
        <v>0.99796759195183404</v>
      </c>
      <c r="C3037">
        <v>0.99656466473401395</v>
      </c>
      <c r="D3037">
        <v>0.96382055999861704</v>
      </c>
      <c r="E3037">
        <v>0.93039992555647999</v>
      </c>
      <c r="F3037">
        <v>0.82882175038327699</v>
      </c>
      <c r="G3037">
        <v>0.50397984517840799</v>
      </c>
      <c r="H3037">
        <v>0.234001671854347</v>
      </c>
      <c r="I3037">
        <v>0.21700918403476999</v>
      </c>
      <c r="J3037">
        <v>0.14392075749500199</v>
      </c>
      <c r="K3037">
        <v>0.10415585417798</v>
      </c>
      <c r="L3037">
        <v>1163.1903401318</v>
      </c>
      <c r="M3037">
        <v>21.882004215258899</v>
      </c>
      <c r="N3037">
        <v>53.8318035186632</v>
      </c>
      <c r="O3037">
        <v>52.719407063603597</v>
      </c>
      <c r="P3037">
        <v>-9.1328207912535694E-2</v>
      </c>
      <c r="Q3037">
        <v>0.11988689937551</v>
      </c>
      <c r="R3037">
        <v>0.99542865334926001</v>
      </c>
      <c r="S3037" t="s">
        <v>8620</v>
      </c>
      <c r="T3037" t="s">
        <v>11164</v>
      </c>
      <c r="U3037" t="s">
        <v>11164</v>
      </c>
      <c r="V3037" t="s">
        <v>11164</v>
      </c>
      <c r="W3037" t="s">
        <v>14162</v>
      </c>
      <c r="X3037">
        <v>40</v>
      </c>
      <c r="Y3037" t="s">
        <v>19655</v>
      </c>
      <c r="Z3037" t="s">
        <v>25187</v>
      </c>
      <c r="AA3037">
        <v>0.60354829735814641</v>
      </c>
      <c r="AB3037" t="str">
        <f>HYPERLINK("Melting_Curves/meltCurve_Q14697_GANAB.pdf", "Melting_Curves/meltCurve_Q14697_GANAB.pdf")</f>
        <v>Melting_Curves/meltCurve_Q14697_GANAB.pdf</v>
      </c>
    </row>
    <row r="3038" spans="1:28" x14ac:dyDescent="0.25">
      <c r="A3038" t="s">
        <v>3042</v>
      </c>
      <c r="B3038">
        <v>0.99796759195183404</v>
      </c>
      <c r="C3038">
        <v>0.96795302598625799</v>
      </c>
      <c r="D3038">
        <v>0.875219365557659</v>
      </c>
      <c r="E3038">
        <v>0.91213844440083902</v>
      </c>
      <c r="F3038">
        <v>0.78596452781320103</v>
      </c>
      <c r="G3038">
        <v>0.65038011991030098</v>
      </c>
      <c r="H3038">
        <v>0.48724416320066399</v>
      </c>
      <c r="I3038">
        <v>0.21025142398425301</v>
      </c>
      <c r="J3038">
        <v>8.1186694429312395E-2</v>
      </c>
      <c r="K3038">
        <v>6.1373847915867301E-2</v>
      </c>
      <c r="L3038">
        <v>771.92885201029003</v>
      </c>
      <c r="M3038">
        <v>13.8216182514862</v>
      </c>
      <c r="N3038">
        <v>55.849383359616198</v>
      </c>
      <c r="O3038">
        <v>54.719228533664001</v>
      </c>
      <c r="P3038">
        <v>-6.3156692767029607E-2</v>
      </c>
      <c r="Q3038">
        <v>0</v>
      </c>
      <c r="R3038">
        <v>0.97768180419832795</v>
      </c>
      <c r="S3038" t="s">
        <v>8621</v>
      </c>
      <c r="T3038" t="s">
        <v>11164</v>
      </c>
      <c r="U3038" t="s">
        <v>11164</v>
      </c>
      <c r="V3038" t="s">
        <v>11164</v>
      </c>
      <c r="W3038" t="s">
        <v>14163</v>
      </c>
      <c r="X3038">
        <v>6</v>
      </c>
      <c r="Y3038" t="s">
        <v>19656</v>
      </c>
      <c r="Z3038" t="s">
        <v>25188</v>
      </c>
      <c r="AA3038">
        <v>0.64002372057473644</v>
      </c>
      <c r="AB3038" t="str">
        <f>HYPERLINK("Melting_Curves/meltCurve_Q14699_RFTN1.pdf", "Melting_Curves/meltCurve_Q14699_RFTN1.pdf")</f>
        <v>Melting_Curves/meltCurve_Q14699_RFTN1.pdf</v>
      </c>
    </row>
    <row r="3039" spans="1:28" x14ac:dyDescent="0.25">
      <c r="A3039" t="s">
        <v>3043</v>
      </c>
      <c r="B3039">
        <v>0.99796759195183404</v>
      </c>
      <c r="C3039">
        <v>0.89800689958375701</v>
      </c>
      <c r="D3039">
        <v>0.92083182974256295</v>
      </c>
      <c r="E3039">
        <v>0.85277120178814403</v>
      </c>
      <c r="F3039">
        <v>0.72248548583080896</v>
      </c>
      <c r="G3039">
        <v>0.55951711283208905</v>
      </c>
      <c r="H3039">
        <v>0.21057539482088999</v>
      </c>
      <c r="I3039">
        <v>0.117386472614562</v>
      </c>
      <c r="J3039">
        <v>0.10474352066009</v>
      </c>
      <c r="K3039">
        <v>8.2512316783226E-2</v>
      </c>
      <c r="L3039">
        <v>739.41605395506099</v>
      </c>
      <c r="M3039">
        <v>13.8245459992253</v>
      </c>
      <c r="N3039">
        <v>53.485727319845203</v>
      </c>
      <c r="O3039">
        <v>52.4038376514061</v>
      </c>
      <c r="P3039">
        <v>-6.59611204627185E-2</v>
      </c>
      <c r="Q3039">
        <v>0</v>
      </c>
      <c r="R3039">
        <v>0.98056420151751</v>
      </c>
      <c r="S3039" t="s">
        <v>8622</v>
      </c>
      <c r="T3039" t="s">
        <v>11164</v>
      </c>
      <c r="U3039" t="s">
        <v>11164</v>
      </c>
      <c r="V3039" t="s">
        <v>11164</v>
      </c>
      <c r="W3039" t="s">
        <v>14164</v>
      </c>
      <c r="X3039">
        <v>9</v>
      </c>
      <c r="Y3039" t="s">
        <v>19657</v>
      </c>
      <c r="Z3039" t="s">
        <v>25189</v>
      </c>
      <c r="AA3039">
        <v>0.56772582618867873</v>
      </c>
      <c r="AB3039" t="str">
        <f>HYPERLINK("Melting_Curves/meltCurve_Q14739_LBR.pdf", "Melting_Curves/meltCurve_Q14739_LBR.pdf")</f>
        <v>Melting_Curves/meltCurve_Q14739_LBR.pdf</v>
      </c>
    </row>
    <row r="3040" spans="1:28" x14ac:dyDescent="0.25">
      <c r="A3040" t="s">
        <v>3044</v>
      </c>
      <c r="B3040">
        <v>0.99796759195183404</v>
      </c>
      <c r="C3040">
        <v>1.0196331540841199</v>
      </c>
      <c r="D3040">
        <v>0.99116552440087502</v>
      </c>
      <c r="E3040">
        <v>0.90898864741823604</v>
      </c>
      <c r="F3040">
        <v>0.51761694217227205</v>
      </c>
      <c r="G3040">
        <v>0.31011142996428798</v>
      </c>
      <c r="H3040">
        <v>0.22991998624722601</v>
      </c>
      <c r="I3040">
        <v>0.20452886991397001</v>
      </c>
      <c r="J3040">
        <v>0.15681886757716701</v>
      </c>
      <c r="K3040">
        <v>0.108349158547781</v>
      </c>
      <c r="L3040">
        <v>1214.4195826446</v>
      </c>
      <c r="M3040">
        <v>24.326899707063099</v>
      </c>
      <c r="N3040">
        <v>50.748074215948499</v>
      </c>
      <c r="O3040">
        <v>49.587187460829902</v>
      </c>
      <c r="P3040">
        <v>-0.102573898024744</v>
      </c>
      <c r="Q3040">
        <v>0.163678903052978</v>
      </c>
      <c r="R3040">
        <v>0.99351169044251897</v>
      </c>
      <c r="S3040" t="s">
        <v>8623</v>
      </c>
      <c r="T3040" t="s">
        <v>11164</v>
      </c>
      <c r="U3040" t="s">
        <v>11164</v>
      </c>
      <c r="V3040" t="s">
        <v>11164</v>
      </c>
      <c r="W3040" t="s">
        <v>14165</v>
      </c>
      <c r="X3040">
        <v>29</v>
      </c>
      <c r="Y3040" t="s">
        <v>19658</v>
      </c>
      <c r="Z3040" t="s">
        <v>25190</v>
      </c>
      <c r="AA3040">
        <v>0.53157530600331948</v>
      </c>
      <c r="AB3040" t="str">
        <f>HYPERLINK("Melting_Curves/meltCurve_Q14789_GOLGB1.pdf", "Melting_Curves/meltCurve_Q14789_GOLGB1.pdf")</f>
        <v>Melting_Curves/meltCurve_Q14789_GOLGB1.pdf</v>
      </c>
    </row>
    <row r="3041" spans="1:28" x14ac:dyDescent="0.25">
      <c r="A3041" t="s">
        <v>3045</v>
      </c>
      <c r="B3041">
        <v>0.99796759195183404</v>
      </c>
      <c r="C3041">
        <v>0.99377492154853597</v>
      </c>
      <c r="D3041">
        <v>1.0473687976491901</v>
      </c>
      <c r="E3041">
        <v>0.80556156716129601</v>
      </c>
      <c r="F3041">
        <v>0.72393805379880505</v>
      </c>
      <c r="G3041">
        <v>0.23237727405758701</v>
      </c>
      <c r="H3041">
        <v>0.158033808652809</v>
      </c>
      <c r="I3041">
        <v>0.13207930502899501</v>
      </c>
      <c r="J3041">
        <v>0.105673842228968</v>
      </c>
      <c r="K3041">
        <v>6.5197352386877905E-2</v>
      </c>
      <c r="L3041">
        <v>1225.7684082503399</v>
      </c>
      <c r="M3041">
        <v>23.969905140906899</v>
      </c>
      <c r="N3041">
        <v>51.537692916378802</v>
      </c>
      <c r="O3041">
        <v>50.785889729781097</v>
      </c>
      <c r="P3041">
        <v>-0.107984006119009</v>
      </c>
      <c r="Q3041">
        <v>8.4856720431284199E-2</v>
      </c>
      <c r="R3041">
        <v>0.98196938754958896</v>
      </c>
      <c r="S3041" t="s">
        <v>8624</v>
      </c>
      <c r="T3041" t="s">
        <v>11164</v>
      </c>
      <c r="U3041" t="s">
        <v>11164</v>
      </c>
      <c r="V3041" t="s">
        <v>11164</v>
      </c>
      <c r="W3041" t="s">
        <v>14166</v>
      </c>
      <c r="X3041">
        <v>3</v>
      </c>
      <c r="Y3041" t="s">
        <v>19659</v>
      </c>
      <c r="Z3041" t="s">
        <v>25191</v>
      </c>
      <c r="AA3041">
        <v>0.52485725860446886</v>
      </c>
      <c r="AB3041" t="str">
        <f>HYPERLINK("Melting_Curves/meltCurve_Q14790_CASP8.pdf", "Melting_Curves/meltCurve_Q14790_CASP8.pdf")</f>
        <v>Melting_Curves/meltCurve_Q14790_CASP8.pdf</v>
      </c>
    </row>
    <row r="3042" spans="1:28" x14ac:dyDescent="0.25">
      <c r="A3042" t="s">
        <v>3046</v>
      </c>
      <c r="B3042">
        <v>0.99796759195183404</v>
      </c>
      <c r="C3042">
        <v>1.1063986273759401</v>
      </c>
      <c r="D3042">
        <v>0.99718789761841398</v>
      </c>
      <c r="E3042">
        <v>0.95285032252597701</v>
      </c>
      <c r="F3042">
        <v>0.87634074204810897</v>
      </c>
      <c r="G3042">
        <v>0.74322646681706706</v>
      </c>
      <c r="H3042">
        <v>0.21643550070635201</v>
      </c>
      <c r="I3042">
        <v>0.246649472504023</v>
      </c>
      <c r="J3042">
        <v>0.22513938066794101</v>
      </c>
      <c r="K3042">
        <v>7.3297797883944998E-2</v>
      </c>
      <c r="L3042">
        <v>2380.0638225125699</v>
      </c>
      <c r="M3042">
        <v>43.566243428504997</v>
      </c>
      <c r="N3042">
        <v>55.147629533791402</v>
      </c>
      <c r="O3042">
        <v>54.516187131682102</v>
      </c>
      <c r="P3042">
        <v>-0.16630658050543701</v>
      </c>
      <c r="Q3042">
        <v>0.1675768594849</v>
      </c>
      <c r="R3042">
        <v>0.96982917311343597</v>
      </c>
      <c r="S3042" t="s">
        <v>8625</v>
      </c>
      <c r="T3042" t="s">
        <v>11164</v>
      </c>
      <c r="U3042" t="s">
        <v>11164</v>
      </c>
      <c r="V3042" t="s">
        <v>11164</v>
      </c>
      <c r="W3042" t="s">
        <v>14167</v>
      </c>
      <c r="X3042">
        <v>4</v>
      </c>
      <c r="Y3042" t="s">
        <v>19660</v>
      </c>
      <c r="Z3042" t="s">
        <v>25192</v>
      </c>
      <c r="AA3042">
        <v>0.65941871244926253</v>
      </c>
      <c r="AB3042" t="str">
        <f>HYPERLINK("Melting_Curves/meltCurve_Q147X3_NAA30.pdf", "Melting_Curves/meltCurve_Q147X3_NAA30.pdf")</f>
        <v>Melting_Curves/meltCurve_Q147X3_NAA30.pdf</v>
      </c>
    </row>
    <row r="3043" spans="1:28" x14ac:dyDescent="0.25">
      <c r="A3043" t="s">
        <v>3047</v>
      </c>
      <c r="B3043">
        <v>0.99796759195183404</v>
      </c>
      <c r="C3043">
        <v>1.0995692849751999</v>
      </c>
      <c r="D3043">
        <v>0.89033039331157104</v>
      </c>
      <c r="E3043">
        <v>0.90865558378884603</v>
      </c>
      <c r="F3043">
        <v>0.92886688340608303</v>
      </c>
      <c r="G3043">
        <v>0.80190485028626302</v>
      </c>
      <c r="H3043">
        <v>0.48458447635005802</v>
      </c>
      <c r="I3043">
        <v>0.27313078744271502</v>
      </c>
      <c r="J3043">
        <v>0.24955137439606401</v>
      </c>
      <c r="K3043">
        <v>0.16287502085964101</v>
      </c>
      <c r="L3043">
        <v>1178.69275513864</v>
      </c>
      <c r="M3043">
        <v>20.902387811079802</v>
      </c>
      <c r="N3043">
        <v>57.359972731626698</v>
      </c>
      <c r="O3043">
        <v>55.881802966628499</v>
      </c>
      <c r="P3043">
        <v>-7.9596312937238595E-2</v>
      </c>
      <c r="Q3043">
        <v>0.14883122724733</v>
      </c>
      <c r="R3043">
        <v>0.97155950452476503</v>
      </c>
      <c r="S3043" t="s">
        <v>8626</v>
      </c>
      <c r="T3043" t="s">
        <v>11164</v>
      </c>
      <c r="U3043" t="s">
        <v>11164</v>
      </c>
      <c r="V3043" t="s">
        <v>11164</v>
      </c>
      <c r="W3043" t="s">
        <v>14168</v>
      </c>
      <c r="X3043">
        <v>6</v>
      </c>
      <c r="Y3043" t="s">
        <v>19661</v>
      </c>
      <c r="Z3043" t="s">
        <v>25193</v>
      </c>
      <c r="AA3043">
        <v>0.70701859188353589</v>
      </c>
      <c r="AB3043" t="str">
        <f>HYPERLINK("Melting_Curves/meltCurve_Q14814_4_MEF2D.pdf", "Melting_Curves/meltCurve_Q14814_4_MEF2D.pdf")</f>
        <v>Melting_Curves/meltCurve_Q14814_4_MEF2D.pdf</v>
      </c>
    </row>
    <row r="3044" spans="1:28" x14ac:dyDescent="0.25">
      <c r="A3044" t="s">
        <v>3048</v>
      </c>
      <c r="B3044">
        <v>0.99796759195183404</v>
      </c>
      <c r="C3044">
        <v>1.0629959382163301</v>
      </c>
      <c r="D3044">
        <v>0.99674545807707204</v>
      </c>
      <c r="E3044">
        <v>0.97253554957672494</v>
      </c>
      <c r="F3044">
        <v>0.85622991234525203</v>
      </c>
      <c r="G3044">
        <v>0.64461526065730201</v>
      </c>
      <c r="H3044">
        <v>0.71638193316867305</v>
      </c>
      <c r="I3044">
        <v>0.59632091509548002</v>
      </c>
      <c r="J3044">
        <v>0.75647944117294597</v>
      </c>
      <c r="K3044">
        <v>0.69509971457542796</v>
      </c>
      <c r="L3044">
        <v>12559.7099493853</v>
      </c>
      <c r="M3044">
        <v>250</v>
      </c>
      <c r="O3044">
        <v>50.235624859202701</v>
      </c>
      <c r="P3044">
        <v>-0.39590996331723</v>
      </c>
      <c r="Q3044">
        <v>0.68177945013923202</v>
      </c>
      <c r="R3044">
        <v>0.92064913131397696</v>
      </c>
      <c r="S3044" t="s">
        <v>8627</v>
      </c>
      <c r="T3044" t="s">
        <v>11164</v>
      </c>
      <c r="U3044" t="s">
        <v>11164</v>
      </c>
      <c r="V3044" t="s">
        <v>11164</v>
      </c>
      <c r="W3044" t="s">
        <v>14169</v>
      </c>
      <c r="X3044">
        <v>24</v>
      </c>
      <c r="Y3044" t="s">
        <v>19662</v>
      </c>
      <c r="Z3044" t="s">
        <v>25194</v>
      </c>
      <c r="AA3044">
        <v>0.82223653645995798</v>
      </c>
      <c r="AB3044" t="str">
        <f>HYPERLINK("Melting_Curves/meltCurve_Q14847_LASP1.pdf", "Melting_Curves/meltCurve_Q14847_LASP1.pdf")</f>
        <v>Melting_Curves/meltCurve_Q14847_LASP1.pdf</v>
      </c>
    </row>
    <row r="3045" spans="1:28" x14ac:dyDescent="0.25">
      <c r="A3045" t="s">
        <v>3049</v>
      </c>
      <c r="B3045">
        <v>0.99796759195183404</v>
      </c>
      <c r="C3045">
        <v>1.01648295923301</v>
      </c>
      <c r="D3045">
        <v>0.999487901235246</v>
      </c>
      <c r="E3045">
        <v>0.93960928945258104</v>
      </c>
      <c r="F3045">
        <v>0.71033012200633705</v>
      </c>
      <c r="G3045">
        <v>0.28101878233774402</v>
      </c>
      <c r="H3045">
        <v>0.23205816936707099</v>
      </c>
      <c r="I3045">
        <v>0.12941709640002699</v>
      </c>
      <c r="J3045">
        <v>8.2151418540826901E-2</v>
      </c>
      <c r="K3045">
        <v>8.1992388469727201E-2</v>
      </c>
      <c r="L3045">
        <v>1331.5086555882001</v>
      </c>
      <c r="M3045">
        <v>25.870892136028498</v>
      </c>
      <c r="N3045">
        <v>51.932496154421202</v>
      </c>
      <c r="O3045">
        <v>51.162872913045298</v>
      </c>
      <c r="P3045">
        <v>-0.113344782188128</v>
      </c>
      <c r="Q3045">
        <v>0.10339731997531</v>
      </c>
      <c r="R3045">
        <v>0.99442273241549495</v>
      </c>
      <c r="S3045" t="s">
        <v>8628</v>
      </c>
      <c r="T3045" t="s">
        <v>11164</v>
      </c>
      <c r="U3045" t="s">
        <v>11164</v>
      </c>
      <c r="V3045" t="s">
        <v>11164</v>
      </c>
      <c r="W3045" t="s">
        <v>14170</v>
      </c>
      <c r="X3045">
        <v>2</v>
      </c>
      <c r="Y3045" t="s">
        <v>19663</v>
      </c>
      <c r="Z3045" t="s">
        <v>25195</v>
      </c>
      <c r="AA3045">
        <v>0.54322823142549415</v>
      </c>
      <c r="AB3045" t="str">
        <f>HYPERLINK("Melting_Curves/meltCurve_Q14872_MTF1.pdf", "Melting_Curves/meltCurve_Q14872_MTF1.pdf")</f>
        <v>Melting_Curves/meltCurve_Q14872_MTF1.pdf</v>
      </c>
    </row>
    <row r="3046" spans="1:28" x14ac:dyDescent="0.25">
      <c r="A3046" t="s">
        <v>3050</v>
      </c>
      <c r="B3046">
        <v>0.99796759195183404</v>
      </c>
      <c r="C3046">
        <v>0.97240941772812095</v>
      </c>
      <c r="D3046">
        <v>0.90020263874787099</v>
      </c>
      <c r="E3046">
        <v>0.85473000002346899</v>
      </c>
      <c r="F3046">
        <v>0.76953960563225698</v>
      </c>
      <c r="G3046">
        <v>0.66359577418674598</v>
      </c>
      <c r="H3046">
        <v>0.42978372661370601</v>
      </c>
      <c r="I3046">
        <v>0.35464449023837502</v>
      </c>
      <c r="J3046">
        <v>0.198837838685929</v>
      </c>
      <c r="K3046">
        <v>0.21508239429878001</v>
      </c>
      <c r="L3046">
        <v>518.96763111961104</v>
      </c>
      <c r="M3046">
        <v>9.1921464895177607</v>
      </c>
      <c r="N3046">
        <v>56.457713735140501</v>
      </c>
      <c r="O3046">
        <v>53.9784241902112</v>
      </c>
      <c r="P3046">
        <v>-4.2601783196527201E-2</v>
      </c>
      <c r="Q3046">
        <v>0</v>
      </c>
      <c r="R3046">
        <v>0.988325256600882</v>
      </c>
      <c r="S3046" t="s">
        <v>8629</v>
      </c>
      <c r="T3046" t="s">
        <v>11164</v>
      </c>
      <c r="U3046" t="s">
        <v>11164</v>
      </c>
      <c r="V3046" t="s">
        <v>11164</v>
      </c>
      <c r="W3046" t="s">
        <v>14171</v>
      </c>
      <c r="X3046">
        <v>5</v>
      </c>
      <c r="Y3046" t="s">
        <v>19664</v>
      </c>
      <c r="Z3046" t="s">
        <v>25196</v>
      </c>
      <c r="AA3046">
        <v>0.6486763302840135</v>
      </c>
      <c r="AB3046" t="str">
        <f>HYPERLINK("Melting_Curves/meltCurve_Q14964_RAB39A.pdf", "Melting_Curves/meltCurve_Q14964_RAB39A.pdf")</f>
        <v>Melting_Curves/meltCurve_Q14964_RAB39A.pdf</v>
      </c>
    </row>
    <row r="3047" spans="1:28" x14ac:dyDescent="0.25">
      <c r="A3047" t="s">
        <v>3051</v>
      </c>
      <c r="B3047">
        <v>0.99796759195183404</v>
      </c>
      <c r="C3047">
        <v>0.848224801674335</v>
      </c>
      <c r="D3047">
        <v>0.81987352884090503</v>
      </c>
      <c r="E3047">
        <v>0.80755646837893102</v>
      </c>
      <c r="F3047">
        <v>0.61934139725258497</v>
      </c>
      <c r="G3047">
        <v>0.42695474153907798</v>
      </c>
      <c r="H3047">
        <v>0.33044668181236098</v>
      </c>
      <c r="I3047">
        <v>0.213374824561161</v>
      </c>
      <c r="J3047">
        <v>0.23721197546296</v>
      </c>
      <c r="K3047">
        <v>0.202686640834492</v>
      </c>
      <c r="L3047">
        <v>440.96308507406701</v>
      </c>
      <c r="M3047">
        <v>8.5221544409157595</v>
      </c>
      <c r="N3047">
        <v>52.532718103121503</v>
      </c>
      <c r="O3047">
        <v>49.1300618521052</v>
      </c>
      <c r="P3047">
        <v>-4.0794838795571997E-2</v>
      </c>
      <c r="Q3047">
        <v>6.0112391412889203E-2</v>
      </c>
      <c r="R3047">
        <v>0.97641133545737302</v>
      </c>
      <c r="S3047" t="s">
        <v>8630</v>
      </c>
      <c r="T3047" t="s">
        <v>11164</v>
      </c>
      <c r="U3047" t="s">
        <v>11164</v>
      </c>
      <c r="V3047" t="s">
        <v>11164</v>
      </c>
      <c r="W3047" t="s">
        <v>14172</v>
      </c>
      <c r="X3047">
        <v>8</v>
      </c>
      <c r="Y3047" t="s">
        <v>19665</v>
      </c>
      <c r="Z3047" t="s">
        <v>25197</v>
      </c>
      <c r="AA3047">
        <v>0.54990507327399929</v>
      </c>
      <c r="AB3047" t="str">
        <f>HYPERLINK("Melting_Curves/meltCurve_Q14966_ZNF638.pdf", "Melting_Curves/meltCurve_Q14966_ZNF638.pdf")</f>
        <v>Melting_Curves/meltCurve_Q14966_ZNF638.pdf</v>
      </c>
    </row>
    <row r="3048" spans="1:28" x14ac:dyDescent="0.25">
      <c r="A3048" t="s">
        <v>3052</v>
      </c>
      <c r="B3048">
        <v>0.99796759195183404</v>
      </c>
      <c r="C3048">
        <v>1.0203329086950199</v>
      </c>
      <c r="D3048">
        <v>0.94555027309059403</v>
      </c>
      <c r="E3048">
        <v>0.83060346080104197</v>
      </c>
      <c r="F3048">
        <v>0.68304548328762404</v>
      </c>
      <c r="G3048">
        <v>0.40708545030244703</v>
      </c>
      <c r="H3048">
        <v>0.187286243183197</v>
      </c>
      <c r="I3048">
        <v>0.14535601480275001</v>
      </c>
      <c r="J3048">
        <v>0.10807883250379</v>
      </c>
      <c r="K3048">
        <v>8.49985324119545E-2</v>
      </c>
      <c r="L3048">
        <v>815.23643921880705</v>
      </c>
      <c r="M3048">
        <v>15.7034806110346</v>
      </c>
      <c r="N3048">
        <v>52.292417238721498</v>
      </c>
      <c r="O3048">
        <v>51.094376604517002</v>
      </c>
      <c r="P3048">
        <v>-7.2718860756618806E-2</v>
      </c>
      <c r="Q3048">
        <v>5.3659226441760702E-2</v>
      </c>
      <c r="R3048">
        <v>0.99633437328621399</v>
      </c>
      <c r="S3048" t="s">
        <v>8631</v>
      </c>
      <c r="T3048" t="s">
        <v>11164</v>
      </c>
      <c r="U3048" t="s">
        <v>11164</v>
      </c>
      <c r="V3048" t="s">
        <v>11164</v>
      </c>
      <c r="W3048" t="s">
        <v>14173</v>
      </c>
      <c r="X3048">
        <v>30</v>
      </c>
      <c r="Y3048" t="s">
        <v>19666</v>
      </c>
      <c r="Z3048" t="s">
        <v>25198</v>
      </c>
      <c r="AA3048">
        <v>0.54135265675562683</v>
      </c>
      <c r="AB3048" t="str">
        <f>HYPERLINK("Melting_Curves/meltCurve_Q14974_KPNB1.pdf", "Melting_Curves/meltCurve_Q14974_KPNB1.pdf")</f>
        <v>Melting_Curves/meltCurve_Q14974_KPNB1.pdf</v>
      </c>
    </row>
    <row r="3049" spans="1:28" x14ac:dyDescent="0.25">
      <c r="A3049" t="s">
        <v>3053</v>
      </c>
      <c r="B3049">
        <v>0.99796759195183404</v>
      </c>
      <c r="C3049">
        <v>0.82701122591521603</v>
      </c>
      <c r="D3049">
        <v>0.84622386756509804</v>
      </c>
      <c r="E3049">
        <v>0.85951024993451497</v>
      </c>
      <c r="F3049">
        <v>0.71985761654296299</v>
      </c>
      <c r="G3049">
        <v>0.66730786905853701</v>
      </c>
      <c r="H3049">
        <v>0.51510118859560505</v>
      </c>
      <c r="I3049">
        <v>0.34726913112562502</v>
      </c>
      <c r="J3049">
        <v>0.24213851234512199</v>
      </c>
      <c r="K3049">
        <v>0.25748403775784501</v>
      </c>
      <c r="L3049">
        <v>405.92233368546403</v>
      </c>
      <c r="M3049">
        <v>7.1491473344523602</v>
      </c>
      <c r="N3049">
        <v>56.779130913900197</v>
      </c>
      <c r="O3049">
        <v>52.839983236366201</v>
      </c>
      <c r="P3049">
        <v>-3.38825505210388E-2</v>
      </c>
      <c r="Q3049">
        <v>0</v>
      </c>
      <c r="R3049">
        <v>0.95110286962699997</v>
      </c>
      <c r="S3049" t="s">
        <v>8632</v>
      </c>
      <c r="T3049" t="s">
        <v>11164</v>
      </c>
      <c r="U3049" t="s">
        <v>11164</v>
      </c>
      <c r="V3049" t="s">
        <v>11164</v>
      </c>
      <c r="W3049" t="s">
        <v>14174</v>
      </c>
      <c r="X3049">
        <v>25</v>
      </c>
      <c r="Y3049" t="s">
        <v>19667</v>
      </c>
      <c r="Z3049" t="s">
        <v>25199</v>
      </c>
      <c r="AA3049">
        <v>0.64434363618278101</v>
      </c>
      <c r="AB3049" t="str">
        <f>HYPERLINK("Melting_Curves/meltCurve_Q14978_NOLC1.pdf", "Melting_Curves/meltCurve_Q14978_NOLC1.pdf")</f>
        <v>Melting_Curves/meltCurve_Q14978_NOLC1.pdf</v>
      </c>
    </row>
    <row r="3050" spans="1:28" x14ac:dyDescent="0.25">
      <c r="A3050" t="s">
        <v>3054</v>
      </c>
      <c r="B3050">
        <v>0.99796759195183404</v>
      </c>
      <c r="C3050">
        <v>0.93872089394651703</v>
      </c>
      <c r="D3050">
        <v>0.89856074274834496</v>
      </c>
      <c r="E3050">
        <v>0.80033852586810506</v>
      </c>
      <c r="F3050">
        <v>0.59556805248655598</v>
      </c>
      <c r="G3050">
        <v>0.42518486901018698</v>
      </c>
      <c r="H3050">
        <v>0.22675944618889299</v>
      </c>
      <c r="I3050">
        <v>0.17481342695680399</v>
      </c>
      <c r="J3050">
        <v>0.146095306527084</v>
      </c>
      <c r="K3050">
        <v>0.11894256440956499</v>
      </c>
      <c r="L3050">
        <v>615.37155516465498</v>
      </c>
      <c r="M3050">
        <v>11.9776829387813</v>
      </c>
      <c r="N3050">
        <v>51.885415848573501</v>
      </c>
      <c r="O3050">
        <v>50.007256954433103</v>
      </c>
      <c r="P3050">
        <v>-5.6574860553047002E-2</v>
      </c>
      <c r="Q3050">
        <v>5.5421068490244599E-2</v>
      </c>
      <c r="R3050">
        <v>0.99673688086740198</v>
      </c>
      <c r="S3050" t="s">
        <v>8633</v>
      </c>
      <c r="T3050" t="s">
        <v>11164</v>
      </c>
      <c r="U3050" t="s">
        <v>11164</v>
      </c>
      <c r="V3050" t="s">
        <v>11164</v>
      </c>
      <c r="W3050" t="s">
        <v>14175</v>
      </c>
      <c r="X3050">
        <v>49</v>
      </c>
      <c r="Y3050" t="s">
        <v>19668</v>
      </c>
      <c r="Z3050" t="s">
        <v>25200</v>
      </c>
      <c r="AA3050">
        <v>0.53194000486564996</v>
      </c>
      <c r="AB3050" t="str">
        <f>HYPERLINK("Melting_Curves/meltCurve_Q14980_2_NUMA1.pdf", "Melting_Curves/meltCurve_Q14980_2_NUMA1.pdf")</f>
        <v>Melting_Curves/meltCurve_Q14980_2_NUMA1.pdf</v>
      </c>
    </row>
    <row r="3051" spans="1:28" x14ac:dyDescent="0.25">
      <c r="A3051" t="s">
        <v>3055</v>
      </c>
      <c r="B3051">
        <v>0.99796759195183404</v>
      </c>
      <c r="C3051">
        <v>0.98251997187358797</v>
      </c>
      <c r="D3051">
        <v>0.963118745925442</v>
      </c>
      <c r="E3051">
        <v>0.92577350757652999</v>
      </c>
      <c r="F3051">
        <v>0.60718439488742304</v>
      </c>
      <c r="G3051">
        <v>0.37879118861584399</v>
      </c>
      <c r="H3051">
        <v>0.207748774360063</v>
      </c>
      <c r="I3051">
        <v>0.163154613403065</v>
      </c>
      <c r="J3051">
        <v>0.11727183280753301</v>
      </c>
      <c r="K3051">
        <v>9.3463791796114304E-2</v>
      </c>
      <c r="L3051">
        <v>968.71229792075405</v>
      </c>
      <c r="M3051">
        <v>18.887968031683499</v>
      </c>
      <c r="N3051">
        <v>51.906881433769001</v>
      </c>
      <c r="O3051">
        <v>50.722749231080599</v>
      </c>
      <c r="P3051">
        <v>-8.3701798085381696E-2</v>
      </c>
      <c r="Q3051">
        <v>0.10092776225781</v>
      </c>
      <c r="R3051">
        <v>0.99690937196788398</v>
      </c>
      <c r="S3051" t="s">
        <v>8634</v>
      </c>
      <c r="T3051" t="s">
        <v>11164</v>
      </c>
      <c r="U3051" t="s">
        <v>11164</v>
      </c>
      <c r="V3051" t="s">
        <v>11164</v>
      </c>
      <c r="W3051" t="s">
        <v>14176</v>
      </c>
      <c r="X3051">
        <v>1</v>
      </c>
      <c r="Y3051" t="s">
        <v>19669</v>
      </c>
      <c r="Z3051" t="s">
        <v>25201</v>
      </c>
      <c r="AA3051">
        <v>0.54196949684532625</v>
      </c>
      <c r="AB3051" t="str">
        <f>HYPERLINK("Melting_Curves/meltCurve_Q14BN4_2_SLMAP.pdf", "Melting_Curves/meltCurve_Q14BN4_2_SLMAP.pdf")</f>
        <v>Melting_Curves/meltCurve_Q14BN4_2_SLMAP.pdf</v>
      </c>
    </row>
    <row r="3052" spans="1:28" x14ac:dyDescent="0.25">
      <c r="A3052" t="s">
        <v>3056</v>
      </c>
      <c r="B3052">
        <v>0.99796759195183404</v>
      </c>
      <c r="C3052">
        <v>0.95819533402781198</v>
      </c>
      <c r="D3052">
        <v>0.96315764052612396</v>
      </c>
      <c r="E3052">
        <v>0.89201345466444504</v>
      </c>
      <c r="F3052">
        <v>0.77637594987357506</v>
      </c>
      <c r="G3052">
        <v>0.38935326006262699</v>
      </c>
      <c r="H3052">
        <v>0.262358977761384</v>
      </c>
      <c r="I3052">
        <v>0.19940246851648599</v>
      </c>
      <c r="J3052">
        <v>0.15413086521113201</v>
      </c>
      <c r="K3052">
        <v>0.121787481386326</v>
      </c>
      <c r="L3052">
        <v>1069.8173248676401</v>
      </c>
      <c r="M3052">
        <v>20.528028734085801</v>
      </c>
      <c r="N3052">
        <v>52.918894798895103</v>
      </c>
      <c r="O3052">
        <v>51.627976312068697</v>
      </c>
      <c r="P3052">
        <v>-8.6090271519782394E-2</v>
      </c>
      <c r="Q3052">
        <v>0.13395786303030099</v>
      </c>
      <c r="R3052">
        <v>0.99283685913235598</v>
      </c>
      <c r="S3052" t="s">
        <v>8635</v>
      </c>
      <c r="T3052" t="s">
        <v>11164</v>
      </c>
      <c r="U3052" t="s">
        <v>11164</v>
      </c>
      <c r="V3052" t="s">
        <v>11164</v>
      </c>
      <c r="W3052" t="s">
        <v>14177</v>
      </c>
      <c r="X3052">
        <v>20</v>
      </c>
      <c r="Y3052" t="s">
        <v>19670</v>
      </c>
      <c r="Z3052" t="s">
        <v>25202</v>
      </c>
      <c r="AA3052">
        <v>0.58100998002689852</v>
      </c>
      <c r="AB3052" t="str">
        <f>HYPERLINK("Melting_Curves/meltCurve_Q14C86_6_GAPVD1.pdf", "Melting_Curves/meltCurve_Q14C86_6_GAPVD1.pdf")</f>
        <v>Melting_Curves/meltCurve_Q14C86_6_GAPVD1.pdf</v>
      </c>
    </row>
    <row r="3053" spans="1:28" x14ac:dyDescent="0.25">
      <c r="A3053" t="s">
        <v>3057</v>
      </c>
      <c r="B3053">
        <v>0.99796759195183404</v>
      </c>
      <c r="C3053">
        <v>1.0129928889232001</v>
      </c>
      <c r="D3053">
        <v>0.91438467828555703</v>
      </c>
      <c r="E3053">
        <v>0.80908480087409596</v>
      </c>
      <c r="F3053">
        <v>0.69078622606468199</v>
      </c>
      <c r="G3053">
        <v>0.41423267022489002</v>
      </c>
      <c r="H3053">
        <v>0.31075337333604702</v>
      </c>
      <c r="I3053">
        <v>0.25796918365542398</v>
      </c>
      <c r="J3053">
        <v>0.22852876425646401</v>
      </c>
      <c r="K3053">
        <v>0.170887341097228</v>
      </c>
      <c r="L3053">
        <v>692.67613799393098</v>
      </c>
      <c r="M3053">
        <v>13.491848648520801</v>
      </c>
      <c r="N3053">
        <v>52.7849951691271</v>
      </c>
      <c r="O3053">
        <v>50.251820039057399</v>
      </c>
      <c r="P3053">
        <v>-5.6768050145374303E-2</v>
      </c>
      <c r="Q3053">
        <v>0.15437480199911399</v>
      </c>
      <c r="R3053">
        <v>0.99334855323471405</v>
      </c>
      <c r="S3053" t="s">
        <v>8636</v>
      </c>
      <c r="T3053" t="s">
        <v>11164</v>
      </c>
      <c r="U3053" t="s">
        <v>11164</v>
      </c>
      <c r="V3053" t="s">
        <v>11164</v>
      </c>
      <c r="W3053" t="s">
        <v>14178</v>
      </c>
      <c r="X3053">
        <v>4</v>
      </c>
      <c r="Y3053" t="s">
        <v>19671</v>
      </c>
      <c r="Z3053" t="s">
        <v>25203</v>
      </c>
      <c r="AA3053">
        <v>0.57758861166311559</v>
      </c>
      <c r="AB3053" t="str">
        <f>HYPERLINK("Melting_Curves/meltCurve_Q14CS0_UBXN2B.pdf", "Melting_Curves/meltCurve_Q14CS0_UBXN2B.pdf")</f>
        <v>Melting_Curves/meltCurve_Q14CS0_UBXN2B.pdf</v>
      </c>
    </row>
    <row r="3054" spans="1:28" x14ac:dyDescent="0.25">
      <c r="A3054" t="s">
        <v>3058</v>
      </c>
      <c r="B3054">
        <v>0.99796759195183404</v>
      </c>
      <c r="C3054">
        <v>0.99777377296065795</v>
      </c>
      <c r="D3054">
        <v>0.97872011796429104</v>
      </c>
      <c r="E3054">
        <v>0.92292147323373597</v>
      </c>
      <c r="F3054">
        <v>0.81178669043234097</v>
      </c>
      <c r="G3054">
        <v>0.73505328494009003</v>
      </c>
      <c r="H3054">
        <v>0.31819501374778397</v>
      </c>
      <c r="I3054">
        <v>0.22948647931831201</v>
      </c>
      <c r="J3054">
        <v>0.17855846949870199</v>
      </c>
      <c r="K3054">
        <v>0.15750723105791201</v>
      </c>
      <c r="L3054">
        <v>1025.27933493359</v>
      </c>
      <c r="M3054">
        <v>18.673299090619501</v>
      </c>
      <c r="N3054">
        <v>55.674103264487499</v>
      </c>
      <c r="O3054">
        <v>54.2881003836427</v>
      </c>
      <c r="P3054">
        <v>-7.6231862608960005E-2</v>
      </c>
      <c r="Q3054">
        <v>0.113535035906264</v>
      </c>
      <c r="R3054">
        <v>0.98386720775512304</v>
      </c>
      <c r="S3054" t="s">
        <v>8637</v>
      </c>
      <c r="T3054" t="s">
        <v>11164</v>
      </c>
      <c r="U3054" t="s">
        <v>11164</v>
      </c>
      <c r="V3054" t="s">
        <v>11164</v>
      </c>
      <c r="W3054" t="s">
        <v>14179</v>
      </c>
      <c r="X3054">
        <v>12</v>
      </c>
      <c r="Y3054" t="s">
        <v>19672</v>
      </c>
      <c r="Z3054" t="s">
        <v>25204</v>
      </c>
      <c r="AA3054">
        <v>0.65351796354318592</v>
      </c>
      <c r="AB3054" t="str">
        <f>HYPERLINK("Melting_Curves/meltCurve_Q14CX7_2_NAA25.pdf", "Melting_Curves/meltCurve_Q14CX7_2_NAA25.pdf")</f>
        <v>Melting_Curves/meltCurve_Q14CX7_2_NAA25.pdf</v>
      </c>
    </row>
    <row r="3055" spans="1:28" x14ac:dyDescent="0.25">
      <c r="A3055" t="s">
        <v>3059</v>
      </c>
      <c r="B3055">
        <v>0.99796759195183404</v>
      </c>
      <c r="C3055">
        <v>0.90204131314381697</v>
      </c>
      <c r="D3055">
        <v>0.86298308041708405</v>
      </c>
      <c r="E3055">
        <v>0.68933776288615001</v>
      </c>
      <c r="F3055">
        <v>0.34076978899131299</v>
      </c>
      <c r="G3055">
        <v>0.243919222843344</v>
      </c>
      <c r="H3055">
        <v>0.21825943797740899</v>
      </c>
      <c r="I3055">
        <v>0.17007632440282799</v>
      </c>
      <c r="J3055">
        <v>7.1532185472410206E-2</v>
      </c>
      <c r="K3055">
        <v>6.5126625341838995E-2</v>
      </c>
      <c r="L3055">
        <v>676.48921781021897</v>
      </c>
      <c r="M3055">
        <v>14.0720554964365</v>
      </c>
      <c r="N3055">
        <v>48.674484945395399</v>
      </c>
      <c r="O3055">
        <v>47.1336410334265</v>
      </c>
      <c r="P3055">
        <v>-6.8693477944555201E-2</v>
      </c>
      <c r="Q3055">
        <v>7.9777927765753806E-2</v>
      </c>
      <c r="R3055">
        <v>0.98630654058238099</v>
      </c>
      <c r="S3055" t="s">
        <v>8638</v>
      </c>
      <c r="T3055" t="s">
        <v>11164</v>
      </c>
      <c r="U3055" t="s">
        <v>11164</v>
      </c>
      <c r="V3055" t="s">
        <v>11164</v>
      </c>
      <c r="W3055" t="s">
        <v>14180</v>
      </c>
      <c r="X3055">
        <v>3</v>
      </c>
      <c r="Y3055" t="s">
        <v>19673</v>
      </c>
      <c r="Z3055" t="s">
        <v>25205</v>
      </c>
      <c r="AA3055">
        <v>0.44191551651000238</v>
      </c>
      <c r="AB3055" t="str">
        <f>HYPERLINK("Melting_Curves/meltCurve_Q14CZ7_FASTKD3.pdf", "Melting_Curves/meltCurve_Q14CZ7_FASTKD3.pdf")</f>
        <v>Melting_Curves/meltCurve_Q14CZ7_FASTKD3.pdf</v>
      </c>
    </row>
    <row r="3056" spans="1:28" x14ac:dyDescent="0.25">
      <c r="A3056" t="s">
        <v>3060</v>
      </c>
      <c r="B3056">
        <v>0.99796759195183404</v>
      </c>
      <c r="C3056">
        <v>1.0763448772931801</v>
      </c>
      <c r="D3056">
        <v>1.0863081702513699</v>
      </c>
      <c r="E3056">
        <v>1.0420084410813699</v>
      </c>
      <c r="F3056">
        <v>0.99976009798648902</v>
      </c>
      <c r="G3056">
        <v>0.85042319132095601</v>
      </c>
      <c r="H3056">
        <v>0.89751447990300803</v>
      </c>
      <c r="I3056">
        <v>0.802814275627447</v>
      </c>
      <c r="J3056">
        <v>0.93834035920101799</v>
      </c>
      <c r="K3056">
        <v>0.84223837618427499</v>
      </c>
      <c r="L3056">
        <v>12851.4941417028</v>
      </c>
      <c r="M3056">
        <v>250</v>
      </c>
      <c r="O3056">
        <v>51.402673185982401</v>
      </c>
      <c r="P3056">
        <v>-0.16260600309991199</v>
      </c>
      <c r="Q3056">
        <v>0.86626583249498101</v>
      </c>
      <c r="R3056">
        <v>0.72190919624281202</v>
      </c>
      <c r="S3056" t="s">
        <v>8639</v>
      </c>
      <c r="T3056" t="s">
        <v>11164</v>
      </c>
      <c r="U3056" t="s">
        <v>11164</v>
      </c>
      <c r="V3056" t="s">
        <v>11164</v>
      </c>
      <c r="W3056" t="s">
        <v>14181</v>
      </c>
      <c r="X3056">
        <v>8</v>
      </c>
      <c r="Y3056" t="s">
        <v>19674</v>
      </c>
      <c r="Z3056" t="s">
        <v>25206</v>
      </c>
      <c r="AA3056">
        <v>0.93049694032406605</v>
      </c>
      <c r="AB3056" t="str">
        <f>HYPERLINK("Melting_Curves/meltCurve_Q15004_KIAA0101.pdf", "Melting_Curves/meltCurve_Q15004_KIAA0101.pdf")</f>
        <v>Melting_Curves/meltCurve_Q15004_KIAA0101.pdf</v>
      </c>
    </row>
    <row r="3057" spans="1:28" x14ac:dyDescent="0.25">
      <c r="A3057" t="s">
        <v>3061</v>
      </c>
      <c r="B3057">
        <v>0.99796759195183404</v>
      </c>
      <c r="C3057">
        <v>0.96624805739494002</v>
      </c>
      <c r="D3057">
        <v>0.97369251316784999</v>
      </c>
      <c r="E3057">
        <v>0.87471075342874505</v>
      </c>
      <c r="F3057">
        <v>0.85465330957733399</v>
      </c>
      <c r="G3057">
        <v>1.0949360018052099</v>
      </c>
      <c r="H3057">
        <v>0.78672780972956702</v>
      </c>
      <c r="I3057">
        <v>0.25916581446591902</v>
      </c>
      <c r="J3057">
        <v>0.177671304586485</v>
      </c>
      <c r="K3057">
        <v>0.126232327572256</v>
      </c>
      <c r="L3057">
        <v>3032.01933510239</v>
      </c>
      <c r="M3057">
        <v>51.6639066683992</v>
      </c>
      <c r="N3057">
        <v>59.0879689352696</v>
      </c>
      <c r="O3057">
        <v>58.5996374611791</v>
      </c>
      <c r="P3057">
        <v>-0.18784580233282699</v>
      </c>
      <c r="Q3057">
        <v>0.14774620449991199</v>
      </c>
      <c r="R3057">
        <v>0.95977736990142304</v>
      </c>
      <c r="S3057" t="s">
        <v>8640</v>
      </c>
      <c r="T3057" t="s">
        <v>11164</v>
      </c>
      <c r="U3057" t="s">
        <v>11164</v>
      </c>
      <c r="V3057" t="s">
        <v>11164</v>
      </c>
      <c r="W3057" t="s">
        <v>14182</v>
      </c>
      <c r="X3057">
        <v>3</v>
      </c>
      <c r="Y3057" t="s">
        <v>19675</v>
      </c>
      <c r="Z3057" t="s">
        <v>25207</v>
      </c>
      <c r="AA3057">
        <v>0.76584454728806406</v>
      </c>
      <c r="AB3057" t="str">
        <f>HYPERLINK("Melting_Curves/meltCurve_Q15006_EMC2.pdf", "Melting_Curves/meltCurve_Q15006_EMC2.pdf")</f>
        <v>Melting_Curves/meltCurve_Q15006_EMC2.pdf</v>
      </c>
    </row>
    <row r="3058" spans="1:28" x14ac:dyDescent="0.25">
      <c r="A3058" t="s">
        <v>3062</v>
      </c>
      <c r="B3058">
        <v>0.99796759195183404</v>
      </c>
      <c r="C3058">
        <v>0.98761134205424495</v>
      </c>
      <c r="D3058">
        <v>0.85089319618321402</v>
      </c>
      <c r="E3058">
        <v>0.77171810244055306</v>
      </c>
      <c r="F3058">
        <v>0.72928686102484996</v>
      </c>
      <c r="G3058">
        <v>0.44915327205332001</v>
      </c>
      <c r="H3058">
        <v>0.32130860871963202</v>
      </c>
      <c r="I3058">
        <v>0.27577720958260299</v>
      </c>
      <c r="J3058">
        <v>0.26323622111538603</v>
      </c>
      <c r="K3058">
        <v>0.242617068919562</v>
      </c>
      <c r="L3058">
        <v>570.26179647579602</v>
      </c>
      <c r="M3058">
        <v>11.104495113137199</v>
      </c>
      <c r="N3058">
        <v>53.277951205651298</v>
      </c>
      <c r="O3058">
        <v>49.773084115057401</v>
      </c>
      <c r="P3058">
        <v>-4.6578543366949797E-2</v>
      </c>
      <c r="Q3058">
        <v>0.16516550208094599</v>
      </c>
      <c r="R3058">
        <v>0.98002604516530201</v>
      </c>
      <c r="S3058" t="s">
        <v>8641</v>
      </c>
      <c r="T3058" t="s">
        <v>11164</v>
      </c>
      <c r="U3058" t="s">
        <v>11164</v>
      </c>
      <c r="V3058" t="s">
        <v>11164</v>
      </c>
      <c r="W3058" t="s">
        <v>14183</v>
      </c>
      <c r="X3058">
        <v>2</v>
      </c>
      <c r="Y3058" t="s">
        <v>19676</v>
      </c>
      <c r="Z3058" t="s">
        <v>25208</v>
      </c>
      <c r="AA3058">
        <v>0.58716835710941573</v>
      </c>
      <c r="AB3058" t="str">
        <f>HYPERLINK("Melting_Curves/meltCurve_Q15007_WTAP.pdf", "Melting_Curves/meltCurve_Q15007_WTAP.pdf")</f>
        <v>Melting_Curves/meltCurve_Q15007_WTAP.pdf</v>
      </c>
    </row>
    <row r="3059" spans="1:28" x14ac:dyDescent="0.25">
      <c r="A3059" t="s">
        <v>3063</v>
      </c>
      <c r="B3059">
        <v>0.99796759195183404</v>
      </c>
      <c r="C3059">
        <v>1.10617968741003</v>
      </c>
      <c r="D3059">
        <v>1.0877295684918</v>
      </c>
      <c r="E3059">
        <v>0.99689236855323105</v>
      </c>
      <c r="F3059">
        <v>0.86158513393647496</v>
      </c>
      <c r="G3059">
        <v>0.83510954096557199</v>
      </c>
      <c r="H3059">
        <v>0.47944497666213998</v>
      </c>
      <c r="I3059">
        <v>0.35404478979624798</v>
      </c>
      <c r="J3059">
        <v>0.140090236938265</v>
      </c>
      <c r="K3059">
        <v>9.3709430805520993E-2</v>
      </c>
      <c r="L3059">
        <v>953.86446355930195</v>
      </c>
      <c r="M3059">
        <v>16.482223151827</v>
      </c>
      <c r="N3059">
        <v>57.8723185111837</v>
      </c>
      <c r="O3059">
        <v>57.040554593007897</v>
      </c>
      <c r="P3059">
        <v>-7.2244117954221698E-2</v>
      </c>
      <c r="Q3059">
        <v>0</v>
      </c>
      <c r="R3059">
        <v>0.97546562897723998</v>
      </c>
      <c r="S3059" t="s">
        <v>8642</v>
      </c>
      <c r="T3059" t="s">
        <v>11164</v>
      </c>
      <c r="U3059" t="s">
        <v>11164</v>
      </c>
      <c r="V3059" t="s">
        <v>11164</v>
      </c>
      <c r="W3059" t="s">
        <v>14184</v>
      </c>
      <c r="X3059">
        <v>12</v>
      </c>
      <c r="Y3059" t="s">
        <v>19677</v>
      </c>
      <c r="Z3059" t="s">
        <v>25209</v>
      </c>
      <c r="AA3059">
        <v>0.70170030083959789</v>
      </c>
      <c r="AB3059" t="str">
        <f>HYPERLINK("Melting_Curves/meltCurve_Q15008_PSMD6.pdf", "Melting_Curves/meltCurve_Q15008_PSMD6.pdf")</f>
        <v>Melting_Curves/meltCurve_Q15008_PSMD6.pdf</v>
      </c>
    </row>
    <row r="3060" spans="1:28" x14ac:dyDescent="0.25">
      <c r="A3060" t="s">
        <v>3064</v>
      </c>
      <c r="B3060">
        <v>0.99796759195183404</v>
      </c>
      <c r="C3060">
        <v>0.97475289617455096</v>
      </c>
      <c r="D3060">
        <v>0.85352062933000505</v>
      </c>
      <c r="E3060">
        <v>0.90262967002022998</v>
      </c>
      <c r="F3060">
        <v>0.73528242871275695</v>
      </c>
      <c r="G3060">
        <v>0.61604454521962404</v>
      </c>
      <c r="H3060">
        <v>0.54578191979899504</v>
      </c>
      <c r="I3060">
        <v>0.54804456928183898</v>
      </c>
      <c r="J3060">
        <v>0.42022036127840301</v>
      </c>
      <c r="K3060">
        <v>0.198582259439604</v>
      </c>
      <c r="L3060">
        <v>387.60375455276301</v>
      </c>
      <c r="M3060">
        <v>6.5659085624366504</v>
      </c>
      <c r="N3060">
        <v>59.0327676260438</v>
      </c>
      <c r="O3060">
        <v>54.275631792666097</v>
      </c>
      <c r="P3060">
        <v>-3.0314173870137798E-2</v>
      </c>
      <c r="Q3060">
        <v>0</v>
      </c>
      <c r="R3060">
        <v>0.94186552952374303</v>
      </c>
      <c r="S3060" t="s">
        <v>8643</v>
      </c>
      <c r="T3060" t="s">
        <v>11164</v>
      </c>
      <c r="U3060" t="s">
        <v>11164</v>
      </c>
      <c r="V3060" t="s">
        <v>11164</v>
      </c>
      <c r="W3060" t="s">
        <v>14185</v>
      </c>
      <c r="X3060">
        <v>1</v>
      </c>
      <c r="Y3060" t="s">
        <v>19678</v>
      </c>
      <c r="Z3060" t="s">
        <v>25210</v>
      </c>
      <c r="AA3060">
        <v>0.68656912967160466</v>
      </c>
      <c r="AB3060" t="str">
        <f>HYPERLINK("Melting_Curves/meltCurve_Q15012_LAPTM4A.pdf", "Melting_Curves/meltCurve_Q15012_LAPTM4A.pdf")</f>
        <v>Melting_Curves/meltCurve_Q15012_LAPTM4A.pdf</v>
      </c>
    </row>
    <row r="3061" spans="1:28" x14ac:dyDescent="0.25">
      <c r="A3061" t="s">
        <v>3065</v>
      </c>
      <c r="B3061">
        <v>0.99796759195183404</v>
      </c>
      <c r="C3061">
        <v>0.97974092488587805</v>
      </c>
      <c r="D3061">
        <v>1.1292590002919201</v>
      </c>
      <c r="E3061">
        <v>1.07934929335137</v>
      </c>
      <c r="F3061">
        <v>0.70253493345511997</v>
      </c>
      <c r="G3061">
        <v>0.68992384776143201</v>
      </c>
      <c r="H3061">
        <v>0.31716612623659102</v>
      </c>
      <c r="I3061">
        <v>0.17005530336805599</v>
      </c>
      <c r="J3061">
        <v>0.19139499869627899</v>
      </c>
      <c r="K3061">
        <v>3.7987691943389697E-2</v>
      </c>
      <c r="L3061">
        <v>943.63440401725302</v>
      </c>
      <c r="M3061">
        <v>17.1743161483226</v>
      </c>
      <c r="N3061">
        <v>55.228806206414802</v>
      </c>
      <c r="O3061">
        <v>54.215807239202498</v>
      </c>
      <c r="P3061">
        <v>-7.5848403685743901E-2</v>
      </c>
      <c r="Q3061">
        <v>4.2305201126631602E-2</v>
      </c>
      <c r="R3061">
        <v>0.95579634756542597</v>
      </c>
      <c r="S3061" t="s">
        <v>8644</v>
      </c>
      <c r="T3061" t="s">
        <v>11164</v>
      </c>
      <c r="U3061" t="s">
        <v>11164</v>
      </c>
      <c r="V3061" t="s">
        <v>11164</v>
      </c>
      <c r="W3061" t="s">
        <v>14186</v>
      </c>
      <c r="X3061">
        <v>1</v>
      </c>
      <c r="Y3061" t="s">
        <v>19679</v>
      </c>
      <c r="Z3061" t="s">
        <v>25211</v>
      </c>
      <c r="AA3061">
        <v>0.62773246568154839</v>
      </c>
      <c r="AB3061" t="str">
        <f>HYPERLINK("Melting_Curves/meltCurve_Q15013_MAD2L1BP.pdf", "Melting_Curves/meltCurve_Q15013_MAD2L1BP.pdf")</f>
        <v>Melting_Curves/meltCurve_Q15013_MAD2L1BP.pdf</v>
      </c>
    </row>
    <row r="3062" spans="1:28" x14ac:dyDescent="0.25">
      <c r="A3062" t="s">
        <v>3066</v>
      </c>
      <c r="B3062">
        <v>0.99796759195183404</v>
      </c>
      <c r="C3062">
        <v>1.0090527481039999</v>
      </c>
      <c r="D3062">
        <v>1.00769625742048</v>
      </c>
      <c r="E3062">
        <v>0.95855080705465501</v>
      </c>
      <c r="F3062">
        <v>0.85024960597579302</v>
      </c>
      <c r="G3062">
        <v>1.1912446747676999</v>
      </c>
      <c r="H3062">
        <v>1.32408698840499</v>
      </c>
      <c r="I3062">
        <v>1.3313956202064601</v>
      </c>
      <c r="J3062">
        <v>1.1508738241215799</v>
      </c>
      <c r="K3062">
        <v>0.61961449080378495</v>
      </c>
      <c r="L3062">
        <v>15000</v>
      </c>
      <c r="M3062">
        <v>223.392618197855</v>
      </c>
      <c r="Q3062">
        <v>0</v>
      </c>
      <c r="R3062">
        <v>0.29560168522591701</v>
      </c>
      <c r="S3062" t="s">
        <v>8645</v>
      </c>
      <c r="T3062" t="s">
        <v>11164</v>
      </c>
      <c r="U3062" t="s">
        <v>11164</v>
      </c>
      <c r="V3062" t="s">
        <v>11164</v>
      </c>
      <c r="W3062" t="s">
        <v>14187</v>
      </c>
      <c r="X3062">
        <v>13</v>
      </c>
      <c r="Y3062" t="s">
        <v>19680</v>
      </c>
      <c r="Z3062" t="s">
        <v>25212</v>
      </c>
      <c r="AA3062">
        <v>0.99527273055362109</v>
      </c>
      <c r="AB3062" t="str">
        <f>HYPERLINK("Melting_Curves/meltCurve_Q15018_FAM175B.pdf", "Melting_Curves/meltCurve_Q15018_FAM175B.pdf")</f>
        <v>Melting_Curves/meltCurve_Q15018_FAM175B.pdf</v>
      </c>
    </row>
    <row r="3063" spans="1:28" x14ac:dyDescent="0.25">
      <c r="A3063" t="s">
        <v>3067</v>
      </c>
      <c r="B3063">
        <v>0.99796759195183404</v>
      </c>
      <c r="C3063">
        <v>0.90976469809677096</v>
      </c>
      <c r="D3063">
        <v>0.87474760214404401</v>
      </c>
      <c r="E3063">
        <v>0.81384611878942803</v>
      </c>
      <c r="F3063">
        <v>0.68634641232718496</v>
      </c>
      <c r="G3063">
        <v>0.84099243158325498</v>
      </c>
      <c r="H3063">
        <v>0.89053787492533298</v>
      </c>
      <c r="I3063">
        <v>0.79703233185491895</v>
      </c>
      <c r="J3063">
        <v>0.768449600658351</v>
      </c>
      <c r="K3063">
        <v>0.43027849777482602</v>
      </c>
      <c r="L3063">
        <v>194.07719335936201</v>
      </c>
      <c r="M3063">
        <v>2.3044201341291299</v>
      </c>
      <c r="O3063">
        <v>54.355644969532698</v>
      </c>
      <c r="P3063">
        <v>-1.1269386636076E-2</v>
      </c>
      <c r="Q3063">
        <v>0</v>
      </c>
      <c r="R3063">
        <v>0.48274906930728001</v>
      </c>
      <c r="S3063" t="s">
        <v>8646</v>
      </c>
      <c r="T3063" t="s">
        <v>11164</v>
      </c>
      <c r="U3063" t="s">
        <v>11164</v>
      </c>
      <c r="V3063" t="s">
        <v>11164</v>
      </c>
      <c r="W3063" t="s">
        <v>14188</v>
      </c>
      <c r="X3063">
        <v>23</v>
      </c>
      <c r="Y3063" t="s">
        <v>19681</v>
      </c>
      <c r="Z3063" t="s">
        <v>25213</v>
      </c>
      <c r="AA3063">
        <v>0.80365647348052183</v>
      </c>
      <c r="AB3063" t="str">
        <f>HYPERLINK("Melting_Curves/meltCurve_Q15019_SEPT2.pdf", "Melting_Curves/meltCurve_Q15019_SEPT2.pdf")</f>
        <v>Melting_Curves/meltCurve_Q15019_SEPT2.pdf</v>
      </c>
    </row>
    <row r="3064" spans="1:28" x14ac:dyDescent="0.25">
      <c r="A3064" t="s">
        <v>3068</v>
      </c>
      <c r="B3064">
        <v>0.99796759195183404</v>
      </c>
      <c r="C3064">
        <v>1.0110555789223501</v>
      </c>
      <c r="D3064">
        <v>0.90964917321509697</v>
      </c>
      <c r="E3064">
        <v>0.75167319585771597</v>
      </c>
      <c r="F3064">
        <v>0.59096578586751503</v>
      </c>
      <c r="G3064">
        <v>0.26135992973846101</v>
      </c>
      <c r="H3064">
        <v>0.17476545732111401</v>
      </c>
      <c r="I3064">
        <v>0.13303666019182001</v>
      </c>
      <c r="J3064">
        <v>0.103813407613097</v>
      </c>
      <c r="K3064">
        <v>4.7227435763667301E-2</v>
      </c>
      <c r="L3064">
        <v>747.87612367328597</v>
      </c>
      <c r="M3064">
        <v>14.853296466998801</v>
      </c>
      <c r="N3064">
        <v>50.6771390927561</v>
      </c>
      <c r="O3064">
        <v>49.464635472515802</v>
      </c>
      <c r="P3064">
        <v>-7.1654326738396001E-2</v>
      </c>
      <c r="Q3064">
        <v>4.5604012597249402E-2</v>
      </c>
      <c r="R3064">
        <v>0.99347450105514401</v>
      </c>
      <c r="S3064" t="s">
        <v>8647</v>
      </c>
      <c r="T3064" t="s">
        <v>11164</v>
      </c>
      <c r="U3064" t="s">
        <v>11164</v>
      </c>
      <c r="V3064" t="s">
        <v>11164</v>
      </c>
      <c r="W3064" t="s">
        <v>14189</v>
      </c>
      <c r="X3064">
        <v>9</v>
      </c>
      <c r="Y3064" t="s">
        <v>19682</v>
      </c>
      <c r="Z3064" t="s">
        <v>25214</v>
      </c>
      <c r="AA3064">
        <v>0.49032132355351332</v>
      </c>
      <c r="AB3064" t="str">
        <f>HYPERLINK("Melting_Curves/meltCurve_Q15021_NCAPD2.pdf", "Melting_Curves/meltCurve_Q15021_NCAPD2.pdf")</f>
        <v>Melting_Curves/meltCurve_Q15021_NCAPD2.pdf</v>
      </c>
    </row>
    <row r="3065" spans="1:28" x14ac:dyDescent="0.25">
      <c r="A3065" t="s">
        <v>3069</v>
      </c>
      <c r="B3065">
        <v>0.99796759195183404</v>
      </c>
      <c r="C3065">
        <v>1.07094803541901</v>
      </c>
      <c r="D3065">
        <v>0.92975775679920902</v>
      </c>
      <c r="E3065">
        <v>1.0228279116737899</v>
      </c>
      <c r="F3065">
        <v>1.1010522712394399</v>
      </c>
      <c r="G3065">
        <v>2.5501471076245998</v>
      </c>
      <c r="H3065">
        <v>2.0214339359001001</v>
      </c>
      <c r="I3065">
        <v>2.03689458938599</v>
      </c>
      <c r="J3065">
        <v>1.3503896502867501</v>
      </c>
      <c r="K3065">
        <v>0.62034452779038296</v>
      </c>
      <c r="L3065">
        <v>12618.933522761499</v>
      </c>
      <c r="M3065">
        <v>250</v>
      </c>
      <c r="O3065">
        <v>50.472503992506503</v>
      </c>
      <c r="P3065">
        <v>0.61914899347408203</v>
      </c>
      <c r="Q3065">
        <v>1.5</v>
      </c>
      <c r="R3065">
        <v>0.281822644103213</v>
      </c>
      <c r="S3065" t="s">
        <v>8648</v>
      </c>
      <c r="T3065" t="s">
        <v>11164</v>
      </c>
      <c r="U3065" t="s">
        <v>11164</v>
      </c>
      <c r="V3065" t="s">
        <v>11164</v>
      </c>
      <c r="W3065" t="s">
        <v>14190</v>
      </c>
      <c r="X3065">
        <v>6</v>
      </c>
      <c r="Y3065" t="s">
        <v>19683</v>
      </c>
      <c r="Z3065" t="s">
        <v>25215</v>
      </c>
      <c r="AA3065">
        <v>1.2753601397520229</v>
      </c>
      <c r="AB3065" t="str">
        <f>HYPERLINK("Melting_Curves/meltCurve_Q15024_EXOSC7.pdf", "Melting_Curves/meltCurve_Q15024_EXOSC7.pdf")</f>
        <v>Melting_Curves/meltCurve_Q15024_EXOSC7.pdf</v>
      </c>
    </row>
    <row r="3066" spans="1:28" x14ac:dyDescent="0.25">
      <c r="A3066" t="s">
        <v>3070</v>
      </c>
      <c r="B3066">
        <v>0.99796759195183404</v>
      </c>
      <c r="C3066">
        <v>0.96656341771546395</v>
      </c>
      <c r="D3066">
        <v>0.94462944331186605</v>
      </c>
      <c r="E3066">
        <v>0.91283584262427797</v>
      </c>
      <c r="F3066">
        <v>0.93240010988813604</v>
      </c>
      <c r="G3066">
        <v>1.2023608784928399</v>
      </c>
      <c r="H3066">
        <v>1.6927006134710401</v>
      </c>
      <c r="I3066">
        <v>1.5800844794630899</v>
      </c>
      <c r="J3066">
        <v>0.86938466612045295</v>
      </c>
      <c r="K3066">
        <v>0.21359465318637799</v>
      </c>
      <c r="L3066">
        <v>15000</v>
      </c>
      <c r="M3066">
        <v>232.395483356109</v>
      </c>
      <c r="N3066">
        <v>64.700117489655995</v>
      </c>
      <c r="O3066">
        <v>64.540364424873701</v>
      </c>
      <c r="P3066">
        <v>-0.70805969746016995</v>
      </c>
      <c r="Q3066">
        <v>0.21343685072783899</v>
      </c>
      <c r="R3066">
        <v>0.41732723364266999</v>
      </c>
      <c r="S3066" t="s">
        <v>8649</v>
      </c>
      <c r="T3066" t="s">
        <v>11164</v>
      </c>
      <c r="U3066" t="s">
        <v>11164</v>
      </c>
      <c r="V3066" t="s">
        <v>11164</v>
      </c>
      <c r="W3066" t="s">
        <v>14191</v>
      </c>
      <c r="X3066">
        <v>36</v>
      </c>
      <c r="Y3066" t="s">
        <v>19684</v>
      </c>
      <c r="Z3066" t="s">
        <v>25216</v>
      </c>
      <c r="AA3066">
        <v>0.93573822334223833</v>
      </c>
      <c r="AB3066" t="str">
        <f>HYPERLINK("Melting_Curves/meltCurve_Q15029_2_EFTUD2.pdf", "Melting_Curves/meltCurve_Q15029_2_EFTUD2.pdf")</f>
        <v>Melting_Curves/meltCurve_Q15029_2_EFTUD2.pdf</v>
      </c>
    </row>
    <row r="3067" spans="1:28" x14ac:dyDescent="0.25">
      <c r="A3067" t="s">
        <v>3071</v>
      </c>
      <c r="B3067">
        <v>0.99796759195183404</v>
      </c>
      <c r="C3067">
        <v>0.66468425910489104</v>
      </c>
      <c r="D3067">
        <v>0.64359824411584199</v>
      </c>
      <c r="E3067">
        <v>0.61622528544984101</v>
      </c>
      <c r="F3067">
        <v>0.69845128123003197</v>
      </c>
      <c r="G3067">
        <v>0.247894696038054</v>
      </c>
      <c r="H3067">
        <v>0.10364635430223799</v>
      </c>
      <c r="I3067">
        <v>0</v>
      </c>
      <c r="J3067">
        <v>0</v>
      </c>
      <c r="K3067">
        <v>0</v>
      </c>
      <c r="L3067">
        <v>439.61366754135997</v>
      </c>
      <c r="M3067">
        <v>9.1464235721076008</v>
      </c>
      <c r="N3067">
        <v>48.064018138275102</v>
      </c>
      <c r="O3067">
        <v>45.9336773432887</v>
      </c>
      <c r="P3067">
        <v>-4.9814605495024297E-2</v>
      </c>
      <c r="Q3067">
        <v>0</v>
      </c>
      <c r="R3067">
        <v>0.85180192363823704</v>
      </c>
      <c r="S3067" t="s">
        <v>8650</v>
      </c>
      <c r="T3067" t="s">
        <v>11164</v>
      </c>
      <c r="U3067" t="s">
        <v>11164</v>
      </c>
      <c r="V3067" t="s">
        <v>11164</v>
      </c>
      <c r="W3067" t="s">
        <v>14192</v>
      </c>
      <c r="X3067">
        <v>2</v>
      </c>
      <c r="Y3067" t="s">
        <v>19685</v>
      </c>
      <c r="Z3067" t="s">
        <v>25217</v>
      </c>
      <c r="AA3067">
        <v>0.41333171737664581</v>
      </c>
      <c r="AB3067" t="str">
        <f>HYPERLINK("Melting_Curves/meltCurve_Q15032_2_R3HDM1.pdf", "Melting_Curves/meltCurve_Q15032_2_R3HDM1.pdf")</f>
        <v>Melting_Curves/meltCurve_Q15032_2_R3HDM1.pdf</v>
      </c>
    </row>
    <row r="3068" spans="1:28" x14ac:dyDescent="0.25">
      <c r="A3068" t="s">
        <v>3072</v>
      </c>
      <c r="B3068">
        <v>0.99796759195183404</v>
      </c>
      <c r="C3068">
        <v>1.0191519909489299</v>
      </c>
      <c r="D3068">
        <v>0.99696372217136597</v>
      </c>
      <c r="E3068">
        <v>0.94112386619924604</v>
      </c>
      <c r="F3068">
        <v>0.62813681586372005</v>
      </c>
      <c r="G3068">
        <v>0.31778126194130901</v>
      </c>
      <c r="H3068">
        <v>0.24119327994125001</v>
      </c>
      <c r="I3068">
        <v>0.18112095336845099</v>
      </c>
      <c r="J3068">
        <v>0.130040643299006</v>
      </c>
      <c r="K3068">
        <v>8.1169125215630994E-2</v>
      </c>
      <c r="L3068">
        <v>1157.6361318404099</v>
      </c>
      <c r="M3068">
        <v>22.6917254034311</v>
      </c>
      <c r="N3068">
        <v>51.695791889269302</v>
      </c>
      <c r="O3068">
        <v>50.624534519521198</v>
      </c>
      <c r="P3068">
        <v>-9.7602139265389798E-2</v>
      </c>
      <c r="Q3068">
        <v>0.12902785424346599</v>
      </c>
      <c r="R3068">
        <v>0.99448980784794405</v>
      </c>
      <c r="S3068" t="s">
        <v>8651</v>
      </c>
      <c r="T3068" t="s">
        <v>11164</v>
      </c>
      <c r="U3068" t="s">
        <v>11164</v>
      </c>
      <c r="V3068" t="s">
        <v>11164</v>
      </c>
      <c r="W3068" t="s">
        <v>14193</v>
      </c>
      <c r="X3068">
        <v>8</v>
      </c>
      <c r="Y3068" t="s">
        <v>19686</v>
      </c>
      <c r="Z3068" t="s">
        <v>25218</v>
      </c>
      <c r="AA3068">
        <v>0.54510817907090581</v>
      </c>
      <c r="AB3068" t="str">
        <f>HYPERLINK("Melting_Curves/meltCurve_Q15036_2_SNX17.pdf", "Melting_Curves/meltCurve_Q15036_2_SNX17.pdf")</f>
        <v>Melting_Curves/meltCurve_Q15036_2_SNX17.pdf</v>
      </c>
    </row>
    <row r="3069" spans="1:28" x14ac:dyDescent="0.25">
      <c r="A3069" t="s">
        <v>3073</v>
      </c>
      <c r="B3069">
        <v>0.99796759195183404</v>
      </c>
      <c r="C3069">
        <v>1.0620431133921699</v>
      </c>
      <c r="D3069">
        <v>1.41589932177446</v>
      </c>
      <c r="E3069">
        <v>1.05797665517312</v>
      </c>
      <c r="F3069">
        <v>1.1361973364059701</v>
      </c>
      <c r="G3069">
        <v>0.88903019728848798</v>
      </c>
      <c r="H3069">
        <v>0.65971470704385304</v>
      </c>
      <c r="I3069">
        <v>0.54908226753232703</v>
      </c>
      <c r="J3069">
        <v>0.63582621278040297</v>
      </c>
      <c r="K3069">
        <v>0.32378673439686101</v>
      </c>
      <c r="L3069">
        <v>1592.1511547621101</v>
      </c>
      <c r="M3069">
        <v>28.060962192365299</v>
      </c>
      <c r="N3069">
        <v>62.6265212348845</v>
      </c>
      <c r="O3069">
        <v>56.453197164200397</v>
      </c>
      <c r="P3069">
        <v>-6.6576522898086493E-2</v>
      </c>
      <c r="Q3069">
        <v>0.46424850989486099</v>
      </c>
      <c r="R3069">
        <v>0.740246896836807</v>
      </c>
      <c r="S3069" t="s">
        <v>8652</v>
      </c>
      <c r="T3069" t="s">
        <v>11164</v>
      </c>
      <c r="U3069" t="s">
        <v>11164</v>
      </c>
      <c r="V3069" t="s">
        <v>11164</v>
      </c>
      <c r="W3069" t="s">
        <v>14194</v>
      </c>
      <c r="X3069">
        <v>1</v>
      </c>
      <c r="Y3069" t="s">
        <v>19687</v>
      </c>
      <c r="Z3069" t="s">
        <v>25219</v>
      </c>
      <c r="AA3069">
        <v>0.82031966577187587</v>
      </c>
      <c r="AB3069" t="str">
        <f>HYPERLINK("Melting_Curves/meltCurve_Q15038_2_DAZAP2.pdf", "Melting_Curves/meltCurve_Q15038_2_DAZAP2.pdf")</f>
        <v>Melting_Curves/meltCurve_Q15038_2_DAZAP2.pdf</v>
      </c>
    </row>
    <row r="3070" spans="1:28" x14ac:dyDescent="0.25">
      <c r="A3070" t="s">
        <v>3074</v>
      </c>
      <c r="B3070">
        <v>0.99796759195183404</v>
      </c>
      <c r="C3070">
        <v>0.95439038645406904</v>
      </c>
      <c r="D3070">
        <v>0.92660584415984704</v>
      </c>
      <c r="E3070">
        <v>0.88352605321982502</v>
      </c>
      <c r="F3070">
        <v>0.88173409232488598</v>
      </c>
      <c r="G3070">
        <v>0.81264825624146697</v>
      </c>
      <c r="H3070">
        <v>0.79203042189138195</v>
      </c>
      <c r="I3070">
        <v>0.82057197585833697</v>
      </c>
      <c r="J3070">
        <v>1.20922052271241</v>
      </c>
      <c r="K3070">
        <v>1.0786976739160401</v>
      </c>
      <c r="L3070">
        <v>1972.4311976308099</v>
      </c>
      <c r="M3070">
        <v>30.353065424095501</v>
      </c>
      <c r="O3070">
        <v>64.702824452778501</v>
      </c>
      <c r="P3070">
        <v>1.9220075753503901E-2</v>
      </c>
      <c r="Q3070">
        <v>1.1638826820647701</v>
      </c>
      <c r="R3070">
        <v>-0.14543907217931201</v>
      </c>
      <c r="S3070" t="s">
        <v>8653</v>
      </c>
      <c r="T3070" t="s">
        <v>11164</v>
      </c>
      <c r="U3070" t="s">
        <v>11164</v>
      </c>
      <c r="V3070" t="s">
        <v>11164</v>
      </c>
      <c r="W3070" t="s">
        <v>14195</v>
      </c>
      <c r="X3070">
        <v>4</v>
      </c>
      <c r="Y3070" t="s">
        <v>19688</v>
      </c>
      <c r="Z3070" t="s">
        <v>25220</v>
      </c>
      <c r="AA3070">
        <v>1.014271765528608</v>
      </c>
      <c r="AB3070" t="str">
        <f>HYPERLINK("Melting_Curves/meltCurve_Q15043_2_SLC39A14.pdf", "Melting_Curves/meltCurve_Q15043_2_SLC39A14.pdf")</f>
        <v>Melting_Curves/meltCurve_Q15043_2_SLC39A14.pdf</v>
      </c>
    </row>
    <row r="3071" spans="1:28" x14ac:dyDescent="0.25">
      <c r="A3071" t="s">
        <v>3075</v>
      </c>
      <c r="B3071">
        <v>0.99796759195183404</v>
      </c>
      <c r="C3071">
        <v>0.93248050078534495</v>
      </c>
      <c r="D3071">
        <v>1.02816178673604</v>
      </c>
      <c r="E3071">
        <v>1.1066513970601599</v>
      </c>
      <c r="F3071">
        <v>1.0936700278982601</v>
      </c>
      <c r="G3071">
        <v>1.5272472494954901</v>
      </c>
      <c r="H3071">
        <v>1.5401000966581599</v>
      </c>
      <c r="I3071">
        <v>0.67992760460826296</v>
      </c>
      <c r="J3071">
        <v>0.31234810503430299</v>
      </c>
      <c r="K3071">
        <v>0.27016647139076599</v>
      </c>
      <c r="L3071">
        <v>13163.586004067</v>
      </c>
      <c r="M3071">
        <v>215.60224358522601</v>
      </c>
      <c r="N3071">
        <v>61.303304029158603</v>
      </c>
      <c r="O3071">
        <v>61.049694904307103</v>
      </c>
      <c r="P3071">
        <v>-0.625758580956424</v>
      </c>
      <c r="Q3071">
        <v>0.29124342603043202</v>
      </c>
      <c r="R3071">
        <v>0.64455508416328</v>
      </c>
      <c r="S3071" t="s">
        <v>8654</v>
      </c>
      <c r="T3071" t="s">
        <v>11164</v>
      </c>
      <c r="U3071" t="s">
        <v>11164</v>
      </c>
      <c r="V3071" t="s">
        <v>11164</v>
      </c>
      <c r="W3071" t="s">
        <v>14196</v>
      </c>
      <c r="X3071">
        <v>5</v>
      </c>
      <c r="Y3071" t="s">
        <v>19689</v>
      </c>
      <c r="Z3071" t="s">
        <v>25221</v>
      </c>
      <c r="AA3071">
        <v>0.85964920538751988</v>
      </c>
      <c r="AB3071" t="str">
        <f>HYPERLINK("Melting_Curves/meltCurve_Q15046_KARS.pdf", "Melting_Curves/meltCurve_Q15046_KARS.pdf")</f>
        <v>Melting_Curves/meltCurve_Q15046_KARS.pdf</v>
      </c>
    </row>
    <row r="3072" spans="1:28" x14ac:dyDescent="0.25">
      <c r="A3072" t="s">
        <v>3076</v>
      </c>
      <c r="B3072">
        <v>0.99796759195183404</v>
      </c>
      <c r="C3072">
        <v>1.0324327174435299</v>
      </c>
      <c r="D3072">
        <v>1.0423023375138001</v>
      </c>
      <c r="E3072">
        <v>0.94647270104405401</v>
      </c>
      <c r="F3072">
        <v>0.65948982729590999</v>
      </c>
      <c r="G3072">
        <v>0.29313653743825102</v>
      </c>
      <c r="H3072">
        <v>0.21325101438031599</v>
      </c>
      <c r="I3072">
        <v>0.207175279333984</v>
      </c>
      <c r="J3072">
        <v>0.14141500027114501</v>
      </c>
      <c r="K3072">
        <v>0.109809388376944</v>
      </c>
      <c r="L3072">
        <v>1450.06982589534</v>
      </c>
      <c r="M3072">
        <v>28.489451486724001</v>
      </c>
      <c r="N3072">
        <v>51.568062470981602</v>
      </c>
      <c r="O3072">
        <v>50.6496828605746</v>
      </c>
      <c r="P3072">
        <v>-0.118880547787833</v>
      </c>
      <c r="Q3072">
        <v>0.154604451690178</v>
      </c>
      <c r="R3072">
        <v>0.99436073470147301</v>
      </c>
      <c r="S3072" t="s">
        <v>8655</v>
      </c>
      <c r="T3072" t="s">
        <v>11164</v>
      </c>
      <c r="U3072" t="s">
        <v>11164</v>
      </c>
      <c r="V3072" t="s">
        <v>11164</v>
      </c>
      <c r="W3072" t="s">
        <v>14197</v>
      </c>
      <c r="X3072">
        <v>5</v>
      </c>
      <c r="Y3072" t="s">
        <v>19690</v>
      </c>
      <c r="Z3072" t="s">
        <v>25222</v>
      </c>
      <c r="AA3072">
        <v>0.55207623744169754</v>
      </c>
      <c r="AB3072" t="str">
        <f>HYPERLINK("Melting_Curves/meltCurve_Q15047_3_SETDB1.pdf", "Melting_Curves/meltCurve_Q15047_3_SETDB1.pdf")</f>
        <v>Melting_Curves/meltCurve_Q15047_3_SETDB1.pdf</v>
      </c>
    </row>
    <row r="3073" spans="1:28" x14ac:dyDescent="0.25">
      <c r="A3073" t="s">
        <v>3077</v>
      </c>
      <c r="B3073">
        <v>0.99796759195183404</v>
      </c>
      <c r="C3073">
        <v>0.93570001285349802</v>
      </c>
      <c r="D3073">
        <v>0.89969634228588102</v>
      </c>
      <c r="E3073">
        <v>0.79859053878981301</v>
      </c>
      <c r="F3073">
        <v>0.33596347926985798</v>
      </c>
      <c r="G3073">
        <v>0.20839936987617</v>
      </c>
      <c r="H3073">
        <v>0.12043890173260501</v>
      </c>
      <c r="I3073">
        <v>0.10838656706578</v>
      </c>
      <c r="J3073">
        <v>6.8211398471639095E-2</v>
      </c>
      <c r="K3073">
        <v>4.1487359470639897E-2</v>
      </c>
      <c r="L3073">
        <v>1057.67949393757</v>
      </c>
      <c r="M3073">
        <v>21.733502499169798</v>
      </c>
      <c r="N3073">
        <v>49.022207683948999</v>
      </c>
      <c r="O3073">
        <v>48.259458173799501</v>
      </c>
      <c r="P3073">
        <v>-0.10436290911021399</v>
      </c>
      <c r="Q3073">
        <v>7.3066211649167698E-2</v>
      </c>
      <c r="R3073">
        <v>0.99014913718967801</v>
      </c>
      <c r="S3073" t="s">
        <v>8656</v>
      </c>
      <c r="T3073" t="s">
        <v>11164</v>
      </c>
      <c r="U3073" t="s">
        <v>11164</v>
      </c>
      <c r="V3073" t="s">
        <v>11164</v>
      </c>
      <c r="W3073" t="s">
        <v>14198</v>
      </c>
      <c r="X3073">
        <v>4</v>
      </c>
      <c r="Y3073" t="s">
        <v>19691</v>
      </c>
      <c r="Z3073" t="s">
        <v>25223</v>
      </c>
      <c r="AA3073">
        <v>0.44396057779474368</v>
      </c>
      <c r="AB3073" t="str">
        <f>HYPERLINK("Melting_Curves/meltCurve_Q15051_IQCB1.pdf", "Melting_Curves/meltCurve_Q15051_IQCB1.pdf")</f>
        <v>Melting_Curves/meltCurve_Q15051_IQCB1.pdf</v>
      </c>
    </row>
    <row r="3074" spans="1:28" x14ac:dyDescent="0.25">
      <c r="A3074" t="s">
        <v>3078</v>
      </c>
      <c r="B3074">
        <v>0.99796759195183404</v>
      </c>
      <c r="C3074">
        <v>1.0694086531090501</v>
      </c>
      <c r="D3074">
        <v>1.00544560535641</v>
      </c>
      <c r="E3074">
        <v>0.96657140478358095</v>
      </c>
      <c r="F3074">
        <v>0.88627559023724001</v>
      </c>
      <c r="G3074">
        <v>0.52330937295956104</v>
      </c>
      <c r="H3074">
        <v>0.41579468115720902</v>
      </c>
      <c r="I3074">
        <v>0.33704357460385098</v>
      </c>
      <c r="J3074">
        <v>0.31054241349890099</v>
      </c>
      <c r="K3074">
        <v>0.31052981821732301</v>
      </c>
      <c r="L3074">
        <v>1567.71484792302</v>
      </c>
      <c r="M3074">
        <v>29.830260203152999</v>
      </c>
      <c r="N3074">
        <v>54.4496482338742</v>
      </c>
      <c r="O3074">
        <v>52.320028195404397</v>
      </c>
      <c r="P3074">
        <v>-9.6503785055107205E-2</v>
      </c>
      <c r="Q3074">
        <v>0.32296304943079002</v>
      </c>
      <c r="R3074">
        <v>0.99119756501113698</v>
      </c>
      <c r="S3074" t="s">
        <v>8657</v>
      </c>
      <c r="T3074" t="s">
        <v>11164</v>
      </c>
      <c r="U3074" t="s">
        <v>11164</v>
      </c>
      <c r="V3074" t="s">
        <v>11164</v>
      </c>
      <c r="W3074" t="s">
        <v>14199</v>
      </c>
      <c r="X3074">
        <v>23</v>
      </c>
      <c r="Y3074" t="s">
        <v>19692</v>
      </c>
      <c r="Z3074" t="s">
        <v>25224</v>
      </c>
      <c r="AA3074">
        <v>0.67833719456606367</v>
      </c>
      <c r="AB3074" t="str">
        <f>HYPERLINK("Melting_Curves/meltCurve_Q15056_EIF4H.pdf", "Melting_Curves/meltCurve_Q15056_EIF4H.pdf")</f>
        <v>Melting_Curves/meltCurve_Q15056_EIF4H.pdf</v>
      </c>
    </row>
    <row r="3075" spans="1:28" x14ac:dyDescent="0.25">
      <c r="A3075" t="s">
        <v>3079</v>
      </c>
      <c r="B3075">
        <v>0.99796759195183404</v>
      </c>
      <c r="C3075">
        <v>0.97861018168924396</v>
      </c>
      <c r="D3075">
        <v>1.0106572267546201</v>
      </c>
      <c r="E3075">
        <v>0.94426298874483205</v>
      </c>
      <c r="F3075">
        <v>0.78864526665814105</v>
      </c>
      <c r="G3075">
        <v>0.431594424885207</v>
      </c>
      <c r="H3075">
        <v>0.31190657589411602</v>
      </c>
      <c r="I3075">
        <v>0.26534941563741898</v>
      </c>
      <c r="J3075">
        <v>0.22981009326115201</v>
      </c>
      <c r="K3075">
        <v>0.205267163469803</v>
      </c>
      <c r="L3075">
        <v>1318.26785516106</v>
      </c>
      <c r="M3075">
        <v>25.384992864137899</v>
      </c>
      <c r="N3075">
        <v>53.2018731297185</v>
      </c>
      <c r="O3075">
        <v>51.611934078719202</v>
      </c>
      <c r="P3075">
        <v>-9.5007750127560797E-2</v>
      </c>
      <c r="Q3075">
        <v>0.227343227949832</v>
      </c>
      <c r="R3075">
        <v>0.99723744162762995</v>
      </c>
      <c r="S3075" t="s">
        <v>8658</v>
      </c>
      <c r="T3075" t="s">
        <v>11164</v>
      </c>
      <c r="U3075" t="s">
        <v>11164</v>
      </c>
      <c r="V3075" t="s">
        <v>11164</v>
      </c>
      <c r="W3075" t="s">
        <v>14200</v>
      </c>
      <c r="X3075">
        <v>23</v>
      </c>
      <c r="Y3075" t="s">
        <v>19692</v>
      </c>
      <c r="Z3075" t="s">
        <v>25225</v>
      </c>
      <c r="AA3075">
        <v>0.61855226719420953</v>
      </c>
      <c r="AB3075" t="str">
        <f>HYPERLINK("Melting_Curves/meltCurve_Q15056_2_EIF4H.pdf", "Melting_Curves/meltCurve_Q15056_2_EIF4H.pdf")</f>
        <v>Melting_Curves/meltCurve_Q15056_2_EIF4H.pdf</v>
      </c>
    </row>
    <row r="3076" spans="1:28" x14ac:dyDescent="0.25">
      <c r="A3076" t="s">
        <v>3080</v>
      </c>
      <c r="B3076">
        <v>0.99796759195183404</v>
      </c>
      <c r="C3076">
        <v>1.1329237284926901</v>
      </c>
      <c r="D3076">
        <v>0.96979158805907895</v>
      </c>
      <c r="E3076">
        <v>0.87822974001071696</v>
      </c>
      <c r="F3076">
        <v>0.80254618499069497</v>
      </c>
      <c r="G3076">
        <v>0.450061898025509</v>
      </c>
      <c r="H3076">
        <v>0.21741438352904999</v>
      </c>
      <c r="I3076">
        <v>0.16335932972282699</v>
      </c>
      <c r="J3076">
        <v>0.10493637369136299</v>
      </c>
      <c r="K3076">
        <v>7.5327672720324201E-2</v>
      </c>
      <c r="L3076">
        <v>1039.8560517147901</v>
      </c>
      <c r="M3076">
        <v>19.652394079311399</v>
      </c>
      <c r="N3076">
        <v>53.338694712857702</v>
      </c>
      <c r="O3076">
        <v>52.373703977422103</v>
      </c>
      <c r="P3076">
        <v>-8.6994414649908106E-2</v>
      </c>
      <c r="Q3076">
        <v>7.2670589745702396E-2</v>
      </c>
      <c r="R3076">
        <v>0.98391314055949297</v>
      </c>
      <c r="S3076" t="s">
        <v>8659</v>
      </c>
      <c r="T3076" t="s">
        <v>11164</v>
      </c>
      <c r="U3076" t="s">
        <v>11164</v>
      </c>
      <c r="V3076" t="s">
        <v>11164</v>
      </c>
      <c r="W3076" t="s">
        <v>14201</v>
      </c>
      <c r="X3076">
        <v>4</v>
      </c>
      <c r="Y3076" t="s">
        <v>19693</v>
      </c>
      <c r="Z3076" t="s">
        <v>25226</v>
      </c>
      <c r="AA3076">
        <v>0.57655248485770927</v>
      </c>
      <c r="AB3076" t="str">
        <f>HYPERLINK("Melting_Curves/meltCurve_Q15057_ACAP2.pdf", "Melting_Curves/meltCurve_Q15057_ACAP2.pdf")</f>
        <v>Melting_Curves/meltCurve_Q15057_ACAP2.pdf</v>
      </c>
    </row>
    <row r="3077" spans="1:28" x14ac:dyDescent="0.25">
      <c r="A3077" t="s">
        <v>3081</v>
      </c>
      <c r="B3077">
        <v>0.99796759195183404</v>
      </c>
      <c r="C3077">
        <v>1.02476055987031</v>
      </c>
      <c r="D3077">
        <v>0.94577473616571694</v>
      </c>
      <c r="E3077">
        <v>0.90177323330848203</v>
      </c>
      <c r="F3077">
        <v>0.74040097998310295</v>
      </c>
      <c r="G3077">
        <v>0.35966114147495898</v>
      </c>
      <c r="H3077">
        <v>0.22843369604687699</v>
      </c>
      <c r="I3077">
        <v>0.14127996438042301</v>
      </c>
      <c r="J3077">
        <v>0.12130794674846</v>
      </c>
      <c r="K3077">
        <v>9.5697685378392905E-2</v>
      </c>
      <c r="L3077">
        <v>1086.08849798856</v>
      </c>
      <c r="M3077">
        <v>20.9095744789641</v>
      </c>
      <c r="N3077">
        <v>52.499000576155403</v>
      </c>
      <c r="O3077">
        <v>51.474071762769803</v>
      </c>
      <c r="P3077">
        <v>-9.1456599415788001E-2</v>
      </c>
      <c r="Q3077">
        <v>9.94527898269294E-2</v>
      </c>
      <c r="R3077">
        <v>0.99583592309314894</v>
      </c>
      <c r="S3077" t="s">
        <v>8660</v>
      </c>
      <c r="T3077" t="s">
        <v>11164</v>
      </c>
      <c r="U3077" t="s">
        <v>11164</v>
      </c>
      <c r="V3077" t="s">
        <v>11164</v>
      </c>
      <c r="W3077" t="s">
        <v>14202</v>
      </c>
      <c r="X3077">
        <v>9</v>
      </c>
      <c r="Y3077" t="s">
        <v>19694</v>
      </c>
      <c r="Z3077" t="s">
        <v>25227</v>
      </c>
      <c r="AA3077">
        <v>0.55883352894820315</v>
      </c>
      <c r="AB3077" t="str">
        <f>HYPERLINK("Melting_Curves/meltCurve_Q15059_BRD3.pdf", "Melting_Curves/meltCurve_Q15059_BRD3.pdf")</f>
        <v>Melting_Curves/meltCurve_Q15059_BRD3.pdf</v>
      </c>
    </row>
    <row r="3078" spans="1:28" x14ac:dyDescent="0.25">
      <c r="A3078" t="s">
        <v>3082</v>
      </c>
      <c r="B3078">
        <v>0.99796759195183404</v>
      </c>
      <c r="C3078">
        <v>1.0336002503422801</v>
      </c>
      <c r="D3078">
        <v>0.89585344276219603</v>
      </c>
      <c r="E3078">
        <v>0.93048376569706304</v>
      </c>
      <c r="F3078">
        <v>0.92723898275505601</v>
      </c>
      <c r="G3078">
        <v>2.47328503658958</v>
      </c>
      <c r="H3078">
        <v>3.9510105097263399</v>
      </c>
      <c r="I3078">
        <v>1.87976284958594</v>
      </c>
      <c r="J3078">
        <v>0.48479011642125303</v>
      </c>
      <c r="K3078">
        <v>0.18098403596478499</v>
      </c>
      <c r="L3078">
        <v>15000</v>
      </c>
      <c r="M3078">
        <v>234.53719631885099</v>
      </c>
      <c r="N3078">
        <v>64.078458359311298</v>
      </c>
      <c r="O3078">
        <v>63.951090147783098</v>
      </c>
      <c r="P3078">
        <v>-0.75095771688613699</v>
      </c>
      <c r="Q3078">
        <v>0.180947580344027</v>
      </c>
      <c r="R3078">
        <v>-4.22960319448571E-2</v>
      </c>
      <c r="S3078" t="s">
        <v>8661</v>
      </c>
      <c r="T3078" t="s">
        <v>11164</v>
      </c>
      <c r="U3078" t="s">
        <v>11164</v>
      </c>
      <c r="V3078" t="s">
        <v>11164</v>
      </c>
      <c r="W3078" t="s">
        <v>14203</v>
      </c>
      <c r="X3078">
        <v>9</v>
      </c>
      <c r="Y3078" t="s">
        <v>19695</v>
      </c>
      <c r="Z3078" t="s">
        <v>25228</v>
      </c>
      <c r="AA3078">
        <v>0.91699065080709297</v>
      </c>
      <c r="AB3078" t="str">
        <f>HYPERLINK("Melting_Curves/meltCurve_Q15061_WDR43.pdf", "Melting_Curves/meltCurve_Q15061_WDR43.pdf")</f>
        <v>Melting_Curves/meltCurve_Q15061_WDR43.pdf</v>
      </c>
    </row>
    <row r="3079" spans="1:28" x14ac:dyDescent="0.25">
      <c r="A3079" t="s">
        <v>3083</v>
      </c>
      <c r="B3079">
        <v>0.99796759195183404</v>
      </c>
      <c r="C3079">
        <v>0.93646498741711404</v>
      </c>
      <c r="D3079">
        <v>0.98588721534540402</v>
      </c>
      <c r="E3079">
        <v>0.85287524403881598</v>
      </c>
      <c r="F3079">
        <v>0.91328488039987199</v>
      </c>
      <c r="G3079">
        <v>0.730616726997947</v>
      </c>
      <c r="H3079">
        <v>0.59975368377899196</v>
      </c>
      <c r="I3079">
        <v>0.53911597670003197</v>
      </c>
      <c r="J3079">
        <v>0.52694788101674594</v>
      </c>
      <c r="K3079">
        <v>0.28281419723571</v>
      </c>
      <c r="L3079">
        <v>452.07251979793699</v>
      </c>
      <c r="M3079">
        <v>7.3122652664951397</v>
      </c>
      <c r="N3079">
        <v>61.823866822814999</v>
      </c>
      <c r="O3079">
        <v>57.703663859488501</v>
      </c>
      <c r="P3079">
        <v>-3.1730271114907498E-2</v>
      </c>
      <c r="Q3079">
        <v>0</v>
      </c>
      <c r="R3079">
        <v>0.94625914420625901</v>
      </c>
      <c r="S3079" t="s">
        <v>8662</v>
      </c>
      <c r="T3079" t="s">
        <v>11164</v>
      </c>
      <c r="U3079" t="s">
        <v>11164</v>
      </c>
      <c r="V3079" t="s">
        <v>11164</v>
      </c>
      <c r="W3079" t="s">
        <v>14204</v>
      </c>
      <c r="X3079">
        <v>6</v>
      </c>
      <c r="Y3079" t="s">
        <v>19696</v>
      </c>
      <c r="Z3079" t="s">
        <v>25229</v>
      </c>
      <c r="AA3079">
        <v>0.75148296642511381</v>
      </c>
      <c r="AB3079" t="str">
        <f>HYPERLINK("Melting_Curves/meltCurve_Q15067_2_ACOX1.pdf", "Melting_Curves/meltCurve_Q15067_2_ACOX1.pdf")</f>
        <v>Melting_Curves/meltCurve_Q15067_2_ACOX1.pdf</v>
      </c>
    </row>
    <row r="3080" spans="1:28" x14ac:dyDescent="0.25">
      <c r="A3080" t="s">
        <v>3084</v>
      </c>
      <c r="B3080">
        <v>0.99796759195183404</v>
      </c>
      <c r="C3080">
        <v>0.98607031230818898</v>
      </c>
      <c r="D3080">
        <v>0.99194979717792398</v>
      </c>
      <c r="E3080">
        <v>0.95117672890163696</v>
      </c>
      <c r="F3080">
        <v>0.81429984733888905</v>
      </c>
      <c r="G3080">
        <v>0.62559825247752399</v>
      </c>
      <c r="H3080">
        <v>0.65587377644345102</v>
      </c>
      <c r="I3080">
        <v>0.63239184600722598</v>
      </c>
      <c r="J3080">
        <v>0.77647716139522505</v>
      </c>
      <c r="K3080">
        <v>0.67725100510787595</v>
      </c>
      <c r="L3080">
        <v>2351.1513007375402</v>
      </c>
      <c r="M3080">
        <v>47.263973163857202</v>
      </c>
      <c r="O3080">
        <v>49.656296847811603</v>
      </c>
      <c r="P3080">
        <v>-7.7788384543758596E-2</v>
      </c>
      <c r="Q3080">
        <v>0.67309739930381696</v>
      </c>
      <c r="R3080">
        <v>0.92272795575007505</v>
      </c>
      <c r="S3080" t="s">
        <v>8663</v>
      </c>
      <c r="T3080" t="s">
        <v>11164</v>
      </c>
      <c r="U3080" t="s">
        <v>11164</v>
      </c>
      <c r="V3080" t="s">
        <v>11164</v>
      </c>
      <c r="W3080" t="s">
        <v>14205</v>
      </c>
      <c r="X3080">
        <v>90</v>
      </c>
      <c r="Y3080" t="s">
        <v>19697</v>
      </c>
      <c r="Z3080" t="s">
        <v>25230</v>
      </c>
      <c r="AA3080">
        <v>0.81278085704161329</v>
      </c>
      <c r="AB3080" t="str">
        <f>HYPERLINK("Melting_Curves/meltCurve_Q15075_EEA1.pdf", "Melting_Curves/meltCurve_Q15075_EEA1.pdf")</f>
        <v>Melting_Curves/meltCurve_Q15075_EEA1.pdf</v>
      </c>
    </row>
    <row r="3081" spans="1:28" x14ac:dyDescent="0.25">
      <c r="A3081" t="s">
        <v>3085</v>
      </c>
      <c r="B3081">
        <v>0.99796759195183404</v>
      </c>
      <c r="C3081">
        <v>1.0251020720661299</v>
      </c>
      <c r="D3081">
        <v>0.99233826885158505</v>
      </c>
      <c r="E3081">
        <v>1.00399219663867</v>
      </c>
      <c r="F3081">
        <v>0.734387382949518</v>
      </c>
      <c r="G3081">
        <v>0.32381236390353701</v>
      </c>
      <c r="H3081">
        <v>0.17460037281451601</v>
      </c>
      <c r="I3081">
        <v>0.132026310226039</v>
      </c>
      <c r="J3081">
        <v>9.3818772068844994E-2</v>
      </c>
      <c r="K3081">
        <v>9.0194954825943696E-2</v>
      </c>
      <c r="L3081">
        <v>1515.42612071083</v>
      </c>
      <c r="M3081">
        <v>29.277394563056902</v>
      </c>
      <c r="N3081">
        <v>52.1844583667067</v>
      </c>
      <c r="O3081">
        <v>51.521279645567901</v>
      </c>
      <c r="P3081">
        <v>-0.127043562955902</v>
      </c>
      <c r="Q3081">
        <v>0.105740103351503</v>
      </c>
      <c r="R3081">
        <v>0.997946424178489</v>
      </c>
      <c r="S3081" t="s">
        <v>8664</v>
      </c>
      <c r="T3081" t="s">
        <v>11164</v>
      </c>
      <c r="U3081" t="s">
        <v>11164</v>
      </c>
      <c r="V3081" t="s">
        <v>11164</v>
      </c>
      <c r="W3081" t="s">
        <v>14206</v>
      </c>
      <c r="X3081">
        <v>13</v>
      </c>
      <c r="Y3081" t="s">
        <v>19698</v>
      </c>
      <c r="Z3081" t="s">
        <v>25231</v>
      </c>
      <c r="AA3081">
        <v>0.5516411414359037</v>
      </c>
      <c r="AB3081" t="str">
        <f>HYPERLINK("Melting_Curves/meltCurve_Q15102_PAFAH1B3.pdf", "Melting_Curves/meltCurve_Q15102_PAFAH1B3.pdf")</f>
        <v>Melting_Curves/meltCurve_Q15102_PAFAH1B3.pdf</v>
      </c>
    </row>
    <row r="3082" spans="1:28" x14ac:dyDescent="0.25">
      <c r="A3082" t="s">
        <v>3086</v>
      </c>
      <c r="B3082">
        <v>0.99796759195183404</v>
      </c>
      <c r="C3082">
        <v>0.92219983572972097</v>
      </c>
      <c r="D3082">
        <v>1.03786100201202</v>
      </c>
      <c r="E3082">
        <v>0.83794103902474804</v>
      </c>
      <c r="F3082">
        <v>1.0407835963095899</v>
      </c>
      <c r="G3082">
        <v>0.35970375701069501</v>
      </c>
      <c r="H3082">
        <v>6.7828123876361807E-2</v>
      </c>
      <c r="I3082">
        <v>0.15700596857202101</v>
      </c>
      <c r="J3082">
        <v>0.32223206257189002</v>
      </c>
      <c r="K3082">
        <v>0</v>
      </c>
      <c r="L3082">
        <v>13393.2388072053</v>
      </c>
      <c r="M3082">
        <v>250</v>
      </c>
      <c r="N3082">
        <v>53.641522784261497</v>
      </c>
      <c r="O3082">
        <v>53.569526904516302</v>
      </c>
      <c r="P3082">
        <v>-1.0071414672085099</v>
      </c>
      <c r="Q3082">
        <v>0.13676653005395401</v>
      </c>
      <c r="R3082">
        <v>0.94399009798610201</v>
      </c>
      <c r="S3082" t="s">
        <v>8665</v>
      </c>
      <c r="T3082" t="s">
        <v>11164</v>
      </c>
      <c r="U3082" t="s">
        <v>11164</v>
      </c>
      <c r="V3082" t="s">
        <v>11164</v>
      </c>
      <c r="W3082" t="s">
        <v>14207</v>
      </c>
      <c r="X3082">
        <v>1</v>
      </c>
      <c r="Y3082" t="s">
        <v>19699</v>
      </c>
      <c r="Z3082" t="s">
        <v>25232</v>
      </c>
      <c r="AA3082">
        <v>0.6137253459893065</v>
      </c>
      <c r="AB3082" t="str">
        <f>HYPERLINK("Melting_Curves/meltCurve_Q15111_PLCL1.pdf", "Melting_Curves/meltCurve_Q15111_PLCL1.pdf")</f>
        <v>Melting_Curves/meltCurve_Q15111_PLCL1.pdf</v>
      </c>
    </row>
    <row r="3083" spans="1:28" x14ac:dyDescent="0.25">
      <c r="A3083" t="s">
        <v>3087</v>
      </c>
      <c r="B3083">
        <v>0.99796759195183404</v>
      </c>
      <c r="C3083">
        <v>1.0237326693725399</v>
      </c>
      <c r="D3083">
        <v>0.96008806219881404</v>
      </c>
      <c r="E3083">
        <v>0.86696627691833805</v>
      </c>
      <c r="F3083">
        <v>0.71028785418447604</v>
      </c>
      <c r="G3083">
        <v>0.30310390027622203</v>
      </c>
      <c r="H3083">
        <v>0.23029279180231299</v>
      </c>
      <c r="I3083">
        <v>0.15121198783594</v>
      </c>
      <c r="J3083">
        <v>0.171311022442489</v>
      </c>
      <c r="K3083">
        <v>0.124585180386393</v>
      </c>
      <c r="L3083">
        <v>1156.6555572690299</v>
      </c>
      <c r="M3083">
        <v>22.6088569055104</v>
      </c>
      <c r="N3083">
        <v>51.898772112250597</v>
      </c>
      <c r="O3083">
        <v>50.7642046825286</v>
      </c>
      <c r="P3083">
        <v>-9.6014317233915403E-2</v>
      </c>
      <c r="Q3083">
        <v>0.137684342563687</v>
      </c>
      <c r="R3083">
        <v>0.99258264062819701</v>
      </c>
      <c r="S3083" t="s">
        <v>8666</v>
      </c>
      <c r="T3083" t="s">
        <v>11164</v>
      </c>
      <c r="U3083" t="s">
        <v>11164</v>
      </c>
      <c r="V3083" t="s">
        <v>11164</v>
      </c>
      <c r="W3083" t="s">
        <v>14208</v>
      </c>
      <c r="X3083">
        <v>3</v>
      </c>
      <c r="Y3083" t="s">
        <v>19700</v>
      </c>
      <c r="Z3083" t="s">
        <v>25233</v>
      </c>
      <c r="AA3083">
        <v>0.55381685063251429</v>
      </c>
      <c r="AB3083" t="str">
        <f>HYPERLINK("Melting_Curves/meltCurve_Q15118_PDK1.pdf", "Melting_Curves/meltCurve_Q15118_PDK1.pdf")</f>
        <v>Melting_Curves/meltCurve_Q15118_PDK1.pdf</v>
      </c>
    </row>
    <row r="3084" spans="1:28" x14ac:dyDescent="0.25">
      <c r="A3084" t="s">
        <v>3088</v>
      </c>
      <c r="B3084">
        <v>0.99796759195183404</v>
      </c>
      <c r="C3084">
        <v>1.0057780253061099</v>
      </c>
      <c r="D3084">
        <v>0.96285792746761201</v>
      </c>
      <c r="E3084">
        <v>0.973461375296649</v>
      </c>
      <c r="F3084">
        <v>0.75123274045594302</v>
      </c>
      <c r="G3084">
        <v>0.35788198074267902</v>
      </c>
      <c r="H3084">
        <v>0.231813171127777</v>
      </c>
      <c r="I3084">
        <v>0.16756530670335201</v>
      </c>
      <c r="J3084">
        <v>0.118862506666499</v>
      </c>
      <c r="K3084">
        <v>0.113168488604869</v>
      </c>
      <c r="L3084">
        <v>1346.1873518708301</v>
      </c>
      <c r="M3084">
        <v>25.9338146917461</v>
      </c>
      <c r="N3084">
        <v>52.520586358704698</v>
      </c>
      <c r="O3084">
        <v>51.602879112975103</v>
      </c>
      <c r="P3084">
        <v>-0.109258260804261</v>
      </c>
      <c r="Q3084">
        <v>0.13040555819525901</v>
      </c>
      <c r="R3084">
        <v>0.99713482894934102</v>
      </c>
      <c r="S3084" t="s">
        <v>8667</v>
      </c>
      <c r="T3084" t="s">
        <v>11164</v>
      </c>
      <c r="U3084" t="s">
        <v>11164</v>
      </c>
      <c r="V3084" t="s">
        <v>11164</v>
      </c>
      <c r="W3084" t="s">
        <v>14209</v>
      </c>
      <c r="X3084">
        <v>5</v>
      </c>
      <c r="Y3084" t="s">
        <v>19701</v>
      </c>
      <c r="Z3084" t="s">
        <v>25234</v>
      </c>
      <c r="AA3084">
        <v>0.56975886748884552</v>
      </c>
      <c r="AB3084" t="str">
        <f>HYPERLINK("Melting_Curves/meltCurve_Q15120_PDK3.pdf", "Melting_Curves/meltCurve_Q15120_PDK3.pdf")</f>
        <v>Melting_Curves/meltCurve_Q15120_PDK3.pdf</v>
      </c>
    </row>
    <row r="3085" spans="1:28" x14ac:dyDescent="0.25">
      <c r="A3085" t="s">
        <v>3089</v>
      </c>
      <c r="B3085">
        <v>0.99796759195183404</v>
      </c>
      <c r="C3085">
        <v>0.90603301162748495</v>
      </c>
      <c r="D3085">
        <v>0.91623174249383599</v>
      </c>
      <c r="E3085">
        <v>1.1249311597388301</v>
      </c>
      <c r="F3085">
        <v>0.91215328841992105</v>
      </c>
      <c r="G3085">
        <v>0.608723788492748</v>
      </c>
      <c r="H3085">
        <v>0.72543289561967195</v>
      </c>
      <c r="I3085">
        <v>0.548212350363532</v>
      </c>
      <c r="J3085">
        <v>0.61222104630687801</v>
      </c>
      <c r="K3085">
        <v>0.54008710365546198</v>
      </c>
      <c r="L3085">
        <v>9205.3554394605399</v>
      </c>
      <c r="M3085">
        <v>182.12817338147599</v>
      </c>
      <c r="O3085">
        <v>50.537193775043001</v>
      </c>
      <c r="P3085">
        <v>-0.35413707723873</v>
      </c>
      <c r="Q3085">
        <v>0.60693414158904302</v>
      </c>
      <c r="R3085">
        <v>0.862704011098679</v>
      </c>
      <c r="S3085" t="s">
        <v>8668</v>
      </c>
      <c r="T3085" t="s">
        <v>11164</v>
      </c>
      <c r="U3085" t="s">
        <v>11164</v>
      </c>
      <c r="V3085" t="s">
        <v>11164</v>
      </c>
      <c r="W3085" t="s">
        <v>14210</v>
      </c>
      <c r="X3085">
        <v>2</v>
      </c>
      <c r="Y3085" t="s">
        <v>19702</v>
      </c>
      <c r="Z3085" t="s">
        <v>25235</v>
      </c>
      <c r="AA3085">
        <v>0.78444656074288577</v>
      </c>
      <c r="AB3085" t="str">
        <f>HYPERLINK("Melting_Curves/meltCurve_Q15125_EBP.pdf", "Melting_Curves/meltCurve_Q15125_EBP.pdf")</f>
        <v>Melting_Curves/meltCurve_Q15125_EBP.pdf</v>
      </c>
    </row>
    <row r="3086" spans="1:28" x14ac:dyDescent="0.25">
      <c r="A3086" t="s">
        <v>3090</v>
      </c>
      <c r="B3086">
        <v>0.99796759195183404</v>
      </c>
      <c r="C3086">
        <v>1.00604458228299</v>
      </c>
      <c r="D3086">
        <v>1.0045799071557799</v>
      </c>
      <c r="E3086">
        <v>0.95633778792687096</v>
      </c>
      <c r="F3086">
        <v>0.55225283451311402</v>
      </c>
      <c r="G3086">
        <v>0.27742036485528498</v>
      </c>
      <c r="H3086">
        <v>0.21364007691281001</v>
      </c>
      <c r="I3086">
        <v>0.173315857538615</v>
      </c>
      <c r="J3086">
        <v>0.14253006657696901</v>
      </c>
      <c r="K3086">
        <v>0.117148064225692</v>
      </c>
      <c r="L3086">
        <v>1485.7104850128201</v>
      </c>
      <c r="M3086">
        <v>29.607881448945101</v>
      </c>
      <c r="N3086">
        <v>50.826542126931898</v>
      </c>
      <c r="O3086">
        <v>49.952330351886602</v>
      </c>
      <c r="P3086">
        <v>-0.124916835357548</v>
      </c>
      <c r="Q3086">
        <v>0.15700244345289299</v>
      </c>
      <c r="R3086">
        <v>0.99611275003020605</v>
      </c>
      <c r="S3086" t="s">
        <v>8669</v>
      </c>
      <c r="T3086" t="s">
        <v>11164</v>
      </c>
      <c r="U3086" t="s">
        <v>11164</v>
      </c>
      <c r="V3086" t="s">
        <v>11164</v>
      </c>
      <c r="W3086" t="s">
        <v>14211</v>
      </c>
      <c r="X3086">
        <v>10</v>
      </c>
      <c r="Y3086" t="s">
        <v>19703</v>
      </c>
      <c r="Z3086" t="s">
        <v>25236</v>
      </c>
      <c r="AA3086">
        <v>0.53267049746442208</v>
      </c>
      <c r="AB3086" t="str">
        <f>HYPERLINK("Melting_Curves/meltCurve_Q15126_PMVK.pdf", "Melting_Curves/meltCurve_Q15126_PMVK.pdf")</f>
        <v>Melting_Curves/meltCurve_Q15126_PMVK.pdf</v>
      </c>
    </row>
    <row r="3087" spans="1:28" x14ac:dyDescent="0.25">
      <c r="A3087" t="s">
        <v>3091</v>
      </c>
      <c r="B3087">
        <v>0.99796759195183404</v>
      </c>
      <c r="C3087">
        <v>1.0110218358477701</v>
      </c>
      <c r="D3087">
        <v>0.91463310535947395</v>
      </c>
      <c r="E3087">
        <v>0.787680922843915</v>
      </c>
      <c r="F3087">
        <v>0.63614627496045695</v>
      </c>
      <c r="G3087">
        <v>0.42931859732012201</v>
      </c>
      <c r="H3087">
        <v>0.27141188508978897</v>
      </c>
      <c r="I3087">
        <v>0.23756335915830401</v>
      </c>
      <c r="J3087">
        <v>0.16088246054781799</v>
      </c>
      <c r="K3087">
        <v>0.119820660356452</v>
      </c>
      <c r="L3087">
        <v>618.12063190147001</v>
      </c>
      <c r="M3087">
        <v>11.9566968671677</v>
      </c>
      <c r="N3087">
        <v>52.433070908982998</v>
      </c>
      <c r="O3087">
        <v>50.314200108258099</v>
      </c>
      <c r="P3087">
        <v>-5.4831238979151403E-2</v>
      </c>
      <c r="Q3087">
        <v>7.7298623548981399E-2</v>
      </c>
      <c r="R3087">
        <v>0.99672843922784404</v>
      </c>
      <c r="S3087" t="s">
        <v>8670</v>
      </c>
      <c r="T3087" t="s">
        <v>11164</v>
      </c>
      <c r="U3087" t="s">
        <v>11164</v>
      </c>
      <c r="V3087" t="s">
        <v>11164</v>
      </c>
      <c r="W3087" t="s">
        <v>14212</v>
      </c>
      <c r="X3087">
        <v>64</v>
      </c>
      <c r="Y3087" t="s">
        <v>19704</v>
      </c>
      <c r="Z3087" t="s">
        <v>25237</v>
      </c>
      <c r="AA3087">
        <v>0.5519800665260397</v>
      </c>
      <c r="AB3087" t="str">
        <f>HYPERLINK("Melting_Curves/meltCurve_Q15149_4_PLEC.pdf", "Melting_Curves/meltCurve_Q15149_4_PLEC.pdf")</f>
        <v>Melting_Curves/meltCurve_Q15149_4_PLEC.pdf</v>
      </c>
    </row>
    <row r="3088" spans="1:28" x14ac:dyDescent="0.25">
      <c r="A3088" t="s">
        <v>3092</v>
      </c>
      <c r="B3088">
        <v>0.99796759195183404</v>
      </c>
      <c r="C3088">
        <v>1.0742807699766801</v>
      </c>
      <c r="D3088">
        <v>1.24660704576619</v>
      </c>
      <c r="E3088">
        <v>1.1492866761996601</v>
      </c>
      <c r="F3088">
        <v>1.0680270772157701</v>
      </c>
      <c r="G3088">
        <v>0.87647812499477495</v>
      </c>
      <c r="H3088">
        <v>0.37427169768400298</v>
      </c>
      <c r="I3088">
        <v>0.16820543833431301</v>
      </c>
      <c r="J3088">
        <v>0.29923574965210298</v>
      </c>
      <c r="K3088">
        <v>7.6283666134532996E-2</v>
      </c>
      <c r="L3088">
        <v>2558.7639467527501</v>
      </c>
      <c r="M3088">
        <v>45.750368081638598</v>
      </c>
      <c r="N3088">
        <v>56.461245291206197</v>
      </c>
      <c r="O3088">
        <v>55.822291983084099</v>
      </c>
      <c r="P3088">
        <v>-0.16899521689393299</v>
      </c>
      <c r="Q3088">
        <v>0.17520350931216699</v>
      </c>
      <c r="R3088">
        <v>0.93460558448572995</v>
      </c>
      <c r="S3088" t="s">
        <v>8671</v>
      </c>
      <c r="T3088" t="s">
        <v>11164</v>
      </c>
      <c r="U3088" t="s">
        <v>11164</v>
      </c>
      <c r="V3088" t="s">
        <v>11164</v>
      </c>
      <c r="W3088" t="s">
        <v>14213</v>
      </c>
      <c r="X3088">
        <v>23</v>
      </c>
      <c r="Y3088" t="s">
        <v>19705</v>
      </c>
      <c r="Z3088" t="s">
        <v>25238</v>
      </c>
      <c r="AA3088">
        <v>0.69802406190918553</v>
      </c>
      <c r="AB3088" t="str">
        <f>HYPERLINK("Melting_Curves/meltCurve_Q15155_NOMO1.pdf", "Melting_Curves/meltCurve_Q15155_NOMO1.pdf")</f>
        <v>Melting_Curves/meltCurve_Q15155_NOMO1.pdf</v>
      </c>
    </row>
    <row r="3089" spans="1:28" x14ac:dyDescent="0.25">
      <c r="A3089" t="s">
        <v>3093</v>
      </c>
      <c r="B3089">
        <v>0.99796759195183404</v>
      </c>
      <c r="C3089">
        <v>0.94438704967105702</v>
      </c>
      <c r="D3089">
        <v>0.91681918239384896</v>
      </c>
      <c r="E3089">
        <v>0.85872747458266396</v>
      </c>
      <c r="F3089">
        <v>0.945296922230353</v>
      </c>
      <c r="G3089">
        <v>0.71388440595029501</v>
      </c>
      <c r="H3089">
        <v>0.681598219379276</v>
      </c>
      <c r="I3089">
        <v>0.61940363430097001</v>
      </c>
      <c r="J3089">
        <v>0.83300396666394505</v>
      </c>
      <c r="K3089">
        <v>0.66218991529676696</v>
      </c>
      <c r="L3089">
        <v>494.33236317294899</v>
      </c>
      <c r="M3089">
        <v>9.9628488210693593</v>
      </c>
      <c r="O3089">
        <v>47.742715206327503</v>
      </c>
      <c r="P3089">
        <v>-1.7626284856252599E-2</v>
      </c>
      <c r="Q3089">
        <v>0.662300553808294</v>
      </c>
      <c r="R3089">
        <v>0.70179824494773602</v>
      </c>
      <c r="S3089" t="s">
        <v>8672</v>
      </c>
      <c r="T3089" t="s">
        <v>11164</v>
      </c>
      <c r="U3089" t="s">
        <v>11164</v>
      </c>
      <c r="V3089" t="s">
        <v>11164</v>
      </c>
      <c r="W3089" t="s">
        <v>14214</v>
      </c>
      <c r="X3089">
        <v>4</v>
      </c>
      <c r="Y3089" t="s">
        <v>19706</v>
      </c>
      <c r="Z3089" t="s">
        <v>25239</v>
      </c>
      <c r="AA3089">
        <v>0.81625823702361522</v>
      </c>
      <c r="AB3089" t="str">
        <f>HYPERLINK("Melting_Curves/meltCurve_Q15170_2_TCEAL1.pdf", "Melting_Curves/meltCurve_Q15170_2_TCEAL1.pdf")</f>
        <v>Melting_Curves/meltCurve_Q15170_2_TCEAL1.pdf</v>
      </c>
    </row>
    <row r="3090" spans="1:28" x14ac:dyDescent="0.25">
      <c r="A3090" t="s">
        <v>3094</v>
      </c>
      <c r="B3090">
        <v>0.99796759195183404</v>
      </c>
      <c r="C3090">
        <v>0.92137019213427496</v>
      </c>
      <c r="D3090">
        <v>0.86502733015966804</v>
      </c>
      <c r="E3090">
        <v>0.71855892596502302</v>
      </c>
      <c r="F3090">
        <v>0.71717794025122905</v>
      </c>
      <c r="G3090">
        <v>0.46709584216075301</v>
      </c>
      <c r="H3090">
        <v>0.16197870272192799</v>
      </c>
      <c r="I3090">
        <v>0.16204804790772601</v>
      </c>
      <c r="J3090">
        <v>0.11123200963283</v>
      </c>
      <c r="K3090">
        <v>6.7299263936808101E-2</v>
      </c>
      <c r="L3090">
        <v>583.72178160950102</v>
      </c>
      <c r="M3090">
        <v>11.1896855601497</v>
      </c>
      <c r="N3090">
        <v>52.166057606881701</v>
      </c>
      <c r="O3090">
        <v>50.583156341734998</v>
      </c>
      <c r="P3090">
        <v>-5.5320886539480099E-2</v>
      </c>
      <c r="Q3090">
        <v>0</v>
      </c>
      <c r="R3090">
        <v>0.97079193968775102</v>
      </c>
      <c r="S3090" t="s">
        <v>8673</v>
      </c>
      <c r="T3090" t="s">
        <v>11164</v>
      </c>
      <c r="U3090" t="s">
        <v>11164</v>
      </c>
      <c r="V3090" t="s">
        <v>11164</v>
      </c>
      <c r="W3090" t="s">
        <v>14215</v>
      </c>
      <c r="X3090">
        <v>5</v>
      </c>
      <c r="Y3090" t="s">
        <v>19707</v>
      </c>
      <c r="Z3090" t="s">
        <v>25240</v>
      </c>
      <c r="AA3090">
        <v>0.53002173074818193</v>
      </c>
      <c r="AB3090" t="str">
        <f>HYPERLINK("Melting_Curves/meltCurve_Q15172_PPP2R5A.pdf", "Melting_Curves/meltCurve_Q15172_PPP2R5A.pdf")</f>
        <v>Melting_Curves/meltCurve_Q15172_PPP2R5A.pdf</v>
      </c>
    </row>
    <row r="3091" spans="1:28" x14ac:dyDescent="0.25">
      <c r="A3091" t="s">
        <v>3095</v>
      </c>
      <c r="B3091">
        <v>0.99796759195183404</v>
      </c>
      <c r="C3091">
        <v>1.2269240407921</v>
      </c>
      <c r="D3091">
        <v>1.03182580434518</v>
      </c>
      <c r="E3091">
        <v>0.84266214589302801</v>
      </c>
      <c r="F3091">
        <v>0.73691662951187997</v>
      </c>
      <c r="G3091">
        <v>0.52382146518629003</v>
      </c>
      <c r="H3091">
        <v>0.19631439283649699</v>
      </c>
      <c r="I3091">
        <v>0.16176973573991801</v>
      </c>
      <c r="J3091">
        <v>8.4595947547888198E-2</v>
      </c>
      <c r="K3091">
        <v>4.9352996012765903E-2</v>
      </c>
      <c r="L3091">
        <v>867.01363657721004</v>
      </c>
      <c r="M3091">
        <v>16.258231346519999</v>
      </c>
      <c r="N3091">
        <v>53.4666154620474</v>
      </c>
      <c r="O3091">
        <v>52.540465949928702</v>
      </c>
      <c r="P3091">
        <v>-7.5765900753426194E-2</v>
      </c>
      <c r="Q3091">
        <v>2.0684975807996001E-2</v>
      </c>
      <c r="R3091">
        <v>0.96104767423344495</v>
      </c>
      <c r="S3091" t="s">
        <v>8674</v>
      </c>
      <c r="T3091" t="s">
        <v>11164</v>
      </c>
      <c r="U3091" t="s">
        <v>11164</v>
      </c>
      <c r="V3091" t="s">
        <v>11164</v>
      </c>
      <c r="W3091" t="s">
        <v>14216</v>
      </c>
      <c r="X3091">
        <v>3</v>
      </c>
      <c r="Y3091" t="s">
        <v>17250</v>
      </c>
      <c r="Z3091" t="s">
        <v>25241</v>
      </c>
      <c r="AA3091">
        <v>0.5694022897483747</v>
      </c>
      <c r="AB3091" t="str">
        <f>HYPERLINK("Melting_Curves/meltCurve_Q15173_2_PPP2R5B.pdf", "Melting_Curves/meltCurve_Q15173_2_PPP2R5B.pdf")</f>
        <v>Melting_Curves/meltCurve_Q15173_2_PPP2R5B.pdf</v>
      </c>
    </row>
    <row r="3092" spans="1:28" x14ac:dyDescent="0.25">
      <c r="A3092" t="s">
        <v>3096</v>
      </c>
      <c r="B3092">
        <v>0.99796759195183404</v>
      </c>
      <c r="C3092">
        <v>0.98668354476624798</v>
      </c>
      <c r="D3092">
        <v>0.93611927330429801</v>
      </c>
      <c r="E3092">
        <v>0.88773201423415204</v>
      </c>
      <c r="F3092">
        <v>0.80916905336880096</v>
      </c>
      <c r="G3092">
        <v>0.71542191625279306</v>
      </c>
      <c r="H3092">
        <v>0.45791477717246398</v>
      </c>
      <c r="I3092">
        <v>0.19635216865180399</v>
      </c>
      <c r="J3092">
        <v>0.108064093093795</v>
      </c>
      <c r="K3092">
        <v>7.9351062177319104E-2</v>
      </c>
      <c r="L3092">
        <v>835.44139173768804</v>
      </c>
      <c r="M3092">
        <v>14.862136698704999</v>
      </c>
      <c r="N3092">
        <v>56.2127382007004</v>
      </c>
      <c r="O3092">
        <v>55.224469673347102</v>
      </c>
      <c r="P3092">
        <v>-6.7287626270282494E-2</v>
      </c>
      <c r="Q3092">
        <v>0</v>
      </c>
      <c r="R3092">
        <v>0.98680736688178095</v>
      </c>
      <c r="S3092" t="s">
        <v>8675</v>
      </c>
      <c r="T3092" t="s">
        <v>11164</v>
      </c>
      <c r="U3092" t="s">
        <v>11164</v>
      </c>
      <c r="V3092" t="s">
        <v>11164</v>
      </c>
      <c r="W3092" t="s">
        <v>14217</v>
      </c>
      <c r="X3092">
        <v>22</v>
      </c>
      <c r="Y3092" t="s">
        <v>19708</v>
      </c>
      <c r="Z3092" t="s">
        <v>25242</v>
      </c>
      <c r="AA3092">
        <v>0.65122355221927353</v>
      </c>
      <c r="AB3092" t="str">
        <f>HYPERLINK("Melting_Curves/meltCurve_Q15181_PPA1.pdf", "Melting_Curves/meltCurve_Q15181_PPA1.pdf")</f>
        <v>Melting_Curves/meltCurve_Q15181_PPA1.pdf</v>
      </c>
    </row>
    <row r="3093" spans="1:28" x14ac:dyDescent="0.25">
      <c r="A3093" t="s">
        <v>3097</v>
      </c>
      <c r="B3093">
        <v>0.99796759195183404</v>
      </c>
      <c r="C3093">
        <v>0.95103064475848298</v>
      </c>
      <c r="D3093">
        <v>1.04715986222698</v>
      </c>
      <c r="E3093">
        <v>0.92372188923402299</v>
      </c>
      <c r="F3093">
        <v>0.59660288428881503</v>
      </c>
      <c r="G3093">
        <v>0.19990197711400501</v>
      </c>
      <c r="H3093">
        <v>0.16979123925466</v>
      </c>
      <c r="I3093">
        <v>0.14909089855346799</v>
      </c>
      <c r="J3093">
        <v>0.15686639717301401</v>
      </c>
      <c r="K3093">
        <v>0.136211984928584</v>
      </c>
      <c r="L3093">
        <v>1789.74846247603</v>
      </c>
      <c r="M3093">
        <v>35.597332740210703</v>
      </c>
      <c r="N3093">
        <v>50.770025669611996</v>
      </c>
      <c r="O3093">
        <v>50.119723106383603</v>
      </c>
      <c r="P3093">
        <v>-0.151641023962305</v>
      </c>
      <c r="Q3093">
        <v>0.145983106161092</v>
      </c>
      <c r="R3093">
        <v>0.99560567974341896</v>
      </c>
      <c r="S3093" t="s">
        <v>8676</v>
      </c>
      <c r="T3093" t="s">
        <v>11164</v>
      </c>
      <c r="U3093" t="s">
        <v>11164</v>
      </c>
      <c r="V3093" t="s">
        <v>11164</v>
      </c>
      <c r="W3093" t="s">
        <v>14218</v>
      </c>
      <c r="X3093">
        <v>8</v>
      </c>
      <c r="Y3093" t="s">
        <v>19709</v>
      </c>
      <c r="Z3093" t="s">
        <v>25243</v>
      </c>
      <c r="AA3093">
        <v>0.52770639269495179</v>
      </c>
      <c r="AB3093" t="str">
        <f>HYPERLINK("Melting_Curves/meltCurve_Q15208_STK38.pdf", "Melting_Curves/meltCurve_Q15208_STK38.pdf")</f>
        <v>Melting_Curves/meltCurve_Q15208_STK38.pdf</v>
      </c>
    </row>
    <row r="3094" spans="1:28" x14ac:dyDescent="0.25">
      <c r="A3094" t="s">
        <v>3098</v>
      </c>
      <c r="B3094">
        <v>0.99796759195183404</v>
      </c>
      <c r="C3094">
        <v>0.93651051624271597</v>
      </c>
      <c r="D3094">
        <v>0.95263064417971499</v>
      </c>
      <c r="E3094">
        <v>0.874582808853268</v>
      </c>
      <c r="F3094">
        <v>0.52728172926610795</v>
      </c>
      <c r="G3094">
        <v>0.29389487943998899</v>
      </c>
      <c r="H3094">
        <v>0.203033704786904</v>
      </c>
      <c r="I3094">
        <v>0.15482155864779101</v>
      </c>
      <c r="J3094">
        <v>0.122780647974378</v>
      </c>
      <c r="K3094">
        <v>9.0636936107840196E-2</v>
      </c>
      <c r="L3094">
        <v>997.88130572636703</v>
      </c>
      <c r="M3094">
        <v>19.9032189520141</v>
      </c>
      <c r="N3094">
        <v>50.792596339522902</v>
      </c>
      <c r="O3094">
        <v>49.638763716268699</v>
      </c>
      <c r="P3094">
        <v>-8.8883528467931905E-2</v>
      </c>
      <c r="Q3094">
        <v>0.113324577094158</v>
      </c>
      <c r="R3094">
        <v>0.99472407962164799</v>
      </c>
      <c r="S3094" t="s">
        <v>8677</v>
      </c>
      <c r="T3094" t="s">
        <v>11164</v>
      </c>
      <c r="U3094" t="s">
        <v>11164</v>
      </c>
      <c r="V3094" t="s">
        <v>11164</v>
      </c>
      <c r="W3094" t="s">
        <v>14219</v>
      </c>
      <c r="X3094">
        <v>24</v>
      </c>
      <c r="Y3094" t="s">
        <v>19710</v>
      </c>
      <c r="Z3094" t="s">
        <v>25244</v>
      </c>
      <c r="AA3094">
        <v>0.51336071565677521</v>
      </c>
      <c r="AB3094" t="str">
        <f>HYPERLINK("Melting_Curves/meltCurve_Q15233_NONO.pdf", "Melting_Curves/meltCurve_Q15233_NONO.pdf")</f>
        <v>Melting_Curves/meltCurve_Q15233_NONO.pdf</v>
      </c>
    </row>
    <row r="3095" spans="1:28" x14ac:dyDescent="0.25">
      <c r="A3095" t="s">
        <v>3099</v>
      </c>
      <c r="B3095">
        <v>0.99796759195183404</v>
      </c>
      <c r="C3095">
        <v>0.95671379543434898</v>
      </c>
      <c r="D3095">
        <v>0.97456286980926199</v>
      </c>
      <c r="E3095">
        <v>0.96411507101602301</v>
      </c>
      <c r="F3095">
        <v>0.82081428455842198</v>
      </c>
      <c r="G3095">
        <v>0.67470314811915599</v>
      </c>
      <c r="H3095">
        <v>0.56671757659417998</v>
      </c>
      <c r="I3095">
        <v>0.25673586513502</v>
      </c>
      <c r="J3095">
        <v>9.4524051621419705E-2</v>
      </c>
      <c r="K3095">
        <v>7.2371847641876999E-2</v>
      </c>
      <c r="L3095">
        <v>844.441824756036</v>
      </c>
      <c r="M3095">
        <v>14.8438749726071</v>
      </c>
      <c r="N3095">
        <v>56.888233739525099</v>
      </c>
      <c r="O3095">
        <v>55.885695614640497</v>
      </c>
      <c r="P3095">
        <v>-6.6409824207340498E-2</v>
      </c>
      <c r="Q3095">
        <v>0</v>
      </c>
      <c r="R3095">
        <v>0.98339322355395098</v>
      </c>
      <c r="S3095" t="s">
        <v>8678</v>
      </c>
      <c r="T3095" t="s">
        <v>11164</v>
      </c>
      <c r="U3095" t="s">
        <v>11164</v>
      </c>
      <c r="V3095" t="s">
        <v>11164</v>
      </c>
      <c r="W3095" t="s">
        <v>14220</v>
      </c>
      <c r="X3095">
        <v>11</v>
      </c>
      <c r="Y3095" t="s">
        <v>19711</v>
      </c>
      <c r="Z3095" t="s">
        <v>25245</v>
      </c>
      <c r="AA3095">
        <v>0.67144652624252532</v>
      </c>
      <c r="AB3095" t="str">
        <f>HYPERLINK("Melting_Curves/meltCurve_Q15257_PPP2R4.pdf", "Melting_Curves/meltCurve_Q15257_PPP2R4.pdf")</f>
        <v>Melting_Curves/meltCurve_Q15257_PPP2R4.pdf</v>
      </c>
    </row>
    <row r="3096" spans="1:28" x14ac:dyDescent="0.25">
      <c r="A3096" t="s">
        <v>3100</v>
      </c>
      <c r="B3096">
        <v>0.99796759195183404</v>
      </c>
      <c r="C3096">
        <v>1.0010927858191201</v>
      </c>
      <c r="D3096">
        <v>0.96599518101034298</v>
      </c>
      <c r="E3096">
        <v>0.93561877985377295</v>
      </c>
      <c r="F3096">
        <v>0.86959085838696504</v>
      </c>
      <c r="G3096">
        <v>0.61485038932188996</v>
      </c>
      <c r="H3096">
        <v>0.32323542644875902</v>
      </c>
      <c r="I3096">
        <v>0.25744873695682802</v>
      </c>
      <c r="J3096">
        <v>0.225395131973739</v>
      </c>
      <c r="K3096">
        <v>0.193200572507852</v>
      </c>
      <c r="L3096">
        <v>1202.65040762944</v>
      </c>
      <c r="M3096">
        <v>22.3451679578625</v>
      </c>
      <c r="N3096">
        <v>55.008329926215602</v>
      </c>
      <c r="O3096">
        <v>53.396011337104198</v>
      </c>
      <c r="P3096">
        <v>-8.4612274527710196E-2</v>
      </c>
      <c r="Q3096">
        <v>0.19125924823477999</v>
      </c>
      <c r="R3096">
        <v>0.99638296119828096</v>
      </c>
      <c r="S3096" t="s">
        <v>8679</v>
      </c>
      <c r="T3096" t="s">
        <v>11164</v>
      </c>
      <c r="U3096" t="s">
        <v>11164</v>
      </c>
      <c r="V3096" t="s">
        <v>11164</v>
      </c>
      <c r="W3096" t="s">
        <v>14221</v>
      </c>
      <c r="X3096">
        <v>37</v>
      </c>
      <c r="Y3096" t="s">
        <v>19712</v>
      </c>
      <c r="Z3096" t="s">
        <v>25246</v>
      </c>
      <c r="AA3096">
        <v>0.65317593676494212</v>
      </c>
      <c r="AB3096" t="str">
        <f>HYPERLINK("Melting_Curves/meltCurve_Q15276_RABEP1.pdf", "Melting_Curves/meltCurve_Q15276_RABEP1.pdf")</f>
        <v>Melting_Curves/meltCurve_Q15276_RABEP1.pdf</v>
      </c>
    </row>
    <row r="3097" spans="1:28" x14ac:dyDescent="0.25">
      <c r="A3097" t="s">
        <v>3101</v>
      </c>
      <c r="B3097">
        <v>0.99796759195183404</v>
      </c>
      <c r="C3097">
        <v>1.0491638913425301</v>
      </c>
      <c r="D3097">
        <v>1.0658105379651199</v>
      </c>
      <c r="E3097">
        <v>1.0882609140828601</v>
      </c>
      <c r="F3097">
        <v>0.94317937022708598</v>
      </c>
      <c r="G3097">
        <v>0.61962699588327996</v>
      </c>
      <c r="H3097">
        <v>0.67672252278005995</v>
      </c>
      <c r="I3097">
        <v>0.48511097434763301</v>
      </c>
      <c r="J3097">
        <v>0.34899177733901399</v>
      </c>
      <c r="K3097">
        <v>0.14426083622165101</v>
      </c>
      <c r="L3097">
        <v>711.52648067714995</v>
      </c>
      <c r="M3097">
        <v>11.903565797063999</v>
      </c>
      <c r="N3097">
        <v>59.774230104237503</v>
      </c>
      <c r="O3097">
        <v>58.162124669661097</v>
      </c>
      <c r="P3097">
        <v>-5.1178159327975398E-2</v>
      </c>
      <c r="Q3097">
        <v>0</v>
      </c>
      <c r="R3097">
        <v>0.93605436570354905</v>
      </c>
      <c r="S3097" t="s">
        <v>8680</v>
      </c>
      <c r="T3097" t="s">
        <v>11164</v>
      </c>
      <c r="U3097" t="s">
        <v>11164</v>
      </c>
      <c r="V3097" t="s">
        <v>11164</v>
      </c>
      <c r="W3097" t="s">
        <v>14222</v>
      </c>
      <c r="X3097">
        <v>10</v>
      </c>
      <c r="Y3097" t="s">
        <v>19713</v>
      </c>
      <c r="Z3097" t="s">
        <v>25247</v>
      </c>
      <c r="AA3097">
        <v>0.74436600498529826</v>
      </c>
      <c r="AB3097" t="str">
        <f>HYPERLINK("Melting_Curves/meltCurve_Q15286_RAB35.pdf", "Melting_Curves/meltCurve_Q15286_RAB35.pdf")</f>
        <v>Melting_Curves/meltCurve_Q15286_RAB35.pdf</v>
      </c>
    </row>
    <row r="3098" spans="1:28" x14ac:dyDescent="0.25">
      <c r="A3098" t="s">
        <v>3102</v>
      </c>
      <c r="B3098">
        <v>0.99796759195183404</v>
      </c>
      <c r="C3098">
        <v>0.973279767011341</v>
      </c>
      <c r="D3098">
        <v>0.95693982120489895</v>
      </c>
      <c r="E3098">
        <v>0.95173416866763905</v>
      </c>
      <c r="F3098">
        <v>0.92091786501684403</v>
      </c>
      <c r="G3098">
        <v>0.95216673404855401</v>
      </c>
      <c r="H3098">
        <v>1.7941076140996299</v>
      </c>
      <c r="I3098">
        <v>1.8644176340732399</v>
      </c>
      <c r="J3098">
        <v>2.3407866978045</v>
      </c>
      <c r="K3098">
        <v>1.9441345059035999</v>
      </c>
      <c r="L3098">
        <v>7546.9567174343401</v>
      </c>
      <c r="M3098">
        <v>136.68801821297001</v>
      </c>
      <c r="O3098">
        <v>55.201192119063997</v>
      </c>
      <c r="P3098">
        <v>0.30952234684274899</v>
      </c>
      <c r="Q3098">
        <v>1.5</v>
      </c>
      <c r="R3098">
        <v>0.57995618625678003</v>
      </c>
      <c r="S3098" t="s">
        <v>8681</v>
      </c>
      <c r="T3098" t="s">
        <v>11164</v>
      </c>
      <c r="U3098" t="s">
        <v>11164</v>
      </c>
      <c r="V3098" t="s">
        <v>11164</v>
      </c>
      <c r="W3098" t="s">
        <v>14223</v>
      </c>
      <c r="X3098">
        <v>2</v>
      </c>
      <c r="Y3098" t="s">
        <v>19714</v>
      </c>
      <c r="Z3098" t="s">
        <v>25248</v>
      </c>
      <c r="AA3098">
        <v>1.196287702970469</v>
      </c>
      <c r="AB3098" t="str">
        <f>HYPERLINK("Melting_Curves/meltCurve_Q15291_RBBP5.pdf", "Melting_Curves/meltCurve_Q15291_RBBP5.pdf")</f>
        <v>Melting_Curves/meltCurve_Q15291_RBBP5.pdf</v>
      </c>
    </row>
    <row r="3099" spans="1:28" x14ac:dyDescent="0.25">
      <c r="A3099" t="s">
        <v>3103</v>
      </c>
      <c r="B3099">
        <v>0.99796759195183404</v>
      </c>
      <c r="C3099">
        <v>1.05368377058719</v>
      </c>
      <c r="D3099">
        <v>1.0365068304923499</v>
      </c>
      <c r="E3099">
        <v>0.969758765229633</v>
      </c>
      <c r="F3099">
        <v>0.85908226614727601</v>
      </c>
      <c r="G3099">
        <v>0.62616960995243398</v>
      </c>
      <c r="H3099">
        <v>0.58320152977848605</v>
      </c>
      <c r="I3099">
        <v>0.53030281997147499</v>
      </c>
      <c r="J3099">
        <v>0.64056089216038903</v>
      </c>
      <c r="K3099">
        <v>0.56998756556588503</v>
      </c>
      <c r="L3099">
        <v>1991.5332323959001</v>
      </c>
      <c r="M3099">
        <v>39.0233885781156</v>
      </c>
      <c r="O3099">
        <v>50.900881083050002</v>
      </c>
      <c r="P3099">
        <v>-8.0686240624064695E-2</v>
      </c>
      <c r="Q3099">
        <v>0.57902258037743204</v>
      </c>
      <c r="R3099">
        <v>0.97378318925122398</v>
      </c>
      <c r="S3099" t="s">
        <v>8682</v>
      </c>
      <c r="T3099" t="s">
        <v>11164</v>
      </c>
      <c r="U3099" t="s">
        <v>11164</v>
      </c>
      <c r="V3099" t="s">
        <v>11164</v>
      </c>
      <c r="W3099" t="s">
        <v>14224</v>
      </c>
      <c r="X3099">
        <v>20</v>
      </c>
      <c r="Y3099" t="s">
        <v>19715</v>
      </c>
      <c r="Z3099" t="s">
        <v>25249</v>
      </c>
      <c r="AA3099">
        <v>0.77751908004542558</v>
      </c>
      <c r="AB3099" t="str">
        <f>HYPERLINK("Melting_Curves/meltCurve_Q15293_RCN1.pdf", "Melting_Curves/meltCurve_Q15293_RCN1.pdf")</f>
        <v>Melting_Curves/meltCurve_Q15293_RCN1.pdf</v>
      </c>
    </row>
    <row r="3100" spans="1:28" x14ac:dyDescent="0.25">
      <c r="A3100" t="s">
        <v>3104</v>
      </c>
      <c r="B3100">
        <v>0.99796759195183404</v>
      </c>
      <c r="C3100">
        <v>1.0494195123473</v>
      </c>
      <c r="D3100">
        <v>1.0253948421283301</v>
      </c>
      <c r="E3100">
        <v>0.899107880741014</v>
      </c>
      <c r="F3100">
        <v>0.53391134386258299</v>
      </c>
      <c r="G3100">
        <v>0.26363404001086299</v>
      </c>
      <c r="H3100">
        <v>0.20573575219493301</v>
      </c>
      <c r="I3100">
        <v>0.17350394763363999</v>
      </c>
      <c r="J3100">
        <v>0.157330059703327</v>
      </c>
      <c r="K3100">
        <v>0.100083248112094</v>
      </c>
      <c r="L3100">
        <v>1338.36163612721</v>
      </c>
      <c r="M3100">
        <v>26.799137800367401</v>
      </c>
      <c r="N3100">
        <v>50.614514098872199</v>
      </c>
      <c r="O3100">
        <v>49.664883433633797</v>
      </c>
      <c r="P3100">
        <v>-0.114655978587156</v>
      </c>
      <c r="Q3100">
        <v>0.150074490665844</v>
      </c>
      <c r="R3100">
        <v>0.994705146634842</v>
      </c>
      <c r="S3100" t="s">
        <v>8683</v>
      </c>
      <c r="T3100" t="s">
        <v>11164</v>
      </c>
      <c r="U3100" t="s">
        <v>11164</v>
      </c>
      <c r="V3100" t="s">
        <v>11164</v>
      </c>
      <c r="W3100" t="s">
        <v>14225</v>
      </c>
      <c r="X3100">
        <v>10</v>
      </c>
      <c r="Y3100" t="s">
        <v>19716</v>
      </c>
      <c r="Z3100" t="s">
        <v>25250</v>
      </c>
      <c r="AA3100">
        <v>0.52318752262026913</v>
      </c>
      <c r="AB3100" t="str">
        <f>HYPERLINK("Melting_Curves/meltCurve_Q15311_RALBP1.pdf", "Melting_Curves/meltCurve_Q15311_RALBP1.pdf")</f>
        <v>Melting_Curves/meltCurve_Q15311_RALBP1.pdf</v>
      </c>
    </row>
    <row r="3101" spans="1:28" x14ac:dyDescent="0.25">
      <c r="A3101" t="s">
        <v>3105</v>
      </c>
      <c r="B3101">
        <v>0.99796759195183404</v>
      </c>
      <c r="C3101">
        <v>1.0657772189041601</v>
      </c>
      <c r="D3101">
        <v>0.95088834591739002</v>
      </c>
      <c r="E3101">
        <v>0.91698929352484304</v>
      </c>
      <c r="F3101">
        <v>0.86416511443447697</v>
      </c>
      <c r="G3101">
        <v>0.58761432659183699</v>
      </c>
      <c r="H3101">
        <v>0.28556842343557098</v>
      </c>
      <c r="I3101">
        <v>0.24191938033436899</v>
      </c>
      <c r="J3101">
        <v>0.16012714487368901</v>
      </c>
      <c r="K3101">
        <v>0.136472976661075</v>
      </c>
      <c r="L3101">
        <v>1113.72731011573</v>
      </c>
      <c r="M3101">
        <v>20.659423390911702</v>
      </c>
      <c r="N3101">
        <v>54.717779014146799</v>
      </c>
      <c r="O3101">
        <v>53.411460262905301</v>
      </c>
      <c r="P3101">
        <v>-8.3977918881059294E-2</v>
      </c>
      <c r="Q3101">
        <v>0.13158191150076201</v>
      </c>
      <c r="R3101">
        <v>0.99038112160541003</v>
      </c>
      <c r="S3101" t="s">
        <v>8684</v>
      </c>
      <c r="T3101" t="s">
        <v>11164</v>
      </c>
      <c r="U3101" t="s">
        <v>11164</v>
      </c>
      <c r="V3101" t="s">
        <v>11164</v>
      </c>
      <c r="W3101" t="s">
        <v>14226</v>
      </c>
      <c r="X3101">
        <v>19</v>
      </c>
      <c r="Y3101" t="s">
        <v>19717</v>
      </c>
      <c r="Z3101" t="s">
        <v>25251</v>
      </c>
      <c r="AA3101">
        <v>0.63115336235901376</v>
      </c>
      <c r="AB3101" t="str">
        <f>HYPERLINK("Melting_Curves/meltCurve_Q15334_LLGL1.pdf", "Melting_Curves/meltCurve_Q15334_LLGL1.pdf")</f>
        <v>Melting_Curves/meltCurve_Q15334_LLGL1.pdf</v>
      </c>
    </row>
    <row r="3102" spans="1:28" x14ac:dyDescent="0.25">
      <c r="A3102" t="s">
        <v>3106</v>
      </c>
      <c r="B3102">
        <v>0.99796759195183404</v>
      </c>
      <c r="C3102">
        <v>0.911836455046244</v>
      </c>
      <c r="D3102">
        <v>0.75546599943842296</v>
      </c>
      <c r="E3102">
        <v>0.62254542010109803</v>
      </c>
      <c r="F3102">
        <v>0.51897137143305805</v>
      </c>
      <c r="G3102">
        <v>0.51720216071116998</v>
      </c>
      <c r="H3102">
        <v>0.30459068660587402</v>
      </c>
      <c r="I3102">
        <v>0.21368107078610901</v>
      </c>
      <c r="J3102">
        <v>0.12406087367516599</v>
      </c>
      <c r="K3102">
        <v>8.3455858507762104E-2</v>
      </c>
      <c r="L3102">
        <v>393.87598523529198</v>
      </c>
      <c r="M3102">
        <v>7.73311186490929</v>
      </c>
      <c r="N3102">
        <v>50.9336978357004</v>
      </c>
      <c r="O3102">
        <v>47.863718738292498</v>
      </c>
      <c r="P3102">
        <v>-4.0443151102643599E-2</v>
      </c>
      <c r="Q3102">
        <v>0</v>
      </c>
      <c r="R3102">
        <v>0.97117146964999501</v>
      </c>
      <c r="S3102" t="s">
        <v>8685</v>
      </c>
      <c r="T3102" t="s">
        <v>11164</v>
      </c>
      <c r="U3102" t="s">
        <v>11164</v>
      </c>
      <c r="V3102" t="s">
        <v>11164</v>
      </c>
      <c r="W3102" t="s">
        <v>14227</v>
      </c>
      <c r="X3102">
        <v>5</v>
      </c>
      <c r="Y3102" t="s">
        <v>19718</v>
      </c>
      <c r="Z3102" t="s">
        <v>25252</v>
      </c>
      <c r="AA3102">
        <v>0.50024551845599119</v>
      </c>
      <c r="AB3102" t="str">
        <f>HYPERLINK("Melting_Curves/meltCurve_Q15345_LRRC41.pdf", "Melting_Curves/meltCurve_Q15345_LRRC41.pdf")</f>
        <v>Melting_Curves/meltCurve_Q15345_LRRC41.pdf</v>
      </c>
    </row>
    <row r="3103" spans="1:28" x14ac:dyDescent="0.25">
      <c r="A3103" t="s">
        <v>3107</v>
      </c>
      <c r="B3103">
        <v>0.99796759195183404</v>
      </c>
      <c r="C3103">
        <v>0.95933300490070195</v>
      </c>
      <c r="D3103">
        <v>0.965006961052715</v>
      </c>
      <c r="E3103">
        <v>0.93918916812120101</v>
      </c>
      <c r="F3103">
        <v>0.72583308696263305</v>
      </c>
      <c r="G3103">
        <v>0.31387602050478602</v>
      </c>
      <c r="H3103">
        <v>0.17971991281736999</v>
      </c>
      <c r="I3103">
        <v>0.114358101313564</v>
      </c>
      <c r="J3103">
        <v>9.1399457080775806E-2</v>
      </c>
      <c r="K3103">
        <v>6.8481425584477396E-2</v>
      </c>
      <c r="L3103">
        <v>1305.6903469312099</v>
      </c>
      <c r="M3103">
        <v>25.238566826402199</v>
      </c>
      <c r="N3103">
        <v>52.119126788883001</v>
      </c>
      <c r="O3103">
        <v>51.412426139466596</v>
      </c>
      <c r="P3103">
        <v>-0.11228568383416999</v>
      </c>
      <c r="Q3103">
        <v>8.5082016858501502E-2</v>
      </c>
      <c r="R3103">
        <v>0.99716245481445598</v>
      </c>
      <c r="S3103" t="s">
        <v>8686</v>
      </c>
      <c r="T3103" t="s">
        <v>11164</v>
      </c>
      <c r="U3103" t="s">
        <v>11164</v>
      </c>
      <c r="V3103" t="s">
        <v>11164</v>
      </c>
      <c r="W3103" t="s">
        <v>14228</v>
      </c>
      <c r="X3103">
        <v>26</v>
      </c>
      <c r="Y3103" t="s">
        <v>19719</v>
      </c>
      <c r="Z3103" t="s">
        <v>25253</v>
      </c>
      <c r="AA3103">
        <v>0.54238907399829184</v>
      </c>
      <c r="AB3103" t="str">
        <f>HYPERLINK("Melting_Curves/meltCurve_Q15365_PCBP1.pdf", "Melting_Curves/meltCurve_Q15365_PCBP1.pdf")</f>
        <v>Melting_Curves/meltCurve_Q15365_PCBP1.pdf</v>
      </c>
    </row>
    <row r="3104" spans="1:28" x14ac:dyDescent="0.25">
      <c r="A3104" t="s">
        <v>3108</v>
      </c>
      <c r="B3104">
        <v>0.99796759195183404</v>
      </c>
      <c r="C3104">
        <v>1.0402885899998899</v>
      </c>
      <c r="D3104">
        <v>1.03543474194261</v>
      </c>
      <c r="E3104">
        <v>0.92763844404416196</v>
      </c>
      <c r="F3104">
        <v>0.67535837395726395</v>
      </c>
      <c r="G3104">
        <v>0.238967476515629</v>
      </c>
      <c r="H3104">
        <v>0.15475336372211901</v>
      </c>
      <c r="I3104">
        <v>0.108855298478732</v>
      </c>
      <c r="J3104">
        <v>9.98907930584996E-2</v>
      </c>
      <c r="K3104">
        <v>6.9977437147233798E-2</v>
      </c>
      <c r="L3104">
        <v>1522.72083938676</v>
      </c>
      <c r="M3104">
        <v>29.810959186687601</v>
      </c>
      <c r="N3104">
        <v>51.439973411703399</v>
      </c>
      <c r="O3104">
        <v>50.8510500810713</v>
      </c>
      <c r="P3104">
        <v>-0.132736414991484</v>
      </c>
      <c r="Q3104">
        <v>9.4327874639774004E-2</v>
      </c>
      <c r="R3104">
        <v>0.99666903481046498</v>
      </c>
      <c r="S3104" t="s">
        <v>8687</v>
      </c>
      <c r="T3104" t="s">
        <v>11164</v>
      </c>
      <c r="U3104" t="s">
        <v>11164</v>
      </c>
      <c r="V3104" t="s">
        <v>11164</v>
      </c>
      <c r="W3104" t="s">
        <v>14229</v>
      </c>
      <c r="X3104">
        <v>22</v>
      </c>
      <c r="Y3104" t="s">
        <v>19720</v>
      </c>
      <c r="Z3104" t="s">
        <v>25254</v>
      </c>
      <c r="AA3104">
        <v>0.52508539654584374</v>
      </c>
      <c r="AB3104" t="str">
        <f>HYPERLINK("Melting_Curves/meltCurve_Q15366_3_PCBP2.pdf", "Melting_Curves/meltCurve_Q15366_3_PCBP2.pdf")</f>
        <v>Melting_Curves/meltCurve_Q15366_3_PCBP2.pdf</v>
      </c>
    </row>
    <row r="3105" spans="1:28" x14ac:dyDescent="0.25">
      <c r="A3105" t="s">
        <v>3109</v>
      </c>
      <c r="B3105">
        <v>0.99796759195183404</v>
      </c>
      <c r="C3105">
        <v>0.975753493937769</v>
      </c>
      <c r="D3105">
        <v>0.989165933393233</v>
      </c>
      <c r="E3105">
        <v>0.88964729361107897</v>
      </c>
      <c r="F3105">
        <v>0.76153853035893304</v>
      </c>
      <c r="G3105">
        <v>0.56050380333343797</v>
      </c>
      <c r="H3105">
        <v>0.34670415758304501</v>
      </c>
      <c r="I3105">
        <v>0.22129156009416001</v>
      </c>
      <c r="J3105">
        <v>0.17118316997783201</v>
      </c>
      <c r="K3105">
        <v>0.114608471103778</v>
      </c>
      <c r="L3105">
        <v>726.67659086197602</v>
      </c>
      <c r="M3105">
        <v>13.402479041110499</v>
      </c>
      <c r="N3105">
        <v>54.663299525209197</v>
      </c>
      <c r="O3105">
        <v>53.055160747209896</v>
      </c>
      <c r="P3105">
        <v>-5.99076691100624E-2</v>
      </c>
      <c r="Q3105">
        <v>5.15449112094441E-2</v>
      </c>
      <c r="R3105">
        <v>0.99896417550616401</v>
      </c>
      <c r="S3105" t="s">
        <v>8688</v>
      </c>
      <c r="T3105" t="s">
        <v>11164</v>
      </c>
      <c r="U3105" t="s">
        <v>11164</v>
      </c>
      <c r="V3105" t="s">
        <v>11164</v>
      </c>
      <c r="W3105" t="s">
        <v>14230</v>
      </c>
      <c r="X3105">
        <v>7</v>
      </c>
      <c r="Y3105" t="s">
        <v>19721</v>
      </c>
      <c r="Z3105" t="s">
        <v>25255</v>
      </c>
      <c r="AA3105">
        <v>0.61180894464189295</v>
      </c>
      <c r="AB3105" t="str">
        <f>HYPERLINK("Melting_Curves/meltCurve_Q15375_EPHA7.pdf", "Melting_Curves/meltCurve_Q15375_EPHA7.pdf")</f>
        <v>Melting_Curves/meltCurve_Q15375_EPHA7.pdf</v>
      </c>
    </row>
    <row r="3106" spans="1:28" x14ac:dyDescent="0.25">
      <c r="A3106" t="s">
        <v>3110</v>
      </c>
      <c r="B3106">
        <v>0.99796759195183404</v>
      </c>
      <c r="C3106">
        <v>0.91365376135464305</v>
      </c>
      <c r="D3106">
        <v>1.00802097745936</v>
      </c>
      <c r="E3106">
        <v>0.94220178831040802</v>
      </c>
      <c r="F3106">
        <v>0.74246347712486305</v>
      </c>
      <c r="G3106">
        <v>0.52350860110195496</v>
      </c>
      <c r="H3106">
        <v>0.340859154397608</v>
      </c>
      <c r="I3106">
        <v>0.19103083071426499</v>
      </c>
      <c r="J3106">
        <v>0.140593370873734</v>
      </c>
      <c r="K3106">
        <v>0.106714909809855</v>
      </c>
      <c r="L3106">
        <v>808.95630705095198</v>
      </c>
      <c r="M3106">
        <v>15.0466927479132</v>
      </c>
      <c r="N3106">
        <v>54.252651970168202</v>
      </c>
      <c r="O3106">
        <v>52.840253240823202</v>
      </c>
      <c r="P3106">
        <v>-6.6676745490057601E-2</v>
      </c>
      <c r="Q3106">
        <v>6.3484694796530697E-2</v>
      </c>
      <c r="R3106">
        <v>0.99292706893556304</v>
      </c>
      <c r="S3106" t="s">
        <v>8689</v>
      </c>
      <c r="T3106" t="s">
        <v>11164</v>
      </c>
      <c r="U3106" t="s">
        <v>11164</v>
      </c>
      <c r="V3106" t="s">
        <v>11164</v>
      </c>
      <c r="W3106" t="s">
        <v>14231</v>
      </c>
      <c r="X3106">
        <v>4</v>
      </c>
      <c r="Y3106" t="s">
        <v>19722</v>
      </c>
      <c r="Z3106" t="s">
        <v>25256</v>
      </c>
      <c r="AA3106">
        <v>0.60231221980005711</v>
      </c>
      <c r="AB3106" t="str">
        <f>HYPERLINK("Melting_Curves/meltCurve_Q15382_RHEB.pdf", "Melting_Curves/meltCurve_Q15382_RHEB.pdf")</f>
        <v>Melting_Curves/meltCurve_Q15382_RHEB.pdf</v>
      </c>
    </row>
    <row r="3107" spans="1:28" x14ac:dyDescent="0.25">
      <c r="A3107" t="s">
        <v>3111</v>
      </c>
      <c r="B3107">
        <v>0.99796759195183404</v>
      </c>
      <c r="C3107">
        <v>0.93854532814043801</v>
      </c>
      <c r="D3107">
        <v>0.94351848541005601</v>
      </c>
      <c r="E3107">
        <v>0.84905257141894097</v>
      </c>
      <c r="F3107">
        <v>0.92293871299837904</v>
      </c>
      <c r="G3107">
        <v>0.63049083801523498</v>
      </c>
      <c r="H3107">
        <v>0.63681380396704301</v>
      </c>
      <c r="I3107">
        <v>0.70845170154943005</v>
      </c>
      <c r="J3107">
        <v>0.46314905079028901</v>
      </c>
      <c r="K3107">
        <v>0.29804232722100099</v>
      </c>
      <c r="L3107">
        <v>401.957313218411</v>
      </c>
      <c r="M3107">
        <v>6.4104813867340296</v>
      </c>
      <c r="N3107">
        <v>62.703140152569397</v>
      </c>
      <c r="O3107">
        <v>57.435523711990697</v>
      </c>
      <c r="P3107">
        <v>-2.7974198747613699E-2</v>
      </c>
      <c r="Q3107">
        <v>0</v>
      </c>
      <c r="R3107">
        <v>0.87261154861810197</v>
      </c>
      <c r="S3107" t="s">
        <v>8690</v>
      </c>
      <c r="T3107" t="s">
        <v>11164</v>
      </c>
      <c r="U3107" t="s">
        <v>11164</v>
      </c>
      <c r="V3107" t="s">
        <v>11164</v>
      </c>
      <c r="W3107" t="s">
        <v>14232</v>
      </c>
      <c r="X3107">
        <v>1</v>
      </c>
      <c r="Y3107" t="s">
        <v>19723</v>
      </c>
      <c r="Z3107" t="s">
        <v>25257</v>
      </c>
      <c r="AA3107">
        <v>0.75294568983097288</v>
      </c>
      <c r="AB3107" t="str">
        <f>HYPERLINK("Melting_Curves/meltCurve_Q15388_TOMM20.pdf", "Melting_Curves/meltCurve_Q15388_TOMM20.pdf")</f>
        <v>Melting_Curves/meltCurve_Q15388_TOMM20.pdf</v>
      </c>
    </row>
    <row r="3108" spans="1:28" x14ac:dyDescent="0.25">
      <c r="A3108" t="s">
        <v>3112</v>
      </c>
      <c r="B3108">
        <v>0.99796759195183404</v>
      </c>
      <c r="C3108">
        <v>1.0136229488150601</v>
      </c>
      <c r="D3108">
        <v>0.96321838107740998</v>
      </c>
      <c r="E3108">
        <v>0.94551008739832498</v>
      </c>
      <c r="F3108">
        <v>0.84711608836607499</v>
      </c>
      <c r="G3108">
        <v>1.0344152405031299</v>
      </c>
      <c r="H3108">
        <v>0.79892839983671304</v>
      </c>
      <c r="I3108">
        <v>0.34009753933141101</v>
      </c>
      <c r="J3108">
        <v>0.205400447869485</v>
      </c>
      <c r="K3108">
        <v>0.12937257835559501</v>
      </c>
      <c r="L3108">
        <v>2331.1327195397098</v>
      </c>
      <c r="M3108">
        <v>39.388701426185001</v>
      </c>
      <c r="N3108">
        <v>59.6846576820761</v>
      </c>
      <c r="O3108">
        <v>59.030845073471198</v>
      </c>
      <c r="P3108">
        <v>-0.14329785162202899</v>
      </c>
      <c r="Q3108">
        <v>0.14097452353370299</v>
      </c>
      <c r="R3108">
        <v>0.97284070119336696</v>
      </c>
      <c r="S3108" t="s">
        <v>8691</v>
      </c>
      <c r="T3108" t="s">
        <v>11164</v>
      </c>
      <c r="U3108" t="s">
        <v>11164</v>
      </c>
      <c r="V3108" t="s">
        <v>11164</v>
      </c>
      <c r="W3108" t="s">
        <v>14233</v>
      </c>
      <c r="X3108">
        <v>23</v>
      </c>
      <c r="Y3108" t="s">
        <v>19724</v>
      </c>
      <c r="Z3108" t="s">
        <v>25258</v>
      </c>
      <c r="AA3108">
        <v>0.77919743712024203</v>
      </c>
      <c r="AB3108" t="str">
        <f>HYPERLINK("Melting_Curves/meltCurve_Q15393_SF3B3.pdf", "Melting_Curves/meltCurve_Q15393_SF3B3.pdf")</f>
        <v>Melting_Curves/meltCurve_Q15393_SF3B3.pdf</v>
      </c>
    </row>
    <row r="3109" spans="1:28" x14ac:dyDescent="0.25">
      <c r="A3109" t="s">
        <v>3113</v>
      </c>
      <c r="B3109">
        <v>0.99796759195183404</v>
      </c>
      <c r="C3109">
        <v>1.0295309603462099</v>
      </c>
      <c r="D3109">
        <v>0.99612864850438898</v>
      </c>
      <c r="E3109">
        <v>0.90606883501235802</v>
      </c>
      <c r="F3109">
        <v>0.80030969266709495</v>
      </c>
      <c r="G3109">
        <v>0.50914551498735505</v>
      </c>
      <c r="H3109">
        <v>0.291825985483815</v>
      </c>
      <c r="I3109">
        <v>0.28231222835481101</v>
      </c>
      <c r="J3109">
        <v>0.18387461298447999</v>
      </c>
      <c r="K3109">
        <v>0.147158578873364</v>
      </c>
      <c r="L3109">
        <v>967.29657408669095</v>
      </c>
      <c r="M3109">
        <v>18.258413197921499</v>
      </c>
      <c r="N3109">
        <v>54.0713447016308</v>
      </c>
      <c r="O3109">
        <v>52.354886879180803</v>
      </c>
      <c r="P3109">
        <v>-7.3733148075504601E-2</v>
      </c>
      <c r="Q3109">
        <v>0.154338211004205</v>
      </c>
      <c r="R3109">
        <v>0.99378105838943698</v>
      </c>
      <c r="S3109" t="s">
        <v>8692</v>
      </c>
      <c r="T3109" t="s">
        <v>11164</v>
      </c>
      <c r="U3109" t="s">
        <v>11164</v>
      </c>
      <c r="V3109" t="s">
        <v>11164</v>
      </c>
      <c r="W3109" t="s">
        <v>14234</v>
      </c>
      <c r="X3109">
        <v>12</v>
      </c>
      <c r="Y3109" t="s">
        <v>19725</v>
      </c>
      <c r="Z3109" t="s">
        <v>25259</v>
      </c>
      <c r="AA3109">
        <v>0.61682577996609511</v>
      </c>
      <c r="AB3109" t="str">
        <f>HYPERLINK("Melting_Curves/meltCurve_Q15398_3_DLGAP5.pdf", "Melting_Curves/meltCurve_Q15398_3_DLGAP5.pdf")</f>
        <v>Melting_Curves/meltCurve_Q15398_3_DLGAP5.pdf</v>
      </c>
    </row>
    <row r="3110" spans="1:28" x14ac:dyDescent="0.25">
      <c r="A3110" t="s">
        <v>3114</v>
      </c>
      <c r="B3110">
        <v>0.99796759195183404</v>
      </c>
      <c r="C3110">
        <v>1.00862310573131</v>
      </c>
      <c r="D3110">
        <v>1.04073488252949</v>
      </c>
      <c r="E3110">
        <v>1.0062676438457701</v>
      </c>
      <c r="F3110">
        <v>0.78908395005048904</v>
      </c>
      <c r="G3110">
        <v>0.64655387853524204</v>
      </c>
      <c r="H3110">
        <v>0.47374658667391101</v>
      </c>
      <c r="I3110">
        <v>0.35921604973395299</v>
      </c>
      <c r="J3110">
        <v>0.260658651127747</v>
      </c>
      <c r="K3110">
        <v>0.14241580834158701</v>
      </c>
      <c r="L3110">
        <v>710.44077017485495</v>
      </c>
      <c r="M3110">
        <v>12.631952354632601</v>
      </c>
      <c r="N3110">
        <v>56.955763356363498</v>
      </c>
      <c r="O3110">
        <v>54.8879113059836</v>
      </c>
      <c r="P3110">
        <v>-5.3331571098374199E-2</v>
      </c>
      <c r="Q3110">
        <v>7.3245274548144806E-2</v>
      </c>
      <c r="R3110">
        <v>0.98670940844609301</v>
      </c>
      <c r="S3110" t="s">
        <v>8693</v>
      </c>
      <c r="T3110" t="s">
        <v>11164</v>
      </c>
      <c r="U3110" t="s">
        <v>11164</v>
      </c>
      <c r="V3110" t="s">
        <v>11164</v>
      </c>
      <c r="W3110" t="s">
        <v>14235</v>
      </c>
      <c r="X3110">
        <v>11</v>
      </c>
      <c r="Y3110" t="s">
        <v>19726</v>
      </c>
      <c r="Z3110" t="s">
        <v>25260</v>
      </c>
      <c r="AA3110">
        <v>0.67634453231391023</v>
      </c>
      <c r="AB3110" t="str">
        <f>HYPERLINK("Melting_Curves/meltCurve_Q15404_RSU1.pdf", "Melting_Curves/meltCurve_Q15404_RSU1.pdf")</f>
        <v>Melting_Curves/meltCurve_Q15404_RSU1.pdf</v>
      </c>
    </row>
    <row r="3111" spans="1:28" x14ac:dyDescent="0.25">
      <c r="A3111" t="s">
        <v>3115</v>
      </c>
      <c r="B3111">
        <v>0.99796759195183404</v>
      </c>
      <c r="C3111">
        <v>0.96954994800274097</v>
      </c>
      <c r="D3111">
        <v>0.99679295737872098</v>
      </c>
      <c r="E3111">
        <v>0.97826030988690305</v>
      </c>
      <c r="F3111">
        <v>0.86554894569413998</v>
      </c>
      <c r="G3111">
        <v>0.64706329264045903</v>
      </c>
      <c r="H3111">
        <v>0.67208798449388896</v>
      </c>
      <c r="I3111">
        <v>0.63034985637636198</v>
      </c>
      <c r="J3111">
        <v>0.60213812108021503</v>
      </c>
      <c r="K3111">
        <v>0.50433814160949897</v>
      </c>
      <c r="L3111">
        <v>1224.2744623467399</v>
      </c>
      <c r="M3111">
        <v>23.786559256922601</v>
      </c>
      <c r="O3111">
        <v>51.109509022647799</v>
      </c>
      <c r="P3111">
        <v>-4.86412465422075E-2</v>
      </c>
      <c r="Q3111">
        <v>0.58195036220670304</v>
      </c>
      <c r="R3111">
        <v>0.95681334501722803</v>
      </c>
      <c r="S3111" t="s">
        <v>8694</v>
      </c>
      <c r="T3111" t="s">
        <v>11164</v>
      </c>
      <c r="U3111" t="s">
        <v>11164</v>
      </c>
      <c r="V3111" t="s">
        <v>11164</v>
      </c>
      <c r="W3111" t="s">
        <v>14236</v>
      </c>
      <c r="X3111">
        <v>11</v>
      </c>
      <c r="Y3111" t="s">
        <v>19727</v>
      </c>
      <c r="Z3111" t="s">
        <v>25261</v>
      </c>
      <c r="AA3111">
        <v>0.78762496536154125</v>
      </c>
      <c r="AB3111" t="str">
        <f>HYPERLINK("Melting_Curves/meltCurve_Q15424_2_SAFB.pdf", "Melting_Curves/meltCurve_Q15424_2_SAFB.pdf")</f>
        <v>Melting_Curves/meltCurve_Q15424_2_SAFB.pdf</v>
      </c>
    </row>
    <row r="3112" spans="1:28" x14ac:dyDescent="0.25">
      <c r="A3112" t="s">
        <v>3116</v>
      </c>
      <c r="B3112">
        <v>0.99796759195183404</v>
      </c>
      <c r="C3112">
        <v>1.0814110652645601</v>
      </c>
      <c r="D3112">
        <v>1.01958932343473</v>
      </c>
      <c r="E3112">
        <v>0.927330063244025</v>
      </c>
      <c r="F3112">
        <v>0.72604670894684198</v>
      </c>
      <c r="G3112">
        <v>0.39254493580038502</v>
      </c>
      <c r="H3112">
        <v>0.229728213912786</v>
      </c>
      <c r="I3112">
        <v>0.17239433751130201</v>
      </c>
      <c r="J3112">
        <v>0.13835458566907999</v>
      </c>
      <c r="K3112">
        <v>0.16753349364772699</v>
      </c>
      <c r="L3112">
        <v>1215.83056585029</v>
      </c>
      <c r="M3112">
        <v>23.494515272989801</v>
      </c>
      <c r="N3112">
        <v>52.536046560166596</v>
      </c>
      <c r="O3112">
        <v>51.379013824358701</v>
      </c>
      <c r="P3112">
        <v>-9.7371782264383797E-2</v>
      </c>
      <c r="Q3112">
        <v>0.148264176435037</v>
      </c>
      <c r="R3112">
        <v>0.99427857403209496</v>
      </c>
      <c r="S3112" t="s">
        <v>8695</v>
      </c>
      <c r="T3112" t="s">
        <v>11164</v>
      </c>
      <c r="U3112" t="s">
        <v>11164</v>
      </c>
      <c r="V3112" t="s">
        <v>11164</v>
      </c>
      <c r="W3112" t="s">
        <v>14237</v>
      </c>
      <c r="X3112">
        <v>6</v>
      </c>
      <c r="Y3112" t="s">
        <v>19728</v>
      </c>
      <c r="Z3112" t="s">
        <v>25262</v>
      </c>
      <c r="AA3112">
        <v>0.57544931153370571</v>
      </c>
      <c r="AB3112" t="str">
        <f>HYPERLINK("Melting_Curves/meltCurve_Q15428_SF3A2.pdf", "Melting_Curves/meltCurve_Q15428_SF3A2.pdf")</f>
        <v>Melting_Curves/meltCurve_Q15428_SF3A2.pdf</v>
      </c>
    </row>
    <row r="3113" spans="1:28" x14ac:dyDescent="0.25">
      <c r="A3113" t="s">
        <v>3117</v>
      </c>
      <c r="B3113">
        <v>0.99796759195183404</v>
      </c>
      <c r="C3113">
        <v>1.0367075202803999</v>
      </c>
      <c r="D3113">
        <v>1.0707734549936101</v>
      </c>
      <c r="E3113">
        <v>1.0164861546842701</v>
      </c>
      <c r="F3113">
        <v>0.81210441820743096</v>
      </c>
      <c r="G3113">
        <v>0.62695047296054696</v>
      </c>
      <c r="H3113">
        <v>0.48036093145999198</v>
      </c>
      <c r="I3113">
        <v>0.28931375773218199</v>
      </c>
      <c r="J3113">
        <v>0.12070260064027299</v>
      </c>
      <c r="K3113">
        <v>8.4647521085283298E-2</v>
      </c>
      <c r="L3113">
        <v>798.78017812972405</v>
      </c>
      <c r="M3113">
        <v>14.1524739827925</v>
      </c>
      <c r="N3113">
        <v>56.441028216659902</v>
      </c>
      <c r="O3113">
        <v>55.349991477062296</v>
      </c>
      <c r="P3113">
        <v>-6.3930765073993298E-2</v>
      </c>
      <c r="Q3113">
        <v>0</v>
      </c>
      <c r="R3113">
        <v>0.98556370968372697</v>
      </c>
      <c r="S3113" t="s">
        <v>8696</v>
      </c>
      <c r="T3113" t="s">
        <v>11164</v>
      </c>
      <c r="U3113" t="s">
        <v>11164</v>
      </c>
      <c r="V3113" t="s">
        <v>11164</v>
      </c>
      <c r="W3113" t="s">
        <v>14238</v>
      </c>
      <c r="X3113">
        <v>17</v>
      </c>
      <c r="Y3113" t="s">
        <v>19729</v>
      </c>
      <c r="Z3113" t="s">
        <v>25263</v>
      </c>
      <c r="AA3113">
        <v>0.65778174258276778</v>
      </c>
      <c r="AB3113" t="str">
        <f>HYPERLINK("Melting_Curves/meltCurve_Q15435_PPP1R7.pdf", "Melting_Curves/meltCurve_Q15435_PPP1R7.pdf")</f>
        <v>Melting_Curves/meltCurve_Q15435_PPP1R7.pdf</v>
      </c>
    </row>
    <row r="3114" spans="1:28" x14ac:dyDescent="0.25">
      <c r="A3114" t="s">
        <v>3118</v>
      </c>
      <c r="B3114">
        <v>0.99796759195183404</v>
      </c>
      <c r="C3114">
        <v>1.01480550444742</v>
      </c>
      <c r="D3114">
        <v>1.0182442589846901</v>
      </c>
      <c r="E3114">
        <v>0.93401019053932799</v>
      </c>
      <c r="F3114">
        <v>0.82093546077869395</v>
      </c>
      <c r="G3114">
        <v>0.47000886384004997</v>
      </c>
      <c r="H3114">
        <v>0.31772458127141301</v>
      </c>
      <c r="I3114">
        <v>0.205246048791841</v>
      </c>
      <c r="J3114">
        <v>0.16200543948469401</v>
      </c>
      <c r="K3114">
        <v>0.107277322363785</v>
      </c>
      <c r="L3114">
        <v>1041.7976130616</v>
      </c>
      <c r="M3114">
        <v>19.593715877916502</v>
      </c>
      <c r="N3114">
        <v>53.946477017036898</v>
      </c>
      <c r="O3114">
        <v>52.625440261151503</v>
      </c>
      <c r="P3114">
        <v>-8.1646737639202493E-2</v>
      </c>
      <c r="Q3114">
        <v>0.122873105699352</v>
      </c>
      <c r="R3114">
        <v>0.99566987347764602</v>
      </c>
      <c r="S3114" t="s">
        <v>8697</v>
      </c>
      <c r="T3114" t="s">
        <v>11164</v>
      </c>
      <c r="U3114" t="s">
        <v>11164</v>
      </c>
      <c r="V3114" t="s">
        <v>11164</v>
      </c>
      <c r="W3114" t="s">
        <v>14239</v>
      </c>
      <c r="X3114">
        <v>11</v>
      </c>
      <c r="Y3114" t="s">
        <v>19730</v>
      </c>
      <c r="Z3114" t="s">
        <v>25264</v>
      </c>
      <c r="AA3114">
        <v>0.60695147736222732</v>
      </c>
      <c r="AB3114" t="str">
        <f>HYPERLINK("Melting_Curves/meltCurve_Q15437_SEC23B.pdf", "Melting_Curves/meltCurve_Q15437_SEC23B.pdf")</f>
        <v>Melting_Curves/meltCurve_Q15437_SEC23B.pdf</v>
      </c>
    </row>
    <row r="3115" spans="1:28" x14ac:dyDescent="0.25">
      <c r="A3115" t="s">
        <v>3119</v>
      </c>
      <c r="B3115">
        <v>0.99796759195183404</v>
      </c>
      <c r="C3115">
        <v>0.80004213321568995</v>
      </c>
      <c r="D3115">
        <v>0.772445448044765</v>
      </c>
      <c r="E3115">
        <v>0.74847609045527896</v>
      </c>
      <c r="F3115">
        <v>0.68973901916916702</v>
      </c>
      <c r="G3115">
        <v>0.43815854765069401</v>
      </c>
      <c r="H3115">
        <v>0.24815980495665299</v>
      </c>
      <c r="I3115">
        <v>0.248175218552282</v>
      </c>
      <c r="J3115">
        <v>0.23976877197069299</v>
      </c>
      <c r="K3115">
        <v>9.3318680311757801E-2</v>
      </c>
      <c r="L3115">
        <v>400.69537684930799</v>
      </c>
      <c r="M3115">
        <v>7.6849504057574602</v>
      </c>
      <c r="N3115">
        <v>52.140268374843103</v>
      </c>
      <c r="O3115">
        <v>48.961942571689498</v>
      </c>
      <c r="P3115">
        <v>-3.9290959585872802E-2</v>
      </c>
      <c r="Q3115">
        <v>0</v>
      </c>
      <c r="R3115">
        <v>0.94692502221620301</v>
      </c>
      <c r="S3115" t="s">
        <v>8698</v>
      </c>
      <c r="T3115" t="s">
        <v>11164</v>
      </c>
      <c r="U3115" t="s">
        <v>11164</v>
      </c>
      <c r="V3115" t="s">
        <v>11164</v>
      </c>
      <c r="W3115" t="s">
        <v>14240</v>
      </c>
      <c r="X3115">
        <v>2</v>
      </c>
      <c r="Y3115" t="s">
        <v>19731</v>
      </c>
      <c r="Z3115" t="s">
        <v>25265</v>
      </c>
      <c r="AA3115">
        <v>0.53237264416665298</v>
      </c>
      <c r="AB3115" t="str">
        <f>HYPERLINK("Melting_Curves/meltCurve_Q15438_2_CYTH1.pdf", "Melting_Curves/meltCurve_Q15438_2_CYTH1.pdf")</f>
        <v>Melting_Curves/meltCurve_Q15438_2_CYTH1.pdf</v>
      </c>
    </row>
    <row r="3116" spans="1:28" x14ac:dyDescent="0.25">
      <c r="A3116" t="s">
        <v>3120</v>
      </c>
      <c r="B3116">
        <v>0.99796759195183404</v>
      </c>
      <c r="C3116">
        <v>1.0059543774554001</v>
      </c>
      <c r="D3116">
        <v>0.99499609982381698</v>
      </c>
      <c r="E3116">
        <v>0.96036975208876796</v>
      </c>
      <c r="F3116">
        <v>0.70231136489338697</v>
      </c>
      <c r="G3116">
        <v>0.39059903578106497</v>
      </c>
      <c r="H3116">
        <v>0.26666523724455798</v>
      </c>
      <c r="I3116">
        <v>0.18096151046088399</v>
      </c>
      <c r="J3116">
        <v>0.12719280925055201</v>
      </c>
      <c r="K3116">
        <v>8.5518911713848206E-2</v>
      </c>
      <c r="L3116">
        <v>1046.9901045453901</v>
      </c>
      <c r="M3116">
        <v>20.113855811364001</v>
      </c>
      <c r="N3116">
        <v>52.714114510276602</v>
      </c>
      <c r="O3116">
        <v>51.5468450669715</v>
      </c>
      <c r="P3116">
        <v>-8.6682081082997006E-2</v>
      </c>
      <c r="Q3116">
        <v>0.11144921787625001</v>
      </c>
      <c r="R3116">
        <v>0.99609628594867405</v>
      </c>
      <c r="S3116" t="s">
        <v>8699</v>
      </c>
      <c r="T3116" t="s">
        <v>11164</v>
      </c>
      <c r="U3116" t="s">
        <v>11164</v>
      </c>
      <c r="V3116" t="s">
        <v>11164</v>
      </c>
      <c r="W3116" t="s">
        <v>14241</v>
      </c>
      <c r="X3116">
        <v>23</v>
      </c>
      <c r="Y3116" t="s">
        <v>19732</v>
      </c>
      <c r="Z3116" t="s">
        <v>25266</v>
      </c>
      <c r="AA3116">
        <v>0.56866176642934974</v>
      </c>
      <c r="AB3116" t="str">
        <f>HYPERLINK("Melting_Curves/meltCurve_Q15459_SF3A1.pdf", "Melting_Curves/meltCurve_Q15459_SF3A1.pdf")</f>
        <v>Melting_Curves/meltCurve_Q15459_SF3A1.pdf</v>
      </c>
    </row>
    <row r="3117" spans="1:28" x14ac:dyDescent="0.25">
      <c r="A3117" t="s">
        <v>3121</v>
      </c>
      <c r="B3117">
        <v>0.99796759195183404</v>
      </c>
      <c r="C3117">
        <v>1.0131750555944901</v>
      </c>
      <c r="D3117">
        <v>0.98789606938175301</v>
      </c>
      <c r="E3117">
        <v>0.94114901812028995</v>
      </c>
      <c r="F3117">
        <v>0.76048680300042404</v>
      </c>
      <c r="G3117">
        <v>0.442047360749521</v>
      </c>
      <c r="H3117">
        <v>0.27244421202034302</v>
      </c>
      <c r="I3117">
        <v>0.21535312161608</v>
      </c>
      <c r="J3117">
        <v>0.15325145220233599</v>
      </c>
      <c r="K3117">
        <v>0.12247278199276899</v>
      </c>
      <c r="L3117">
        <v>1059.38959382025</v>
      </c>
      <c r="M3117">
        <v>20.196734185307498</v>
      </c>
      <c r="N3117">
        <v>53.2891568800285</v>
      </c>
      <c r="O3117">
        <v>51.947393876022197</v>
      </c>
      <c r="P3117">
        <v>-8.4008240966403899E-2</v>
      </c>
      <c r="Q3117">
        <v>0.135727074302328</v>
      </c>
      <c r="R3117">
        <v>0.998255510617435</v>
      </c>
      <c r="S3117" t="s">
        <v>8700</v>
      </c>
      <c r="T3117" t="s">
        <v>11164</v>
      </c>
      <c r="U3117" t="s">
        <v>11164</v>
      </c>
      <c r="V3117" t="s">
        <v>11164</v>
      </c>
      <c r="W3117" t="s">
        <v>14242</v>
      </c>
      <c r="X3117">
        <v>4</v>
      </c>
      <c r="Y3117" t="s">
        <v>19733</v>
      </c>
      <c r="Z3117" t="s">
        <v>25267</v>
      </c>
      <c r="AA3117">
        <v>0.59181957544068386</v>
      </c>
      <c r="AB3117" t="str">
        <f>HYPERLINK("Melting_Curves/meltCurve_Q15464_SHB.pdf", "Melting_Curves/meltCurve_Q15464_SHB.pdf")</f>
        <v>Melting_Curves/meltCurve_Q15464_SHB.pdf</v>
      </c>
    </row>
    <row r="3118" spans="1:28" x14ac:dyDescent="0.25">
      <c r="A3118" t="s">
        <v>3122</v>
      </c>
      <c r="B3118">
        <v>0.99796759195183404</v>
      </c>
      <c r="C3118">
        <v>0.96720467428731205</v>
      </c>
      <c r="D3118">
        <v>0.81493169936596399</v>
      </c>
      <c r="E3118">
        <v>0.75366392639046498</v>
      </c>
      <c r="F3118">
        <v>0.51417221882931696</v>
      </c>
      <c r="G3118">
        <v>0.22069083150951199</v>
      </c>
      <c r="H3118">
        <v>0.20357234133348001</v>
      </c>
      <c r="I3118">
        <v>0.19005062947200599</v>
      </c>
      <c r="J3118">
        <v>0.106295892922668</v>
      </c>
      <c r="K3118">
        <v>8.2104009125363406E-2</v>
      </c>
      <c r="L3118">
        <v>658.97514924499205</v>
      </c>
      <c r="M3118">
        <v>13.3661346223588</v>
      </c>
      <c r="N3118">
        <v>49.879871005686297</v>
      </c>
      <c r="O3118">
        <v>48.237494204393897</v>
      </c>
      <c r="P3118">
        <v>-6.4312741288130498E-2</v>
      </c>
      <c r="Q3118">
        <v>7.1745500904661405E-2</v>
      </c>
      <c r="R3118">
        <v>0.985411733754607</v>
      </c>
      <c r="S3118" t="s">
        <v>8701</v>
      </c>
      <c r="T3118" t="s">
        <v>11164</v>
      </c>
      <c r="U3118" t="s">
        <v>11164</v>
      </c>
      <c r="V3118" t="s">
        <v>11164</v>
      </c>
      <c r="W3118" t="s">
        <v>14243</v>
      </c>
      <c r="X3118">
        <v>4</v>
      </c>
      <c r="Y3118" t="s">
        <v>19734</v>
      </c>
      <c r="Z3118" t="s">
        <v>25268</v>
      </c>
      <c r="AA3118">
        <v>0.47585526410252171</v>
      </c>
      <c r="AB3118" t="str">
        <f>HYPERLINK("Melting_Curves/meltCurve_Q15477_SKIV2L.pdf", "Melting_Curves/meltCurve_Q15477_SKIV2L.pdf")</f>
        <v>Melting_Curves/meltCurve_Q15477_SKIV2L.pdf</v>
      </c>
    </row>
    <row r="3119" spans="1:28" x14ac:dyDescent="0.25">
      <c r="A3119" t="s">
        <v>3123</v>
      </c>
      <c r="B3119">
        <v>0.99796759195183404</v>
      </c>
      <c r="C3119">
        <v>0.74351522193341302</v>
      </c>
      <c r="D3119">
        <v>0.72265276675051404</v>
      </c>
      <c r="E3119">
        <v>1.26660283956026</v>
      </c>
      <c r="F3119">
        <v>1.0453020504775901</v>
      </c>
      <c r="G3119">
        <v>0.27597972675142202</v>
      </c>
      <c r="H3119">
        <v>0.53351961569851702</v>
      </c>
      <c r="I3119">
        <v>0.74834875251781097</v>
      </c>
      <c r="J3119">
        <v>0.88773738640676703</v>
      </c>
      <c r="K3119">
        <v>1.22117560950513</v>
      </c>
      <c r="L3119">
        <v>9413.8536683518905</v>
      </c>
      <c r="M3119">
        <v>250</v>
      </c>
      <c r="O3119">
        <v>37.653004898346502</v>
      </c>
      <c r="P3119">
        <v>-0.28682343347337003</v>
      </c>
      <c r="Q3119">
        <v>0.82720377351473096</v>
      </c>
      <c r="R3119">
        <v>3.1242688681302099E-2</v>
      </c>
      <c r="S3119" t="s">
        <v>8702</v>
      </c>
      <c r="T3119" t="s">
        <v>11164</v>
      </c>
      <c r="U3119" t="s">
        <v>11164</v>
      </c>
      <c r="V3119" t="s">
        <v>11164</v>
      </c>
      <c r="W3119" t="s">
        <v>14244</v>
      </c>
      <c r="X3119">
        <v>2</v>
      </c>
      <c r="Y3119" t="s">
        <v>19735</v>
      </c>
      <c r="Z3119" t="s">
        <v>25269</v>
      </c>
      <c r="AA3119">
        <v>0.83100015725127974</v>
      </c>
      <c r="AB3119" t="str">
        <f>HYPERLINK("Melting_Curves/meltCurve_Q15506_SPA17.pdf", "Melting_Curves/meltCurve_Q15506_SPA17.pdf")</f>
        <v>Melting_Curves/meltCurve_Q15506_SPA17.pdf</v>
      </c>
    </row>
    <row r="3120" spans="1:28" x14ac:dyDescent="0.25">
      <c r="A3120" t="s">
        <v>3124</v>
      </c>
      <c r="B3120">
        <v>0.99796759195183404</v>
      </c>
      <c r="C3120">
        <v>1.0427480412324699</v>
      </c>
      <c r="D3120">
        <v>0.99766814244954605</v>
      </c>
      <c r="E3120">
        <v>0.97461362383657801</v>
      </c>
      <c r="F3120">
        <v>0.86454084876835402</v>
      </c>
      <c r="G3120">
        <v>0.58406735710243995</v>
      </c>
      <c r="H3120">
        <v>0.42891182122759097</v>
      </c>
      <c r="I3120">
        <v>0.38164415825151499</v>
      </c>
      <c r="J3120">
        <v>0.37413808808083199</v>
      </c>
      <c r="K3120">
        <v>0.35876434174948701</v>
      </c>
      <c r="L3120">
        <v>1409.3298633565901</v>
      </c>
      <c r="M3120">
        <v>26.8066397098697</v>
      </c>
      <c r="N3120">
        <v>55.267236339545299</v>
      </c>
      <c r="O3120">
        <v>52.283956759263702</v>
      </c>
      <c r="P3120">
        <v>-8.1445445000016603E-2</v>
      </c>
      <c r="Q3120">
        <v>0.36459831081521099</v>
      </c>
      <c r="R3120">
        <v>0.99751673563861598</v>
      </c>
      <c r="S3120" t="s">
        <v>8703</v>
      </c>
      <c r="T3120" t="s">
        <v>11164</v>
      </c>
      <c r="U3120" t="s">
        <v>11164</v>
      </c>
      <c r="V3120" t="s">
        <v>11164</v>
      </c>
      <c r="W3120" t="s">
        <v>14245</v>
      </c>
      <c r="X3120">
        <v>8</v>
      </c>
      <c r="Y3120" t="s">
        <v>19736</v>
      </c>
      <c r="Z3120" t="s">
        <v>25270</v>
      </c>
      <c r="AA3120">
        <v>0.6994221339936717</v>
      </c>
      <c r="AB3120" t="str">
        <f>HYPERLINK("Melting_Curves/meltCurve_Q15526_2_SURF1.pdf", "Melting_Curves/meltCurve_Q15526_2_SURF1.pdf")</f>
        <v>Melting_Curves/meltCurve_Q15526_2_SURF1.pdf</v>
      </c>
    </row>
    <row r="3121" spans="1:28" x14ac:dyDescent="0.25">
      <c r="A3121" t="s">
        <v>3125</v>
      </c>
      <c r="B3121">
        <v>0.99796759195183404</v>
      </c>
      <c r="C3121">
        <v>1.0647325809781101</v>
      </c>
      <c r="D3121">
        <v>1.0298347383124</v>
      </c>
      <c r="E3121">
        <v>1.0158453582167299</v>
      </c>
      <c r="F3121">
        <v>0.98655737058278203</v>
      </c>
      <c r="G3121">
        <v>0.90490230027329599</v>
      </c>
      <c r="H3121">
        <v>0.61734903046069001</v>
      </c>
      <c r="I3121">
        <v>0.49035455817218898</v>
      </c>
      <c r="J3121">
        <v>0.52306927373516598</v>
      </c>
      <c r="K3121">
        <v>0.438914453421972</v>
      </c>
      <c r="L3121">
        <v>2106.7127721141501</v>
      </c>
      <c r="M3121">
        <v>37.676647657529401</v>
      </c>
      <c r="N3121">
        <v>60.735537032141202</v>
      </c>
      <c r="O3121">
        <v>55.758805435919598</v>
      </c>
      <c r="P3121">
        <v>-8.8711207037430198E-2</v>
      </c>
      <c r="Q3121">
        <v>0.47485601694016999</v>
      </c>
      <c r="R3121">
        <v>0.98520888812132501</v>
      </c>
      <c r="S3121" t="s">
        <v>8704</v>
      </c>
      <c r="T3121" t="s">
        <v>11164</v>
      </c>
      <c r="U3121" t="s">
        <v>11164</v>
      </c>
      <c r="V3121" t="s">
        <v>11164</v>
      </c>
      <c r="W3121" t="s">
        <v>14246</v>
      </c>
      <c r="X3121">
        <v>10</v>
      </c>
      <c r="Y3121" t="s">
        <v>19737</v>
      </c>
      <c r="Z3121" t="s">
        <v>25271</v>
      </c>
      <c r="AA3121">
        <v>0.80818268118540537</v>
      </c>
      <c r="AB3121" t="str">
        <f>HYPERLINK("Melting_Curves/meltCurve_Q15527_SURF2.pdf", "Melting_Curves/meltCurve_Q15527_SURF2.pdf")</f>
        <v>Melting_Curves/meltCurve_Q15527_SURF2.pdf</v>
      </c>
    </row>
    <row r="3122" spans="1:28" x14ac:dyDescent="0.25">
      <c r="A3122" t="s">
        <v>3126</v>
      </c>
      <c r="B3122">
        <v>0.99796759195183404</v>
      </c>
      <c r="C3122">
        <v>1.0719622269120399</v>
      </c>
      <c r="D3122">
        <v>1.1033810884591</v>
      </c>
      <c r="E3122">
        <v>1.0507138653771</v>
      </c>
      <c r="F3122">
        <v>0.77341601205672195</v>
      </c>
      <c r="G3122">
        <v>0.55285026948965998</v>
      </c>
      <c r="H3122">
        <v>0.447433205722651</v>
      </c>
      <c r="I3122">
        <v>0.33758721966223298</v>
      </c>
      <c r="J3122">
        <v>0.38755055480088302</v>
      </c>
      <c r="K3122">
        <v>0.37108445960923397</v>
      </c>
      <c r="L3122">
        <v>1413.79460047876</v>
      </c>
      <c r="M3122">
        <v>27.307850161376798</v>
      </c>
      <c r="N3122">
        <v>54.5024568982099</v>
      </c>
      <c r="O3122">
        <v>51.4972131461152</v>
      </c>
      <c r="P3122">
        <v>-8.3165390594936398E-2</v>
      </c>
      <c r="Q3122">
        <v>0.37267192226137602</v>
      </c>
      <c r="R3122">
        <v>0.97035546233188996</v>
      </c>
      <c r="S3122" t="s">
        <v>8705</v>
      </c>
      <c r="T3122" t="s">
        <v>11164</v>
      </c>
      <c r="U3122" t="s">
        <v>11164</v>
      </c>
      <c r="V3122" t="s">
        <v>11164</v>
      </c>
      <c r="W3122" t="s">
        <v>14247</v>
      </c>
      <c r="X3122">
        <v>8</v>
      </c>
      <c r="Y3122" t="s">
        <v>19738</v>
      </c>
      <c r="Z3122" t="s">
        <v>25272</v>
      </c>
      <c r="AA3122">
        <v>0.68629821776376498</v>
      </c>
      <c r="AB3122" t="str">
        <f>HYPERLINK("Melting_Curves/meltCurve_Q15545_TAF7.pdf", "Melting_Curves/meltCurve_Q15545_TAF7.pdf")</f>
        <v>Melting_Curves/meltCurve_Q15545_TAF7.pdf</v>
      </c>
    </row>
    <row r="3123" spans="1:28" x14ac:dyDescent="0.25">
      <c r="A3123" t="s">
        <v>3127</v>
      </c>
      <c r="B3123">
        <v>0.99796759195183404</v>
      </c>
      <c r="C3123">
        <v>1.0307386328968999</v>
      </c>
      <c r="D3123">
        <v>1.00813625492383</v>
      </c>
      <c r="E3123">
        <v>0.84821715623393301</v>
      </c>
      <c r="F3123">
        <v>0.37383238020324799</v>
      </c>
      <c r="G3123">
        <v>0.251157581806777</v>
      </c>
      <c r="H3123">
        <v>0.17690112125785601</v>
      </c>
      <c r="I3123">
        <v>0.13141745319663001</v>
      </c>
      <c r="J3123">
        <v>0.104620411069017</v>
      </c>
      <c r="K3123">
        <v>6.6508603965086802E-2</v>
      </c>
      <c r="L3123">
        <v>1376.7022752581499</v>
      </c>
      <c r="M3123">
        <v>28.135475535342898</v>
      </c>
      <c r="N3123">
        <v>49.433664432588301</v>
      </c>
      <c r="O3123">
        <v>48.686004011265098</v>
      </c>
      <c r="P3123">
        <v>-0.12650785768019401</v>
      </c>
      <c r="Q3123">
        <v>0.124363848433987</v>
      </c>
      <c r="R3123">
        <v>0.99173009568023596</v>
      </c>
      <c r="S3123" t="s">
        <v>8706</v>
      </c>
      <c r="T3123" t="s">
        <v>11164</v>
      </c>
      <c r="U3123" t="s">
        <v>11164</v>
      </c>
      <c r="V3123" t="s">
        <v>11164</v>
      </c>
      <c r="W3123" t="s">
        <v>14248</v>
      </c>
      <c r="X3123">
        <v>7</v>
      </c>
      <c r="Y3123" t="s">
        <v>19739</v>
      </c>
      <c r="Z3123" t="s">
        <v>25273</v>
      </c>
      <c r="AA3123">
        <v>0.47860279998168481</v>
      </c>
      <c r="AB3123" t="str">
        <f>HYPERLINK("Melting_Curves/meltCurve_Q15555_MAPRE2.pdf", "Melting_Curves/meltCurve_Q15555_MAPRE2.pdf")</f>
        <v>Melting_Curves/meltCurve_Q15555_MAPRE2.pdf</v>
      </c>
    </row>
    <row r="3124" spans="1:28" x14ac:dyDescent="0.25">
      <c r="A3124" t="s">
        <v>3128</v>
      </c>
      <c r="B3124">
        <v>0.99796759195183404</v>
      </c>
      <c r="C3124">
        <v>0.97666155549900502</v>
      </c>
      <c r="D3124">
        <v>0.88733066269723204</v>
      </c>
      <c r="E3124">
        <v>0.77095474537713005</v>
      </c>
      <c r="F3124">
        <v>0.45041336799182802</v>
      </c>
      <c r="G3124">
        <v>0.25576435082931698</v>
      </c>
      <c r="H3124">
        <v>0.181106153458646</v>
      </c>
      <c r="I3124">
        <v>0.133752269683208</v>
      </c>
      <c r="J3124">
        <v>0.13724668964137099</v>
      </c>
      <c r="K3124">
        <v>9.9987373796880094E-2</v>
      </c>
      <c r="L3124">
        <v>839.623329344637</v>
      </c>
      <c r="M3124">
        <v>17.131874483653</v>
      </c>
      <c r="N3124">
        <v>49.6941079062005</v>
      </c>
      <c r="O3124">
        <v>48.356287844334901</v>
      </c>
      <c r="P3124">
        <v>-7.9264828717494601E-2</v>
      </c>
      <c r="Q3124">
        <v>0.10512472982512699</v>
      </c>
      <c r="R3124">
        <v>0.99744332607921005</v>
      </c>
      <c r="S3124" t="s">
        <v>8707</v>
      </c>
      <c r="T3124" t="s">
        <v>11164</v>
      </c>
      <c r="U3124" t="s">
        <v>11164</v>
      </c>
      <c r="V3124" t="s">
        <v>11164</v>
      </c>
      <c r="W3124" t="s">
        <v>14249</v>
      </c>
      <c r="X3124">
        <v>4</v>
      </c>
      <c r="Y3124" t="s">
        <v>19740</v>
      </c>
      <c r="Z3124" t="s">
        <v>25274</v>
      </c>
      <c r="AA3124">
        <v>0.47884512266068219</v>
      </c>
      <c r="AB3124" t="str">
        <f>HYPERLINK("Melting_Curves/meltCurve_Q15596_NCOA2.pdf", "Melting_Curves/meltCurve_Q15596_NCOA2.pdf")</f>
        <v>Melting_Curves/meltCurve_Q15596_NCOA2.pdf</v>
      </c>
    </row>
    <row r="3125" spans="1:28" x14ac:dyDescent="0.25">
      <c r="A3125" t="s">
        <v>3129</v>
      </c>
      <c r="B3125">
        <v>0.99796759195183404</v>
      </c>
      <c r="C3125">
        <v>0.98770862004679105</v>
      </c>
      <c r="D3125">
        <v>0.98588208815358702</v>
      </c>
      <c r="E3125">
        <v>0.96113128803673897</v>
      </c>
      <c r="F3125">
        <v>0.87142297285110604</v>
      </c>
      <c r="G3125">
        <v>0.74511546969803599</v>
      </c>
      <c r="H3125">
        <v>0.65380171510713503</v>
      </c>
      <c r="I3125">
        <v>0.51792052863328397</v>
      </c>
      <c r="J3125">
        <v>0.51336676421910898</v>
      </c>
      <c r="K3125">
        <v>0.43816198324385303</v>
      </c>
      <c r="L3125">
        <v>687.65557014069896</v>
      </c>
      <c r="M3125">
        <v>12.346877803735801</v>
      </c>
      <c r="N3125">
        <v>63.156865891809097</v>
      </c>
      <c r="O3125">
        <v>54.294169666897197</v>
      </c>
      <c r="P3125">
        <v>-3.5042743776497597E-2</v>
      </c>
      <c r="Q3125">
        <v>0.38374497605559099</v>
      </c>
      <c r="R3125">
        <v>0.995148879967094</v>
      </c>
      <c r="S3125" t="s">
        <v>8708</v>
      </c>
      <c r="T3125" t="s">
        <v>11164</v>
      </c>
      <c r="U3125" t="s">
        <v>11164</v>
      </c>
      <c r="V3125" t="s">
        <v>11164</v>
      </c>
      <c r="W3125" t="s">
        <v>14250</v>
      </c>
      <c r="X3125">
        <v>17</v>
      </c>
      <c r="Y3125" t="s">
        <v>19741</v>
      </c>
      <c r="Z3125" t="s">
        <v>25275</v>
      </c>
      <c r="AA3125">
        <v>0.77486260180034539</v>
      </c>
      <c r="AB3125" t="str">
        <f>HYPERLINK("Melting_Curves/meltCurve_Q15599_2_SLC9A3R2.pdf", "Melting_Curves/meltCurve_Q15599_2_SLC9A3R2.pdf")</f>
        <v>Melting_Curves/meltCurve_Q15599_2_SLC9A3R2.pdf</v>
      </c>
    </row>
    <row r="3126" spans="1:28" x14ac:dyDescent="0.25">
      <c r="A3126" t="s">
        <v>3130</v>
      </c>
      <c r="B3126">
        <v>0.99796759195183404</v>
      </c>
      <c r="C3126">
        <v>1.1387439892223199</v>
      </c>
      <c r="D3126">
        <v>0.94505197919379802</v>
      </c>
      <c r="E3126">
        <v>0.95603415112275303</v>
      </c>
      <c r="F3126">
        <v>0.72380613360414103</v>
      </c>
      <c r="G3126">
        <v>0.58163070715545395</v>
      </c>
      <c r="H3126">
        <v>0.39743611523413802</v>
      </c>
      <c r="I3126">
        <v>0.36055630453079601</v>
      </c>
      <c r="J3126">
        <v>0.34388516105199601</v>
      </c>
      <c r="K3126">
        <v>0.37467791909742798</v>
      </c>
      <c r="L3126">
        <v>1019.68916863543</v>
      </c>
      <c r="M3126">
        <v>19.7785664506257</v>
      </c>
      <c r="N3126">
        <v>54.7531973860725</v>
      </c>
      <c r="O3126">
        <v>51.036924452936503</v>
      </c>
      <c r="P3126">
        <v>-6.3703049844129001E-2</v>
      </c>
      <c r="Q3126">
        <v>0.342501116579633</v>
      </c>
      <c r="R3126">
        <v>0.96921348503751303</v>
      </c>
      <c r="S3126" t="s">
        <v>8709</v>
      </c>
      <c r="T3126" t="s">
        <v>11164</v>
      </c>
      <c r="U3126" t="s">
        <v>11164</v>
      </c>
      <c r="V3126" t="s">
        <v>11164</v>
      </c>
      <c r="W3126" t="s">
        <v>14251</v>
      </c>
      <c r="X3126">
        <v>2</v>
      </c>
      <c r="Y3126" t="s">
        <v>19742</v>
      </c>
      <c r="Z3126" t="s">
        <v>25276</v>
      </c>
      <c r="AA3126">
        <v>0.67021069994417604</v>
      </c>
      <c r="AB3126" t="str">
        <f>HYPERLINK("Melting_Curves/meltCurve_Q15633_2_TARBP2.pdf", "Melting_Curves/meltCurve_Q15633_2_TARBP2.pdf")</f>
        <v>Melting_Curves/meltCurve_Q15633_2_TARBP2.pdf</v>
      </c>
    </row>
    <row r="3127" spans="1:28" x14ac:dyDescent="0.25">
      <c r="A3127" t="s">
        <v>3131</v>
      </c>
      <c r="B3127">
        <v>0.99796759195183404</v>
      </c>
      <c r="C3127">
        <v>0.99093878684389702</v>
      </c>
      <c r="D3127">
        <v>0.98359097906864701</v>
      </c>
      <c r="E3127">
        <v>0.96643389853847395</v>
      </c>
      <c r="F3127">
        <v>0.86132475154888999</v>
      </c>
      <c r="G3127">
        <v>0.67045671804554996</v>
      </c>
      <c r="H3127">
        <v>0.71716812700070898</v>
      </c>
      <c r="I3127">
        <v>0.61967549359947405</v>
      </c>
      <c r="J3127">
        <v>0.60386627446508001</v>
      </c>
      <c r="K3127">
        <v>0.53955391657769702</v>
      </c>
      <c r="L3127">
        <v>793.54170941830796</v>
      </c>
      <c r="M3127">
        <v>15.1662025885151</v>
      </c>
      <c r="O3127">
        <v>51.438643205660803</v>
      </c>
      <c r="P3127">
        <v>-3.2107083029696198E-2</v>
      </c>
      <c r="Q3127">
        <v>0.564456562296481</v>
      </c>
      <c r="R3127">
        <v>0.96340218582134796</v>
      </c>
      <c r="S3127" t="s">
        <v>8710</v>
      </c>
      <c r="T3127" t="s">
        <v>11164</v>
      </c>
      <c r="U3127" t="s">
        <v>11164</v>
      </c>
      <c r="V3127" t="s">
        <v>11164</v>
      </c>
      <c r="W3127" t="s">
        <v>14252</v>
      </c>
      <c r="X3127">
        <v>29</v>
      </c>
      <c r="Y3127" t="s">
        <v>19743</v>
      </c>
      <c r="Z3127" t="s">
        <v>25277</v>
      </c>
      <c r="AA3127">
        <v>0.79498791995596696</v>
      </c>
      <c r="AB3127" t="str">
        <f>HYPERLINK("Melting_Curves/meltCurve_Q15637_5_SF1.pdf", "Melting_Curves/meltCurve_Q15637_5_SF1.pdf")</f>
        <v>Melting_Curves/meltCurve_Q15637_5_SF1.pdf</v>
      </c>
    </row>
    <row r="3128" spans="1:28" x14ac:dyDescent="0.25">
      <c r="A3128" t="s">
        <v>3132</v>
      </c>
      <c r="B3128">
        <v>0.99796759195183404</v>
      </c>
      <c r="C3128">
        <v>1.0057008760228301</v>
      </c>
      <c r="D3128">
        <v>0.79385099942684501</v>
      </c>
      <c r="E3128">
        <v>0.84055580299033505</v>
      </c>
      <c r="F3128">
        <v>0.71547013762118905</v>
      </c>
      <c r="G3128">
        <v>0.31160341772042499</v>
      </c>
      <c r="H3128">
        <v>0.131676639034007</v>
      </c>
      <c r="I3128">
        <v>0.20455763661139101</v>
      </c>
      <c r="J3128">
        <v>9.9778072429660997E-2</v>
      </c>
      <c r="K3128">
        <v>0</v>
      </c>
      <c r="L3128">
        <v>717.46218084567704</v>
      </c>
      <c r="M3128">
        <v>13.8403895580186</v>
      </c>
      <c r="N3128">
        <v>51.856510164361701</v>
      </c>
      <c r="O3128">
        <v>50.792069860957902</v>
      </c>
      <c r="P3128">
        <v>-6.7967014595896894E-2</v>
      </c>
      <c r="Q3128">
        <v>2.4250461951464699E-3</v>
      </c>
      <c r="R3128">
        <v>0.96060018417788295</v>
      </c>
      <c r="S3128" t="s">
        <v>8711</v>
      </c>
      <c r="T3128" t="s">
        <v>11164</v>
      </c>
      <c r="U3128" t="s">
        <v>11164</v>
      </c>
      <c r="V3128" t="s">
        <v>11164</v>
      </c>
      <c r="W3128" t="s">
        <v>14253</v>
      </c>
      <c r="X3128">
        <v>16</v>
      </c>
      <c r="Y3128" t="s">
        <v>19744</v>
      </c>
      <c r="Z3128" t="s">
        <v>25278</v>
      </c>
      <c r="AA3128">
        <v>0.51691253207272714</v>
      </c>
      <c r="AB3128" t="str">
        <f>HYPERLINK("Melting_Curves/meltCurve_Q15642_TRIP10.pdf", "Melting_Curves/meltCurve_Q15642_TRIP10.pdf")</f>
        <v>Melting_Curves/meltCurve_Q15642_TRIP10.pdf</v>
      </c>
    </row>
    <row r="3129" spans="1:28" x14ac:dyDescent="0.25">
      <c r="A3129" t="s">
        <v>3133</v>
      </c>
      <c r="B3129">
        <v>0.99796759195183404</v>
      </c>
      <c r="C3129">
        <v>0.95801770624726101</v>
      </c>
      <c r="D3129">
        <v>0.93142628077086198</v>
      </c>
      <c r="E3129">
        <v>0.94560828326875601</v>
      </c>
      <c r="F3129">
        <v>0.830240075203032</v>
      </c>
      <c r="G3129">
        <v>0.42400673997176402</v>
      </c>
      <c r="H3129">
        <v>0.25280834032518101</v>
      </c>
      <c r="I3129">
        <v>0.20986015319971199</v>
      </c>
      <c r="J3129">
        <v>0.17894562673822501</v>
      </c>
      <c r="K3129">
        <v>0.12681691937620501</v>
      </c>
      <c r="L3129">
        <v>1398.1821720186001</v>
      </c>
      <c r="M3129">
        <v>26.6565217656395</v>
      </c>
      <c r="N3129">
        <v>53.238675749998201</v>
      </c>
      <c r="O3129">
        <v>52.159236598870898</v>
      </c>
      <c r="P3129">
        <v>-0.106963299515674</v>
      </c>
      <c r="Q3129">
        <v>0.16282123859456099</v>
      </c>
      <c r="R3129">
        <v>0.99178780584127202</v>
      </c>
      <c r="S3129" t="s">
        <v>8712</v>
      </c>
      <c r="T3129" t="s">
        <v>11164</v>
      </c>
      <c r="U3129" t="s">
        <v>11164</v>
      </c>
      <c r="V3129" t="s">
        <v>11164</v>
      </c>
      <c r="W3129" t="s">
        <v>14254</v>
      </c>
      <c r="X3129">
        <v>16</v>
      </c>
      <c r="Y3129" t="s">
        <v>19744</v>
      </c>
      <c r="Z3129" t="s">
        <v>25279</v>
      </c>
      <c r="AA3129">
        <v>0.60062836988421353</v>
      </c>
      <c r="AB3129" t="str">
        <f>HYPERLINK("Melting_Curves/meltCurve_Q15642_2_TRIP10.pdf", "Melting_Curves/meltCurve_Q15642_2_TRIP10.pdf")</f>
        <v>Melting_Curves/meltCurve_Q15642_2_TRIP10.pdf</v>
      </c>
    </row>
    <row r="3130" spans="1:28" x14ac:dyDescent="0.25">
      <c r="A3130" t="s">
        <v>3134</v>
      </c>
      <c r="B3130">
        <v>0.99796759195183404</v>
      </c>
      <c r="C3130">
        <v>0.97373736697481705</v>
      </c>
      <c r="D3130">
        <v>0.98522831919203402</v>
      </c>
      <c r="E3130">
        <v>0.92468639777667105</v>
      </c>
      <c r="F3130">
        <v>0.45481009294949698</v>
      </c>
      <c r="G3130">
        <v>0.311817238872174</v>
      </c>
      <c r="H3130">
        <v>0.231638088743538</v>
      </c>
      <c r="I3130">
        <v>0.18165507675104201</v>
      </c>
      <c r="J3130">
        <v>0.140771336270334</v>
      </c>
      <c r="K3130">
        <v>9.6142311385553902E-2</v>
      </c>
      <c r="L3130">
        <v>1327.8400324639199</v>
      </c>
      <c r="M3130">
        <v>26.786109267407401</v>
      </c>
      <c r="N3130">
        <v>50.306388892910398</v>
      </c>
      <c r="O3130">
        <v>49.298143597043897</v>
      </c>
      <c r="P3130">
        <v>-0.113856262126938</v>
      </c>
      <c r="Q3130">
        <v>0.16182751693463501</v>
      </c>
      <c r="R3130">
        <v>0.98722732088472798</v>
      </c>
      <c r="S3130" t="s">
        <v>8713</v>
      </c>
      <c r="T3130" t="s">
        <v>11164</v>
      </c>
      <c r="U3130" t="s">
        <v>11164</v>
      </c>
      <c r="V3130" t="s">
        <v>11164</v>
      </c>
      <c r="W3130" t="s">
        <v>14255</v>
      </c>
      <c r="X3130">
        <v>14</v>
      </c>
      <c r="Y3130" t="s">
        <v>19745</v>
      </c>
      <c r="Z3130" t="s">
        <v>25280</v>
      </c>
      <c r="AA3130">
        <v>0.5194586549105954</v>
      </c>
      <c r="AB3130" t="str">
        <f>HYPERLINK("Melting_Curves/meltCurve_Q15643_TRIP11.pdf", "Melting_Curves/meltCurve_Q15643_TRIP11.pdf")</f>
        <v>Melting_Curves/meltCurve_Q15643_TRIP11.pdf</v>
      </c>
    </row>
    <row r="3131" spans="1:28" x14ac:dyDescent="0.25">
      <c r="A3131" t="s">
        <v>3135</v>
      </c>
      <c r="B3131">
        <v>0.99796759195183404</v>
      </c>
      <c r="C3131">
        <v>1.01146651761524</v>
      </c>
      <c r="D3131">
        <v>1.0955017780671299</v>
      </c>
      <c r="E3131">
        <v>1.10361300151867</v>
      </c>
      <c r="F3131">
        <v>0.97582700014827695</v>
      </c>
      <c r="G3131">
        <v>0.45370366064921303</v>
      </c>
      <c r="H3131">
        <v>0.195126215082434</v>
      </c>
      <c r="I3131">
        <v>0.13862961463947801</v>
      </c>
      <c r="J3131">
        <v>0.102511708491775</v>
      </c>
      <c r="K3131">
        <v>8.7372656168005103E-2</v>
      </c>
      <c r="L3131">
        <v>2516.9776268391201</v>
      </c>
      <c r="M3131">
        <v>47.227814325935199</v>
      </c>
      <c r="N3131">
        <v>53.609702408401297</v>
      </c>
      <c r="O3131">
        <v>53.199101054847802</v>
      </c>
      <c r="P3131">
        <v>-0.19502646617654601</v>
      </c>
      <c r="Q3131">
        <v>0.121261763313093</v>
      </c>
      <c r="R3131">
        <v>0.98691115559318698</v>
      </c>
      <c r="S3131" t="s">
        <v>8714</v>
      </c>
      <c r="T3131" t="s">
        <v>11164</v>
      </c>
      <c r="U3131" t="s">
        <v>11164</v>
      </c>
      <c r="V3131" t="s">
        <v>11164</v>
      </c>
      <c r="W3131" t="s">
        <v>14256</v>
      </c>
      <c r="X3131">
        <v>15</v>
      </c>
      <c r="Y3131" t="s">
        <v>19746</v>
      </c>
      <c r="Z3131" t="s">
        <v>25281</v>
      </c>
      <c r="AA3131">
        <v>0.60085872116605687</v>
      </c>
      <c r="AB3131" t="str">
        <f>HYPERLINK("Melting_Curves/meltCurve_Q15645_TRIP13.pdf", "Melting_Curves/meltCurve_Q15645_TRIP13.pdf")</f>
        <v>Melting_Curves/meltCurve_Q15645_TRIP13.pdf</v>
      </c>
    </row>
    <row r="3132" spans="1:28" x14ac:dyDescent="0.25">
      <c r="A3132" t="s">
        <v>3136</v>
      </c>
      <c r="B3132">
        <v>0.99796759195183404</v>
      </c>
      <c r="C3132">
        <v>1.029431311615</v>
      </c>
      <c r="D3132">
        <v>0.94469853920425795</v>
      </c>
      <c r="E3132">
        <v>0.96917413296724897</v>
      </c>
      <c r="F3132">
        <v>0.83498151682168698</v>
      </c>
      <c r="G3132">
        <v>1.0038687440944101</v>
      </c>
      <c r="H3132">
        <v>0.61592633779363803</v>
      </c>
      <c r="I3132">
        <v>0.55008963772371</v>
      </c>
      <c r="J3132">
        <v>0.61118134721578499</v>
      </c>
      <c r="K3132">
        <v>0.62842453777362295</v>
      </c>
      <c r="L3132">
        <v>14178.514152519099</v>
      </c>
      <c r="M3132">
        <v>250</v>
      </c>
      <c r="O3132">
        <v>56.710404941163901</v>
      </c>
      <c r="P3132">
        <v>-0.444621558395218</v>
      </c>
      <c r="Q3132">
        <v>0.59656514257406601</v>
      </c>
      <c r="R3132">
        <v>0.89620558016729301</v>
      </c>
      <c r="S3132" t="s">
        <v>8715</v>
      </c>
      <c r="T3132" t="s">
        <v>11164</v>
      </c>
      <c r="U3132" t="s">
        <v>11164</v>
      </c>
      <c r="V3132" t="s">
        <v>11164</v>
      </c>
      <c r="W3132" t="s">
        <v>14257</v>
      </c>
      <c r="X3132">
        <v>3</v>
      </c>
      <c r="Y3132" t="s">
        <v>19747</v>
      </c>
      <c r="Z3132" t="s">
        <v>25282</v>
      </c>
      <c r="AA3132">
        <v>0.86171655129372715</v>
      </c>
      <c r="AB3132" t="str">
        <f>HYPERLINK("Melting_Curves/meltCurve_Q15649_ZNHIT3.pdf", "Melting_Curves/meltCurve_Q15649_ZNHIT3.pdf")</f>
        <v>Melting_Curves/meltCurve_Q15649_ZNHIT3.pdf</v>
      </c>
    </row>
    <row r="3133" spans="1:28" x14ac:dyDescent="0.25">
      <c r="A3133" t="s">
        <v>3137</v>
      </c>
      <c r="B3133">
        <v>0.99796759195183404</v>
      </c>
      <c r="C3133">
        <v>1.04405695100574</v>
      </c>
      <c r="D3133">
        <v>1.0608019230214201</v>
      </c>
      <c r="E3133">
        <v>0.84898878297334202</v>
      </c>
      <c r="F3133">
        <v>0.85277586766704705</v>
      </c>
      <c r="G3133">
        <v>0.59615099598271404</v>
      </c>
      <c r="H3133">
        <v>0.43403236524489502</v>
      </c>
      <c r="I3133">
        <v>0.35988769069205501</v>
      </c>
      <c r="J3133">
        <v>0.20825631527195701</v>
      </c>
      <c r="K3133">
        <v>0.148271295757713</v>
      </c>
      <c r="L3133">
        <v>670.32217713698503</v>
      </c>
      <c r="M3133">
        <v>12.0030497160054</v>
      </c>
      <c r="N3133">
        <v>56.365391788552401</v>
      </c>
      <c r="O3133">
        <v>54.363650163430698</v>
      </c>
      <c r="P3133">
        <v>-5.2320696596849202E-2</v>
      </c>
      <c r="Q3133">
        <v>5.2354857023785999E-2</v>
      </c>
      <c r="R3133">
        <v>0.97966688617028597</v>
      </c>
      <c r="S3133" t="s">
        <v>8716</v>
      </c>
      <c r="T3133" t="s">
        <v>11164</v>
      </c>
      <c r="U3133" t="s">
        <v>11164</v>
      </c>
      <c r="V3133" t="s">
        <v>11164</v>
      </c>
      <c r="W3133" t="s">
        <v>14258</v>
      </c>
      <c r="X3133">
        <v>7</v>
      </c>
      <c r="Y3133" t="s">
        <v>19748</v>
      </c>
      <c r="Z3133" t="s">
        <v>25283</v>
      </c>
      <c r="AA3133">
        <v>0.65763326555195678</v>
      </c>
      <c r="AB3133" t="str">
        <f>HYPERLINK("Melting_Curves/meltCurve_Q15652_2_JMJD1C.pdf", "Melting_Curves/meltCurve_Q15652_2_JMJD1C.pdf")</f>
        <v>Melting_Curves/meltCurve_Q15652_2_JMJD1C.pdf</v>
      </c>
    </row>
    <row r="3134" spans="1:28" x14ac:dyDescent="0.25">
      <c r="A3134" t="s">
        <v>3138</v>
      </c>
      <c r="B3134">
        <v>0.99796759195183404</v>
      </c>
      <c r="C3134">
        <v>1.04515698029038</v>
      </c>
      <c r="D3134">
        <v>1.0166462155982401</v>
      </c>
      <c r="E3134">
        <v>0.99682546115932802</v>
      </c>
      <c r="F3134">
        <v>0.85538852025547096</v>
      </c>
      <c r="G3134">
        <v>0.57503115686772499</v>
      </c>
      <c r="H3134">
        <v>0.47078244566465399</v>
      </c>
      <c r="I3134">
        <v>0.29417142018637499</v>
      </c>
      <c r="J3134">
        <v>0.26346188361327499</v>
      </c>
      <c r="K3134">
        <v>0.198209810655507</v>
      </c>
      <c r="L3134">
        <v>945.59267605667196</v>
      </c>
      <c r="M3134">
        <v>17.4154766561999</v>
      </c>
      <c r="N3134">
        <v>55.889710145544697</v>
      </c>
      <c r="O3134">
        <v>53.595388935423998</v>
      </c>
      <c r="P3134">
        <v>-6.5342356718283201E-2</v>
      </c>
      <c r="Q3134">
        <v>0.19569188762840101</v>
      </c>
      <c r="R3134">
        <v>0.98995137470298999</v>
      </c>
      <c r="S3134" t="s">
        <v>8717</v>
      </c>
      <c r="T3134" t="s">
        <v>11164</v>
      </c>
      <c r="U3134" t="s">
        <v>11164</v>
      </c>
      <c r="V3134" t="s">
        <v>11164</v>
      </c>
      <c r="W3134" t="s">
        <v>14259</v>
      </c>
      <c r="X3134">
        <v>25</v>
      </c>
      <c r="Y3134" t="s">
        <v>19749</v>
      </c>
      <c r="Z3134" t="s">
        <v>25284</v>
      </c>
      <c r="AA3134">
        <v>0.67055412135294279</v>
      </c>
      <c r="AB3134" t="str">
        <f>HYPERLINK("Melting_Curves/meltCurve_Q15654_TRIP6.pdf", "Melting_Curves/meltCurve_Q15654_TRIP6.pdf")</f>
        <v>Melting_Curves/meltCurve_Q15654_TRIP6.pdf</v>
      </c>
    </row>
    <row r="3135" spans="1:28" x14ac:dyDescent="0.25">
      <c r="A3135" t="s">
        <v>3139</v>
      </c>
      <c r="B3135">
        <v>0.99796759195183404</v>
      </c>
      <c r="C3135">
        <v>1.0109878290024501</v>
      </c>
      <c r="D3135">
        <v>1.0290204824820299</v>
      </c>
      <c r="E3135">
        <v>0.92241095835800202</v>
      </c>
      <c r="F3135">
        <v>0.74877192373067303</v>
      </c>
      <c r="G3135">
        <v>0.52986537685240498</v>
      </c>
      <c r="H3135">
        <v>0.21761326855997801</v>
      </c>
      <c r="I3135">
        <v>0.147354825767122</v>
      </c>
      <c r="J3135">
        <v>0.115647783280698</v>
      </c>
      <c r="K3135">
        <v>8.1513317593790602E-2</v>
      </c>
      <c r="L3135">
        <v>983.70674444852295</v>
      </c>
      <c r="M3135">
        <v>18.468241261529801</v>
      </c>
      <c r="N3135">
        <v>53.649294734641401</v>
      </c>
      <c r="O3135">
        <v>52.652049929487497</v>
      </c>
      <c r="P3135">
        <v>-8.2257578940742607E-2</v>
      </c>
      <c r="Q3135">
        <v>6.1992529097777402E-2</v>
      </c>
      <c r="R3135">
        <v>0.99591585228072799</v>
      </c>
      <c r="S3135" t="s">
        <v>8718</v>
      </c>
      <c r="T3135" t="s">
        <v>11164</v>
      </c>
      <c r="U3135" t="s">
        <v>11164</v>
      </c>
      <c r="V3135" t="s">
        <v>11164</v>
      </c>
      <c r="W3135" t="s">
        <v>14260</v>
      </c>
      <c r="X3135">
        <v>15</v>
      </c>
      <c r="Y3135" t="s">
        <v>19750</v>
      </c>
      <c r="Z3135" t="s">
        <v>25285</v>
      </c>
      <c r="AA3135">
        <v>0.58357353582706273</v>
      </c>
      <c r="AB3135" t="str">
        <f>HYPERLINK("Melting_Curves/meltCurve_Q15691_MAPRE1.pdf", "Melting_Curves/meltCurve_Q15691_MAPRE1.pdf")</f>
        <v>Melting_Curves/meltCurve_Q15691_MAPRE1.pdf</v>
      </c>
    </row>
    <row r="3136" spans="1:28" x14ac:dyDescent="0.25">
      <c r="A3136" t="s">
        <v>3140</v>
      </c>
      <c r="B3136">
        <v>0.99796759195183404</v>
      </c>
      <c r="C3136">
        <v>0.99711783661558095</v>
      </c>
      <c r="D3136">
        <v>1.00953309617752</v>
      </c>
      <c r="E3136">
        <v>0.88663703619704304</v>
      </c>
      <c r="F3136">
        <v>0.88032582651120705</v>
      </c>
      <c r="G3136">
        <v>0.50636442452535801</v>
      </c>
      <c r="H3136">
        <v>0.567200943579378</v>
      </c>
      <c r="I3136">
        <v>0.54289572774657702</v>
      </c>
      <c r="J3136">
        <v>0.68657540187063504</v>
      </c>
      <c r="K3136">
        <v>0.65292745620172099</v>
      </c>
      <c r="L3136">
        <v>12594.282099358499</v>
      </c>
      <c r="M3136">
        <v>250</v>
      </c>
      <c r="O3136">
        <v>50.373901254566</v>
      </c>
      <c r="P3136">
        <v>-0.50721601058088395</v>
      </c>
      <c r="Q3136">
        <v>0.59119278563106303</v>
      </c>
      <c r="R3136">
        <v>0.90265911581429703</v>
      </c>
      <c r="S3136" t="s">
        <v>8719</v>
      </c>
      <c r="T3136" t="s">
        <v>11164</v>
      </c>
      <c r="U3136" t="s">
        <v>11164</v>
      </c>
      <c r="V3136" t="s">
        <v>11164</v>
      </c>
      <c r="W3136" t="s">
        <v>14261</v>
      </c>
      <c r="X3136">
        <v>3</v>
      </c>
      <c r="Y3136" t="s">
        <v>19751</v>
      </c>
      <c r="Z3136" t="s">
        <v>25286</v>
      </c>
      <c r="AA3136">
        <v>0.77351781526390129</v>
      </c>
      <c r="AB3136" t="str">
        <f>HYPERLINK("Melting_Curves/meltCurve_Q15714_TSC22D1.pdf", "Melting_Curves/meltCurve_Q15714_TSC22D1.pdf")</f>
        <v>Melting_Curves/meltCurve_Q15714_TSC22D1.pdf</v>
      </c>
    </row>
    <row r="3137" spans="1:28" x14ac:dyDescent="0.25">
      <c r="A3137" t="s">
        <v>3141</v>
      </c>
      <c r="B3137">
        <v>0.99796759195183404</v>
      </c>
      <c r="C3137">
        <v>1.0175952063603899</v>
      </c>
      <c r="D3137">
        <v>1.0681991194214</v>
      </c>
      <c r="E3137">
        <v>0.97159799951788495</v>
      </c>
      <c r="F3137">
        <v>0.78506024617241399</v>
      </c>
      <c r="G3137">
        <v>0.596543049153478</v>
      </c>
      <c r="H3137">
        <v>0.30756806144250098</v>
      </c>
      <c r="I3137">
        <v>8.9011525245071499E-2</v>
      </c>
      <c r="J3137">
        <v>3.4783865026351703E-2</v>
      </c>
      <c r="K3137">
        <v>3.48529709923905E-2</v>
      </c>
      <c r="L3137">
        <v>1023.73547883123</v>
      </c>
      <c r="M3137">
        <v>18.750002223741799</v>
      </c>
      <c r="N3137">
        <v>54.599221991293703</v>
      </c>
      <c r="O3137">
        <v>53.989532089524097</v>
      </c>
      <c r="P3137">
        <v>-8.6826046379903293E-2</v>
      </c>
      <c r="Q3137">
        <v>0</v>
      </c>
      <c r="R3137">
        <v>0.99313528682425301</v>
      </c>
      <c r="S3137" t="s">
        <v>8720</v>
      </c>
      <c r="T3137" t="s">
        <v>11164</v>
      </c>
      <c r="U3137" t="s">
        <v>11164</v>
      </c>
      <c r="V3137" t="s">
        <v>11164</v>
      </c>
      <c r="W3137" t="s">
        <v>14262</v>
      </c>
      <c r="X3137">
        <v>8</v>
      </c>
      <c r="Y3137" t="s">
        <v>19752</v>
      </c>
      <c r="Z3137" t="s">
        <v>25287</v>
      </c>
      <c r="AA3137">
        <v>0.59918685831942098</v>
      </c>
      <c r="AB3137" t="str">
        <f>HYPERLINK("Melting_Curves/meltCurve_Q15738_NSDHL.pdf", "Melting_Curves/meltCurve_Q15738_NSDHL.pdf")</f>
        <v>Melting_Curves/meltCurve_Q15738_NSDHL.pdf</v>
      </c>
    </row>
    <row r="3138" spans="1:28" x14ac:dyDescent="0.25">
      <c r="A3138" t="s">
        <v>3142</v>
      </c>
      <c r="B3138">
        <v>0.99796759195183404</v>
      </c>
      <c r="C3138">
        <v>0.99263976661515996</v>
      </c>
      <c r="D3138">
        <v>0.92551034673079402</v>
      </c>
      <c r="E3138">
        <v>0.86538990314671604</v>
      </c>
      <c r="F3138">
        <v>0.74422620785502103</v>
      </c>
      <c r="G3138">
        <v>0.39596487254326401</v>
      </c>
      <c r="H3138">
        <v>0.29366742019835701</v>
      </c>
      <c r="I3138">
        <v>0.16627854472224499</v>
      </c>
      <c r="J3138">
        <v>0.130913392768021</v>
      </c>
      <c r="K3138">
        <v>9.4038698870845705E-2</v>
      </c>
      <c r="L3138">
        <v>793.40926581566202</v>
      </c>
      <c r="M3138">
        <v>15.107655576979999</v>
      </c>
      <c r="N3138">
        <v>53.019869164501202</v>
      </c>
      <c r="O3138">
        <v>51.622666690623497</v>
      </c>
      <c r="P3138">
        <v>-6.8287322076331106E-2</v>
      </c>
      <c r="Q3138">
        <v>6.6744041577076196E-2</v>
      </c>
      <c r="R3138">
        <v>0.99329868909622698</v>
      </c>
      <c r="S3138" t="s">
        <v>8721</v>
      </c>
      <c r="T3138" t="s">
        <v>11164</v>
      </c>
      <c r="U3138" t="s">
        <v>11164</v>
      </c>
      <c r="V3138" t="s">
        <v>11164</v>
      </c>
      <c r="W3138" t="s">
        <v>14263</v>
      </c>
      <c r="X3138">
        <v>16</v>
      </c>
      <c r="Y3138" t="s">
        <v>19753</v>
      </c>
      <c r="Z3138" t="s">
        <v>25288</v>
      </c>
      <c r="AA3138">
        <v>0.56660038276191738</v>
      </c>
      <c r="AB3138" t="str">
        <f>HYPERLINK("Melting_Curves/meltCurve_Q15750_TAB1.pdf", "Melting_Curves/meltCurve_Q15750_TAB1.pdf")</f>
        <v>Melting_Curves/meltCurve_Q15750_TAB1.pdf</v>
      </c>
    </row>
    <row r="3139" spans="1:28" x14ac:dyDescent="0.25">
      <c r="A3139" t="s">
        <v>3143</v>
      </c>
      <c r="B3139">
        <v>0.99796759195183404</v>
      </c>
      <c r="C3139">
        <v>1.06495661392935</v>
      </c>
      <c r="D3139">
        <v>1.0593412392575201</v>
      </c>
      <c r="E3139">
        <v>0.98735941605546496</v>
      </c>
      <c r="F3139">
        <v>0.92786788214350402</v>
      </c>
      <c r="G3139">
        <v>0.78618115511672004</v>
      </c>
      <c r="H3139">
        <v>0.81363484188830204</v>
      </c>
      <c r="I3139">
        <v>0.778568177961668</v>
      </c>
      <c r="J3139">
        <v>1.07049752238405</v>
      </c>
      <c r="K3139">
        <v>0.94300057389507996</v>
      </c>
      <c r="L3139">
        <v>12531.0896383044</v>
      </c>
      <c r="M3139">
        <v>250</v>
      </c>
      <c r="O3139">
        <v>50.121151182826097</v>
      </c>
      <c r="P3139">
        <v>-0.15166195094938001</v>
      </c>
      <c r="Q3139">
        <v>0.87837645560847499</v>
      </c>
      <c r="R3139">
        <v>0.39411472855931701</v>
      </c>
      <c r="S3139" t="s">
        <v>8722</v>
      </c>
      <c r="T3139" t="s">
        <v>11164</v>
      </c>
      <c r="U3139" t="s">
        <v>11164</v>
      </c>
      <c r="V3139" t="s">
        <v>11164</v>
      </c>
      <c r="W3139" t="s">
        <v>14264</v>
      </c>
      <c r="X3139">
        <v>16</v>
      </c>
      <c r="Y3139" t="s">
        <v>19754</v>
      </c>
      <c r="Z3139" t="s">
        <v>25289</v>
      </c>
      <c r="AA3139">
        <v>0.93159485469411629</v>
      </c>
      <c r="AB3139" t="str">
        <f>HYPERLINK("Melting_Curves/meltCurve_Q15758_SLC1A5.pdf", "Melting_Curves/meltCurve_Q15758_SLC1A5.pdf")</f>
        <v>Melting_Curves/meltCurve_Q15758_SLC1A5.pdf</v>
      </c>
    </row>
    <row r="3140" spans="1:28" x14ac:dyDescent="0.25">
      <c r="A3140" t="s">
        <v>3144</v>
      </c>
      <c r="B3140">
        <v>0.99796759195183404</v>
      </c>
      <c r="C3140">
        <v>1.1851168469093001</v>
      </c>
      <c r="D3140">
        <v>1.2024821322711501</v>
      </c>
      <c r="E3140">
        <v>1.01660218734548</v>
      </c>
      <c r="F3140">
        <v>0.86682090264824896</v>
      </c>
      <c r="G3140">
        <v>0.50219493257263403</v>
      </c>
      <c r="H3140">
        <v>0.39648989301940302</v>
      </c>
      <c r="I3140">
        <v>0.20499049427934701</v>
      </c>
      <c r="J3140">
        <v>0.178681512925774</v>
      </c>
      <c r="K3140">
        <v>0</v>
      </c>
      <c r="L3140">
        <v>979.427231106215</v>
      </c>
      <c r="M3140">
        <v>17.905430020908401</v>
      </c>
      <c r="N3140">
        <v>55.050188122983101</v>
      </c>
      <c r="O3140">
        <v>54.0314107561925</v>
      </c>
      <c r="P3140">
        <v>-7.83920323354763E-2</v>
      </c>
      <c r="Q3140">
        <v>5.3824746978177303E-2</v>
      </c>
      <c r="R3140">
        <v>0.94135291255635101</v>
      </c>
      <c r="S3140" t="s">
        <v>8723</v>
      </c>
      <c r="T3140" t="s">
        <v>11164</v>
      </c>
      <c r="U3140" t="s">
        <v>11164</v>
      </c>
      <c r="V3140" t="s">
        <v>11164</v>
      </c>
      <c r="W3140" t="s">
        <v>14265</v>
      </c>
      <c r="X3140">
        <v>2</v>
      </c>
      <c r="Y3140" t="s">
        <v>19755</v>
      </c>
      <c r="Z3140" t="s">
        <v>25290</v>
      </c>
      <c r="AA3140">
        <v>0.62438250637798476</v>
      </c>
      <c r="AB3140" t="str">
        <f>HYPERLINK("Melting_Curves/meltCurve_Q15759_MAPK11.pdf", "Melting_Curves/meltCurve_Q15759_MAPK11.pdf")</f>
        <v>Melting_Curves/meltCurve_Q15759_MAPK11.pdf</v>
      </c>
    </row>
    <row r="3141" spans="1:28" x14ac:dyDescent="0.25">
      <c r="A3141" t="s">
        <v>3145</v>
      </c>
      <c r="B3141">
        <v>0.99796759195183404</v>
      </c>
      <c r="C3141">
        <v>1.0000683848898999</v>
      </c>
      <c r="D3141">
        <v>0.98851377135396301</v>
      </c>
      <c r="E3141">
        <v>0.90145943733904399</v>
      </c>
      <c r="F3141">
        <v>0.76241766846410297</v>
      </c>
      <c r="G3141">
        <v>0.50456397129135999</v>
      </c>
      <c r="H3141">
        <v>0.315998886511977</v>
      </c>
      <c r="I3141">
        <v>0.29418140879286298</v>
      </c>
      <c r="J3141">
        <v>0.213361070098915</v>
      </c>
      <c r="K3141">
        <v>0.107479654892788</v>
      </c>
      <c r="L3141">
        <v>792.30595299113997</v>
      </c>
      <c r="M3141">
        <v>14.8919328294542</v>
      </c>
      <c r="N3141">
        <v>54.216888548118099</v>
      </c>
      <c r="O3141">
        <v>52.2719657372662</v>
      </c>
      <c r="P3141">
        <v>-6.2578801132471495E-2</v>
      </c>
      <c r="Q3141">
        <v>0.121463413774666</v>
      </c>
      <c r="R3141">
        <v>0.99252820022907595</v>
      </c>
      <c r="S3141" t="s">
        <v>8724</v>
      </c>
      <c r="T3141" t="s">
        <v>11164</v>
      </c>
      <c r="U3141" t="s">
        <v>11164</v>
      </c>
      <c r="V3141" t="s">
        <v>11164</v>
      </c>
      <c r="W3141" t="s">
        <v>14266</v>
      </c>
      <c r="X3141">
        <v>2</v>
      </c>
      <c r="Y3141" t="s">
        <v>19756</v>
      </c>
      <c r="Z3141" t="s">
        <v>25291</v>
      </c>
      <c r="AA3141">
        <v>0.6114961886028355</v>
      </c>
      <c r="AB3141" t="str">
        <f>HYPERLINK("Melting_Curves/meltCurve_Q15768_EFNB3.pdf", "Melting_Curves/meltCurve_Q15768_EFNB3.pdf")</f>
        <v>Melting_Curves/meltCurve_Q15768_EFNB3.pdf</v>
      </c>
    </row>
    <row r="3142" spans="1:28" x14ac:dyDescent="0.25">
      <c r="A3142" t="s">
        <v>3146</v>
      </c>
      <c r="B3142">
        <v>0.99796759195183404</v>
      </c>
      <c r="C3142">
        <v>1.0451195142987499</v>
      </c>
      <c r="D3142">
        <v>1.04464277366795</v>
      </c>
      <c r="E3142">
        <v>0.96535886544853799</v>
      </c>
      <c r="F3142">
        <v>0.64970443981371995</v>
      </c>
      <c r="G3142">
        <v>0.25604165433498799</v>
      </c>
      <c r="H3142">
        <v>0.19041331384343299</v>
      </c>
      <c r="I3142">
        <v>0.158298614365108</v>
      </c>
      <c r="J3142">
        <v>0.150412861250659</v>
      </c>
      <c r="K3142">
        <v>0.12883147218730301</v>
      </c>
      <c r="L3142">
        <v>1722.05082420486</v>
      </c>
      <c r="M3142">
        <v>33.941040052604201</v>
      </c>
      <c r="N3142">
        <v>51.280719074135703</v>
      </c>
      <c r="O3142">
        <v>50.561379929254002</v>
      </c>
      <c r="P3142">
        <v>-0.14244322710163099</v>
      </c>
      <c r="Q3142">
        <v>0.15122254081087799</v>
      </c>
      <c r="R3142">
        <v>0.99663558874761304</v>
      </c>
      <c r="S3142" t="s">
        <v>8725</v>
      </c>
      <c r="T3142" t="s">
        <v>11164</v>
      </c>
      <c r="U3142" t="s">
        <v>11164</v>
      </c>
      <c r="V3142" t="s">
        <v>11164</v>
      </c>
      <c r="W3142" t="s">
        <v>14267</v>
      </c>
      <c r="X3142">
        <v>22</v>
      </c>
      <c r="Y3142" t="s">
        <v>19757</v>
      </c>
      <c r="Z3142" t="s">
        <v>25292</v>
      </c>
      <c r="AA3142">
        <v>0.54399347921782926</v>
      </c>
      <c r="AB3142" t="str">
        <f>HYPERLINK("Melting_Curves/meltCurve_Q15785_TOMM34.pdf", "Melting_Curves/meltCurve_Q15785_TOMM34.pdf")</f>
        <v>Melting_Curves/meltCurve_Q15785_TOMM34.pdf</v>
      </c>
    </row>
    <row r="3143" spans="1:28" x14ac:dyDescent="0.25">
      <c r="A3143" t="s">
        <v>3147</v>
      </c>
      <c r="B3143">
        <v>0.99796759195183404</v>
      </c>
      <c r="C3143">
        <v>1.1427217895181401</v>
      </c>
      <c r="D3143">
        <v>1.08790445426059</v>
      </c>
      <c r="E3143">
        <v>0.95758118136586401</v>
      </c>
      <c r="F3143">
        <v>0.86113021557525105</v>
      </c>
      <c r="G3143">
        <v>0.65355924447298597</v>
      </c>
      <c r="H3143">
        <v>0.522400221068961</v>
      </c>
      <c r="I3143">
        <v>0.57469725166138297</v>
      </c>
      <c r="J3143">
        <v>0.51546527030885902</v>
      </c>
      <c r="K3143">
        <v>0.26309622911015801</v>
      </c>
      <c r="L3143">
        <v>788.70070928619896</v>
      </c>
      <c r="M3143">
        <v>14.513987026229501</v>
      </c>
      <c r="N3143">
        <v>59.557041778368202</v>
      </c>
      <c r="O3143">
        <v>53.340403601877398</v>
      </c>
      <c r="P3143">
        <v>-4.3557944072815699E-2</v>
      </c>
      <c r="Q3143">
        <v>0.35975378435356198</v>
      </c>
      <c r="R3143">
        <v>0.90376420846613503</v>
      </c>
      <c r="S3143" t="s">
        <v>8726</v>
      </c>
      <c r="T3143" t="s">
        <v>11164</v>
      </c>
      <c r="U3143" t="s">
        <v>11164</v>
      </c>
      <c r="V3143" t="s">
        <v>11164</v>
      </c>
      <c r="W3143" t="s">
        <v>14268</v>
      </c>
      <c r="X3143">
        <v>1</v>
      </c>
      <c r="Y3143" t="s">
        <v>19758</v>
      </c>
      <c r="Z3143" t="s">
        <v>25293</v>
      </c>
      <c r="AA3143">
        <v>0.73997094944271757</v>
      </c>
      <c r="AB3143" t="str">
        <f>HYPERLINK("Melting_Curves/meltCurve_Q15800_2_MSMO1.pdf", "Melting_Curves/meltCurve_Q15800_2_MSMO1.pdf")</f>
        <v>Melting_Curves/meltCurve_Q15800_2_MSMO1.pdf</v>
      </c>
    </row>
    <row r="3144" spans="1:28" x14ac:dyDescent="0.25">
      <c r="A3144" t="s">
        <v>3148</v>
      </c>
      <c r="B3144">
        <v>0.99796759195183404</v>
      </c>
      <c r="C3144">
        <v>1.01531213037121</v>
      </c>
      <c r="D3144">
        <v>0.98927691220930303</v>
      </c>
      <c r="E3144">
        <v>0.91736967931836899</v>
      </c>
      <c r="F3144">
        <v>0.87745788524377699</v>
      </c>
      <c r="G3144">
        <v>0.638319999151024</v>
      </c>
      <c r="H3144">
        <v>0.39168261011664302</v>
      </c>
      <c r="I3144">
        <v>0.196742875323342</v>
      </c>
      <c r="J3144">
        <v>0.13075062815545099</v>
      </c>
      <c r="K3144">
        <v>0.11386195530373</v>
      </c>
      <c r="L3144">
        <v>951.58894977634498</v>
      </c>
      <c r="M3144">
        <v>17.206974463582998</v>
      </c>
      <c r="N3144">
        <v>55.681576569341701</v>
      </c>
      <c r="O3144">
        <v>54.571783073441402</v>
      </c>
      <c r="P3144">
        <v>-7.4474940764577099E-2</v>
      </c>
      <c r="Q3144">
        <v>5.5268934878902901E-2</v>
      </c>
      <c r="R3144">
        <v>0.99751007332552499</v>
      </c>
      <c r="S3144" t="s">
        <v>8727</v>
      </c>
      <c r="T3144" t="s">
        <v>11164</v>
      </c>
      <c r="U3144" t="s">
        <v>11164</v>
      </c>
      <c r="V3144" t="s">
        <v>11164</v>
      </c>
      <c r="W3144" t="s">
        <v>14269</v>
      </c>
      <c r="X3144">
        <v>15</v>
      </c>
      <c r="Y3144" t="s">
        <v>19759</v>
      </c>
      <c r="Z3144" t="s">
        <v>25294</v>
      </c>
      <c r="AA3144">
        <v>0.64348491078149861</v>
      </c>
      <c r="AB3144" t="str">
        <f>HYPERLINK("Melting_Curves/meltCurve_Q15814_TBCC.pdf", "Melting_Curves/meltCurve_Q15814_TBCC.pdf")</f>
        <v>Melting_Curves/meltCurve_Q15814_TBCC.pdf</v>
      </c>
    </row>
    <row r="3145" spans="1:28" x14ac:dyDescent="0.25">
      <c r="A3145" t="s">
        <v>3149</v>
      </c>
      <c r="B3145">
        <v>0.99796759195183404</v>
      </c>
      <c r="C3145">
        <v>1.19203250728976</v>
      </c>
      <c r="D3145">
        <v>0.99196996843322705</v>
      </c>
      <c r="E3145">
        <v>0.932228129593768</v>
      </c>
      <c r="F3145">
        <v>1.0680037399139399</v>
      </c>
      <c r="G3145">
        <v>0.58647394463383296</v>
      </c>
      <c r="H3145">
        <v>0.67512256958663297</v>
      </c>
      <c r="I3145">
        <v>0.44733297730363403</v>
      </c>
      <c r="J3145">
        <v>0.39421714842683397</v>
      </c>
      <c r="K3145">
        <v>0.33334689675604501</v>
      </c>
      <c r="L3145">
        <v>929.78452628045704</v>
      </c>
      <c r="M3145">
        <v>16.680464798435501</v>
      </c>
      <c r="N3145">
        <v>59.351377879987602</v>
      </c>
      <c r="O3145">
        <v>54.958274767974501</v>
      </c>
      <c r="P3145">
        <v>-5.1695607469541299E-2</v>
      </c>
      <c r="Q3145">
        <v>0.31874515241712498</v>
      </c>
      <c r="R3145">
        <v>0.87997687040499295</v>
      </c>
      <c r="S3145" t="s">
        <v>8728</v>
      </c>
      <c r="T3145" t="s">
        <v>11164</v>
      </c>
      <c r="U3145" t="s">
        <v>11164</v>
      </c>
      <c r="V3145" t="s">
        <v>11164</v>
      </c>
      <c r="W3145" t="s">
        <v>14270</v>
      </c>
      <c r="X3145">
        <v>1</v>
      </c>
      <c r="Y3145" t="s">
        <v>19760</v>
      </c>
      <c r="Z3145" t="s">
        <v>25295</v>
      </c>
      <c r="AA3145">
        <v>0.75244568647163468</v>
      </c>
      <c r="AB3145" t="str">
        <f>HYPERLINK("Melting_Curves/meltCurve_Q15818_NPTX1.pdf", "Melting_Curves/meltCurve_Q15818_NPTX1.pdf")</f>
        <v>Melting_Curves/meltCurve_Q15818_NPTX1.pdf</v>
      </c>
    </row>
    <row r="3146" spans="1:28" x14ac:dyDescent="0.25">
      <c r="A3146" t="s">
        <v>3150</v>
      </c>
      <c r="B3146">
        <v>0.99796759195183404</v>
      </c>
      <c r="C3146">
        <v>0.95008819016507995</v>
      </c>
      <c r="D3146">
        <v>0.91744690080783398</v>
      </c>
      <c r="E3146">
        <v>0.87224434631336401</v>
      </c>
      <c r="F3146">
        <v>0.76761976904242302</v>
      </c>
      <c r="G3146">
        <v>0.49706011761359598</v>
      </c>
      <c r="H3146">
        <v>0.31722230199812701</v>
      </c>
      <c r="I3146">
        <v>0.20354129451318101</v>
      </c>
      <c r="J3146">
        <v>0.146195458631282</v>
      </c>
      <c r="K3146">
        <v>0.136657694027632</v>
      </c>
      <c r="L3146">
        <v>720.65058722812603</v>
      </c>
      <c r="M3146">
        <v>13.4862413399172</v>
      </c>
      <c r="N3146">
        <v>53.968419556805202</v>
      </c>
      <c r="O3146">
        <v>52.302113957661597</v>
      </c>
      <c r="P3146">
        <v>-6.0456924125957399E-2</v>
      </c>
      <c r="Q3146">
        <v>6.2291371479473903E-2</v>
      </c>
      <c r="R3146">
        <v>0.99409554526698096</v>
      </c>
      <c r="S3146" t="s">
        <v>8729</v>
      </c>
      <c r="T3146" t="s">
        <v>11164</v>
      </c>
      <c r="U3146" t="s">
        <v>11164</v>
      </c>
      <c r="V3146" t="s">
        <v>11164</v>
      </c>
      <c r="W3146" t="s">
        <v>14271</v>
      </c>
      <c r="X3146">
        <v>12</v>
      </c>
      <c r="Y3146" t="s">
        <v>19761</v>
      </c>
      <c r="Z3146" t="s">
        <v>25296</v>
      </c>
      <c r="AA3146">
        <v>0.59348321954679406</v>
      </c>
      <c r="AB3146" t="str">
        <f>HYPERLINK("Melting_Curves/meltCurve_Q15819_UBE2V2.pdf", "Melting_Curves/meltCurve_Q15819_UBE2V2.pdf")</f>
        <v>Melting_Curves/meltCurve_Q15819_UBE2V2.pdf</v>
      </c>
    </row>
    <row r="3147" spans="1:28" x14ac:dyDescent="0.25">
      <c r="A3147" t="s">
        <v>3151</v>
      </c>
      <c r="B3147">
        <v>0.99796759195183404</v>
      </c>
      <c r="C3147">
        <v>0.97226146403675195</v>
      </c>
      <c r="D3147">
        <v>0.90023777951665995</v>
      </c>
      <c r="E3147">
        <v>0.87410186222784203</v>
      </c>
      <c r="F3147">
        <v>0.78332957039803996</v>
      </c>
      <c r="G3147">
        <v>0.71192298365320605</v>
      </c>
      <c r="H3147">
        <v>0.66859036288561402</v>
      </c>
      <c r="I3147">
        <v>0.59956394932127899</v>
      </c>
      <c r="J3147">
        <v>0.39873944448093701</v>
      </c>
      <c r="K3147">
        <v>0.144024195602349</v>
      </c>
      <c r="L3147">
        <v>488.31564037637003</v>
      </c>
      <c r="M3147">
        <v>8.0979022833066203</v>
      </c>
      <c r="N3147">
        <v>60.301493361710698</v>
      </c>
      <c r="O3147">
        <v>56.958235723735697</v>
      </c>
      <c r="P3147">
        <v>-3.5581569423412403E-2</v>
      </c>
      <c r="Q3147">
        <v>0</v>
      </c>
      <c r="R3147">
        <v>0.91460776620061002</v>
      </c>
      <c r="S3147" t="s">
        <v>8730</v>
      </c>
      <c r="T3147" t="s">
        <v>11164</v>
      </c>
      <c r="U3147" t="s">
        <v>11164</v>
      </c>
      <c r="V3147" t="s">
        <v>11164</v>
      </c>
      <c r="W3147" t="s">
        <v>14272</v>
      </c>
      <c r="X3147">
        <v>4</v>
      </c>
      <c r="Y3147" t="s">
        <v>19762</v>
      </c>
      <c r="Z3147" t="s">
        <v>25297</v>
      </c>
      <c r="AA3147">
        <v>0.7306610340540064</v>
      </c>
      <c r="AB3147" t="str">
        <f>HYPERLINK("Melting_Curves/meltCurve_Q15831_STK11.pdf", "Melting_Curves/meltCurve_Q15831_STK11.pdf")</f>
        <v>Melting_Curves/meltCurve_Q15831_STK11.pdf</v>
      </c>
    </row>
    <row r="3148" spans="1:28" x14ac:dyDescent="0.25">
      <c r="A3148" t="s">
        <v>3152</v>
      </c>
      <c r="B3148">
        <v>0.99796759195183404</v>
      </c>
      <c r="C3148">
        <v>0.99416300056163298</v>
      </c>
      <c r="D3148">
        <v>1.0187067373240899</v>
      </c>
      <c r="E3148">
        <v>0.95805558183039696</v>
      </c>
      <c r="F3148">
        <v>0.74703676443614397</v>
      </c>
      <c r="G3148">
        <v>0.47729782951525201</v>
      </c>
      <c r="H3148">
        <v>0.39526504960516701</v>
      </c>
      <c r="I3148">
        <v>0.47031019514595501</v>
      </c>
      <c r="J3148">
        <v>0.390956803936023</v>
      </c>
      <c r="K3148">
        <v>0.300463805939714</v>
      </c>
      <c r="L3148">
        <v>1482.7535256093699</v>
      </c>
      <c r="M3148">
        <v>29.179604949949798</v>
      </c>
      <c r="N3148">
        <v>53.446170504392299</v>
      </c>
      <c r="O3148">
        <v>50.577853867643498</v>
      </c>
      <c r="P3148">
        <v>-8.9259354050693601E-2</v>
      </c>
      <c r="Q3148">
        <v>0.381141214908988</v>
      </c>
      <c r="R3148">
        <v>0.98176903918709302</v>
      </c>
      <c r="S3148" t="s">
        <v>8731</v>
      </c>
      <c r="T3148" t="s">
        <v>11164</v>
      </c>
      <c r="U3148" t="s">
        <v>11164</v>
      </c>
      <c r="V3148" t="s">
        <v>11164</v>
      </c>
      <c r="W3148" t="s">
        <v>14273</v>
      </c>
      <c r="X3148">
        <v>8</v>
      </c>
      <c r="Y3148" t="s">
        <v>19763</v>
      </c>
      <c r="Z3148" t="s">
        <v>25298</v>
      </c>
      <c r="AA3148">
        <v>0.67017891569909549</v>
      </c>
      <c r="AB3148" t="str">
        <f>HYPERLINK("Melting_Curves/meltCurve_Q15833_2_STXBP2.pdf", "Melting_Curves/meltCurve_Q15833_2_STXBP2.pdf")</f>
        <v>Melting_Curves/meltCurve_Q15833_2_STXBP2.pdf</v>
      </c>
    </row>
    <row r="3149" spans="1:28" x14ac:dyDescent="0.25">
      <c r="A3149" t="s">
        <v>3153</v>
      </c>
      <c r="B3149">
        <v>0.99796759195183404</v>
      </c>
      <c r="C3149">
        <v>0.98202421675353901</v>
      </c>
      <c r="D3149">
        <v>1.0340648859263399</v>
      </c>
      <c r="E3149">
        <v>0.953929662160377</v>
      </c>
      <c r="F3149">
        <v>0.86039713902580905</v>
      </c>
      <c r="G3149">
        <v>0.52950229124703796</v>
      </c>
      <c r="H3149">
        <v>0.59523764901619902</v>
      </c>
      <c r="I3149">
        <v>0.52393536329560997</v>
      </c>
      <c r="J3149">
        <v>0.76555711371777702</v>
      </c>
      <c r="K3149">
        <v>0.79455266364240396</v>
      </c>
      <c r="L3149">
        <v>12572.520974605701</v>
      </c>
      <c r="M3149">
        <v>250</v>
      </c>
      <c r="O3149">
        <v>50.286865644708598</v>
      </c>
      <c r="P3149">
        <v>-0.44524919765716697</v>
      </c>
      <c r="Q3149">
        <v>0.64175701496780502</v>
      </c>
      <c r="R3149">
        <v>0.79549497337238495</v>
      </c>
      <c r="S3149" t="s">
        <v>8732</v>
      </c>
      <c r="T3149" t="s">
        <v>11164</v>
      </c>
      <c r="U3149" t="s">
        <v>11164</v>
      </c>
      <c r="V3149" t="s">
        <v>11164</v>
      </c>
      <c r="W3149" t="s">
        <v>14274</v>
      </c>
      <c r="X3149">
        <v>5</v>
      </c>
      <c r="Y3149" t="s">
        <v>19764</v>
      </c>
      <c r="Z3149" t="s">
        <v>25299</v>
      </c>
      <c r="AA3149">
        <v>0.80049127712650825</v>
      </c>
      <c r="AB3149" t="str">
        <f>HYPERLINK("Melting_Curves/meltCurve_Q15836_VAMP3.pdf", "Melting_Curves/meltCurve_Q15836_VAMP3.pdf")</f>
        <v>Melting_Curves/meltCurve_Q15836_VAMP3.pdf</v>
      </c>
    </row>
    <row r="3150" spans="1:28" x14ac:dyDescent="0.25">
      <c r="A3150" t="s">
        <v>3154</v>
      </c>
      <c r="B3150">
        <v>0.99796759195183404</v>
      </c>
      <c r="C3150">
        <v>0.991215939067837</v>
      </c>
      <c r="D3150">
        <v>0.95541997424022795</v>
      </c>
      <c r="E3150">
        <v>0.90627448693364998</v>
      </c>
      <c r="F3150">
        <v>0.83710192575296505</v>
      </c>
      <c r="G3150">
        <v>0.77587950202109002</v>
      </c>
      <c r="H3150">
        <v>0.65019311042473904</v>
      </c>
      <c r="I3150">
        <v>0.55249786744152796</v>
      </c>
      <c r="J3150">
        <v>0.52454248960668404</v>
      </c>
      <c r="K3150">
        <v>0.26873341652156402</v>
      </c>
      <c r="L3150">
        <v>476.76439499218498</v>
      </c>
      <c r="M3150">
        <v>7.67680591527267</v>
      </c>
      <c r="N3150">
        <v>62.104525009556298</v>
      </c>
      <c r="O3150">
        <v>58.311558239228802</v>
      </c>
      <c r="P3150">
        <v>-3.2956291275555598E-2</v>
      </c>
      <c r="Q3150">
        <v>0</v>
      </c>
      <c r="R3150">
        <v>0.966445441210384</v>
      </c>
      <c r="S3150" t="s">
        <v>8733</v>
      </c>
      <c r="T3150" t="s">
        <v>11164</v>
      </c>
      <c r="U3150" t="s">
        <v>11164</v>
      </c>
      <c r="V3150" t="s">
        <v>11164</v>
      </c>
      <c r="W3150" t="s">
        <v>14275</v>
      </c>
      <c r="X3150">
        <v>17</v>
      </c>
      <c r="Y3150" t="s">
        <v>19765</v>
      </c>
      <c r="Z3150" t="s">
        <v>25300</v>
      </c>
      <c r="AA3150">
        <v>0.76174648200593043</v>
      </c>
      <c r="AB3150" t="str">
        <f>HYPERLINK("Melting_Curves/meltCurve_Q15907_RAB11B.pdf", "Melting_Curves/meltCurve_Q15907_RAB11B.pdf")</f>
        <v>Melting_Curves/meltCurve_Q15907_RAB11B.pdf</v>
      </c>
    </row>
    <row r="3151" spans="1:28" x14ac:dyDescent="0.25">
      <c r="A3151" t="s">
        <v>3155</v>
      </c>
      <c r="B3151">
        <v>0.99796759195183404</v>
      </c>
      <c r="C3151">
        <v>1.0088823798935</v>
      </c>
      <c r="D3151">
        <v>0.99443989311377401</v>
      </c>
      <c r="E3151">
        <v>0.99355322140902003</v>
      </c>
      <c r="F3151">
        <v>0.832622274119869</v>
      </c>
      <c r="G3151">
        <v>0.69593046396994496</v>
      </c>
      <c r="H3151">
        <v>0.78945907141913296</v>
      </c>
      <c r="I3151">
        <v>0.72546987007240304</v>
      </c>
      <c r="J3151">
        <v>0.996792484537114</v>
      </c>
      <c r="K3151">
        <v>0.96280882491051101</v>
      </c>
      <c r="L3151">
        <v>11799.5744845274</v>
      </c>
      <c r="M3151">
        <v>250</v>
      </c>
      <c r="O3151">
        <v>47.1952775775638</v>
      </c>
      <c r="P3151">
        <v>-0.22003372574287</v>
      </c>
      <c r="Q3151">
        <v>0.833847156050468</v>
      </c>
      <c r="R3151">
        <v>0.46189798377411101</v>
      </c>
      <c r="S3151" t="s">
        <v>8734</v>
      </c>
      <c r="T3151" t="s">
        <v>11164</v>
      </c>
      <c r="U3151" t="s">
        <v>11164</v>
      </c>
      <c r="V3151" t="s">
        <v>11164</v>
      </c>
      <c r="W3151" t="s">
        <v>14276</v>
      </c>
      <c r="X3151">
        <v>25</v>
      </c>
      <c r="Y3151" t="s">
        <v>19766</v>
      </c>
      <c r="Z3151" t="s">
        <v>25301</v>
      </c>
      <c r="AA3151">
        <v>0.89034345906446588</v>
      </c>
      <c r="AB3151" t="str">
        <f>HYPERLINK("Melting_Curves/meltCurve_Q15942_ZYX.pdf", "Melting_Curves/meltCurve_Q15942_ZYX.pdf")</f>
        <v>Melting_Curves/meltCurve_Q15942_ZYX.pdf</v>
      </c>
    </row>
    <row r="3152" spans="1:28" x14ac:dyDescent="0.25">
      <c r="A3152" t="s">
        <v>3156</v>
      </c>
      <c r="B3152">
        <v>0.99796759195183404</v>
      </c>
      <c r="C3152">
        <v>1.0014214406075099</v>
      </c>
      <c r="D3152">
        <v>1.0256380915589101</v>
      </c>
      <c r="E3152">
        <v>0.95421003248488601</v>
      </c>
      <c r="F3152">
        <v>0.86161570577805802</v>
      </c>
      <c r="G3152">
        <v>0.70286872893573005</v>
      </c>
      <c r="H3152">
        <v>0.48344828094328701</v>
      </c>
      <c r="I3152">
        <v>0.18940420361793101</v>
      </c>
      <c r="J3152">
        <v>0.15049963623392401</v>
      </c>
      <c r="K3152">
        <v>0.101995428335853</v>
      </c>
      <c r="L3152">
        <v>914.35096525925599</v>
      </c>
      <c r="M3152">
        <v>16.181111796043702</v>
      </c>
      <c r="N3152">
        <v>56.611062394253103</v>
      </c>
      <c r="O3152">
        <v>55.665382882238802</v>
      </c>
      <c r="P3152">
        <v>-7.1614905655523795E-2</v>
      </c>
      <c r="Q3152">
        <v>1.46110594781566E-2</v>
      </c>
      <c r="R3152">
        <v>0.99497715702830503</v>
      </c>
      <c r="S3152" t="s">
        <v>8735</v>
      </c>
      <c r="T3152" t="s">
        <v>11164</v>
      </c>
      <c r="U3152" t="s">
        <v>11164</v>
      </c>
      <c r="V3152" t="s">
        <v>11164</v>
      </c>
      <c r="W3152" t="s">
        <v>14277</v>
      </c>
      <c r="X3152">
        <v>17</v>
      </c>
      <c r="Y3152" t="s">
        <v>19767</v>
      </c>
      <c r="Z3152" t="s">
        <v>25302</v>
      </c>
      <c r="AA3152">
        <v>0.66534455217652644</v>
      </c>
      <c r="AB3152" t="str">
        <f>HYPERLINK("Melting_Curves/meltCurve_Q16134_ETFDH.pdf", "Melting_Curves/meltCurve_Q16134_ETFDH.pdf")</f>
        <v>Melting_Curves/meltCurve_Q16134_ETFDH.pdf</v>
      </c>
    </row>
    <row r="3153" spans="1:28" x14ac:dyDescent="0.25">
      <c r="A3153" t="s">
        <v>3157</v>
      </c>
      <c r="B3153">
        <v>0.99796759195183404</v>
      </c>
      <c r="C3153">
        <v>0.99790623691095204</v>
      </c>
      <c r="D3153">
        <v>1.02128940860131</v>
      </c>
      <c r="E3153">
        <v>0.86055464556255401</v>
      </c>
      <c r="F3153">
        <v>0.85131767470838005</v>
      </c>
      <c r="G3153">
        <v>0.65153447583423096</v>
      </c>
      <c r="H3153">
        <v>0.53161212782133904</v>
      </c>
      <c r="I3153">
        <v>0.61869780775696404</v>
      </c>
      <c r="J3153">
        <v>0.60015508035192799</v>
      </c>
      <c r="K3153">
        <v>0.630547714550454</v>
      </c>
      <c r="L3153">
        <v>1069.9783955472201</v>
      </c>
      <c r="M3153">
        <v>21.3512141421803</v>
      </c>
      <c r="O3153">
        <v>49.679847196238001</v>
      </c>
      <c r="P3153">
        <v>-4.4223139229780099E-2</v>
      </c>
      <c r="Q3153">
        <v>0.58841805100799904</v>
      </c>
      <c r="R3153">
        <v>0.94138166482979402</v>
      </c>
      <c r="S3153" t="s">
        <v>8736</v>
      </c>
      <c r="T3153" t="s">
        <v>11164</v>
      </c>
      <c r="U3153" t="s">
        <v>11164</v>
      </c>
      <c r="V3153" t="s">
        <v>11164</v>
      </c>
      <c r="W3153" t="s">
        <v>14278</v>
      </c>
      <c r="X3153">
        <v>6</v>
      </c>
      <c r="Y3153" t="s">
        <v>19768</v>
      </c>
      <c r="Z3153" t="s">
        <v>25303</v>
      </c>
      <c r="AA3153">
        <v>0.77315015610819726</v>
      </c>
      <c r="AB3153" t="str">
        <f>HYPERLINK("Melting_Curves/meltCurve_Q16143_SNCB.pdf", "Melting_Curves/meltCurve_Q16143_SNCB.pdf")</f>
        <v>Melting_Curves/meltCurve_Q16143_SNCB.pdf</v>
      </c>
    </row>
    <row r="3154" spans="1:28" x14ac:dyDescent="0.25">
      <c r="A3154" t="s">
        <v>3158</v>
      </c>
      <c r="B3154">
        <v>0.99796759195183404</v>
      </c>
      <c r="C3154">
        <v>1.02964094068252</v>
      </c>
      <c r="D3154">
        <v>0.96875299039770801</v>
      </c>
      <c r="E3154">
        <v>0.98486259319772496</v>
      </c>
      <c r="F3154">
        <v>0.84355790797533503</v>
      </c>
      <c r="G3154">
        <v>1.34487881706789</v>
      </c>
      <c r="H3154">
        <v>1.0465227017087499</v>
      </c>
      <c r="I3154">
        <v>0.33481532888671101</v>
      </c>
      <c r="J3154">
        <v>0.14193480101744799</v>
      </c>
      <c r="K3154">
        <v>0.10822029223839499</v>
      </c>
      <c r="L3154">
        <v>15000</v>
      </c>
      <c r="M3154">
        <v>247.05583850625999</v>
      </c>
      <c r="N3154">
        <v>60.785866669273503</v>
      </c>
      <c r="O3154">
        <v>60.7110407985531</v>
      </c>
      <c r="P3154">
        <v>-0.89009744391075196</v>
      </c>
      <c r="Q3154">
        <v>0.125076460788489</v>
      </c>
      <c r="R3154">
        <v>0.909512239972459</v>
      </c>
      <c r="S3154" t="s">
        <v>8737</v>
      </c>
      <c r="T3154" t="s">
        <v>11164</v>
      </c>
      <c r="U3154" t="s">
        <v>11164</v>
      </c>
      <c r="V3154" t="s">
        <v>11164</v>
      </c>
      <c r="W3154" t="s">
        <v>14279</v>
      </c>
      <c r="X3154">
        <v>21</v>
      </c>
      <c r="Y3154" t="s">
        <v>19769</v>
      </c>
      <c r="Z3154" t="s">
        <v>25304</v>
      </c>
      <c r="AA3154">
        <v>0.81679954326995596</v>
      </c>
      <c r="AB3154" t="str">
        <f>HYPERLINK("Melting_Curves/meltCurve_Q16181_SEPT7.pdf", "Melting_Curves/meltCurve_Q16181_SEPT7.pdf")</f>
        <v>Melting_Curves/meltCurve_Q16181_SEPT7.pdf</v>
      </c>
    </row>
    <row r="3155" spans="1:28" x14ac:dyDescent="0.25">
      <c r="A3155" t="s">
        <v>3159</v>
      </c>
      <c r="B3155">
        <v>0.99796759195183404</v>
      </c>
      <c r="C3155">
        <v>0.97072427797939898</v>
      </c>
      <c r="D3155">
        <v>1.0828648853477501</v>
      </c>
      <c r="E3155">
        <v>0.91124270098085602</v>
      </c>
      <c r="F3155">
        <v>0.52969835266439702</v>
      </c>
      <c r="G3155">
        <v>0.490492204641439</v>
      </c>
      <c r="H3155">
        <v>0.30011146659974403</v>
      </c>
      <c r="I3155">
        <v>0.184481514923274</v>
      </c>
      <c r="J3155">
        <v>0.134494345691756</v>
      </c>
      <c r="K3155">
        <v>9.2923206351423898E-2</v>
      </c>
      <c r="L3155">
        <v>768.55287701875102</v>
      </c>
      <c r="M3155">
        <v>14.797894082176599</v>
      </c>
      <c r="N3155">
        <v>52.633679040992298</v>
      </c>
      <c r="O3155">
        <v>51.015856130750997</v>
      </c>
      <c r="P3155">
        <v>-6.6070580035804405E-2</v>
      </c>
      <c r="Q3155">
        <v>8.8982079786226603E-2</v>
      </c>
      <c r="R3155">
        <v>0.97052858866908698</v>
      </c>
      <c r="S3155" t="s">
        <v>8738</v>
      </c>
      <c r="T3155" t="s">
        <v>11164</v>
      </c>
      <c r="U3155" t="s">
        <v>11164</v>
      </c>
      <c r="V3155" t="s">
        <v>11164</v>
      </c>
      <c r="W3155" t="s">
        <v>14280</v>
      </c>
      <c r="X3155">
        <v>2</v>
      </c>
      <c r="Y3155" t="s">
        <v>19770</v>
      </c>
      <c r="Z3155" t="s">
        <v>25305</v>
      </c>
      <c r="AA3155">
        <v>0.56033989739857804</v>
      </c>
      <c r="AB3155" t="str">
        <f>HYPERLINK("Melting_Curves/meltCurve_Q16186_ADRM1.pdf", "Melting_Curves/meltCurve_Q16186_ADRM1.pdf")</f>
        <v>Melting_Curves/meltCurve_Q16186_ADRM1.pdf</v>
      </c>
    </row>
    <row r="3156" spans="1:28" x14ac:dyDescent="0.25">
      <c r="A3156" t="s">
        <v>3160</v>
      </c>
      <c r="B3156">
        <v>0.99796759195183404</v>
      </c>
      <c r="C3156">
        <v>1.0524210330997401</v>
      </c>
      <c r="D3156">
        <v>0.99961060744454999</v>
      </c>
      <c r="E3156">
        <v>0.96023594472941098</v>
      </c>
      <c r="F3156">
        <v>0.90178274098900202</v>
      </c>
      <c r="G3156">
        <v>0.90636083718355398</v>
      </c>
      <c r="H3156">
        <v>0.73803728969333204</v>
      </c>
      <c r="I3156">
        <v>0.49607118845784998</v>
      </c>
      <c r="J3156">
        <v>0.46431665272309303</v>
      </c>
      <c r="K3156">
        <v>0.31458329584457401</v>
      </c>
      <c r="L3156">
        <v>815.04934504835398</v>
      </c>
      <c r="M3156">
        <v>13.4712116270785</v>
      </c>
      <c r="N3156">
        <v>62.099956615323201</v>
      </c>
      <c r="O3156">
        <v>59.2164652884574</v>
      </c>
      <c r="P3156">
        <v>-4.8554599436793702E-2</v>
      </c>
      <c r="Q3156">
        <v>0.146390261060106</v>
      </c>
      <c r="R3156">
        <v>0.97982243101547195</v>
      </c>
      <c r="S3156" t="s">
        <v>8739</v>
      </c>
      <c r="T3156" t="s">
        <v>11164</v>
      </c>
      <c r="U3156" t="s">
        <v>11164</v>
      </c>
      <c r="V3156" t="s">
        <v>11164</v>
      </c>
      <c r="W3156" t="s">
        <v>14281</v>
      </c>
      <c r="X3156">
        <v>23</v>
      </c>
      <c r="Y3156" t="s">
        <v>19771</v>
      </c>
      <c r="Z3156" t="s">
        <v>25306</v>
      </c>
      <c r="AA3156">
        <v>0.80250067102040956</v>
      </c>
      <c r="AB3156" t="str">
        <f>HYPERLINK("Melting_Curves/meltCurve_Q16204_CCDC6.pdf", "Melting_Curves/meltCurve_Q16204_CCDC6.pdf")</f>
        <v>Melting_Curves/meltCurve_Q16204_CCDC6.pdf</v>
      </c>
    </row>
    <row r="3157" spans="1:28" x14ac:dyDescent="0.25">
      <c r="A3157" t="s">
        <v>3161</v>
      </c>
      <c r="B3157">
        <v>0.99796759195183404</v>
      </c>
      <c r="C3157">
        <v>0.980561872646602</v>
      </c>
      <c r="D3157">
        <v>0.98707591656661697</v>
      </c>
      <c r="E3157">
        <v>0.95881578113142996</v>
      </c>
      <c r="F3157">
        <v>0.83149004653033298</v>
      </c>
      <c r="G3157">
        <v>0.56943983040534196</v>
      </c>
      <c r="H3157">
        <v>0.31006118042991998</v>
      </c>
      <c r="I3157">
        <v>0.20875476650705799</v>
      </c>
      <c r="J3157">
        <v>0.13591614740101199</v>
      </c>
      <c r="K3157">
        <v>9.9333068852543893E-2</v>
      </c>
      <c r="L3157">
        <v>1002.68682526422</v>
      </c>
      <c r="M3157">
        <v>18.5185537794395</v>
      </c>
      <c r="N3157">
        <v>54.701126676273297</v>
      </c>
      <c r="O3157">
        <v>53.525449503884502</v>
      </c>
      <c r="P3157">
        <v>-7.9075823495427897E-2</v>
      </c>
      <c r="Q3157">
        <v>8.5807165995636203E-2</v>
      </c>
      <c r="R3157">
        <v>0.999134840562657</v>
      </c>
      <c r="S3157" t="s">
        <v>8740</v>
      </c>
      <c r="T3157" t="s">
        <v>11164</v>
      </c>
      <c r="U3157" t="s">
        <v>11164</v>
      </c>
      <c r="V3157" t="s">
        <v>11164</v>
      </c>
      <c r="W3157" t="s">
        <v>14282</v>
      </c>
      <c r="X3157">
        <v>18</v>
      </c>
      <c r="Y3157" t="s">
        <v>19772</v>
      </c>
      <c r="Z3157" t="s">
        <v>25307</v>
      </c>
      <c r="AA3157">
        <v>0.62029353892574945</v>
      </c>
      <c r="AB3157" t="str">
        <f>HYPERLINK("Melting_Curves/meltCurve_Q16222_2_UAP1.pdf", "Melting_Curves/meltCurve_Q16222_2_UAP1.pdf")</f>
        <v>Melting_Curves/meltCurve_Q16222_2_UAP1.pdf</v>
      </c>
    </row>
    <row r="3158" spans="1:28" x14ac:dyDescent="0.25">
      <c r="A3158" t="s">
        <v>3162</v>
      </c>
      <c r="B3158">
        <v>0.99796759195183404</v>
      </c>
      <c r="C3158">
        <v>1.1428254007035901</v>
      </c>
      <c r="D3158">
        <v>1.1270260690046701</v>
      </c>
      <c r="E3158">
        <v>0.93493240157624402</v>
      </c>
      <c r="F3158">
        <v>0.73746431320893902</v>
      </c>
      <c r="G3158">
        <v>0.73443732444693599</v>
      </c>
      <c r="H3158">
        <v>0.49157756880356701</v>
      </c>
      <c r="I3158">
        <v>0.31714016474279499</v>
      </c>
      <c r="J3158">
        <v>0.17573048431442101</v>
      </c>
      <c r="K3158">
        <v>0.142669591311751</v>
      </c>
      <c r="L3158">
        <v>711.28116506794902</v>
      </c>
      <c r="M3158">
        <v>12.4611377786349</v>
      </c>
      <c r="N3158">
        <v>57.079953658625797</v>
      </c>
      <c r="O3158">
        <v>55.669751360849403</v>
      </c>
      <c r="P3158">
        <v>-5.5971758493048203E-2</v>
      </c>
      <c r="Q3158">
        <v>0</v>
      </c>
      <c r="R3158">
        <v>0.95517925799273395</v>
      </c>
      <c r="S3158" t="s">
        <v>8741</v>
      </c>
      <c r="T3158" t="s">
        <v>11164</v>
      </c>
      <c r="U3158" t="s">
        <v>11164</v>
      </c>
      <c r="V3158" t="s">
        <v>11164</v>
      </c>
      <c r="W3158" t="s">
        <v>14283</v>
      </c>
      <c r="X3158">
        <v>2</v>
      </c>
      <c r="Y3158" t="s">
        <v>19773</v>
      </c>
      <c r="Z3158" t="s">
        <v>25308</v>
      </c>
      <c r="AA3158">
        <v>0.67439245410220572</v>
      </c>
      <c r="AB3158" t="str">
        <f>HYPERLINK("Melting_Curves/meltCurve_Q16254_E2F4.pdf", "Melting_Curves/meltCurve_Q16254_E2F4.pdf")</f>
        <v>Melting_Curves/meltCurve_Q16254_E2F4.pdf</v>
      </c>
    </row>
    <row r="3159" spans="1:28" x14ac:dyDescent="0.25">
      <c r="A3159" t="s">
        <v>3163</v>
      </c>
      <c r="B3159">
        <v>0.99796759195183404</v>
      </c>
      <c r="C3159">
        <v>0.88174326482186505</v>
      </c>
      <c r="D3159">
        <v>0.91108589214050695</v>
      </c>
      <c r="E3159">
        <v>0.86261784755528703</v>
      </c>
      <c r="F3159">
        <v>0.630851824774599</v>
      </c>
      <c r="G3159">
        <v>0.73053009670563596</v>
      </c>
      <c r="H3159">
        <v>0.40548464458947597</v>
      </c>
      <c r="I3159">
        <v>0.26637187145839403</v>
      </c>
      <c r="J3159">
        <v>8.7139343908987102E-2</v>
      </c>
      <c r="K3159">
        <v>6.1801186721984203E-2</v>
      </c>
      <c r="L3159">
        <v>607.78254303893698</v>
      </c>
      <c r="M3159">
        <v>11.034424603726199</v>
      </c>
      <c r="N3159">
        <v>55.080563202700198</v>
      </c>
      <c r="O3159">
        <v>53.364302257186999</v>
      </c>
      <c r="P3159">
        <v>-5.1711081117062303E-2</v>
      </c>
      <c r="Q3159">
        <v>0</v>
      </c>
      <c r="R3159">
        <v>0.94171285706223695</v>
      </c>
      <c r="S3159" t="s">
        <v>8742</v>
      </c>
      <c r="T3159" t="s">
        <v>11164</v>
      </c>
      <c r="U3159" t="s">
        <v>11164</v>
      </c>
      <c r="V3159" t="s">
        <v>11164</v>
      </c>
      <c r="W3159" t="s">
        <v>14284</v>
      </c>
      <c r="X3159">
        <v>1</v>
      </c>
      <c r="Y3159" t="s">
        <v>19774</v>
      </c>
      <c r="Z3159" t="s">
        <v>25309</v>
      </c>
      <c r="AA3159">
        <v>0.61581343190384663</v>
      </c>
      <c r="AB3159" t="str">
        <f>HYPERLINK("Melting_Curves/meltCurve_Q16401_2_PSMD5.pdf", "Melting_Curves/meltCurve_Q16401_2_PSMD5.pdf")</f>
        <v>Melting_Curves/meltCurve_Q16401_2_PSMD5.pdf</v>
      </c>
    </row>
    <row r="3160" spans="1:28" x14ac:dyDescent="0.25">
      <c r="A3160" t="s">
        <v>3164</v>
      </c>
      <c r="B3160">
        <v>0.99796759195183404</v>
      </c>
      <c r="C3160">
        <v>0.97348627119492304</v>
      </c>
      <c r="D3160">
        <v>0.97257851005309004</v>
      </c>
      <c r="E3160">
        <v>0.94748792754879496</v>
      </c>
      <c r="F3160">
        <v>0.77004684337096896</v>
      </c>
      <c r="G3160">
        <v>0.31508979115499802</v>
      </c>
      <c r="H3160">
        <v>0.18025682028550399</v>
      </c>
      <c r="I3160">
        <v>0.135950704246878</v>
      </c>
      <c r="J3160">
        <v>8.05095745891974E-2</v>
      </c>
      <c r="K3160">
        <v>5.0604771331782698E-2</v>
      </c>
      <c r="L3160">
        <v>1435.89031531929</v>
      </c>
      <c r="M3160">
        <v>27.626796967553901</v>
      </c>
      <c r="N3160">
        <v>52.333016175649803</v>
      </c>
      <c r="O3160">
        <v>51.704515503173603</v>
      </c>
      <c r="P3160">
        <v>-0.12206625643470299</v>
      </c>
      <c r="Q3160">
        <v>8.6203210303422401E-2</v>
      </c>
      <c r="R3160">
        <v>0.99594644615418304</v>
      </c>
      <c r="S3160" t="s">
        <v>8743</v>
      </c>
      <c r="T3160" t="s">
        <v>11164</v>
      </c>
      <c r="U3160" t="s">
        <v>11164</v>
      </c>
      <c r="V3160" t="s">
        <v>11164</v>
      </c>
      <c r="W3160" t="s">
        <v>14285</v>
      </c>
      <c r="X3160">
        <v>16</v>
      </c>
      <c r="Y3160" t="s">
        <v>19775</v>
      </c>
      <c r="Z3160" t="s">
        <v>25310</v>
      </c>
      <c r="AA3160">
        <v>0.54906455902090412</v>
      </c>
      <c r="AB3160" t="str">
        <f>HYPERLINK("Melting_Curves/meltCurve_Q16512_PKN1.pdf", "Melting_Curves/meltCurve_Q16512_PKN1.pdf")</f>
        <v>Melting_Curves/meltCurve_Q16512_PKN1.pdf</v>
      </c>
    </row>
    <row r="3161" spans="1:28" x14ac:dyDescent="0.25">
      <c r="A3161" t="s">
        <v>3165</v>
      </c>
      <c r="B3161">
        <v>0.99796759195183404</v>
      </c>
      <c r="C3161">
        <v>1.0004529525330701</v>
      </c>
      <c r="D3161">
        <v>0.98487204273331397</v>
      </c>
      <c r="E3161">
        <v>0.90501539221522997</v>
      </c>
      <c r="F3161">
        <v>0.77718510373483096</v>
      </c>
      <c r="G3161">
        <v>0.32767550534567702</v>
      </c>
      <c r="H3161">
        <v>0.239348798626904</v>
      </c>
      <c r="I3161">
        <v>0.24106105003768899</v>
      </c>
      <c r="J3161">
        <v>0.17236464124829801</v>
      </c>
      <c r="K3161">
        <v>0.103772758885806</v>
      </c>
      <c r="L3161">
        <v>1467.38855882349</v>
      </c>
      <c r="M3161">
        <v>28.4346612254474</v>
      </c>
      <c r="N3161">
        <v>52.362001317930002</v>
      </c>
      <c r="O3161">
        <v>51.352408608763902</v>
      </c>
      <c r="P3161">
        <v>-0.115115679352036</v>
      </c>
      <c r="Q3161">
        <v>0.16842059932511699</v>
      </c>
      <c r="R3161">
        <v>0.98871916024096695</v>
      </c>
      <c r="S3161" t="s">
        <v>8744</v>
      </c>
      <c r="T3161" t="s">
        <v>11164</v>
      </c>
      <c r="U3161" t="s">
        <v>11164</v>
      </c>
      <c r="V3161" t="s">
        <v>11164</v>
      </c>
      <c r="W3161" t="s">
        <v>14286</v>
      </c>
      <c r="X3161">
        <v>22</v>
      </c>
      <c r="Y3161" t="s">
        <v>19776</v>
      </c>
      <c r="Z3161" t="s">
        <v>25311</v>
      </c>
      <c r="AA3161">
        <v>0.57906666441839871</v>
      </c>
      <c r="AB3161" t="str">
        <f>HYPERLINK("Melting_Curves/meltCurve_Q16513_PKN2.pdf", "Melting_Curves/meltCurve_Q16513_PKN2.pdf")</f>
        <v>Melting_Curves/meltCurve_Q16513_PKN2.pdf</v>
      </c>
    </row>
    <row r="3162" spans="1:28" x14ac:dyDescent="0.25">
      <c r="A3162" t="s">
        <v>3166</v>
      </c>
      <c r="B3162">
        <v>0.99796759195183404</v>
      </c>
      <c r="C3162">
        <v>0.96665001208253098</v>
      </c>
      <c r="D3162">
        <v>0.98307466772765095</v>
      </c>
      <c r="E3162">
        <v>0.75908244591425</v>
      </c>
      <c r="F3162">
        <v>0.71507219769635</v>
      </c>
      <c r="G3162">
        <v>0.49759715676699501</v>
      </c>
      <c r="H3162">
        <v>0.35315427484191902</v>
      </c>
      <c r="I3162">
        <v>0.29392067459403798</v>
      </c>
      <c r="J3162">
        <v>0.27693860845171703</v>
      </c>
      <c r="K3162">
        <v>0.21284820905106999</v>
      </c>
      <c r="L3162">
        <v>608.69595519173095</v>
      </c>
      <c r="M3162">
        <v>11.7245595682079</v>
      </c>
      <c r="N3162">
        <v>53.838291232468897</v>
      </c>
      <c r="O3162">
        <v>50.475044880729598</v>
      </c>
      <c r="P3162">
        <v>-4.8153508198440199E-2</v>
      </c>
      <c r="Q3162">
        <v>0.17100184850139599</v>
      </c>
      <c r="R3162">
        <v>0.987840989161889</v>
      </c>
      <c r="S3162" t="s">
        <v>8745</v>
      </c>
      <c r="T3162" t="s">
        <v>11164</v>
      </c>
      <c r="U3162" t="s">
        <v>11164</v>
      </c>
      <c r="V3162" t="s">
        <v>11164</v>
      </c>
      <c r="W3162" t="s">
        <v>14287</v>
      </c>
      <c r="X3162">
        <v>2</v>
      </c>
      <c r="Y3162" t="s">
        <v>19777</v>
      </c>
      <c r="Z3162" t="s">
        <v>25312</v>
      </c>
      <c r="AA3162">
        <v>0.6034170201814042</v>
      </c>
      <c r="AB3162" t="str">
        <f>HYPERLINK("Melting_Curves/meltCurve_Q16514_2_TAF12.pdf", "Melting_Curves/meltCurve_Q16514_2_TAF12.pdf")</f>
        <v>Melting_Curves/meltCurve_Q16514_2_TAF12.pdf</v>
      </c>
    </row>
    <row r="3163" spans="1:28" x14ac:dyDescent="0.25">
      <c r="A3163" t="s">
        <v>3167</v>
      </c>
      <c r="B3163">
        <v>0.99796759195183404</v>
      </c>
      <c r="C3163">
        <v>1.00380872547823</v>
      </c>
      <c r="D3163">
        <v>0.96553359977283104</v>
      </c>
      <c r="E3163">
        <v>0.94664753394255596</v>
      </c>
      <c r="F3163">
        <v>0.89552651357829605</v>
      </c>
      <c r="G3163">
        <v>1.12202878720038</v>
      </c>
      <c r="H3163">
        <v>1.3095721508217</v>
      </c>
      <c r="I3163">
        <v>1.3954569458691299</v>
      </c>
      <c r="J3163">
        <v>1.4017792694884501</v>
      </c>
      <c r="K3163">
        <v>0.31471688556794902</v>
      </c>
      <c r="L3163">
        <v>15000</v>
      </c>
      <c r="M3163">
        <v>224.65800570864599</v>
      </c>
      <c r="N3163">
        <v>66.768152590684707</v>
      </c>
      <c r="O3163">
        <v>66.762861741651093</v>
      </c>
      <c r="P3163">
        <v>-0.84125365705541399</v>
      </c>
      <c r="Q3163">
        <v>0</v>
      </c>
      <c r="R3163">
        <v>0.50749634247688402</v>
      </c>
      <c r="S3163" t="s">
        <v>8746</v>
      </c>
      <c r="T3163" t="s">
        <v>11164</v>
      </c>
      <c r="U3163" t="s">
        <v>11164</v>
      </c>
      <c r="V3163" t="s">
        <v>11164</v>
      </c>
      <c r="W3163" t="s">
        <v>14288</v>
      </c>
      <c r="X3163">
        <v>44</v>
      </c>
      <c r="Y3163" t="s">
        <v>19778</v>
      </c>
      <c r="Z3163" t="s">
        <v>25313</v>
      </c>
      <c r="AA3163">
        <v>0.98860696466388764</v>
      </c>
      <c r="AB3163" t="str">
        <f>HYPERLINK("Melting_Curves/meltCurve_Q16531_DDB1.pdf", "Melting_Curves/meltCurve_Q16531_DDB1.pdf")</f>
        <v>Melting_Curves/meltCurve_Q16531_DDB1.pdf</v>
      </c>
    </row>
    <row r="3164" spans="1:28" x14ac:dyDescent="0.25">
      <c r="A3164" t="s">
        <v>3168</v>
      </c>
      <c r="B3164">
        <v>0.99796759195183404</v>
      </c>
      <c r="C3164">
        <v>1.06892242723197</v>
      </c>
      <c r="D3164">
        <v>1.03578428886213</v>
      </c>
      <c r="E3164">
        <v>0.87957525693113103</v>
      </c>
      <c r="F3164">
        <v>0.54962148728725102</v>
      </c>
      <c r="G3164">
        <v>0.158876936400316</v>
      </c>
      <c r="H3164">
        <v>0.11621774106314001</v>
      </c>
      <c r="I3164">
        <v>9.4529250821740393E-2</v>
      </c>
      <c r="J3164">
        <v>8.3005226303761503E-2</v>
      </c>
      <c r="K3164">
        <v>5.8924994343058E-2</v>
      </c>
      <c r="L3164">
        <v>1464.94386654249</v>
      </c>
      <c r="M3164">
        <v>29.215889521182</v>
      </c>
      <c r="N3164">
        <v>50.427150829119498</v>
      </c>
      <c r="O3164">
        <v>49.908868099235697</v>
      </c>
      <c r="P3164">
        <v>-0.13520510305048999</v>
      </c>
      <c r="Q3164">
        <v>7.6134952747764204E-2</v>
      </c>
      <c r="R3164">
        <v>0.99467120247289198</v>
      </c>
      <c r="S3164" t="s">
        <v>8747</v>
      </c>
      <c r="T3164" t="s">
        <v>11164</v>
      </c>
      <c r="U3164" t="s">
        <v>11164</v>
      </c>
      <c r="V3164" t="s">
        <v>11164</v>
      </c>
      <c r="W3164" t="s">
        <v>14289</v>
      </c>
      <c r="X3164">
        <v>10</v>
      </c>
      <c r="Y3164" t="s">
        <v>19779</v>
      </c>
      <c r="Z3164" t="s">
        <v>25314</v>
      </c>
      <c r="AA3164">
        <v>0.48683569305162011</v>
      </c>
      <c r="AB3164" t="str">
        <f>HYPERLINK("Melting_Curves/meltCurve_Q16539_MAPK14.pdf", "Melting_Curves/meltCurve_Q16539_MAPK14.pdf")</f>
        <v>Melting_Curves/meltCurve_Q16539_MAPK14.pdf</v>
      </c>
    </row>
    <row r="3165" spans="1:28" x14ac:dyDescent="0.25">
      <c r="A3165" t="s">
        <v>3169</v>
      </c>
      <c r="B3165">
        <v>0.99796759195183404</v>
      </c>
      <c r="C3165">
        <v>1.01744145208599</v>
      </c>
      <c r="D3165">
        <v>0.99094427567635401</v>
      </c>
      <c r="E3165">
        <v>0.96001304547661104</v>
      </c>
      <c r="F3165">
        <v>0.88536007411950601</v>
      </c>
      <c r="G3165">
        <v>0.79903882251205205</v>
      </c>
      <c r="H3165">
        <v>0.621560784403138</v>
      </c>
      <c r="I3165">
        <v>0.27500062074801701</v>
      </c>
      <c r="J3165">
        <v>0.185079223692763</v>
      </c>
      <c r="K3165">
        <v>0.12874433761870999</v>
      </c>
      <c r="L3165">
        <v>946.81122741887896</v>
      </c>
      <c r="M3165">
        <v>16.230928532271498</v>
      </c>
      <c r="N3165">
        <v>58.333768875877603</v>
      </c>
      <c r="O3165">
        <v>57.469831100524097</v>
      </c>
      <c r="P3165">
        <v>-7.0611529831692693E-2</v>
      </c>
      <c r="Q3165">
        <v>0</v>
      </c>
      <c r="R3165">
        <v>0.99166872684043195</v>
      </c>
      <c r="S3165" t="s">
        <v>8748</v>
      </c>
      <c r="T3165" t="s">
        <v>11164</v>
      </c>
      <c r="U3165" t="s">
        <v>11164</v>
      </c>
      <c r="V3165" t="s">
        <v>11164</v>
      </c>
      <c r="W3165" t="s">
        <v>14290</v>
      </c>
      <c r="X3165">
        <v>30</v>
      </c>
      <c r="Y3165" t="s">
        <v>17780</v>
      </c>
      <c r="Z3165" t="s">
        <v>25315</v>
      </c>
      <c r="AA3165">
        <v>0.71511030915984564</v>
      </c>
      <c r="AB3165" t="str">
        <f>HYPERLINK("Melting_Curves/meltCurve_Q16543_CDC37.pdf", "Melting_Curves/meltCurve_Q16543_CDC37.pdf")</f>
        <v>Melting_Curves/meltCurve_Q16543_CDC37.pdf</v>
      </c>
    </row>
    <row r="3166" spans="1:28" x14ac:dyDescent="0.25">
      <c r="A3166" t="s">
        <v>3170</v>
      </c>
      <c r="B3166">
        <v>0.99796759195183404</v>
      </c>
      <c r="C3166">
        <v>1.0604277674398399</v>
      </c>
      <c r="D3166">
        <v>0.98167173223499604</v>
      </c>
      <c r="E3166">
        <v>0.99775935489661605</v>
      </c>
      <c r="F3166">
        <v>0.90609032766521702</v>
      </c>
      <c r="G3166">
        <v>1.4003075874495301</v>
      </c>
      <c r="H3166">
        <v>1.08426687988048</v>
      </c>
      <c r="I3166">
        <v>0.91336347111003902</v>
      </c>
      <c r="J3166">
        <v>0.55099960624366595</v>
      </c>
      <c r="K3166">
        <v>0.22888337615624699</v>
      </c>
      <c r="L3166">
        <v>3113.9188615400499</v>
      </c>
      <c r="M3166">
        <v>48.694980412028698</v>
      </c>
      <c r="N3166">
        <v>64.403901936820603</v>
      </c>
      <c r="O3166">
        <v>63.8398386747741</v>
      </c>
      <c r="P3166">
        <v>-0.16286313631417301</v>
      </c>
      <c r="Q3166">
        <v>0.14593662385581499</v>
      </c>
      <c r="R3166">
        <v>0.80042913769342805</v>
      </c>
      <c r="S3166" t="s">
        <v>8749</v>
      </c>
      <c r="T3166" t="s">
        <v>11164</v>
      </c>
      <c r="U3166" t="s">
        <v>11164</v>
      </c>
      <c r="V3166" t="s">
        <v>11164</v>
      </c>
      <c r="W3166" t="s">
        <v>14291</v>
      </c>
      <c r="X3166">
        <v>18</v>
      </c>
      <c r="Y3166" t="s">
        <v>19780</v>
      </c>
      <c r="Z3166" t="s">
        <v>25316</v>
      </c>
      <c r="AA3166">
        <v>0.91120004334525728</v>
      </c>
      <c r="AB3166" t="str">
        <f>HYPERLINK("Melting_Curves/meltCurve_Q16555_DPYSL2.pdf", "Melting_Curves/meltCurve_Q16555_DPYSL2.pdf")</f>
        <v>Melting_Curves/meltCurve_Q16555_DPYSL2.pdf</v>
      </c>
    </row>
    <row r="3167" spans="1:28" x14ac:dyDescent="0.25">
      <c r="A3167" t="s">
        <v>3171</v>
      </c>
      <c r="B3167">
        <v>0.99796759195183404</v>
      </c>
      <c r="C3167">
        <v>1.0757298565633899</v>
      </c>
      <c r="D3167">
        <v>1.06350206433382</v>
      </c>
      <c r="E3167">
        <v>1.0420515745900301</v>
      </c>
      <c r="F3167">
        <v>0.86226525488019801</v>
      </c>
      <c r="G3167">
        <v>0.63506909270806799</v>
      </c>
      <c r="H3167">
        <v>0.33269587670537298</v>
      </c>
      <c r="I3167">
        <v>0.185316615435965</v>
      </c>
      <c r="J3167">
        <v>0.152664448916071</v>
      </c>
      <c r="K3167">
        <v>0.13747359046768801</v>
      </c>
      <c r="L3167">
        <v>1261.07979018689</v>
      </c>
      <c r="M3167">
        <v>23.144627609750099</v>
      </c>
      <c r="N3167">
        <v>55.167259265067202</v>
      </c>
      <c r="O3167">
        <v>54.085059232292899</v>
      </c>
      <c r="P3167">
        <v>-9.3702232320808904E-2</v>
      </c>
      <c r="Q3167">
        <v>0.124151255690687</v>
      </c>
      <c r="R3167">
        <v>0.99023456962285195</v>
      </c>
      <c r="S3167" t="s">
        <v>8750</v>
      </c>
      <c r="T3167" t="s">
        <v>11164</v>
      </c>
      <c r="U3167" t="s">
        <v>11164</v>
      </c>
      <c r="V3167" t="s">
        <v>11164</v>
      </c>
      <c r="W3167" t="s">
        <v>14292</v>
      </c>
      <c r="X3167">
        <v>9</v>
      </c>
      <c r="Y3167" t="s">
        <v>19781</v>
      </c>
      <c r="Z3167" t="s">
        <v>25317</v>
      </c>
      <c r="AA3167">
        <v>0.6431744100130774</v>
      </c>
      <c r="AB3167" t="str">
        <f>HYPERLINK("Melting_Curves/meltCurve_Q16566_CAMK4.pdf", "Melting_Curves/meltCurve_Q16566_CAMK4.pdf")</f>
        <v>Melting_Curves/meltCurve_Q16566_CAMK4.pdf</v>
      </c>
    </row>
    <row r="3168" spans="1:28" x14ac:dyDescent="0.25">
      <c r="A3168" t="s">
        <v>3172</v>
      </c>
      <c r="B3168">
        <v>0.99796759195183404</v>
      </c>
      <c r="C3168">
        <v>1.0069337185690399</v>
      </c>
      <c r="D3168">
        <v>0.96636748300083897</v>
      </c>
      <c r="E3168">
        <v>0.95439935816100896</v>
      </c>
      <c r="F3168">
        <v>0.87956728323600997</v>
      </c>
      <c r="G3168">
        <v>0.77082074512621401</v>
      </c>
      <c r="H3168">
        <v>0.56303648544149898</v>
      </c>
      <c r="I3168">
        <v>0.32162086521601801</v>
      </c>
      <c r="J3168">
        <v>0.14280499867573701</v>
      </c>
      <c r="K3168">
        <v>0.105117127311791</v>
      </c>
      <c r="L3168">
        <v>903.56915047727296</v>
      </c>
      <c r="M3168">
        <v>15.600931947794701</v>
      </c>
      <c r="N3168">
        <v>57.9176393925854</v>
      </c>
      <c r="O3168">
        <v>56.991044212712097</v>
      </c>
      <c r="P3168">
        <v>-6.8441797302457905E-2</v>
      </c>
      <c r="Q3168">
        <v>0</v>
      </c>
      <c r="R3168">
        <v>0.99553341710020804</v>
      </c>
      <c r="S3168" t="s">
        <v>8751</v>
      </c>
      <c r="T3168" t="s">
        <v>11164</v>
      </c>
      <c r="U3168" t="s">
        <v>11164</v>
      </c>
      <c r="V3168" t="s">
        <v>11164</v>
      </c>
      <c r="W3168" t="s">
        <v>14293</v>
      </c>
      <c r="X3168">
        <v>16</v>
      </c>
      <c r="Y3168" t="s">
        <v>19782</v>
      </c>
      <c r="Z3168" t="s">
        <v>25318</v>
      </c>
      <c r="AA3168">
        <v>0.70236722823571285</v>
      </c>
      <c r="AB3168" t="str">
        <f>HYPERLINK("Melting_Curves/meltCurve_Q16576_RBBP7.pdf", "Melting_Curves/meltCurve_Q16576_RBBP7.pdf")</f>
        <v>Melting_Curves/meltCurve_Q16576_RBBP7.pdf</v>
      </c>
    </row>
    <row r="3169" spans="1:28" x14ac:dyDescent="0.25">
      <c r="A3169" t="s">
        <v>3173</v>
      </c>
      <c r="B3169">
        <v>0.99796759195183404</v>
      </c>
      <c r="C3169">
        <v>0.84556095487276395</v>
      </c>
      <c r="D3169">
        <v>0.80202115834539101</v>
      </c>
      <c r="E3169">
        <v>0.92815948364877998</v>
      </c>
      <c r="F3169">
        <v>0.80975080098867602</v>
      </c>
      <c r="G3169">
        <v>0.66988142158505204</v>
      </c>
      <c r="H3169">
        <v>0.53322105948171195</v>
      </c>
      <c r="I3169">
        <v>0.43493026735073897</v>
      </c>
      <c r="J3169">
        <v>0.170838514229811</v>
      </c>
      <c r="K3169">
        <v>0.13458017324716001</v>
      </c>
      <c r="L3169">
        <v>571.48070998233402</v>
      </c>
      <c r="M3169">
        <v>9.9695708430246199</v>
      </c>
      <c r="N3169">
        <v>57.322505417552399</v>
      </c>
      <c r="O3169">
        <v>55.159258717127202</v>
      </c>
      <c r="P3169">
        <v>-4.5207618438498999E-2</v>
      </c>
      <c r="Q3169">
        <v>0</v>
      </c>
      <c r="R3169">
        <v>0.92116058211517005</v>
      </c>
      <c r="S3169" t="s">
        <v>8752</v>
      </c>
      <c r="T3169" t="s">
        <v>11164</v>
      </c>
      <c r="U3169" t="s">
        <v>11164</v>
      </c>
      <c r="V3169" t="s">
        <v>11164</v>
      </c>
      <c r="W3169" t="s">
        <v>14294</v>
      </c>
      <c r="X3169">
        <v>16</v>
      </c>
      <c r="Y3169" t="s">
        <v>19782</v>
      </c>
      <c r="Z3169" t="s">
        <v>25319</v>
      </c>
      <c r="AA3169">
        <v>0.67405799322443249</v>
      </c>
      <c r="AB3169" t="str">
        <f>HYPERLINK("Melting_Curves/meltCurve_Q16576_2_RBBP7.pdf", "Melting_Curves/meltCurve_Q16576_2_RBBP7.pdf")</f>
        <v>Melting_Curves/meltCurve_Q16576_2_RBBP7.pdf</v>
      </c>
    </row>
    <row r="3170" spans="1:28" x14ac:dyDescent="0.25">
      <c r="A3170" t="s">
        <v>3174</v>
      </c>
      <c r="B3170">
        <v>0.99796759195183404</v>
      </c>
      <c r="C3170">
        <v>1.19902137291957</v>
      </c>
      <c r="D3170">
        <v>0.93165480316887295</v>
      </c>
      <c r="E3170">
        <v>1.18663041113735</v>
      </c>
      <c r="F3170">
        <v>1.3851500050588399</v>
      </c>
      <c r="G3170">
        <v>0.96807174084218806</v>
      </c>
      <c r="H3170">
        <v>0.95692517516641795</v>
      </c>
      <c r="I3170">
        <v>0.85377694235248802</v>
      </c>
      <c r="J3170">
        <v>0.90067269951934703</v>
      </c>
      <c r="K3170">
        <v>0.97646555464497597</v>
      </c>
      <c r="L3170">
        <v>14354.539693446301</v>
      </c>
      <c r="M3170">
        <v>250</v>
      </c>
      <c r="O3170">
        <v>57.414491331685603</v>
      </c>
      <c r="P3170">
        <v>-9.7639695340863294E-2</v>
      </c>
      <c r="Q3170">
        <v>0.91030507585698905</v>
      </c>
      <c r="R3170">
        <v>5.3294270982019297E-2</v>
      </c>
      <c r="S3170" t="s">
        <v>8753</v>
      </c>
      <c r="T3170" t="s">
        <v>11164</v>
      </c>
      <c r="U3170" t="s">
        <v>11164</v>
      </c>
      <c r="V3170" t="s">
        <v>11164</v>
      </c>
      <c r="W3170" t="s">
        <v>14295</v>
      </c>
      <c r="X3170">
        <v>1</v>
      </c>
      <c r="Y3170" t="s">
        <v>19783</v>
      </c>
      <c r="Z3170" t="s">
        <v>25320</v>
      </c>
      <c r="AA3170">
        <v>0.97136095431135205</v>
      </c>
      <c r="AB3170" t="str">
        <f>HYPERLINK("Melting_Curves/meltCurve_Q16587_5_ZNF74.pdf", "Melting_Curves/meltCurve_Q16587_5_ZNF74.pdf")</f>
        <v>Melting_Curves/meltCurve_Q16587_5_ZNF74.pdf</v>
      </c>
    </row>
    <row r="3171" spans="1:28" x14ac:dyDescent="0.25">
      <c r="A3171" t="s">
        <v>3175</v>
      </c>
      <c r="B3171">
        <v>0.99796759195183404</v>
      </c>
      <c r="C3171">
        <v>0.93665647209261005</v>
      </c>
      <c r="D3171">
        <v>0.94360630743002605</v>
      </c>
      <c r="E3171">
        <v>0.82087384184141798</v>
      </c>
      <c r="F3171">
        <v>0.67751587737415397</v>
      </c>
      <c r="G3171">
        <v>0.58908887527443998</v>
      </c>
      <c r="H3171">
        <v>0.55340496531642702</v>
      </c>
      <c r="I3171">
        <v>0.48561063901978102</v>
      </c>
      <c r="J3171">
        <v>0.50058329468458995</v>
      </c>
      <c r="K3171">
        <v>0.492908335601414</v>
      </c>
      <c r="L3171">
        <v>654.44333876156099</v>
      </c>
      <c r="M3171">
        <v>13.4276598401859</v>
      </c>
      <c r="N3171">
        <v>62.7227991271062</v>
      </c>
      <c r="O3171">
        <v>47.695536864683199</v>
      </c>
      <c r="P3171">
        <v>-3.6959853220487303E-2</v>
      </c>
      <c r="Q3171">
        <v>0.474950764653157</v>
      </c>
      <c r="R3171">
        <v>0.99273388943541596</v>
      </c>
      <c r="S3171" t="s">
        <v>8754</v>
      </c>
      <c r="T3171" t="s">
        <v>11164</v>
      </c>
      <c r="U3171" t="s">
        <v>11164</v>
      </c>
      <c r="V3171" t="s">
        <v>11164</v>
      </c>
      <c r="W3171" t="s">
        <v>14296</v>
      </c>
      <c r="X3171">
        <v>4</v>
      </c>
      <c r="Y3171" t="s">
        <v>19784</v>
      </c>
      <c r="Z3171" t="s">
        <v>25321</v>
      </c>
      <c r="AA3171">
        <v>0.69387974157789323</v>
      </c>
      <c r="AB3171" t="str">
        <f>HYPERLINK("Melting_Curves/meltCurve_Q16594_TAF9.pdf", "Melting_Curves/meltCurve_Q16594_TAF9.pdf")</f>
        <v>Melting_Curves/meltCurve_Q16594_TAF9.pdf</v>
      </c>
    </row>
    <row r="3172" spans="1:28" x14ac:dyDescent="0.25">
      <c r="A3172" t="s">
        <v>3176</v>
      </c>
      <c r="B3172">
        <v>0.99796759195183404</v>
      </c>
      <c r="C3172">
        <v>1.01888616741451</v>
      </c>
      <c r="D3172">
        <v>0.98558207894195604</v>
      </c>
      <c r="E3172">
        <v>0.96185309763254601</v>
      </c>
      <c r="F3172">
        <v>0.82231784555616505</v>
      </c>
      <c r="G3172">
        <v>0.65343446336712296</v>
      </c>
      <c r="H3172">
        <v>0.67585521890154798</v>
      </c>
      <c r="I3172">
        <v>0.57125513996691102</v>
      </c>
      <c r="J3172">
        <v>0.75784724577835505</v>
      </c>
      <c r="K3172">
        <v>0.60610473545881105</v>
      </c>
      <c r="L3172">
        <v>1809.2554127173401</v>
      </c>
      <c r="M3172">
        <v>36.160106588881199</v>
      </c>
      <c r="O3172">
        <v>49.882290562333502</v>
      </c>
      <c r="P3172">
        <v>-6.3810660006348593E-2</v>
      </c>
      <c r="Q3172">
        <v>0.64789798786352903</v>
      </c>
      <c r="R3172">
        <v>0.92174705695942905</v>
      </c>
      <c r="S3172" t="s">
        <v>8755</v>
      </c>
      <c r="T3172" t="s">
        <v>11164</v>
      </c>
      <c r="U3172" t="s">
        <v>11164</v>
      </c>
      <c r="V3172" t="s">
        <v>11164</v>
      </c>
      <c r="W3172" t="s">
        <v>14297</v>
      </c>
      <c r="X3172">
        <v>9</v>
      </c>
      <c r="Y3172" t="s">
        <v>19785</v>
      </c>
      <c r="Z3172" t="s">
        <v>25322</v>
      </c>
      <c r="AA3172">
        <v>0.80237150300802407</v>
      </c>
      <c r="AB3172" t="str">
        <f>HYPERLINK("Melting_Curves/meltCurve_Q16625_4_OCLN.pdf", "Melting_Curves/meltCurve_Q16625_4_OCLN.pdf")</f>
        <v>Melting_Curves/meltCurve_Q16625_4_OCLN.pdf</v>
      </c>
    </row>
    <row r="3173" spans="1:28" x14ac:dyDescent="0.25">
      <c r="A3173" t="s">
        <v>3177</v>
      </c>
      <c r="B3173">
        <v>0.99796759195183404</v>
      </c>
      <c r="C3173">
        <v>1.0380439552657801</v>
      </c>
      <c r="D3173">
        <v>0.93606496533198302</v>
      </c>
      <c r="E3173">
        <v>0.88748190466302002</v>
      </c>
      <c r="F3173">
        <v>0.85499973657716699</v>
      </c>
      <c r="G3173">
        <v>0.87322397954896303</v>
      </c>
      <c r="H3173">
        <v>0.68136220388091395</v>
      </c>
      <c r="I3173">
        <v>0.59612458873885499</v>
      </c>
      <c r="J3173">
        <v>0.70623843515116502</v>
      </c>
      <c r="K3173">
        <v>1.12564528722885</v>
      </c>
      <c r="L3173">
        <v>905.99344757112101</v>
      </c>
      <c r="M3173">
        <v>19.557700710251801</v>
      </c>
      <c r="O3173">
        <v>45.847975325936297</v>
      </c>
      <c r="P3173">
        <v>-2.1849668867577401E-2</v>
      </c>
      <c r="Q3173">
        <v>0.795123675552599</v>
      </c>
      <c r="R3173">
        <v>0.29037043596157702</v>
      </c>
      <c r="S3173" t="s">
        <v>8756</v>
      </c>
      <c r="T3173" t="s">
        <v>11164</v>
      </c>
      <c r="U3173" t="s">
        <v>11164</v>
      </c>
      <c r="V3173" t="s">
        <v>11164</v>
      </c>
      <c r="W3173" t="s">
        <v>14298</v>
      </c>
      <c r="X3173">
        <v>2</v>
      </c>
      <c r="Y3173" t="s">
        <v>19786</v>
      </c>
      <c r="Z3173" t="s">
        <v>25323</v>
      </c>
      <c r="AA3173">
        <v>0.86160113264962457</v>
      </c>
      <c r="AB3173" t="str">
        <f>HYPERLINK("Melting_Curves/meltCurve_Q16626_MEA1.pdf", "Melting_Curves/meltCurve_Q16626_MEA1.pdf")</f>
        <v>Melting_Curves/meltCurve_Q16626_MEA1.pdf</v>
      </c>
    </row>
    <row r="3174" spans="1:28" x14ac:dyDescent="0.25">
      <c r="A3174" t="s">
        <v>3178</v>
      </c>
      <c r="B3174">
        <v>0.99796759195183404</v>
      </c>
      <c r="C3174">
        <v>1.1080113254247601</v>
      </c>
      <c r="D3174">
        <v>1.02482438969805</v>
      </c>
      <c r="E3174">
        <v>0.91880880148080302</v>
      </c>
      <c r="F3174">
        <v>0.86474076621150597</v>
      </c>
      <c r="G3174">
        <v>0.741789450274149</v>
      </c>
      <c r="H3174">
        <v>0.45517475621256698</v>
      </c>
      <c r="I3174">
        <v>0.35182005032602198</v>
      </c>
      <c r="J3174">
        <v>0.25797679208685997</v>
      </c>
      <c r="K3174">
        <v>0.21481098064283599</v>
      </c>
      <c r="L3174">
        <v>876.56322294538495</v>
      </c>
      <c r="M3174">
        <v>15.6936707829135</v>
      </c>
      <c r="N3174">
        <v>57.250845168297097</v>
      </c>
      <c r="O3174">
        <v>54.971252640295702</v>
      </c>
      <c r="P3174">
        <v>-6.0028514284582099E-2</v>
      </c>
      <c r="Q3174">
        <v>0.15900786626949201</v>
      </c>
      <c r="R3174">
        <v>0.982359737304071</v>
      </c>
      <c r="S3174" t="s">
        <v>8757</v>
      </c>
      <c r="T3174" t="s">
        <v>11164</v>
      </c>
      <c r="U3174" t="s">
        <v>11164</v>
      </c>
      <c r="V3174" t="s">
        <v>11164</v>
      </c>
      <c r="W3174" t="s">
        <v>14299</v>
      </c>
      <c r="X3174">
        <v>5</v>
      </c>
      <c r="Y3174" t="s">
        <v>19787</v>
      </c>
      <c r="Z3174" t="s">
        <v>25324</v>
      </c>
      <c r="AA3174">
        <v>0.6975320384409045</v>
      </c>
      <c r="AB3174" t="str">
        <f>HYPERLINK("Melting_Curves/meltCurve_Q16630_CPSF6.pdf", "Melting_Curves/meltCurve_Q16630_CPSF6.pdf")</f>
        <v>Melting_Curves/meltCurve_Q16630_CPSF6.pdf</v>
      </c>
    </row>
    <row r="3175" spans="1:28" x14ac:dyDescent="0.25">
      <c r="A3175" t="s">
        <v>3179</v>
      </c>
      <c r="B3175">
        <v>0.99796759195183404</v>
      </c>
      <c r="C3175">
        <v>1.0386650454263699</v>
      </c>
      <c r="D3175">
        <v>0.91377349977887101</v>
      </c>
      <c r="E3175">
        <v>0.89907745467001099</v>
      </c>
      <c r="F3175">
        <v>0.73908294417695297</v>
      </c>
      <c r="G3175">
        <v>0.34936967283353698</v>
      </c>
      <c r="H3175">
        <v>0.23849578560847601</v>
      </c>
      <c r="I3175">
        <v>0.16932994913079299</v>
      </c>
      <c r="J3175">
        <v>0.13128351088744999</v>
      </c>
      <c r="K3175">
        <v>0.106516378153429</v>
      </c>
      <c r="L3175">
        <v>1073.5970131623601</v>
      </c>
      <c r="M3175">
        <v>20.7341158840219</v>
      </c>
      <c r="N3175">
        <v>52.440872261139603</v>
      </c>
      <c r="O3175">
        <v>51.304816929401397</v>
      </c>
      <c r="P3175">
        <v>-8.94085686741838E-2</v>
      </c>
      <c r="Q3175">
        <v>0.115089203191007</v>
      </c>
      <c r="R3175">
        <v>0.99117596210339498</v>
      </c>
      <c r="S3175" t="s">
        <v>8758</v>
      </c>
      <c r="T3175" t="s">
        <v>11164</v>
      </c>
      <c r="U3175" t="s">
        <v>11164</v>
      </c>
      <c r="V3175" t="s">
        <v>11164</v>
      </c>
      <c r="W3175" t="s">
        <v>14300</v>
      </c>
      <c r="X3175">
        <v>26</v>
      </c>
      <c r="Y3175" t="s">
        <v>19788</v>
      </c>
      <c r="Z3175" t="s">
        <v>25325</v>
      </c>
      <c r="AA3175">
        <v>0.56185834126879652</v>
      </c>
      <c r="AB3175" t="str">
        <f>HYPERLINK("Melting_Curves/meltCurve_Q16643_DBN1.pdf", "Melting_Curves/meltCurve_Q16643_DBN1.pdf")</f>
        <v>Melting_Curves/meltCurve_Q16643_DBN1.pdf</v>
      </c>
    </row>
    <row r="3176" spans="1:28" x14ac:dyDescent="0.25">
      <c r="A3176" t="s">
        <v>3180</v>
      </c>
      <c r="B3176">
        <v>0.99796759195183404</v>
      </c>
      <c r="C3176">
        <v>1.0659072318913601</v>
      </c>
      <c r="D3176">
        <v>0.70642599177155496</v>
      </c>
      <c r="E3176">
        <v>0.91403502707514594</v>
      </c>
      <c r="F3176">
        <v>0.93871077730013197</v>
      </c>
      <c r="G3176">
        <v>0.60175792244392201</v>
      </c>
      <c r="H3176">
        <v>0.403306514554992</v>
      </c>
      <c r="I3176">
        <v>0.124549463522339</v>
      </c>
      <c r="J3176">
        <v>0.121427495684808</v>
      </c>
      <c r="K3176">
        <v>0.110899377632261</v>
      </c>
      <c r="L3176">
        <v>1041.7719787306801</v>
      </c>
      <c r="M3176">
        <v>18.889769007609502</v>
      </c>
      <c r="N3176">
        <v>55.477522520127799</v>
      </c>
      <c r="O3176">
        <v>54.543140610413403</v>
      </c>
      <c r="P3176">
        <v>-8.2017785623896305E-2</v>
      </c>
      <c r="Q3176">
        <v>5.2751790359241199E-2</v>
      </c>
      <c r="R3176">
        <v>0.92253057086374002</v>
      </c>
      <c r="S3176" t="s">
        <v>8759</v>
      </c>
      <c r="T3176" t="s">
        <v>11164</v>
      </c>
      <c r="U3176" t="s">
        <v>11164</v>
      </c>
      <c r="V3176" t="s">
        <v>11164</v>
      </c>
      <c r="W3176" t="s">
        <v>14301</v>
      </c>
      <c r="X3176">
        <v>7</v>
      </c>
      <c r="Y3176" t="s">
        <v>19789</v>
      </c>
      <c r="Z3176" t="s">
        <v>25326</v>
      </c>
      <c r="AA3176">
        <v>0.63707095785926582</v>
      </c>
      <c r="AB3176" t="str">
        <f>HYPERLINK("Melting_Curves/meltCurve_Q16644_MAPKAPK3.pdf", "Melting_Curves/meltCurve_Q16644_MAPKAPK3.pdf")</f>
        <v>Melting_Curves/meltCurve_Q16644_MAPKAPK3.pdf</v>
      </c>
    </row>
    <row r="3177" spans="1:28" x14ac:dyDescent="0.25">
      <c r="A3177" t="s">
        <v>3181</v>
      </c>
      <c r="B3177">
        <v>0.99796759195183404</v>
      </c>
      <c r="C3177">
        <v>1.0138901569388501</v>
      </c>
      <c r="D3177">
        <v>0.99443537037038998</v>
      </c>
      <c r="E3177">
        <v>0.95665856440397201</v>
      </c>
      <c r="F3177">
        <v>0.80495965849585804</v>
      </c>
      <c r="G3177">
        <v>0.60237971517115696</v>
      </c>
      <c r="H3177">
        <v>0.42574956874175801</v>
      </c>
      <c r="I3177">
        <v>0.20729278146355101</v>
      </c>
      <c r="J3177">
        <v>0.12630202713908301</v>
      </c>
      <c r="K3177">
        <v>8.3473364768397298E-2</v>
      </c>
      <c r="L3177">
        <v>785.38556017903295</v>
      </c>
      <c r="M3177">
        <v>14.122328582456699</v>
      </c>
      <c r="N3177">
        <v>55.613035809022897</v>
      </c>
      <c r="O3177">
        <v>54.533559461771503</v>
      </c>
      <c r="P3177">
        <v>-6.47497414503546E-2</v>
      </c>
      <c r="Q3177">
        <v>0</v>
      </c>
      <c r="R3177">
        <v>0.99799842701479202</v>
      </c>
      <c r="S3177" t="s">
        <v>8760</v>
      </c>
      <c r="T3177" t="s">
        <v>11164</v>
      </c>
      <c r="U3177" t="s">
        <v>11164</v>
      </c>
      <c r="V3177" t="s">
        <v>11164</v>
      </c>
      <c r="W3177" t="s">
        <v>14302</v>
      </c>
      <c r="X3177">
        <v>46</v>
      </c>
      <c r="Y3177" t="s">
        <v>19790</v>
      </c>
      <c r="Z3177" t="s">
        <v>25327</v>
      </c>
      <c r="AA3177">
        <v>0.6329874924072012</v>
      </c>
      <c r="AB3177" t="str">
        <f>HYPERLINK("Melting_Curves/meltCurve_Q16658_FSCN1.pdf", "Melting_Curves/meltCurve_Q16658_FSCN1.pdf")</f>
        <v>Melting_Curves/meltCurve_Q16658_FSCN1.pdf</v>
      </c>
    </row>
    <row r="3178" spans="1:28" x14ac:dyDescent="0.25">
      <c r="A3178" t="s">
        <v>3182</v>
      </c>
      <c r="B3178">
        <v>0.99796759195183404</v>
      </c>
      <c r="C3178">
        <v>1.1171736435858199</v>
      </c>
      <c r="D3178">
        <v>1.06745857835377</v>
      </c>
      <c r="E3178">
        <v>1.07800466729926</v>
      </c>
      <c r="F3178">
        <v>0.84465184174955998</v>
      </c>
      <c r="G3178">
        <v>1.1107818781351699</v>
      </c>
      <c r="H3178">
        <v>1.1216944945303</v>
      </c>
      <c r="I3178">
        <v>0.76217050371991701</v>
      </c>
      <c r="J3178">
        <v>0.78475496707244297</v>
      </c>
      <c r="K3178">
        <v>0.496321554624852</v>
      </c>
      <c r="L3178">
        <v>1462.6155939133</v>
      </c>
      <c r="M3178">
        <v>21.908071728132501</v>
      </c>
      <c r="O3178">
        <v>66.212712448814003</v>
      </c>
      <c r="P3178">
        <v>-7.8356531470731197E-2</v>
      </c>
      <c r="Q3178">
        <v>5.2754474593437399E-2</v>
      </c>
      <c r="R3178">
        <v>0.73566819498365199</v>
      </c>
      <c r="S3178" t="s">
        <v>8761</v>
      </c>
      <c r="T3178" t="s">
        <v>11164</v>
      </c>
      <c r="U3178" t="s">
        <v>11164</v>
      </c>
      <c r="V3178" t="s">
        <v>11164</v>
      </c>
      <c r="W3178" t="s">
        <v>14303</v>
      </c>
      <c r="X3178">
        <v>7</v>
      </c>
      <c r="Y3178" t="s">
        <v>19791</v>
      </c>
      <c r="Z3178" t="s">
        <v>25328</v>
      </c>
      <c r="AA3178">
        <v>0.93577648949439707</v>
      </c>
      <c r="AB3178" t="str">
        <f>HYPERLINK("Melting_Curves/meltCurve_Q16718_NDUFA5.pdf", "Melting_Curves/meltCurve_Q16718_NDUFA5.pdf")</f>
        <v>Melting_Curves/meltCurve_Q16718_NDUFA5.pdf</v>
      </c>
    </row>
    <row r="3179" spans="1:28" x14ac:dyDescent="0.25">
      <c r="A3179" t="s">
        <v>3183</v>
      </c>
      <c r="B3179">
        <v>0.99796759195183404</v>
      </c>
      <c r="C3179">
        <v>0.94575233552608995</v>
      </c>
      <c r="D3179">
        <v>0.93572874058419597</v>
      </c>
      <c r="E3179">
        <v>0.97240893728309896</v>
      </c>
      <c r="F3179">
        <v>0.81918126624849996</v>
      </c>
      <c r="G3179">
        <v>0.64608000704693902</v>
      </c>
      <c r="H3179">
        <v>0.35061705627045597</v>
      </c>
      <c r="I3179">
        <v>0.19759425563656299</v>
      </c>
      <c r="J3179">
        <v>0.14794574766760399</v>
      </c>
      <c r="K3179">
        <v>0.15284101125920599</v>
      </c>
      <c r="L3179">
        <v>987.21929669740098</v>
      </c>
      <c r="M3179">
        <v>18.073002989975901</v>
      </c>
      <c r="N3179">
        <v>55.291432674915399</v>
      </c>
      <c r="O3179">
        <v>53.968384382798298</v>
      </c>
      <c r="P3179">
        <v>-7.5518925096231801E-2</v>
      </c>
      <c r="Q3179">
        <v>9.80056991817395E-2</v>
      </c>
      <c r="R3179">
        <v>0.99215922792664002</v>
      </c>
      <c r="S3179" t="s">
        <v>8762</v>
      </c>
      <c r="T3179" t="s">
        <v>11164</v>
      </c>
      <c r="U3179" t="s">
        <v>11164</v>
      </c>
      <c r="V3179" t="s">
        <v>11164</v>
      </c>
      <c r="W3179" t="s">
        <v>14304</v>
      </c>
      <c r="X3179">
        <v>8</v>
      </c>
      <c r="Y3179" t="s">
        <v>19792</v>
      </c>
      <c r="Z3179" t="s">
        <v>25329</v>
      </c>
      <c r="AA3179">
        <v>0.63961481909084683</v>
      </c>
      <c r="AB3179" t="str">
        <f>HYPERLINK("Melting_Curves/meltCurve_Q16720_8_ATP2B3.pdf", "Melting_Curves/meltCurve_Q16720_8_ATP2B3.pdf")</f>
        <v>Melting_Curves/meltCurve_Q16720_8_ATP2B3.pdf</v>
      </c>
    </row>
    <row r="3180" spans="1:28" x14ac:dyDescent="0.25">
      <c r="A3180" t="s">
        <v>3184</v>
      </c>
      <c r="B3180">
        <v>0.99796759195183404</v>
      </c>
      <c r="C3180">
        <v>1.0310508118314201</v>
      </c>
      <c r="D3180">
        <v>1.0018727146169</v>
      </c>
      <c r="E3180">
        <v>0.96734312049198701</v>
      </c>
      <c r="F3180">
        <v>0.86678272524368205</v>
      </c>
      <c r="G3180">
        <v>0.75481924943405498</v>
      </c>
      <c r="H3180">
        <v>0.70055474377548599</v>
      </c>
      <c r="I3180">
        <v>0.55273899343700195</v>
      </c>
      <c r="J3180">
        <v>0.33397411284437301</v>
      </c>
      <c r="K3180">
        <v>0.177102265255042</v>
      </c>
      <c r="L3180">
        <v>703.55693782375704</v>
      </c>
      <c r="M3180">
        <v>11.613222756529099</v>
      </c>
      <c r="N3180">
        <v>60.582402726326102</v>
      </c>
      <c r="O3180">
        <v>58.869648112592898</v>
      </c>
      <c r="P3180">
        <v>-4.9331026983650002E-2</v>
      </c>
      <c r="Q3180">
        <v>0</v>
      </c>
      <c r="R3180">
        <v>0.97590576890017999</v>
      </c>
      <c r="S3180" t="s">
        <v>8763</v>
      </c>
      <c r="T3180" t="s">
        <v>11164</v>
      </c>
      <c r="U3180" t="s">
        <v>11164</v>
      </c>
      <c r="V3180" t="s">
        <v>11164</v>
      </c>
      <c r="W3180" t="s">
        <v>14305</v>
      </c>
      <c r="X3180">
        <v>10</v>
      </c>
      <c r="Y3180" t="s">
        <v>19793</v>
      </c>
      <c r="Z3180" t="s">
        <v>25330</v>
      </c>
      <c r="AA3180">
        <v>0.76274037761375468</v>
      </c>
      <c r="AB3180" t="str">
        <f>HYPERLINK("Melting_Curves/meltCurve_Q16740_CLPP.pdf", "Melting_Curves/meltCurve_Q16740_CLPP.pdf")</f>
        <v>Melting_Curves/meltCurve_Q16740_CLPP.pdf</v>
      </c>
    </row>
    <row r="3181" spans="1:28" x14ac:dyDescent="0.25">
      <c r="A3181" t="s">
        <v>3185</v>
      </c>
      <c r="B3181">
        <v>0.99796759195183404</v>
      </c>
      <c r="C3181">
        <v>0.98092885959051501</v>
      </c>
      <c r="D3181">
        <v>1.0424914803424901</v>
      </c>
      <c r="E3181">
        <v>0.91471883541151899</v>
      </c>
      <c r="F3181">
        <v>0.332719655905867</v>
      </c>
      <c r="G3181">
        <v>0.20215950512938399</v>
      </c>
      <c r="H3181">
        <v>0.134261792688808</v>
      </c>
      <c r="I3181">
        <v>0.111584487893957</v>
      </c>
      <c r="J3181">
        <v>8.6492617855543505E-2</v>
      </c>
      <c r="K3181">
        <v>6.3083919439810093E-2</v>
      </c>
      <c r="L3181">
        <v>2028.2100396629901</v>
      </c>
      <c r="M3181">
        <v>41.424169278989098</v>
      </c>
      <c r="N3181">
        <v>49.265594721683897</v>
      </c>
      <c r="O3181">
        <v>48.8483193902454</v>
      </c>
      <c r="P3181">
        <v>-0.18812354504190201</v>
      </c>
      <c r="Q3181">
        <v>0.112643663983046</v>
      </c>
      <c r="R3181">
        <v>0.99354861008080098</v>
      </c>
      <c r="S3181" t="s">
        <v>8764</v>
      </c>
      <c r="T3181" t="s">
        <v>11164</v>
      </c>
      <c r="U3181" t="s">
        <v>11164</v>
      </c>
      <c r="V3181" t="s">
        <v>11164</v>
      </c>
      <c r="W3181" t="s">
        <v>14306</v>
      </c>
      <c r="X3181">
        <v>11</v>
      </c>
      <c r="Y3181" t="s">
        <v>19794</v>
      </c>
      <c r="Z3181" t="s">
        <v>25331</v>
      </c>
      <c r="AA3181">
        <v>0.46926047454502889</v>
      </c>
      <c r="AB3181" t="str">
        <f>HYPERLINK("Melting_Curves/meltCurve_Q16762_TST.pdf", "Melting_Curves/meltCurve_Q16762_TST.pdf")</f>
        <v>Melting_Curves/meltCurve_Q16762_TST.pdf</v>
      </c>
    </row>
    <row r="3182" spans="1:28" x14ac:dyDescent="0.25">
      <c r="A3182" t="s">
        <v>3186</v>
      </c>
      <c r="B3182">
        <v>0.99796759195183404</v>
      </c>
      <c r="C3182">
        <v>1.0297869805022899</v>
      </c>
      <c r="D3182">
        <v>1.02107372015359</v>
      </c>
      <c r="E3182">
        <v>1.00577718486517</v>
      </c>
      <c r="F3182">
        <v>0.80610995166684096</v>
      </c>
      <c r="G3182">
        <v>0.48795260763193299</v>
      </c>
      <c r="H3182">
        <v>0.33246394253913603</v>
      </c>
      <c r="I3182">
        <v>0.17723098355563699</v>
      </c>
      <c r="J3182">
        <v>0.14749756000203201</v>
      </c>
      <c r="K3182">
        <v>0.14477057336136101</v>
      </c>
      <c r="L3182">
        <v>1138.96944534821</v>
      </c>
      <c r="M3182">
        <v>21.4125074984061</v>
      </c>
      <c r="N3182">
        <v>53.997011388925202</v>
      </c>
      <c r="O3182">
        <v>52.734353495718402</v>
      </c>
      <c r="P3182">
        <v>-8.7639201820289406E-2</v>
      </c>
      <c r="Q3182">
        <v>0.13667603140057599</v>
      </c>
      <c r="R3182">
        <v>0.99497624661661399</v>
      </c>
      <c r="S3182" t="s">
        <v>8765</v>
      </c>
      <c r="T3182" t="s">
        <v>11164</v>
      </c>
      <c r="U3182" t="s">
        <v>11164</v>
      </c>
      <c r="V3182" t="s">
        <v>11164</v>
      </c>
      <c r="W3182" t="s">
        <v>14307</v>
      </c>
      <c r="X3182">
        <v>9</v>
      </c>
      <c r="Y3182" t="s">
        <v>19795</v>
      </c>
      <c r="Z3182" t="s">
        <v>25332</v>
      </c>
      <c r="AA3182">
        <v>0.61241189628723602</v>
      </c>
      <c r="AB3182" t="str">
        <f>HYPERLINK("Melting_Curves/meltCurve_Q16763_UBE2S.pdf", "Melting_Curves/meltCurve_Q16763_UBE2S.pdf")</f>
        <v>Melting_Curves/meltCurve_Q16763_UBE2S.pdf</v>
      </c>
    </row>
    <row r="3183" spans="1:28" x14ac:dyDescent="0.25">
      <c r="A3183" t="s">
        <v>3187</v>
      </c>
      <c r="B3183">
        <v>0.99796759195183404</v>
      </c>
      <c r="C3183">
        <v>1.0981452279575901</v>
      </c>
      <c r="D3183">
        <v>1.04086322354271</v>
      </c>
      <c r="E3183">
        <v>1.05096873052127</v>
      </c>
      <c r="F3183">
        <v>0.83735679782584704</v>
      </c>
      <c r="G3183">
        <v>0.72480206017222804</v>
      </c>
      <c r="H3183">
        <v>0.78294125073228804</v>
      </c>
      <c r="I3183">
        <v>0.64051927295106104</v>
      </c>
      <c r="J3183">
        <v>0.89981438268999003</v>
      </c>
      <c r="K3183">
        <v>0.79501219576058202</v>
      </c>
      <c r="L3183">
        <v>12506.765617847501</v>
      </c>
      <c r="M3183">
        <v>250</v>
      </c>
      <c r="O3183">
        <v>50.023858378079503</v>
      </c>
      <c r="P3183">
        <v>-0.28908975063528802</v>
      </c>
      <c r="Q3183">
        <v>0.76861783189439203</v>
      </c>
      <c r="R3183">
        <v>0.76737754426746296</v>
      </c>
      <c r="S3183" t="s">
        <v>8766</v>
      </c>
      <c r="T3183" t="s">
        <v>11164</v>
      </c>
      <c r="U3183" t="s">
        <v>11164</v>
      </c>
      <c r="V3183" t="s">
        <v>11164</v>
      </c>
      <c r="W3183" t="s">
        <v>14308</v>
      </c>
      <c r="X3183">
        <v>4</v>
      </c>
      <c r="Y3183" t="s">
        <v>19796</v>
      </c>
      <c r="Z3183" t="s">
        <v>25333</v>
      </c>
      <c r="AA3183">
        <v>0.86911247844481643</v>
      </c>
      <c r="AB3183" t="str">
        <f>HYPERLINK("Melting_Curves/meltCurve_Q16799_RTN1.pdf", "Melting_Curves/meltCurve_Q16799_RTN1.pdf")</f>
        <v>Melting_Curves/meltCurve_Q16799_RTN1.pdf</v>
      </c>
    </row>
    <row r="3184" spans="1:28" x14ac:dyDescent="0.25">
      <c r="A3184" t="s">
        <v>3188</v>
      </c>
      <c r="B3184">
        <v>0.99796759195183404</v>
      </c>
      <c r="C3184">
        <v>0.96137650007213005</v>
      </c>
      <c r="D3184">
        <v>0.94437066974569395</v>
      </c>
      <c r="E3184">
        <v>0.88483076461573096</v>
      </c>
      <c r="F3184">
        <v>0.79814261400775299</v>
      </c>
      <c r="G3184">
        <v>0.568954165591252</v>
      </c>
      <c r="H3184">
        <v>0.35743438098441499</v>
      </c>
      <c r="I3184">
        <v>0.14863681444954899</v>
      </c>
      <c r="J3184">
        <v>0.14547895917745901</v>
      </c>
      <c r="K3184">
        <v>0.107454582102434</v>
      </c>
      <c r="L3184">
        <v>761.03823794998004</v>
      </c>
      <c r="M3184">
        <v>13.94954903264</v>
      </c>
      <c r="N3184">
        <v>54.7215226287585</v>
      </c>
      <c r="O3184">
        <v>53.471976797885098</v>
      </c>
      <c r="P3184">
        <v>-6.3884010556606793E-2</v>
      </c>
      <c r="Q3184">
        <v>2.0600329613654399E-2</v>
      </c>
      <c r="R3184">
        <v>0.99392570717328299</v>
      </c>
      <c r="S3184" t="s">
        <v>8767</v>
      </c>
      <c r="T3184" t="s">
        <v>11164</v>
      </c>
      <c r="U3184" t="s">
        <v>11164</v>
      </c>
      <c r="V3184" t="s">
        <v>11164</v>
      </c>
      <c r="W3184" t="s">
        <v>14309</v>
      </c>
      <c r="X3184">
        <v>14</v>
      </c>
      <c r="Y3184" t="s">
        <v>19797</v>
      </c>
      <c r="Z3184" t="s">
        <v>25334</v>
      </c>
      <c r="AA3184">
        <v>0.60903663756966553</v>
      </c>
      <c r="AB3184" t="str">
        <f>HYPERLINK("Melting_Curves/meltCurve_Q16822_PCK2.pdf", "Melting_Curves/meltCurve_Q16822_PCK2.pdf")</f>
        <v>Melting_Curves/meltCurve_Q16822_PCK2.pdf</v>
      </c>
    </row>
    <row r="3185" spans="1:28" x14ac:dyDescent="0.25">
      <c r="A3185" t="s">
        <v>3189</v>
      </c>
      <c r="B3185">
        <v>0.99796759195183404</v>
      </c>
      <c r="C3185">
        <v>0.91476415501881503</v>
      </c>
      <c r="D3185">
        <v>0.92764852519683405</v>
      </c>
      <c r="E3185">
        <v>0.88951399673318299</v>
      </c>
      <c r="F3185">
        <v>0.77043485226867303</v>
      </c>
      <c r="G3185">
        <v>0.678998966199443</v>
      </c>
      <c r="H3185">
        <v>0.68671231004325906</v>
      </c>
      <c r="I3185">
        <v>0.50076796748457297</v>
      </c>
      <c r="J3185">
        <v>0.50823057975844799</v>
      </c>
      <c r="K3185">
        <v>0.21186938415721299</v>
      </c>
      <c r="L3185">
        <v>410.70070188188902</v>
      </c>
      <c r="M3185">
        <v>6.7509469667707904</v>
      </c>
      <c r="N3185">
        <v>60.836013420564903</v>
      </c>
      <c r="O3185">
        <v>56.166016143496599</v>
      </c>
      <c r="P3185">
        <v>-3.0112661918655002E-2</v>
      </c>
      <c r="Q3185">
        <v>0</v>
      </c>
      <c r="R3185">
        <v>0.92435565600543002</v>
      </c>
      <c r="S3185" t="s">
        <v>8768</v>
      </c>
      <c r="T3185" t="s">
        <v>11164</v>
      </c>
      <c r="U3185" t="s">
        <v>11164</v>
      </c>
      <c r="V3185" t="s">
        <v>11164</v>
      </c>
      <c r="W3185" t="s">
        <v>14310</v>
      </c>
      <c r="X3185">
        <v>6</v>
      </c>
      <c r="Y3185" t="s">
        <v>19798</v>
      </c>
      <c r="Z3185" t="s">
        <v>25335</v>
      </c>
      <c r="AA3185">
        <v>0.72463203443370883</v>
      </c>
      <c r="AB3185" t="str">
        <f>HYPERLINK("Melting_Curves/meltCurve_Q16831_UPP1.pdf", "Melting_Curves/meltCurve_Q16831_UPP1.pdf")</f>
        <v>Melting_Curves/meltCurve_Q16831_UPP1.pdf</v>
      </c>
    </row>
    <row r="3186" spans="1:28" x14ac:dyDescent="0.25">
      <c r="A3186" t="s">
        <v>3190</v>
      </c>
      <c r="B3186">
        <v>0.99796759195183404</v>
      </c>
      <c r="C3186">
        <v>1.04027740063239</v>
      </c>
      <c r="D3186">
        <v>1.0200422367943001</v>
      </c>
      <c r="E3186">
        <v>0.88160894662293399</v>
      </c>
      <c r="F3186">
        <v>0.32739257419462398</v>
      </c>
      <c r="G3186">
        <v>0.18942069988732299</v>
      </c>
      <c r="H3186">
        <v>0.12525075628940099</v>
      </c>
      <c r="I3186">
        <v>0.103967567816762</v>
      </c>
      <c r="J3186">
        <v>8.5224360938768506E-2</v>
      </c>
      <c r="K3186">
        <v>4.6920803615532497E-2</v>
      </c>
      <c r="L3186">
        <v>1799.9422420896101</v>
      </c>
      <c r="M3186">
        <v>36.841701779636203</v>
      </c>
      <c r="N3186">
        <v>49.156335492234</v>
      </c>
      <c r="O3186">
        <v>48.712834302432199</v>
      </c>
      <c r="P3186">
        <v>-0.170027552597808</v>
      </c>
      <c r="Q3186">
        <v>0.100747274530456</v>
      </c>
      <c r="R3186">
        <v>0.99438640285812097</v>
      </c>
      <c r="S3186" t="s">
        <v>8769</v>
      </c>
      <c r="T3186" t="s">
        <v>11164</v>
      </c>
      <c r="U3186" t="s">
        <v>11164</v>
      </c>
      <c r="V3186" t="s">
        <v>11164</v>
      </c>
      <c r="W3186" t="s">
        <v>14311</v>
      </c>
      <c r="X3186">
        <v>11</v>
      </c>
      <c r="Y3186" t="s">
        <v>19799</v>
      </c>
      <c r="Z3186" t="s">
        <v>25336</v>
      </c>
      <c r="AA3186">
        <v>0.45971824841314929</v>
      </c>
      <c r="AB3186" t="str">
        <f>HYPERLINK("Melting_Curves/meltCurve_Q16850_CYP51A1.pdf", "Melting_Curves/meltCurve_Q16850_CYP51A1.pdf")</f>
        <v>Melting_Curves/meltCurve_Q16850_CYP51A1.pdf</v>
      </c>
    </row>
    <row r="3187" spans="1:28" x14ac:dyDescent="0.25">
      <c r="A3187" t="s">
        <v>3191</v>
      </c>
      <c r="B3187">
        <v>0.99796759195183404</v>
      </c>
      <c r="C3187">
        <v>0.93659690174156296</v>
      </c>
      <c r="D3187">
        <v>0.92297532814468197</v>
      </c>
      <c r="E3187">
        <v>0.94902931429121595</v>
      </c>
      <c r="F3187">
        <v>0.89005967255057195</v>
      </c>
      <c r="G3187">
        <v>0.68024861855266705</v>
      </c>
      <c r="H3187">
        <v>0.700885740909445</v>
      </c>
      <c r="I3187">
        <v>0.619021295024893</v>
      </c>
      <c r="J3187">
        <v>0.56201693565842203</v>
      </c>
      <c r="K3187">
        <v>0.62611605519162306</v>
      </c>
      <c r="L3187">
        <v>746.07355262304304</v>
      </c>
      <c r="M3187">
        <v>14.324442385293301</v>
      </c>
      <c r="O3187">
        <v>51.100427843490699</v>
      </c>
      <c r="P3187">
        <v>-2.97511817749034E-2</v>
      </c>
      <c r="Q3187">
        <v>0.57551885513834899</v>
      </c>
      <c r="R3187">
        <v>0.93170935502177499</v>
      </c>
      <c r="S3187" t="s">
        <v>8770</v>
      </c>
      <c r="T3187" t="s">
        <v>11164</v>
      </c>
      <c r="U3187" t="s">
        <v>11164</v>
      </c>
      <c r="V3187" t="s">
        <v>11164</v>
      </c>
      <c r="W3187" t="s">
        <v>14312</v>
      </c>
      <c r="X3187">
        <v>2</v>
      </c>
      <c r="Y3187" t="s">
        <v>19800</v>
      </c>
      <c r="Z3187" t="s">
        <v>25337</v>
      </c>
      <c r="AA3187">
        <v>0.79744926369755353</v>
      </c>
      <c r="AB3187" t="str">
        <f>HYPERLINK("Melting_Curves/meltCurve_Q16854_DGUOK.pdf", "Melting_Curves/meltCurve_Q16854_DGUOK.pdf")</f>
        <v>Melting_Curves/meltCurve_Q16854_DGUOK.pdf</v>
      </c>
    </row>
    <row r="3188" spans="1:28" x14ac:dyDescent="0.25">
      <c r="A3188" t="s">
        <v>3192</v>
      </c>
      <c r="B3188">
        <v>0.99796759195183404</v>
      </c>
      <c r="C3188">
        <v>1.0581459110922899</v>
      </c>
      <c r="D3188">
        <v>1.0090949572777199</v>
      </c>
      <c r="E3188">
        <v>0.92736725935863196</v>
      </c>
      <c r="F3188">
        <v>0.83142714591542499</v>
      </c>
      <c r="G3188">
        <v>0.69139656826555396</v>
      </c>
      <c r="H3188">
        <v>0.68367466482307004</v>
      </c>
      <c r="I3188">
        <v>0.661562755532632</v>
      </c>
      <c r="J3188">
        <v>0.75894413057004895</v>
      </c>
      <c r="K3188">
        <v>0.56084117544822398</v>
      </c>
      <c r="L3188">
        <v>1150.3721511689</v>
      </c>
      <c r="M3188">
        <v>23.051180400256399</v>
      </c>
      <c r="O3188">
        <v>49.534098773197698</v>
      </c>
      <c r="P3188">
        <v>-3.9887147300991799E-2</v>
      </c>
      <c r="Q3188">
        <v>0.65715645373988196</v>
      </c>
      <c r="R3188">
        <v>0.90926176937690995</v>
      </c>
      <c r="S3188" t="s">
        <v>8771</v>
      </c>
      <c r="T3188" t="s">
        <v>11164</v>
      </c>
      <c r="U3188" t="s">
        <v>11164</v>
      </c>
      <c r="V3188" t="s">
        <v>11164</v>
      </c>
      <c r="W3188" t="s">
        <v>14313</v>
      </c>
      <c r="X3188">
        <v>4</v>
      </c>
      <c r="Y3188" t="s">
        <v>19801</v>
      </c>
      <c r="Z3188" t="s">
        <v>25338</v>
      </c>
      <c r="AA3188">
        <v>0.80812880347552962</v>
      </c>
      <c r="AB3188" t="str">
        <f>HYPERLINK("Melting_Curves/meltCurve_Q16864_ATP6V1F.pdf", "Melting_Curves/meltCurve_Q16864_ATP6V1F.pdf")</f>
        <v>Melting_Curves/meltCurve_Q16864_ATP6V1F.pdf</v>
      </c>
    </row>
    <row r="3189" spans="1:28" x14ac:dyDescent="0.25">
      <c r="A3189" t="s">
        <v>3193</v>
      </c>
      <c r="B3189">
        <v>0.99796759195183404</v>
      </c>
      <c r="C3189">
        <v>0.93999462351486196</v>
      </c>
      <c r="D3189">
        <v>0.88179825412790003</v>
      </c>
      <c r="E3189">
        <v>0.85835699626570605</v>
      </c>
      <c r="F3189">
        <v>0.80729450946160597</v>
      </c>
      <c r="G3189">
        <v>0.57189609861615398</v>
      </c>
      <c r="H3189">
        <v>0.71922334471927896</v>
      </c>
      <c r="I3189">
        <v>0.59751241612681105</v>
      </c>
      <c r="J3189">
        <v>0.56438196779152205</v>
      </c>
      <c r="K3189">
        <v>0.37710585855318002</v>
      </c>
      <c r="L3189">
        <v>287.573410305793</v>
      </c>
      <c r="M3189">
        <v>4.4607427520713303</v>
      </c>
      <c r="N3189">
        <v>64.467608099305394</v>
      </c>
      <c r="O3189">
        <v>54.659350895917001</v>
      </c>
      <c r="P3189">
        <v>-2.0586186217324099E-2</v>
      </c>
      <c r="Q3189">
        <v>0</v>
      </c>
      <c r="R3189">
        <v>0.88988325623321596</v>
      </c>
      <c r="S3189" t="s">
        <v>8772</v>
      </c>
      <c r="T3189" t="s">
        <v>11164</v>
      </c>
      <c r="U3189" t="s">
        <v>11164</v>
      </c>
      <c r="V3189" t="s">
        <v>11164</v>
      </c>
      <c r="W3189" t="s">
        <v>14314</v>
      </c>
      <c r="X3189">
        <v>6</v>
      </c>
      <c r="Y3189" t="s">
        <v>19802</v>
      </c>
      <c r="Z3189" t="s">
        <v>25339</v>
      </c>
      <c r="AA3189">
        <v>0.73360406564528324</v>
      </c>
      <c r="AB3189" t="str">
        <f>HYPERLINK("Melting_Curves/meltCurve_Q17R31_2_TATDN3.pdf", "Melting_Curves/meltCurve_Q17R31_2_TATDN3.pdf")</f>
        <v>Melting_Curves/meltCurve_Q17R31_2_TATDN3.pdf</v>
      </c>
    </row>
    <row r="3190" spans="1:28" x14ac:dyDescent="0.25">
      <c r="A3190" t="s">
        <v>3194</v>
      </c>
      <c r="B3190">
        <v>0.99796759195183404</v>
      </c>
      <c r="C3190">
        <v>0.95709292933244905</v>
      </c>
      <c r="D3190">
        <v>0.91360774708402204</v>
      </c>
      <c r="E3190">
        <v>0.81546436411374501</v>
      </c>
      <c r="F3190">
        <v>0.493295669925716</v>
      </c>
      <c r="G3190">
        <v>0.25608370028995803</v>
      </c>
      <c r="H3190">
        <v>0.292546011043187</v>
      </c>
      <c r="I3190">
        <v>0.32116661756436798</v>
      </c>
      <c r="J3190">
        <v>0.30286305058431801</v>
      </c>
      <c r="K3190">
        <v>0.24729633621934499</v>
      </c>
      <c r="L3190">
        <v>1276.1662381466399</v>
      </c>
      <c r="M3190">
        <v>26.390562572811</v>
      </c>
      <c r="N3190">
        <v>49.866585335323698</v>
      </c>
      <c r="O3190">
        <v>48.081813261042598</v>
      </c>
      <c r="P3190">
        <v>-9.9469773015183602E-2</v>
      </c>
      <c r="Q3190">
        <v>0.27509910965044398</v>
      </c>
      <c r="R3190">
        <v>0.98548516199997305</v>
      </c>
      <c r="S3190" t="s">
        <v>8773</v>
      </c>
      <c r="T3190" t="s">
        <v>11164</v>
      </c>
      <c r="U3190" t="s">
        <v>11164</v>
      </c>
      <c r="V3190" t="s">
        <v>11164</v>
      </c>
      <c r="W3190" t="s">
        <v>14315</v>
      </c>
      <c r="X3190">
        <v>1</v>
      </c>
      <c r="Y3190" t="s">
        <v>19803</v>
      </c>
      <c r="Z3190" t="s">
        <v>25340</v>
      </c>
      <c r="AA3190">
        <v>0.55510028322697413</v>
      </c>
      <c r="AB3190" t="str">
        <f>HYPERLINK("Melting_Curves/meltCurve_Q17RS7_GEN1.pdf", "Melting_Curves/meltCurve_Q17RS7_GEN1.pdf")</f>
        <v>Melting_Curves/meltCurve_Q17RS7_GEN1.pdf</v>
      </c>
    </row>
    <row r="3191" spans="1:28" x14ac:dyDescent="0.25">
      <c r="A3191" t="s">
        <v>3195</v>
      </c>
      <c r="B3191">
        <v>0.99796759195183404</v>
      </c>
      <c r="C3191">
        <v>1.0641282642308201</v>
      </c>
      <c r="D3191">
        <v>1.0591136141171</v>
      </c>
      <c r="E3191">
        <v>0.97701880954019904</v>
      </c>
      <c r="F3191">
        <v>0.70056397640582302</v>
      </c>
      <c r="G3191">
        <v>0.41089881792103999</v>
      </c>
      <c r="H3191">
        <v>0.27377958944305197</v>
      </c>
      <c r="I3191">
        <v>0.193018254953015</v>
      </c>
      <c r="J3191">
        <v>0.14110910826103701</v>
      </c>
      <c r="K3191">
        <v>0.10816889941422</v>
      </c>
      <c r="L3191">
        <v>1114.95362785116</v>
      </c>
      <c r="M3191">
        <v>21.4306111393261</v>
      </c>
      <c r="N3191">
        <v>52.801672391574698</v>
      </c>
      <c r="O3191">
        <v>51.579568762844602</v>
      </c>
      <c r="P3191">
        <v>-8.9850290173319705E-2</v>
      </c>
      <c r="Q3191">
        <v>0.135008476659501</v>
      </c>
      <c r="R3191">
        <v>0.99014969426669697</v>
      </c>
      <c r="S3191" t="s">
        <v>8774</v>
      </c>
      <c r="T3191" t="s">
        <v>11164</v>
      </c>
      <c r="U3191" t="s">
        <v>11164</v>
      </c>
      <c r="V3191" t="s">
        <v>11164</v>
      </c>
      <c r="W3191" t="s">
        <v>14316</v>
      </c>
      <c r="X3191">
        <v>4</v>
      </c>
      <c r="Y3191" t="s">
        <v>19804</v>
      </c>
      <c r="Z3191" t="s">
        <v>25341</v>
      </c>
      <c r="AA3191">
        <v>0.57825412400415355</v>
      </c>
      <c r="AB3191" t="str">
        <f>HYPERLINK("Melting_Curves/meltCurve_Q17RU2_REL.pdf", "Melting_Curves/meltCurve_Q17RU2_REL.pdf")</f>
        <v>Melting_Curves/meltCurve_Q17RU2_REL.pdf</v>
      </c>
    </row>
    <row r="3192" spans="1:28" x14ac:dyDescent="0.25">
      <c r="A3192" t="s">
        <v>3196</v>
      </c>
      <c r="B3192">
        <v>0.99796759195183404</v>
      </c>
      <c r="C3192">
        <v>0.95978996898673696</v>
      </c>
      <c r="D3192">
        <v>0.95281744041720495</v>
      </c>
      <c r="E3192">
        <v>0.63972041178268502</v>
      </c>
      <c r="F3192">
        <v>0.66210942671640005</v>
      </c>
      <c r="G3192">
        <v>0.55565938014759397</v>
      </c>
      <c r="H3192">
        <v>0.44084330601018201</v>
      </c>
      <c r="I3192">
        <v>0.24811100311161899</v>
      </c>
      <c r="J3192">
        <v>0.220834612805723</v>
      </c>
      <c r="K3192">
        <v>0.182135157231927</v>
      </c>
      <c r="L3192">
        <v>417.699423725739</v>
      </c>
      <c r="M3192">
        <v>7.7178161558653597</v>
      </c>
      <c r="N3192">
        <v>54.121438370467203</v>
      </c>
      <c r="O3192">
        <v>50.847668519170703</v>
      </c>
      <c r="P3192">
        <v>-3.79948492918048E-2</v>
      </c>
      <c r="Q3192">
        <v>0</v>
      </c>
      <c r="R3192">
        <v>0.96389524726819098</v>
      </c>
      <c r="S3192" t="s">
        <v>8775</v>
      </c>
      <c r="T3192" t="s">
        <v>11164</v>
      </c>
      <c r="U3192" t="s">
        <v>11164</v>
      </c>
      <c r="V3192" t="s">
        <v>11164</v>
      </c>
      <c r="W3192" t="s">
        <v>14317</v>
      </c>
      <c r="X3192">
        <v>1</v>
      </c>
      <c r="Y3192" t="s">
        <v>19805</v>
      </c>
      <c r="Z3192" t="s">
        <v>25342</v>
      </c>
      <c r="AA3192">
        <v>0.58359799300803183</v>
      </c>
      <c r="AB3192" t="str">
        <f>HYPERLINK("Melting_Curves/meltCurve_Q1MSJ5_2_CSPP1.pdf", "Melting_Curves/meltCurve_Q1MSJ5_2_CSPP1.pdf")</f>
        <v>Melting_Curves/meltCurve_Q1MSJ5_2_CSPP1.pdf</v>
      </c>
    </row>
    <row r="3193" spans="1:28" x14ac:dyDescent="0.25">
      <c r="A3193" t="s">
        <v>3197</v>
      </c>
      <c r="B3193">
        <v>0.99796759195183404</v>
      </c>
      <c r="C3193">
        <v>0.95553521860118995</v>
      </c>
      <c r="D3193">
        <v>0.90540458564613302</v>
      </c>
      <c r="E3193">
        <v>0.86180926051221196</v>
      </c>
      <c r="F3193">
        <v>0.72931978152219001</v>
      </c>
      <c r="G3193">
        <v>0.38824387212257699</v>
      </c>
      <c r="H3193">
        <v>0.46792239799459201</v>
      </c>
      <c r="I3193">
        <v>0.34931111042327301</v>
      </c>
      <c r="J3193">
        <v>0.25421532414358999</v>
      </c>
      <c r="K3193">
        <v>0.164534631022488</v>
      </c>
      <c r="L3193">
        <v>531.12310406683605</v>
      </c>
      <c r="M3193">
        <v>9.9882006056954697</v>
      </c>
      <c r="N3193">
        <v>54.509010862269001</v>
      </c>
      <c r="O3193">
        <v>51.175358522537103</v>
      </c>
      <c r="P3193">
        <v>-4.3524712058150797E-2</v>
      </c>
      <c r="Q3193">
        <v>0.108425991514237</v>
      </c>
      <c r="R3193">
        <v>0.96316959582180695</v>
      </c>
      <c r="S3193" t="s">
        <v>8776</v>
      </c>
      <c r="T3193" t="s">
        <v>11164</v>
      </c>
      <c r="U3193" t="s">
        <v>11164</v>
      </c>
      <c r="V3193" t="s">
        <v>11164</v>
      </c>
      <c r="W3193" t="s">
        <v>14318</v>
      </c>
      <c r="X3193">
        <v>4</v>
      </c>
      <c r="Y3193" t="s">
        <v>19806</v>
      </c>
      <c r="Z3193" t="s">
        <v>25343</v>
      </c>
      <c r="AA3193">
        <v>0.60838773086421605</v>
      </c>
      <c r="AB3193" t="str">
        <f>HYPERLINK("Melting_Curves/meltCurve_Q27J81_2_INF2.pdf", "Melting_Curves/meltCurve_Q27J81_2_INF2.pdf")</f>
        <v>Melting_Curves/meltCurve_Q27J81_2_INF2.pdf</v>
      </c>
    </row>
    <row r="3194" spans="1:28" x14ac:dyDescent="0.25">
      <c r="A3194" t="s">
        <v>3198</v>
      </c>
      <c r="B3194">
        <v>0.99796759195183404</v>
      </c>
      <c r="C3194">
        <v>1.00978837633412</v>
      </c>
      <c r="D3194">
        <v>1.03239809894789</v>
      </c>
      <c r="E3194">
        <v>0.98245347481144196</v>
      </c>
      <c r="F3194">
        <v>0.63711658811296201</v>
      </c>
      <c r="G3194">
        <v>0.198363575057593</v>
      </c>
      <c r="H3194">
        <v>0.156583649921195</v>
      </c>
      <c r="I3194">
        <v>0.12368758961552601</v>
      </c>
      <c r="J3194">
        <v>9.69560467662679E-2</v>
      </c>
      <c r="K3194">
        <v>6.8196379502106705E-2</v>
      </c>
      <c r="L3194">
        <v>1895.2439903250099</v>
      </c>
      <c r="M3194">
        <v>37.360911606328003</v>
      </c>
      <c r="N3194">
        <v>51.056901110091999</v>
      </c>
      <c r="O3194">
        <v>50.583312734201002</v>
      </c>
      <c r="P3194">
        <v>-0.16490105601045299</v>
      </c>
      <c r="Q3194">
        <v>0.10695766530860699</v>
      </c>
      <c r="R3194">
        <v>0.99726713356198904</v>
      </c>
      <c r="S3194" t="s">
        <v>8777</v>
      </c>
      <c r="T3194" t="s">
        <v>11164</v>
      </c>
      <c r="U3194" t="s">
        <v>11164</v>
      </c>
      <c r="V3194" t="s">
        <v>11164</v>
      </c>
      <c r="W3194" t="s">
        <v>14319</v>
      </c>
      <c r="X3194">
        <v>35</v>
      </c>
      <c r="Y3194" t="s">
        <v>19807</v>
      </c>
      <c r="Z3194" t="s">
        <v>25344</v>
      </c>
      <c r="AA3194">
        <v>0.51920003529542635</v>
      </c>
      <c r="AB3194" t="str">
        <f>HYPERLINK("Melting_Curves/meltCurve_Q29RF7_PDS5A.pdf", "Melting_Curves/meltCurve_Q29RF7_PDS5A.pdf")</f>
        <v>Melting_Curves/meltCurve_Q29RF7_PDS5A.pdf</v>
      </c>
    </row>
    <row r="3195" spans="1:28" x14ac:dyDescent="0.25">
      <c r="A3195" t="s">
        <v>3199</v>
      </c>
      <c r="B3195">
        <v>0.99796759195183404</v>
      </c>
      <c r="C3195">
        <v>0.82094608466759</v>
      </c>
      <c r="D3195">
        <v>0.90680067496330197</v>
      </c>
      <c r="E3195">
        <v>0.61560444384313795</v>
      </c>
      <c r="F3195">
        <v>0.41199756390298498</v>
      </c>
      <c r="G3195">
        <v>0.25695762236159703</v>
      </c>
      <c r="H3195">
        <v>0.20506023710788801</v>
      </c>
      <c r="I3195">
        <v>0.17939595581183801</v>
      </c>
      <c r="J3195">
        <v>0.13444199035724999</v>
      </c>
      <c r="K3195">
        <v>8.4388127696317095E-2</v>
      </c>
      <c r="L3195">
        <v>593.68334583833303</v>
      </c>
      <c r="M3195">
        <v>12.372887767980099</v>
      </c>
      <c r="N3195">
        <v>48.739415150793903</v>
      </c>
      <c r="O3195">
        <v>46.780858538990103</v>
      </c>
      <c r="P3195">
        <v>-6.0355582479524501E-2</v>
      </c>
      <c r="Q3195">
        <v>8.7397319625807698E-2</v>
      </c>
      <c r="R3195">
        <v>0.97954079807678496</v>
      </c>
      <c r="S3195" t="s">
        <v>8778</v>
      </c>
      <c r="T3195" t="s">
        <v>11164</v>
      </c>
      <c r="U3195" t="s">
        <v>11164</v>
      </c>
      <c r="V3195" t="s">
        <v>11164</v>
      </c>
      <c r="W3195" t="s">
        <v>14320</v>
      </c>
      <c r="X3195">
        <v>4</v>
      </c>
      <c r="Y3195" t="s">
        <v>19808</v>
      </c>
      <c r="Z3195" t="s">
        <v>25345</v>
      </c>
      <c r="AA3195">
        <v>0.44881727773127628</v>
      </c>
      <c r="AB3195" t="str">
        <f>HYPERLINK("Melting_Curves/meltCurve_Q2KHR3_QSER1.pdf", "Melting_Curves/meltCurve_Q2KHR3_QSER1.pdf")</f>
        <v>Melting_Curves/meltCurve_Q2KHR3_QSER1.pdf</v>
      </c>
    </row>
    <row r="3196" spans="1:28" x14ac:dyDescent="0.25">
      <c r="A3196" t="s">
        <v>3200</v>
      </c>
      <c r="B3196">
        <v>0.99796759195183404</v>
      </c>
      <c r="C3196">
        <v>0.96139705474645998</v>
      </c>
      <c r="D3196">
        <v>1.0483822404423999</v>
      </c>
      <c r="E3196">
        <v>0.98434973106912005</v>
      </c>
      <c r="F3196">
        <v>0.77697812009658995</v>
      </c>
      <c r="G3196">
        <v>0.44757084217238702</v>
      </c>
      <c r="H3196">
        <v>0.203660090705894</v>
      </c>
      <c r="I3196">
        <v>0.159632891875399</v>
      </c>
      <c r="J3196">
        <v>0.11778171854451799</v>
      </c>
      <c r="K3196">
        <v>0.10536158902760701</v>
      </c>
      <c r="L3196">
        <v>1285.4650103782601</v>
      </c>
      <c r="M3196">
        <v>24.4269224776593</v>
      </c>
      <c r="N3196">
        <v>53.167317598765401</v>
      </c>
      <c r="O3196">
        <v>52.276009459853398</v>
      </c>
      <c r="P3196">
        <v>-0.10393539986891499</v>
      </c>
      <c r="Q3196">
        <v>0.110284968499613</v>
      </c>
      <c r="R3196">
        <v>0.99641121326453697</v>
      </c>
      <c r="S3196" t="s">
        <v>8779</v>
      </c>
      <c r="T3196" t="s">
        <v>11164</v>
      </c>
      <c r="U3196" t="s">
        <v>11164</v>
      </c>
      <c r="V3196" t="s">
        <v>11164</v>
      </c>
      <c r="W3196" t="s">
        <v>14321</v>
      </c>
      <c r="X3196">
        <v>7</v>
      </c>
      <c r="Y3196" t="s">
        <v>19809</v>
      </c>
      <c r="Z3196" t="s">
        <v>25346</v>
      </c>
      <c r="AA3196">
        <v>0.58187751796641629</v>
      </c>
      <c r="AB3196" t="str">
        <f>HYPERLINK("Melting_Curves/meltCurve_Q2M2I8_2_AAK1.pdf", "Melting_Curves/meltCurve_Q2M2I8_2_AAK1.pdf")</f>
        <v>Melting_Curves/meltCurve_Q2M2I8_2_AAK1.pdf</v>
      </c>
    </row>
    <row r="3197" spans="1:28" x14ac:dyDescent="0.25">
      <c r="A3197" t="s">
        <v>3201</v>
      </c>
      <c r="B3197">
        <v>0.99796759195183404</v>
      </c>
      <c r="C3197">
        <v>0.86468248918303103</v>
      </c>
      <c r="D3197">
        <v>0.73472214732987595</v>
      </c>
      <c r="E3197">
        <v>0.86793218303826203</v>
      </c>
      <c r="F3197">
        <v>0.64332206623127897</v>
      </c>
      <c r="G3197">
        <v>0.34982487570331999</v>
      </c>
      <c r="H3197">
        <v>0.29546475172695402</v>
      </c>
      <c r="I3197">
        <v>0.259985626260406</v>
      </c>
      <c r="J3197">
        <v>0.236795783845729</v>
      </c>
      <c r="K3197">
        <v>0.20065139491897199</v>
      </c>
      <c r="L3197">
        <v>456.99859705377997</v>
      </c>
      <c r="M3197">
        <v>8.9406081849272194</v>
      </c>
      <c r="N3197">
        <v>52.1970400891799</v>
      </c>
      <c r="O3197">
        <v>48.751823090472001</v>
      </c>
      <c r="P3197">
        <v>-4.2000416217702299E-2</v>
      </c>
      <c r="Q3197">
        <v>8.4593188218168594E-2</v>
      </c>
      <c r="R3197">
        <v>0.93617268172639201</v>
      </c>
      <c r="S3197" t="s">
        <v>8780</v>
      </c>
      <c r="T3197" t="s">
        <v>11164</v>
      </c>
      <c r="U3197" t="s">
        <v>11164</v>
      </c>
      <c r="V3197" t="s">
        <v>11164</v>
      </c>
      <c r="W3197" t="s">
        <v>14322</v>
      </c>
      <c r="X3197">
        <v>1</v>
      </c>
      <c r="Y3197" t="s">
        <v>19810</v>
      </c>
      <c r="Z3197" t="s">
        <v>25347</v>
      </c>
      <c r="AA3197">
        <v>0.54484723323272988</v>
      </c>
      <c r="AB3197" t="str">
        <f>HYPERLINK("Melting_Curves/meltCurve_Q2M2Z5_5_PLK1S1.pdf", "Melting_Curves/meltCurve_Q2M2Z5_5_PLK1S1.pdf")</f>
        <v>Melting_Curves/meltCurve_Q2M2Z5_5_PLK1S1.pdf</v>
      </c>
    </row>
    <row r="3198" spans="1:28" x14ac:dyDescent="0.25">
      <c r="A3198" t="s">
        <v>3202</v>
      </c>
      <c r="B3198">
        <v>0.99796759195183404</v>
      </c>
      <c r="C3198">
        <v>1.0151303046898701</v>
      </c>
      <c r="D3198">
        <v>1.03867875894129</v>
      </c>
      <c r="E3198">
        <v>0.84959561085235902</v>
      </c>
      <c r="F3198">
        <v>0.57839692757416905</v>
      </c>
      <c r="G3198">
        <v>0.31694994545712402</v>
      </c>
      <c r="H3198">
        <v>0.263774270079635</v>
      </c>
      <c r="I3198">
        <v>0.19989201942509399</v>
      </c>
      <c r="J3198">
        <v>0.15225933365373301</v>
      </c>
      <c r="K3198">
        <v>9.3128167328057496E-2</v>
      </c>
      <c r="L3198">
        <v>986.98000995079599</v>
      </c>
      <c r="M3198">
        <v>19.579063716105299</v>
      </c>
      <c r="N3198">
        <v>51.282921392592499</v>
      </c>
      <c r="O3198">
        <v>49.892929935942199</v>
      </c>
      <c r="P3198">
        <v>-8.4205418043244204E-2</v>
      </c>
      <c r="Q3198">
        <v>0.141714571451105</v>
      </c>
      <c r="R3198">
        <v>0.991375971602663</v>
      </c>
      <c r="S3198" t="s">
        <v>8781</v>
      </c>
      <c r="T3198" t="s">
        <v>11164</v>
      </c>
      <c r="U3198" t="s">
        <v>11164</v>
      </c>
      <c r="V3198" t="s">
        <v>11164</v>
      </c>
      <c r="W3198" t="s">
        <v>14323</v>
      </c>
      <c r="X3198">
        <v>8</v>
      </c>
      <c r="Y3198" t="s">
        <v>19811</v>
      </c>
      <c r="Z3198" t="s">
        <v>25348</v>
      </c>
      <c r="AA3198">
        <v>0.53706927041686758</v>
      </c>
      <c r="AB3198" t="str">
        <f>HYPERLINK("Melting_Curves/meltCurve_Q2NKX8_ERCC6L.pdf", "Melting_Curves/meltCurve_Q2NKX8_ERCC6L.pdf")</f>
        <v>Melting_Curves/meltCurve_Q2NKX8_ERCC6L.pdf</v>
      </c>
    </row>
    <row r="3199" spans="1:28" x14ac:dyDescent="0.25">
      <c r="A3199" t="s">
        <v>3203</v>
      </c>
      <c r="B3199">
        <v>0.99796759195183404</v>
      </c>
      <c r="C3199">
        <v>0.87432696991599201</v>
      </c>
      <c r="D3199">
        <v>0.83237000658509197</v>
      </c>
      <c r="E3199">
        <v>0.91278515770558499</v>
      </c>
      <c r="F3199">
        <v>0.865496529801972</v>
      </c>
      <c r="G3199">
        <v>0.14423306843769701</v>
      </c>
      <c r="H3199">
        <v>0.12895102545123099</v>
      </c>
      <c r="I3199">
        <v>0.13924847282159999</v>
      </c>
      <c r="J3199">
        <v>6.5030831048778895E-2</v>
      </c>
      <c r="K3199">
        <v>6.2403961148474699E-2</v>
      </c>
      <c r="L3199">
        <v>3436.8172153382002</v>
      </c>
      <c r="M3199">
        <v>66.734329233928506</v>
      </c>
      <c r="N3199">
        <v>51.668883651329601</v>
      </c>
      <c r="O3199">
        <v>51.453803382873197</v>
      </c>
      <c r="P3199">
        <v>-0.29246872770692001</v>
      </c>
      <c r="Q3199">
        <v>9.7998038684750599E-2</v>
      </c>
      <c r="R3199">
        <v>0.964294389919644</v>
      </c>
      <c r="S3199" t="s">
        <v>8782</v>
      </c>
      <c r="T3199" t="s">
        <v>11164</v>
      </c>
      <c r="U3199" t="s">
        <v>11164</v>
      </c>
      <c r="V3199" t="s">
        <v>11164</v>
      </c>
      <c r="W3199" t="s">
        <v>14324</v>
      </c>
      <c r="X3199">
        <v>2</v>
      </c>
      <c r="Y3199" t="s">
        <v>19812</v>
      </c>
      <c r="Z3199" t="s">
        <v>25349</v>
      </c>
      <c r="AA3199">
        <v>0.53511274693056554</v>
      </c>
      <c r="AB3199" t="str">
        <f>HYPERLINK("Melting_Curves/meltCurve_Q2NL82_TSR1.pdf", "Melting_Curves/meltCurve_Q2NL82_TSR1.pdf")</f>
        <v>Melting_Curves/meltCurve_Q2NL82_TSR1.pdf</v>
      </c>
    </row>
    <row r="3200" spans="1:28" x14ac:dyDescent="0.25">
      <c r="A3200" t="s">
        <v>3204</v>
      </c>
      <c r="B3200">
        <v>0.99796759195183404</v>
      </c>
      <c r="C3200">
        <v>1.0850413848329299</v>
      </c>
      <c r="D3200">
        <v>1.0406529818483801</v>
      </c>
      <c r="E3200">
        <v>0.97263607646028705</v>
      </c>
      <c r="F3200">
        <v>0.88615196694431297</v>
      </c>
      <c r="G3200">
        <v>0.71587211063329104</v>
      </c>
      <c r="H3200">
        <v>0.59176164565433698</v>
      </c>
      <c r="I3200">
        <v>0.44307270096129098</v>
      </c>
      <c r="J3200">
        <v>0.23162580821588999</v>
      </c>
      <c r="K3200">
        <v>0.15206693856425499</v>
      </c>
      <c r="L3200">
        <v>736.97874920042898</v>
      </c>
      <c r="M3200">
        <v>12.538294474040001</v>
      </c>
      <c r="N3200">
        <v>58.7782294877629</v>
      </c>
      <c r="O3200">
        <v>57.343159724479797</v>
      </c>
      <c r="P3200">
        <v>-5.4674541518704503E-2</v>
      </c>
      <c r="Q3200">
        <v>0</v>
      </c>
      <c r="R3200">
        <v>0.98365450066498505</v>
      </c>
      <c r="S3200" t="s">
        <v>8783</v>
      </c>
      <c r="T3200" t="s">
        <v>11164</v>
      </c>
      <c r="U3200" t="s">
        <v>11164</v>
      </c>
      <c r="V3200" t="s">
        <v>11164</v>
      </c>
      <c r="W3200" t="s">
        <v>14325</v>
      </c>
      <c r="X3200">
        <v>7</v>
      </c>
      <c r="Y3200" t="s">
        <v>19813</v>
      </c>
      <c r="Z3200" t="s">
        <v>25350</v>
      </c>
      <c r="AA3200">
        <v>0.72095900612314001</v>
      </c>
      <c r="AB3200" t="str">
        <f>HYPERLINK("Melting_Curves/meltCurve_Q2T9J0_TYSND1.pdf", "Melting_Curves/meltCurve_Q2T9J0_TYSND1.pdf")</f>
        <v>Melting_Curves/meltCurve_Q2T9J0_TYSND1.pdf</v>
      </c>
    </row>
    <row r="3201" spans="1:28" x14ac:dyDescent="0.25">
      <c r="A3201" t="s">
        <v>3205</v>
      </c>
      <c r="B3201">
        <v>0.99796759195183404</v>
      </c>
      <c r="C3201">
        <v>1.06872865055855</v>
      </c>
      <c r="D3201">
        <v>1.04087000366955</v>
      </c>
      <c r="E3201">
        <v>0.91209080500172501</v>
      </c>
      <c r="F3201">
        <v>0.81807255165058901</v>
      </c>
      <c r="G3201">
        <v>0.61830050499778</v>
      </c>
      <c r="H3201">
        <v>0.34589493992603298</v>
      </c>
      <c r="I3201">
        <v>0.254936536929114</v>
      </c>
      <c r="J3201">
        <v>0.205316326862063</v>
      </c>
      <c r="K3201">
        <v>0.13113482114083</v>
      </c>
      <c r="L3201">
        <v>895.15864356250199</v>
      </c>
      <c r="M3201">
        <v>16.460923798044501</v>
      </c>
      <c r="N3201">
        <v>55.250775164347502</v>
      </c>
      <c r="O3201">
        <v>53.597253103338304</v>
      </c>
      <c r="P3201">
        <v>-6.8020144074052893E-2</v>
      </c>
      <c r="Q3201">
        <v>0.11415976562283001</v>
      </c>
      <c r="R3201">
        <v>0.99082705111936298</v>
      </c>
      <c r="S3201" t="s">
        <v>8784</v>
      </c>
      <c r="T3201" t="s">
        <v>11164</v>
      </c>
      <c r="U3201" t="s">
        <v>11164</v>
      </c>
      <c r="V3201" t="s">
        <v>11164</v>
      </c>
      <c r="W3201" t="s">
        <v>14326</v>
      </c>
      <c r="X3201">
        <v>2</v>
      </c>
      <c r="Y3201" t="s">
        <v>19814</v>
      </c>
      <c r="Z3201" t="s">
        <v>25351</v>
      </c>
      <c r="AA3201">
        <v>0.64019096567493394</v>
      </c>
      <c r="AB3201" t="str">
        <f>HYPERLINK("Melting_Curves/meltCurve_Q2TAA5_ALG11.pdf", "Melting_Curves/meltCurve_Q2TAA5_ALG11.pdf")</f>
        <v>Melting_Curves/meltCurve_Q2TAA5_ALG11.pdf</v>
      </c>
    </row>
    <row r="3202" spans="1:28" x14ac:dyDescent="0.25">
      <c r="A3202" t="s">
        <v>3206</v>
      </c>
      <c r="B3202">
        <v>0.99796759195183404</v>
      </c>
      <c r="C3202">
        <v>0.982332390059383</v>
      </c>
      <c r="D3202">
        <v>0.87052824857932498</v>
      </c>
      <c r="E3202">
        <v>0.78920703001922499</v>
      </c>
      <c r="F3202">
        <v>0.54756154608629803</v>
      </c>
      <c r="G3202">
        <v>0.27950814320780398</v>
      </c>
      <c r="H3202">
        <v>0.216105436904444</v>
      </c>
      <c r="I3202">
        <v>0.219537863991798</v>
      </c>
      <c r="J3202">
        <v>0.20469317641236701</v>
      </c>
      <c r="K3202">
        <v>0.12754652945477599</v>
      </c>
      <c r="L3202">
        <v>798.29520546718402</v>
      </c>
      <c r="M3202">
        <v>16.166459505762699</v>
      </c>
      <c r="N3202">
        <v>50.487735605223001</v>
      </c>
      <c r="O3202">
        <v>48.642695010697302</v>
      </c>
      <c r="P3202">
        <v>-7.0684595105359696E-2</v>
      </c>
      <c r="Q3202">
        <v>0.14934242736136899</v>
      </c>
      <c r="R3202">
        <v>0.99047858720384196</v>
      </c>
      <c r="S3202" t="s">
        <v>8785</v>
      </c>
      <c r="T3202" t="s">
        <v>11164</v>
      </c>
      <c r="U3202" t="s">
        <v>11164</v>
      </c>
      <c r="V3202" t="s">
        <v>11164</v>
      </c>
      <c r="W3202" t="s">
        <v>14327</v>
      </c>
      <c r="X3202">
        <v>3</v>
      </c>
      <c r="Y3202" t="s">
        <v>19815</v>
      </c>
      <c r="Z3202" t="s">
        <v>25352</v>
      </c>
      <c r="AA3202">
        <v>0.51648582508725061</v>
      </c>
      <c r="AB3202" t="str">
        <f>HYPERLINK("Melting_Curves/meltCurve_Q2TAL8_QRICH1.pdf", "Melting_Curves/meltCurve_Q2TAL8_QRICH1.pdf")</f>
        <v>Melting_Curves/meltCurve_Q2TAL8_QRICH1.pdf</v>
      </c>
    </row>
    <row r="3203" spans="1:28" x14ac:dyDescent="0.25">
      <c r="A3203" t="s">
        <v>3207</v>
      </c>
      <c r="B3203">
        <v>0.99796759195183404</v>
      </c>
      <c r="C3203">
        <v>1.0453245361880901</v>
      </c>
      <c r="D3203">
        <v>0.98428709823661897</v>
      </c>
      <c r="E3203">
        <v>0.97075567286328801</v>
      </c>
      <c r="F3203">
        <v>0.84578069082415397</v>
      </c>
      <c r="G3203">
        <v>0.49393612956015898</v>
      </c>
      <c r="H3203">
        <v>0.21199199381335601</v>
      </c>
      <c r="I3203">
        <v>0.158019820564267</v>
      </c>
      <c r="J3203">
        <v>0.122703794339277</v>
      </c>
      <c r="K3203">
        <v>8.9433140290220398E-2</v>
      </c>
      <c r="L3203">
        <v>1366.1063501618701</v>
      </c>
      <c r="M3203">
        <v>25.661589163164699</v>
      </c>
      <c r="N3203">
        <v>53.722250321299498</v>
      </c>
      <c r="O3203">
        <v>52.915324368659199</v>
      </c>
      <c r="P3203">
        <v>-0.108663330866653</v>
      </c>
      <c r="Q3203">
        <v>0.103736613901718</v>
      </c>
      <c r="R3203">
        <v>0.99784355290841398</v>
      </c>
      <c r="S3203" t="s">
        <v>8786</v>
      </c>
      <c r="T3203" t="s">
        <v>11164</v>
      </c>
      <c r="U3203" t="s">
        <v>11164</v>
      </c>
      <c r="V3203" t="s">
        <v>11164</v>
      </c>
      <c r="W3203" t="s">
        <v>14328</v>
      </c>
      <c r="X3203">
        <v>18</v>
      </c>
      <c r="Y3203" t="s">
        <v>19816</v>
      </c>
      <c r="Z3203" t="s">
        <v>25353</v>
      </c>
      <c r="AA3203">
        <v>0.59633817719180238</v>
      </c>
      <c r="AB3203" t="str">
        <f>HYPERLINK("Melting_Curves/meltCurve_Q2TAM5_RELA.pdf", "Melting_Curves/meltCurve_Q2TAM5_RELA.pdf")</f>
        <v>Melting_Curves/meltCurve_Q2TAM5_RELA.pdf</v>
      </c>
    </row>
    <row r="3204" spans="1:28" x14ac:dyDescent="0.25">
      <c r="A3204" t="s">
        <v>3208</v>
      </c>
      <c r="B3204">
        <v>0.99796759195183404</v>
      </c>
      <c r="C3204">
        <v>0.96525185941817404</v>
      </c>
      <c r="D3204">
        <v>0.93802480360127005</v>
      </c>
      <c r="E3204">
        <v>0.98906240925117594</v>
      </c>
      <c r="F3204">
        <v>1.14213113789234</v>
      </c>
      <c r="G3204">
        <v>1.0008889748640399</v>
      </c>
      <c r="H3204">
        <v>0.53247705832090197</v>
      </c>
      <c r="I3204">
        <v>0.23608234242186499</v>
      </c>
      <c r="J3204">
        <v>0.14397854792689499</v>
      </c>
      <c r="K3204">
        <v>0.10275353121535</v>
      </c>
      <c r="L3204">
        <v>2690.9054015188899</v>
      </c>
      <c r="M3204">
        <v>46.971838051212501</v>
      </c>
      <c r="N3204">
        <v>57.690584332184102</v>
      </c>
      <c r="O3204">
        <v>57.1840859933831</v>
      </c>
      <c r="P3204">
        <v>-0.176636440736994</v>
      </c>
      <c r="Q3204">
        <v>0.13984354786873399</v>
      </c>
      <c r="R3204">
        <v>0.97890965752012005</v>
      </c>
      <c r="S3204" t="s">
        <v>8787</v>
      </c>
      <c r="T3204" t="s">
        <v>11164</v>
      </c>
      <c r="U3204" t="s">
        <v>11164</v>
      </c>
      <c r="V3204" t="s">
        <v>11164</v>
      </c>
      <c r="W3204" t="s">
        <v>14329</v>
      </c>
      <c r="X3204">
        <v>8</v>
      </c>
      <c r="Y3204" t="s">
        <v>19817</v>
      </c>
      <c r="Z3204" t="s">
        <v>25354</v>
      </c>
      <c r="AA3204">
        <v>0.72393728102277421</v>
      </c>
      <c r="AB3204" t="str">
        <f>HYPERLINK("Melting_Curves/meltCurve_Q2TAY7_SMU1.pdf", "Melting_Curves/meltCurve_Q2TAY7_SMU1.pdf")</f>
        <v>Melting_Curves/meltCurve_Q2TAY7_SMU1.pdf</v>
      </c>
    </row>
    <row r="3205" spans="1:28" x14ac:dyDescent="0.25">
      <c r="A3205" t="s">
        <v>3209</v>
      </c>
      <c r="B3205">
        <v>0.99796759195183404</v>
      </c>
      <c r="C3205">
        <v>0.93126488222709802</v>
      </c>
      <c r="D3205">
        <v>0.95125140070786196</v>
      </c>
      <c r="E3205">
        <v>0.77107629016261803</v>
      </c>
      <c r="F3205">
        <v>0.57627405181855296</v>
      </c>
      <c r="G3205">
        <v>0.37130528226700998</v>
      </c>
      <c r="H3205">
        <v>0.24982833297714099</v>
      </c>
      <c r="I3205">
        <v>0.221591525618834</v>
      </c>
      <c r="J3205">
        <v>0.14611906324587401</v>
      </c>
      <c r="K3205">
        <v>0.113302391948448</v>
      </c>
      <c r="L3205">
        <v>657.14576038010603</v>
      </c>
      <c r="M3205">
        <v>12.9774566525333</v>
      </c>
      <c r="N3205">
        <v>51.472907779724402</v>
      </c>
      <c r="O3205">
        <v>49.480334354074103</v>
      </c>
      <c r="P3205">
        <v>-5.9352735745284498E-2</v>
      </c>
      <c r="Q3205">
        <v>9.4962580789519302E-2</v>
      </c>
      <c r="R3205">
        <v>0.99574700402067495</v>
      </c>
      <c r="S3205" t="s">
        <v>8788</v>
      </c>
      <c r="T3205" t="s">
        <v>11164</v>
      </c>
      <c r="U3205" t="s">
        <v>11164</v>
      </c>
      <c r="V3205" t="s">
        <v>11164</v>
      </c>
      <c r="W3205" t="s">
        <v>14330</v>
      </c>
      <c r="X3205">
        <v>3</v>
      </c>
      <c r="Y3205" t="s">
        <v>19818</v>
      </c>
      <c r="Z3205" t="s">
        <v>25355</v>
      </c>
      <c r="AA3205">
        <v>0.52858712537737573</v>
      </c>
      <c r="AB3205" t="str">
        <f>HYPERLINK("Melting_Curves/meltCurve_Q2TBE0_CWF19L2.pdf", "Melting_Curves/meltCurve_Q2TBE0_CWF19L2.pdf")</f>
        <v>Melting_Curves/meltCurve_Q2TBE0_CWF19L2.pdf</v>
      </c>
    </row>
    <row r="3206" spans="1:28" x14ac:dyDescent="0.25">
      <c r="A3206" t="s">
        <v>3210</v>
      </c>
      <c r="B3206">
        <v>0.99796759195183404</v>
      </c>
      <c r="C3206">
        <v>0.85589329166471195</v>
      </c>
      <c r="D3206">
        <v>0.982250012352329</v>
      </c>
      <c r="E3206">
        <v>0.98010258112649296</v>
      </c>
      <c r="F3206">
        <v>0.53623076417771798</v>
      </c>
      <c r="G3206">
        <v>0.28040389828326001</v>
      </c>
      <c r="H3206">
        <v>0.32447750356053801</v>
      </c>
      <c r="I3206">
        <v>0.19880739251455001</v>
      </c>
      <c r="J3206">
        <v>0.18231858575575699</v>
      </c>
      <c r="K3206">
        <v>7.3070777905463902E-2</v>
      </c>
      <c r="L3206">
        <v>1605.2696341850699</v>
      </c>
      <c r="M3206">
        <v>32.127089048817297</v>
      </c>
      <c r="N3206">
        <v>50.725749570630903</v>
      </c>
      <c r="O3206">
        <v>49.773835669356401</v>
      </c>
      <c r="P3206">
        <v>-0.130556604323878</v>
      </c>
      <c r="Q3206">
        <v>0.190929409917277</v>
      </c>
      <c r="R3206">
        <v>0.95809478497263301</v>
      </c>
      <c r="S3206" t="s">
        <v>8789</v>
      </c>
      <c r="T3206" t="s">
        <v>11164</v>
      </c>
      <c r="U3206" t="s">
        <v>11164</v>
      </c>
      <c r="V3206" t="s">
        <v>11164</v>
      </c>
      <c r="W3206" t="s">
        <v>14331</v>
      </c>
      <c r="X3206">
        <v>2</v>
      </c>
      <c r="Y3206" t="s">
        <v>19819</v>
      </c>
      <c r="Z3206" t="s">
        <v>25356</v>
      </c>
      <c r="AA3206">
        <v>0.54494734202952944</v>
      </c>
      <c r="AB3206" t="str">
        <f>HYPERLINK("Melting_Curves/meltCurve_Q2YD98_UVSSA.pdf", "Melting_Curves/meltCurve_Q2YD98_UVSSA.pdf")</f>
        <v>Melting_Curves/meltCurve_Q2YD98_UVSSA.pdf</v>
      </c>
    </row>
    <row r="3207" spans="1:28" x14ac:dyDescent="0.25">
      <c r="A3207" t="s">
        <v>3211</v>
      </c>
      <c r="B3207">
        <v>0.99796759195183404</v>
      </c>
      <c r="C3207">
        <v>0.98594699963676602</v>
      </c>
      <c r="D3207">
        <v>0.97584181786175905</v>
      </c>
      <c r="E3207">
        <v>0.95291562739450297</v>
      </c>
      <c r="F3207">
        <v>0.90597470519277501</v>
      </c>
      <c r="G3207">
        <v>0.90101018027777102</v>
      </c>
      <c r="H3207">
        <v>1.33107038913659</v>
      </c>
      <c r="I3207">
        <v>1.2555541196715401</v>
      </c>
      <c r="J3207">
        <v>1.64795145391687</v>
      </c>
      <c r="K3207">
        <v>1.3685973562921101</v>
      </c>
      <c r="L3207">
        <v>14277.0953766806</v>
      </c>
      <c r="M3207">
        <v>250</v>
      </c>
      <c r="O3207">
        <v>57.104726963539498</v>
      </c>
      <c r="P3207">
        <v>0.46409729545615602</v>
      </c>
      <c r="Q3207">
        <v>1.4240343888603899</v>
      </c>
      <c r="R3207">
        <v>0.82116025279596705</v>
      </c>
      <c r="S3207" t="s">
        <v>8790</v>
      </c>
      <c r="T3207" t="s">
        <v>11164</v>
      </c>
      <c r="U3207" t="s">
        <v>11164</v>
      </c>
      <c r="V3207" t="s">
        <v>11164</v>
      </c>
      <c r="W3207" t="s">
        <v>14332</v>
      </c>
      <c r="X3207">
        <v>31</v>
      </c>
      <c r="Y3207" t="s">
        <v>19820</v>
      </c>
      <c r="Z3207" t="s">
        <v>25357</v>
      </c>
      <c r="AA3207">
        <v>1.139770381529311</v>
      </c>
      <c r="AB3207" t="str">
        <f>HYPERLINK("Melting_Curves/meltCurve_Q32MZ4_LRRFIP1.pdf", "Melting_Curves/meltCurve_Q32MZ4_LRRFIP1.pdf")</f>
        <v>Melting_Curves/meltCurve_Q32MZ4_LRRFIP1.pdf</v>
      </c>
    </row>
    <row r="3208" spans="1:28" x14ac:dyDescent="0.25">
      <c r="A3208" t="s">
        <v>3212</v>
      </c>
      <c r="B3208">
        <v>0.99796759195183404</v>
      </c>
      <c r="C3208">
        <v>0.89069740196493297</v>
      </c>
      <c r="D3208">
        <v>0.88093291247682304</v>
      </c>
      <c r="E3208">
        <v>0.83909608066762098</v>
      </c>
      <c r="F3208">
        <v>0.73374765536875497</v>
      </c>
      <c r="G3208">
        <v>0.50865509468360304</v>
      </c>
      <c r="H3208">
        <v>0.62819114448906099</v>
      </c>
      <c r="I3208">
        <v>0.61753148687321402</v>
      </c>
      <c r="J3208">
        <v>0.87366637113647705</v>
      </c>
      <c r="K3208">
        <v>0.69799914028037602</v>
      </c>
      <c r="L3208">
        <v>718.04220366519201</v>
      </c>
      <c r="M3208">
        <v>16.189571266248699</v>
      </c>
      <c r="O3208">
        <v>43.691995385766099</v>
      </c>
      <c r="P3208">
        <v>-3.0446173029439399E-2</v>
      </c>
      <c r="Q3208">
        <v>0.67135517670729405</v>
      </c>
      <c r="R3208">
        <v>0.586025528096629</v>
      </c>
      <c r="S3208" t="s">
        <v>8791</v>
      </c>
      <c r="T3208" t="s">
        <v>11164</v>
      </c>
      <c r="U3208" t="s">
        <v>11164</v>
      </c>
      <c r="V3208" t="s">
        <v>11164</v>
      </c>
      <c r="W3208" t="s">
        <v>14333</v>
      </c>
      <c r="X3208">
        <v>31</v>
      </c>
      <c r="Y3208" t="s">
        <v>19820</v>
      </c>
      <c r="Z3208" t="s">
        <v>25358</v>
      </c>
      <c r="AA3208">
        <v>0.75874717619261456</v>
      </c>
      <c r="AB3208" t="str">
        <f>HYPERLINK("Melting_Curves/meltCurve_Q32MZ4_2_LRRFIP1.pdf", "Melting_Curves/meltCurve_Q32MZ4_2_LRRFIP1.pdf")</f>
        <v>Melting_Curves/meltCurve_Q32MZ4_2_LRRFIP1.pdf</v>
      </c>
    </row>
    <row r="3209" spans="1:28" x14ac:dyDescent="0.25">
      <c r="A3209" t="s">
        <v>3213</v>
      </c>
      <c r="B3209">
        <v>0.99796759195183404</v>
      </c>
      <c r="C3209">
        <v>1.15115449227841</v>
      </c>
      <c r="D3209">
        <v>1.13050960568495</v>
      </c>
      <c r="E3209">
        <v>1.2399463497399299</v>
      </c>
      <c r="F3209">
        <v>1.11761562515782</v>
      </c>
      <c r="G3209">
        <v>0.84519317877334699</v>
      </c>
      <c r="H3209">
        <v>1.2465469554480899</v>
      </c>
      <c r="I3209">
        <v>1.4706092109150699</v>
      </c>
      <c r="J3209">
        <v>1.78810520302327</v>
      </c>
      <c r="K3209">
        <v>1.4430084346487799</v>
      </c>
      <c r="L3209">
        <v>12592.2059125139</v>
      </c>
      <c r="M3209">
        <v>219.34877917612701</v>
      </c>
      <c r="O3209">
        <v>57.402458588322801</v>
      </c>
      <c r="P3209">
        <v>0.47765545558026301</v>
      </c>
      <c r="Q3209">
        <v>1.5</v>
      </c>
      <c r="R3209">
        <v>0.65473807935573403</v>
      </c>
      <c r="S3209" t="s">
        <v>8792</v>
      </c>
      <c r="T3209" t="s">
        <v>11164</v>
      </c>
      <c r="U3209" t="s">
        <v>11164</v>
      </c>
      <c r="V3209" t="s">
        <v>11164</v>
      </c>
      <c r="W3209" t="s">
        <v>14334</v>
      </c>
      <c r="X3209">
        <v>30</v>
      </c>
      <c r="Y3209" t="s">
        <v>19820</v>
      </c>
      <c r="Z3209" t="s">
        <v>25359</v>
      </c>
      <c r="AA3209">
        <v>1.159814051959466</v>
      </c>
      <c r="AB3209" t="str">
        <f>HYPERLINK("Melting_Curves/meltCurve_Q32MZ4_3_LRRFIP1.pdf", "Melting_Curves/meltCurve_Q32MZ4_3_LRRFIP1.pdf")</f>
        <v>Melting_Curves/meltCurve_Q32MZ4_3_LRRFIP1.pdf</v>
      </c>
    </row>
    <row r="3210" spans="1:28" x14ac:dyDescent="0.25">
      <c r="A3210" t="s">
        <v>3214</v>
      </c>
      <c r="B3210">
        <v>0.99796759195183404</v>
      </c>
      <c r="C3210">
        <v>0.94239576310485296</v>
      </c>
      <c r="D3210">
        <v>1.0187300084376401</v>
      </c>
      <c r="E3210">
        <v>0.94811106987786997</v>
      </c>
      <c r="F3210">
        <v>0.77433937050786605</v>
      </c>
      <c r="G3210">
        <v>0.68307902546532795</v>
      </c>
      <c r="H3210">
        <v>0.62612800975606098</v>
      </c>
      <c r="I3210">
        <v>0.41475242496789999</v>
      </c>
      <c r="J3210">
        <v>0.23857325949012101</v>
      </c>
      <c r="K3210">
        <v>0.14748163712797699</v>
      </c>
      <c r="L3210">
        <v>625.151475256867</v>
      </c>
      <c r="M3210">
        <v>10.727841890153799</v>
      </c>
      <c r="N3210">
        <v>58.273740613309499</v>
      </c>
      <c r="O3210">
        <v>56.358369131373799</v>
      </c>
      <c r="P3210">
        <v>-4.7605297093270403E-2</v>
      </c>
      <c r="Q3210">
        <v>0</v>
      </c>
      <c r="R3210">
        <v>0.97522696352636995</v>
      </c>
      <c r="S3210" t="s">
        <v>8793</v>
      </c>
      <c r="T3210" t="s">
        <v>11164</v>
      </c>
      <c r="U3210" t="s">
        <v>11164</v>
      </c>
      <c r="V3210" t="s">
        <v>11164</v>
      </c>
      <c r="W3210" t="s">
        <v>14335</v>
      </c>
      <c r="X3210">
        <v>10</v>
      </c>
      <c r="Y3210" t="s">
        <v>19820</v>
      </c>
      <c r="Z3210" t="s">
        <v>25360</v>
      </c>
      <c r="AA3210">
        <v>0.70154819201490493</v>
      </c>
      <c r="AB3210" t="str">
        <f>HYPERLINK("Melting_Curves/meltCurve_Q32MZ4_4_LRRFIP1.pdf", "Melting_Curves/meltCurve_Q32MZ4_4_LRRFIP1.pdf")</f>
        <v>Melting_Curves/meltCurve_Q32MZ4_4_LRRFIP1.pdf</v>
      </c>
    </row>
    <row r="3211" spans="1:28" x14ac:dyDescent="0.25">
      <c r="A3211" t="s">
        <v>3215</v>
      </c>
      <c r="B3211">
        <v>0.99796759195183404</v>
      </c>
      <c r="C3211">
        <v>0.96870853428949</v>
      </c>
      <c r="D3211">
        <v>0.93228286385451697</v>
      </c>
      <c r="E3211">
        <v>0.90425038860876905</v>
      </c>
      <c r="F3211">
        <v>0.68034342994807195</v>
      </c>
      <c r="G3211">
        <v>0.39676789133346002</v>
      </c>
      <c r="H3211">
        <v>0.26824236740686203</v>
      </c>
      <c r="I3211">
        <v>0.21789585200900399</v>
      </c>
      <c r="J3211">
        <v>0.14797431394441801</v>
      </c>
      <c r="K3211">
        <v>8.5866056232620502E-2</v>
      </c>
      <c r="L3211">
        <v>823.14271702722999</v>
      </c>
      <c r="M3211">
        <v>15.8378462260982</v>
      </c>
      <c r="N3211">
        <v>52.691514948993003</v>
      </c>
      <c r="O3211">
        <v>51.165727871855204</v>
      </c>
      <c r="P3211">
        <v>-6.9876541121847893E-2</v>
      </c>
      <c r="Q3211">
        <v>9.7101419412492604E-2</v>
      </c>
      <c r="R3211">
        <v>0.99436692783759795</v>
      </c>
      <c r="S3211" t="s">
        <v>8794</v>
      </c>
      <c r="T3211" t="s">
        <v>11164</v>
      </c>
      <c r="U3211" t="s">
        <v>11164</v>
      </c>
      <c r="V3211" t="s">
        <v>11164</v>
      </c>
      <c r="W3211" t="s">
        <v>14336</v>
      </c>
      <c r="X3211">
        <v>6</v>
      </c>
      <c r="Y3211" t="s">
        <v>19821</v>
      </c>
      <c r="Z3211" t="s">
        <v>25361</v>
      </c>
      <c r="AA3211">
        <v>0.56395570571778819</v>
      </c>
      <c r="AB3211" t="str">
        <f>HYPERLINK("Melting_Curves/meltCurve_Q32N00_POLD3.pdf", "Melting_Curves/meltCurve_Q32N00_POLD3.pdf")</f>
        <v>Melting_Curves/meltCurve_Q32N00_POLD3.pdf</v>
      </c>
    </row>
    <row r="3212" spans="1:28" x14ac:dyDescent="0.25">
      <c r="A3212" t="s">
        <v>3216</v>
      </c>
      <c r="B3212">
        <v>0.99796759195183404</v>
      </c>
      <c r="C3212">
        <v>0.94956711701700203</v>
      </c>
      <c r="D3212">
        <v>1.02186238184739</v>
      </c>
      <c r="E3212">
        <v>0.91182099900728797</v>
      </c>
      <c r="F3212">
        <v>0.783034043848572</v>
      </c>
      <c r="G3212">
        <v>0.532892475963754</v>
      </c>
      <c r="H3212">
        <v>0.32136452501401302</v>
      </c>
      <c r="I3212">
        <v>0.20211287305924</v>
      </c>
      <c r="J3212">
        <v>0.14847034323470301</v>
      </c>
      <c r="K3212">
        <v>0.13502553702952899</v>
      </c>
      <c r="L3212">
        <v>889.71818325012305</v>
      </c>
      <c r="M3212">
        <v>16.610533811763801</v>
      </c>
      <c r="N3212">
        <v>54.2784054987548</v>
      </c>
      <c r="O3212">
        <v>52.805210959552497</v>
      </c>
      <c r="P3212">
        <v>-7.0918859250949096E-2</v>
      </c>
      <c r="Q3212">
        <v>9.8251300090248905E-2</v>
      </c>
      <c r="R3212">
        <v>0.996760958460994</v>
      </c>
      <c r="S3212" t="s">
        <v>8795</v>
      </c>
      <c r="T3212" t="s">
        <v>11164</v>
      </c>
      <c r="U3212" t="s">
        <v>11164</v>
      </c>
      <c r="V3212" t="s">
        <v>11164</v>
      </c>
      <c r="W3212" t="s">
        <v>14337</v>
      </c>
      <c r="X3212">
        <v>3</v>
      </c>
      <c r="Y3212" t="s">
        <v>19822</v>
      </c>
      <c r="Z3212" t="s">
        <v>25362</v>
      </c>
      <c r="AA3212">
        <v>0.61003055812552331</v>
      </c>
      <c r="AB3212" t="str">
        <f>HYPERLINK("Melting_Curves/meltCurve_Q32NB8_PGS1.pdf", "Melting_Curves/meltCurve_Q32NB8_PGS1.pdf")</f>
        <v>Melting_Curves/meltCurve_Q32NB8_PGS1.pdf</v>
      </c>
    </row>
    <row r="3213" spans="1:28" x14ac:dyDescent="0.25">
      <c r="A3213" t="s">
        <v>3217</v>
      </c>
      <c r="B3213">
        <v>0.99796759195183404</v>
      </c>
      <c r="C3213">
        <v>1.1668601962720599</v>
      </c>
      <c r="D3213">
        <v>1.05842308682132</v>
      </c>
      <c r="E3213">
        <v>1.10782049573186</v>
      </c>
      <c r="F3213">
        <v>0.903112144526522</v>
      </c>
      <c r="G3213">
        <v>0.81526159279129795</v>
      </c>
      <c r="H3213">
        <v>0.62069135523310004</v>
      </c>
      <c r="I3213">
        <v>0.63929813201411301</v>
      </c>
      <c r="J3213">
        <v>0.472136674898885</v>
      </c>
      <c r="K3213">
        <v>0.362562717208195</v>
      </c>
      <c r="L3213">
        <v>787.39039577749395</v>
      </c>
      <c r="M3213">
        <v>13.482414516408999</v>
      </c>
      <c r="N3213">
        <v>62.587726467423899</v>
      </c>
      <c r="O3213">
        <v>57.161386971030097</v>
      </c>
      <c r="P3213">
        <v>-4.14546785299637E-2</v>
      </c>
      <c r="Q3213">
        <v>0.297086221938406</v>
      </c>
      <c r="R3213">
        <v>0.90756466971901595</v>
      </c>
      <c r="S3213" t="s">
        <v>8796</v>
      </c>
      <c r="T3213" t="s">
        <v>11164</v>
      </c>
      <c r="U3213" t="s">
        <v>11164</v>
      </c>
      <c r="V3213" t="s">
        <v>11164</v>
      </c>
      <c r="W3213" t="s">
        <v>14338</v>
      </c>
      <c r="X3213">
        <v>5</v>
      </c>
      <c r="Y3213" t="s">
        <v>19823</v>
      </c>
      <c r="Z3213" t="s">
        <v>25363</v>
      </c>
      <c r="AA3213">
        <v>0.79833268506832866</v>
      </c>
      <c r="AB3213" t="str">
        <f>HYPERLINK("Melting_Curves/meltCurve_Q32P28_LEPRE1.pdf", "Melting_Curves/meltCurve_Q32P28_LEPRE1.pdf")</f>
        <v>Melting_Curves/meltCurve_Q32P28_LEPRE1.pdf</v>
      </c>
    </row>
    <row r="3214" spans="1:28" x14ac:dyDescent="0.25">
      <c r="A3214" t="s">
        <v>3218</v>
      </c>
      <c r="B3214">
        <v>0.99796759195183404</v>
      </c>
      <c r="C3214">
        <v>1.0673883749715001</v>
      </c>
      <c r="D3214">
        <v>0.84517787503882302</v>
      </c>
      <c r="E3214">
        <v>0.87305435369940099</v>
      </c>
      <c r="F3214">
        <v>0.86102567504912098</v>
      </c>
      <c r="G3214">
        <v>0.65599203283889895</v>
      </c>
      <c r="H3214">
        <v>0.21324649299780199</v>
      </c>
      <c r="I3214">
        <v>0.15802799997246</v>
      </c>
      <c r="J3214">
        <v>0.136024696908117</v>
      </c>
      <c r="K3214">
        <v>5.3956363560569001E-2</v>
      </c>
      <c r="L3214">
        <v>1184.2022645243601</v>
      </c>
      <c r="M3214">
        <v>21.751421750570898</v>
      </c>
      <c r="N3214">
        <v>54.761445852622302</v>
      </c>
      <c r="O3214">
        <v>53.988626118649798</v>
      </c>
      <c r="P3214">
        <v>-9.4732312192584503E-2</v>
      </c>
      <c r="Q3214">
        <v>5.9491782474068201E-2</v>
      </c>
      <c r="R3214">
        <v>0.96439054711862704</v>
      </c>
      <c r="S3214" t="s">
        <v>8797</v>
      </c>
      <c r="T3214" t="s">
        <v>11164</v>
      </c>
      <c r="U3214" t="s">
        <v>11164</v>
      </c>
      <c r="V3214" t="s">
        <v>11164</v>
      </c>
      <c r="W3214" t="s">
        <v>14339</v>
      </c>
      <c r="X3214">
        <v>6</v>
      </c>
      <c r="Y3214" t="s">
        <v>19823</v>
      </c>
      <c r="Z3214" t="s">
        <v>25364</v>
      </c>
      <c r="AA3214">
        <v>0.61628453010894524</v>
      </c>
      <c r="AB3214" t="str">
        <f>HYPERLINK("Melting_Curves/meltCurve_Q32P28_3_LEPRE1.pdf", "Melting_Curves/meltCurve_Q32P28_3_LEPRE1.pdf")</f>
        <v>Melting_Curves/meltCurve_Q32P28_3_LEPRE1.pdf</v>
      </c>
    </row>
    <row r="3215" spans="1:28" x14ac:dyDescent="0.25">
      <c r="A3215" t="s">
        <v>3219</v>
      </c>
      <c r="B3215">
        <v>0.99796759195183404</v>
      </c>
      <c r="C3215">
        <v>1.0998129625286099</v>
      </c>
      <c r="D3215">
        <v>1.06910520657268</v>
      </c>
      <c r="E3215">
        <v>1.02569446362899</v>
      </c>
      <c r="F3215">
        <v>0.82458245377943395</v>
      </c>
      <c r="G3215">
        <v>0.32283764871235199</v>
      </c>
      <c r="H3215">
        <v>0.37813093072716703</v>
      </c>
      <c r="I3215">
        <v>0.52465187972109295</v>
      </c>
      <c r="J3215">
        <v>0.76652669060377399</v>
      </c>
      <c r="K3215">
        <v>0.69298927299033797</v>
      </c>
      <c r="L3215">
        <v>12574.811096575</v>
      </c>
      <c r="M3215">
        <v>250</v>
      </c>
      <c r="O3215">
        <v>50.296025540832602</v>
      </c>
      <c r="P3215">
        <v>-0.57530976559240499</v>
      </c>
      <c r="Q3215">
        <v>0.53702728566393099</v>
      </c>
      <c r="R3215">
        <v>0.77828482849565594</v>
      </c>
      <c r="S3215" t="s">
        <v>8798</v>
      </c>
      <c r="T3215" t="s">
        <v>11164</v>
      </c>
      <c r="U3215" t="s">
        <v>11164</v>
      </c>
      <c r="V3215" t="s">
        <v>11164</v>
      </c>
      <c r="W3215" t="s">
        <v>14340</v>
      </c>
      <c r="X3215">
        <v>15</v>
      </c>
      <c r="Y3215" t="s">
        <v>19824</v>
      </c>
      <c r="Z3215" t="s">
        <v>25365</v>
      </c>
      <c r="AA3215">
        <v>0.74230773003650441</v>
      </c>
      <c r="AB3215" t="str">
        <f>HYPERLINK("Melting_Curves/meltCurve_Q32P41_TRMT5.pdf", "Melting_Curves/meltCurve_Q32P41_TRMT5.pdf")</f>
        <v>Melting_Curves/meltCurve_Q32P41_TRMT5.pdf</v>
      </c>
    </row>
    <row r="3216" spans="1:28" x14ac:dyDescent="0.25">
      <c r="A3216" t="s">
        <v>3220</v>
      </c>
      <c r="B3216">
        <v>0.99796759195183404</v>
      </c>
      <c r="C3216">
        <v>0.966218006776983</v>
      </c>
      <c r="D3216">
        <v>0.96293863883105302</v>
      </c>
      <c r="E3216">
        <v>0.94389159736102402</v>
      </c>
      <c r="F3216">
        <v>0.80846766360914002</v>
      </c>
      <c r="G3216">
        <v>0.76088863573746701</v>
      </c>
      <c r="H3216">
        <v>0.75992960867705595</v>
      </c>
      <c r="I3216">
        <v>0.75300175159591298</v>
      </c>
      <c r="J3216">
        <v>0.91350536802691296</v>
      </c>
      <c r="K3216">
        <v>0.83661035453947197</v>
      </c>
      <c r="L3216">
        <v>2861.1885025474198</v>
      </c>
      <c r="M3216">
        <v>60.508544034581597</v>
      </c>
      <c r="O3216">
        <v>47.234115409907503</v>
      </c>
      <c r="P3216">
        <v>-6.2619596202780001E-2</v>
      </c>
      <c r="Q3216">
        <v>0.804471855776004</v>
      </c>
      <c r="R3216">
        <v>0.73937694696454803</v>
      </c>
      <c r="S3216" t="s">
        <v>8799</v>
      </c>
      <c r="T3216" t="s">
        <v>11164</v>
      </c>
      <c r="U3216" t="s">
        <v>11164</v>
      </c>
      <c r="V3216" t="s">
        <v>11164</v>
      </c>
      <c r="W3216" t="s">
        <v>11469</v>
      </c>
      <c r="X3216">
        <v>23</v>
      </c>
      <c r="Y3216" t="s">
        <v>19825</v>
      </c>
      <c r="Z3216" t="s">
        <v>25366</v>
      </c>
      <c r="AA3216">
        <v>0.87178792452816578</v>
      </c>
      <c r="AB3216" t="str">
        <f>HYPERLINK("Melting_Curves/meltCurve_Q32Q12_NME1_NME2.pdf", "Melting_Curves/meltCurve_Q32Q12_NME1_NME2.pdf")</f>
        <v>Melting_Curves/meltCurve_Q32Q12_NME1_NME2.pdf</v>
      </c>
    </row>
    <row r="3217" spans="1:28" x14ac:dyDescent="0.25">
      <c r="A3217" t="s">
        <v>3221</v>
      </c>
      <c r="B3217">
        <v>0.99796759195183404</v>
      </c>
      <c r="C3217">
        <v>1.17244762992082</v>
      </c>
      <c r="D3217">
        <v>1.13544639317676</v>
      </c>
      <c r="E3217">
        <v>0.99951242303334298</v>
      </c>
      <c r="F3217">
        <v>0.90027518816341401</v>
      </c>
      <c r="G3217">
        <v>0.38578132055067899</v>
      </c>
      <c r="H3217">
        <v>0.373261891494306</v>
      </c>
      <c r="I3217">
        <v>0.262702944064717</v>
      </c>
      <c r="J3217">
        <v>0</v>
      </c>
      <c r="K3217">
        <v>0</v>
      </c>
      <c r="L3217">
        <v>961.93612513678499</v>
      </c>
      <c r="M3217">
        <v>17.685845065715601</v>
      </c>
      <c r="N3217">
        <v>54.455150693847102</v>
      </c>
      <c r="O3217">
        <v>53.709089700142101</v>
      </c>
      <c r="P3217">
        <v>-8.1467157151044606E-2</v>
      </c>
      <c r="Q3217">
        <v>1.0441302442486601E-2</v>
      </c>
      <c r="R3217">
        <v>0.93914306633991995</v>
      </c>
      <c r="S3217" t="s">
        <v>8800</v>
      </c>
      <c r="T3217" t="s">
        <v>11164</v>
      </c>
      <c r="U3217" t="s">
        <v>11164</v>
      </c>
      <c r="V3217" t="s">
        <v>11164</v>
      </c>
      <c r="W3217" t="s">
        <v>14341</v>
      </c>
      <c r="X3217">
        <v>1</v>
      </c>
      <c r="Y3217" t="s">
        <v>19826</v>
      </c>
      <c r="Z3217" t="s">
        <v>25367</v>
      </c>
      <c r="AA3217">
        <v>0.59746387007899771</v>
      </c>
      <c r="AB3217" t="str">
        <f>HYPERLINK("Melting_Curves/meltCurve_Q3B726_TWISTNB.pdf", "Melting_Curves/meltCurve_Q3B726_TWISTNB.pdf")</f>
        <v>Melting_Curves/meltCurve_Q3B726_TWISTNB.pdf</v>
      </c>
    </row>
    <row r="3218" spans="1:28" x14ac:dyDescent="0.25">
      <c r="A3218" t="s">
        <v>3222</v>
      </c>
      <c r="B3218">
        <v>0.99796759195183404</v>
      </c>
      <c r="C3218">
        <v>1.04936936270277</v>
      </c>
      <c r="D3218">
        <v>0.812168732806822</v>
      </c>
      <c r="E3218">
        <v>0.91498516470930202</v>
      </c>
      <c r="F3218">
        <v>0.85828372937184905</v>
      </c>
      <c r="G3218">
        <v>0.79554784096654196</v>
      </c>
      <c r="H3218">
        <v>0.77466705463121699</v>
      </c>
      <c r="I3218">
        <v>0.440975531638992</v>
      </c>
      <c r="J3218">
        <v>0.29371167148413702</v>
      </c>
      <c r="K3218">
        <v>0.20277557673968599</v>
      </c>
      <c r="L3218">
        <v>752.627034508821</v>
      </c>
      <c r="M3218">
        <v>12.475389861340901</v>
      </c>
      <c r="N3218">
        <v>60.328939055922099</v>
      </c>
      <c r="O3218">
        <v>58.841722185197703</v>
      </c>
      <c r="P3218">
        <v>-5.3015004231278702E-2</v>
      </c>
      <c r="Q3218">
        <v>0</v>
      </c>
      <c r="R3218">
        <v>0.92276790326844504</v>
      </c>
      <c r="S3218" t="s">
        <v>8801</v>
      </c>
      <c r="T3218" t="s">
        <v>11164</v>
      </c>
      <c r="U3218" t="s">
        <v>11164</v>
      </c>
      <c r="V3218" t="s">
        <v>11164</v>
      </c>
      <c r="W3218" t="s">
        <v>14342</v>
      </c>
      <c r="X3218">
        <v>2</v>
      </c>
      <c r="Y3218" t="s">
        <v>19827</v>
      </c>
      <c r="Z3218" t="s">
        <v>25368</v>
      </c>
      <c r="AA3218">
        <v>0.7605218979721885</v>
      </c>
      <c r="AB3218" t="str">
        <f>HYPERLINK("Melting_Curves/meltCurve_Q3KQU3_2_MAP7D1.pdf", "Melting_Curves/meltCurve_Q3KQU3_2_MAP7D1.pdf")</f>
        <v>Melting_Curves/meltCurve_Q3KQU3_2_MAP7D1.pdf</v>
      </c>
    </row>
    <row r="3219" spans="1:28" x14ac:dyDescent="0.25">
      <c r="A3219" t="s">
        <v>3223</v>
      </c>
      <c r="B3219">
        <v>0.99796759195183404</v>
      </c>
      <c r="C3219">
        <v>1.06160435325816</v>
      </c>
      <c r="D3219">
        <v>0.96943496421749198</v>
      </c>
      <c r="E3219">
        <v>0.92431353353451895</v>
      </c>
      <c r="F3219">
        <v>0.84514363557425298</v>
      </c>
      <c r="G3219">
        <v>0.65245609256736203</v>
      </c>
      <c r="H3219">
        <v>0.49771385560655002</v>
      </c>
      <c r="I3219">
        <v>0.38231916806487898</v>
      </c>
      <c r="J3219">
        <v>0.33912324744250899</v>
      </c>
      <c r="K3219">
        <v>0.23074130845178201</v>
      </c>
      <c r="L3219">
        <v>697.381304297817</v>
      </c>
      <c r="M3219">
        <v>12.5598747462</v>
      </c>
      <c r="N3219">
        <v>57.490257869505399</v>
      </c>
      <c r="O3219">
        <v>54.1733993538001</v>
      </c>
      <c r="P3219">
        <v>-4.7853018713308E-2</v>
      </c>
      <c r="Q3219">
        <v>0.17456620227870701</v>
      </c>
      <c r="R3219">
        <v>0.99126174091783603</v>
      </c>
      <c r="S3219" t="s">
        <v>8802</v>
      </c>
      <c r="T3219" t="s">
        <v>11164</v>
      </c>
      <c r="U3219" t="s">
        <v>11164</v>
      </c>
      <c r="V3219" t="s">
        <v>11164</v>
      </c>
      <c r="W3219" t="s">
        <v>14343</v>
      </c>
      <c r="X3219">
        <v>7</v>
      </c>
      <c r="Y3219" t="s">
        <v>19828</v>
      </c>
      <c r="Z3219" t="s">
        <v>25369</v>
      </c>
      <c r="AA3219">
        <v>0.69446329809966711</v>
      </c>
      <c r="AB3219" t="str">
        <f>HYPERLINK("Melting_Curves/meltCurve_Q3KQV9_UAP1L1.pdf", "Melting_Curves/meltCurve_Q3KQV9_UAP1L1.pdf")</f>
        <v>Melting_Curves/meltCurve_Q3KQV9_UAP1L1.pdf</v>
      </c>
    </row>
    <row r="3220" spans="1:28" x14ac:dyDescent="0.25">
      <c r="A3220" t="s">
        <v>3224</v>
      </c>
      <c r="B3220">
        <v>0.99796759195183404</v>
      </c>
      <c r="C3220">
        <v>0.948009518735073</v>
      </c>
      <c r="D3220">
        <v>0.95723481923855802</v>
      </c>
      <c r="E3220">
        <v>0.86277510343058506</v>
      </c>
      <c r="F3220">
        <v>0.754985346047233</v>
      </c>
      <c r="G3220">
        <v>0.41857676639011798</v>
      </c>
      <c r="H3220">
        <v>0.25273742095576701</v>
      </c>
      <c r="I3220">
        <v>0.215413365036556</v>
      </c>
      <c r="J3220">
        <v>0.19395038867589401</v>
      </c>
      <c r="K3220">
        <v>8.7135154278694699E-2</v>
      </c>
      <c r="L3220">
        <v>863.64167984893299</v>
      </c>
      <c r="M3220">
        <v>16.525338344895399</v>
      </c>
      <c r="N3220">
        <v>53.057262152007603</v>
      </c>
      <c r="O3220">
        <v>51.514346050574602</v>
      </c>
      <c r="P3220">
        <v>-7.1401690759873598E-2</v>
      </c>
      <c r="Q3220">
        <v>0.109741115130689</v>
      </c>
      <c r="R3220">
        <v>0.98937558697030703</v>
      </c>
      <c r="S3220" t="s">
        <v>8803</v>
      </c>
      <c r="T3220" t="s">
        <v>11164</v>
      </c>
      <c r="U3220" t="s">
        <v>11164</v>
      </c>
      <c r="V3220" t="s">
        <v>11164</v>
      </c>
      <c r="W3220" t="s">
        <v>14344</v>
      </c>
      <c r="X3220">
        <v>1</v>
      </c>
      <c r="Y3220" t="s">
        <v>19829</v>
      </c>
      <c r="Z3220" t="s">
        <v>25370</v>
      </c>
      <c r="AA3220">
        <v>0.57758252006075894</v>
      </c>
      <c r="AB3220" t="str">
        <f>HYPERLINK("Melting_Curves/meltCurve_Q3KRA6_C2orf76.pdf", "Melting_Curves/meltCurve_Q3KRA6_C2orf76.pdf")</f>
        <v>Melting_Curves/meltCurve_Q3KRA6_C2orf76.pdf</v>
      </c>
    </row>
    <row r="3221" spans="1:28" x14ac:dyDescent="0.25">
      <c r="A3221" t="s">
        <v>3225</v>
      </c>
      <c r="B3221">
        <v>0.99796759195183404</v>
      </c>
      <c r="C3221">
        <v>0.98336165824585298</v>
      </c>
      <c r="D3221">
        <v>0.91248506058793399</v>
      </c>
      <c r="E3221">
        <v>0.99377322727955997</v>
      </c>
      <c r="F3221">
        <v>0.72699513045562902</v>
      </c>
      <c r="G3221">
        <v>0.494917860621227</v>
      </c>
      <c r="H3221">
        <v>0.45992372452459901</v>
      </c>
      <c r="I3221">
        <v>0.393092048415352</v>
      </c>
      <c r="J3221">
        <v>0.47140172275568998</v>
      </c>
      <c r="K3221">
        <v>0.46614712970896799</v>
      </c>
      <c r="L3221">
        <v>1988.20602922476</v>
      </c>
      <c r="M3221">
        <v>39.550664050012898</v>
      </c>
      <c r="N3221">
        <v>53.322551245346197</v>
      </c>
      <c r="O3221">
        <v>50.141852103742004</v>
      </c>
      <c r="P3221">
        <v>-0.10884204033695</v>
      </c>
      <c r="Q3221">
        <v>0.44804673687125801</v>
      </c>
      <c r="R3221">
        <v>0.97967512902472997</v>
      </c>
      <c r="S3221" t="s">
        <v>8804</v>
      </c>
      <c r="T3221" t="s">
        <v>11164</v>
      </c>
      <c r="U3221" t="s">
        <v>11164</v>
      </c>
      <c r="V3221" t="s">
        <v>11164</v>
      </c>
      <c r="W3221" t="s">
        <v>14345</v>
      </c>
      <c r="X3221">
        <v>4</v>
      </c>
      <c r="Y3221" t="s">
        <v>19830</v>
      </c>
      <c r="Z3221" t="s">
        <v>25371</v>
      </c>
      <c r="AA3221">
        <v>0.69415177117365934</v>
      </c>
      <c r="AB3221" t="str">
        <f>HYPERLINK("Melting_Curves/meltCurve_Q3KRA9_ALKBH6.pdf", "Melting_Curves/meltCurve_Q3KRA9_ALKBH6.pdf")</f>
        <v>Melting_Curves/meltCurve_Q3KRA9_ALKBH6.pdf</v>
      </c>
    </row>
    <row r="3222" spans="1:28" x14ac:dyDescent="0.25">
      <c r="A3222" t="s">
        <v>3226</v>
      </c>
      <c r="B3222">
        <v>0.99796759195183404</v>
      </c>
      <c r="C3222">
        <v>0.97857713780435696</v>
      </c>
      <c r="D3222">
        <v>1.0004749354507001</v>
      </c>
      <c r="E3222">
        <v>0.94118012771136295</v>
      </c>
      <c r="F3222">
        <v>0.79811738434041601</v>
      </c>
      <c r="G3222">
        <v>0.78440081513040905</v>
      </c>
      <c r="H3222">
        <v>0.62860229103252296</v>
      </c>
      <c r="I3222">
        <v>0.34644451366413098</v>
      </c>
      <c r="J3222">
        <v>0.10366420236233199</v>
      </c>
      <c r="K3222">
        <v>7.28820442728845E-2</v>
      </c>
      <c r="L3222">
        <v>928.27905148391403</v>
      </c>
      <c r="M3222">
        <v>15.968266871799401</v>
      </c>
      <c r="N3222">
        <v>58.132736726507297</v>
      </c>
      <c r="O3222">
        <v>57.243946016476897</v>
      </c>
      <c r="P3222">
        <v>-6.9743310193998806E-2</v>
      </c>
      <c r="Q3222">
        <v>0</v>
      </c>
      <c r="R3222">
        <v>0.97262789944153105</v>
      </c>
      <c r="S3222" t="s">
        <v>8805</v>
      </c>
      <c r="T3222" t="s">
        <v>11164</v>
      </c>
      <c r="U3222" t="s">
        <v>11164</v>
      </c>
      <c r="V3222" t="s">
        <v>11164</v>
      </c>
      <c r="W3222" t="s">
        <v>14346</v>
      </c>
      <c r="X3222">
        <v>27</v>
      </c>
      <c r="Y3222" t="s">
        <v>19831</v>
      </c>
      <c r="Z3222" t="s">
        <v>25372</v>
      </c>
      <c r="AA3222">
        <v>0.70899199217962894</v>
      </c>
      <c r="AB3222" t="str">
        <f>HYPERLINK("Melting_Curves/meltCurve_Q3LXA3_DAK.pdf", "Melting_Curves/meltCurve_Q3LXA3_DAK.pdf")</f>
        <v>Melting_Curves/meltCurve_Q3LXA3_DAK.pdf</v>
      </c>
    </row>
    <row r="3223" spans="1:28" x14ac:dyDescent="0.25">
      <c r="A3223" t="s">
        <v>3227</v>
      </c>
      <c r="B3223">
        <v>0.99796759195183404</v>
      </c>
      <c r="C3223">
        <v>1.16484016507863</v>
      </c>
      <c r="D3223">
        <v>1.0790689264512301</v>
      </c>
      <c r="E3223">
        <v>1.0353691977392701</v>
      </c>
      <c r="F3223">
        <v>0.907882230941502</v>
      </c>
      <c r="G3223">
        <v>0.67436776410351396</v>
      </c>
      <c r="H3223">
        <v>0.48890018750273401</v>
      </c>
      <c r="I3223">
        <v>0.24455045726057001</v>
      </c>
      <c r="J3223">
        <v>0.178257245740539</v>
      </c>
      <c r="K3223">
        <v>0.13393788707361601</v>
      </c>
      <c r="L3223">
        <v>1035.61287157016</v>
      </c>
      <c r="M3223">
        <v>18.4720896100226</v>
      </c>
      <c r="N3223">
        <v>56.702451838573502</v>
      </c>
      <c r="O3223">
        <v>55.418996112841299</v>
      </c>
      <c r="P3223">
        <v>-7.5505012093326301E-2</v>
      </c>
      <c r="Q3223">
        <v>9.3935628620495898E-2</v>
      </c>
      <c r="R3223">
        <v>0.97197751213538497</v>
      </c>
      <c r="S3223" t="s">
        <v>8806</v>
      </c>
      <c r="T3223" t="s">
        <v>11164</v>
      </c>
      <c r="U3223" t="s">
        <v>11164</v>
      </c>
      <c r="V3223" t="s">
        <v>11164</v>
      </c>
      <c r="W3223" t="s">
        <v>14347</v>
      </c>
      <c r="X3223">
        <v>7</v>
      </c>
      <c r="Y3223" t="s">
        <v>19832</v>
      </c>
      <c r="Z3223" t="s">
        <v>25373</v>
      </c>
      <c r="AA3223">
        <v>0.6794492119824046</v>
      </c>
      <c r="AB3223" t="str">
        <f>HYPERLINK("Melting_Curves/meltCurve_Q3MHD2_LSM12.pdf", "Melting_Curves/meltCurve_Q3MHD2_LSM12.pdf")</f>
        <v>Melting_Curves/meltCurve_Q3MHD2_LSM12.pdf</v>
      </c>
    </row>
    <row r="3224" spans="1:28" x14ac:dyDescent="0.25">
      <c r="A3224" t="s">
        <v>3228</v>
      </c>
      <c r="B3224">
        <v>0.99796759195183404</v>
      </c>
      <c r="C3224">
        <v>1.36418838073795</v>
      </c>
      <c r="D3224">
        <v>0.928016799533391</v>
      </c>
      <c r="E3224">
        <v>1.0550695961623</v>
      </c>
      <c r="F3224">
        <v>0.98854923706488496</v>
      </c>
      <c r="G3224">
        <v>0.61204589577078705</v>
      </c>
      <c r="H3224">
        <v>0.47556058434055198</v>
      </c>
      <c r="I3224">
        <v>0.34852529393455201</v>
      </c>
      <c r="J3224">
        <v>0.28359440620980098</v>
      </c>
      <c r="K3224">
        <v>0.22595854320345099</v>
      </c>
      <c r="L3224">
        <v>1325.86086402148</v>
      </c>
      <c r="M3224">
        <v>24.351940189333099</v>
      </c>
      <c r="N3224">
        <v>56.187138265773498</v>
      </c>
      <c r="O3224">
        <v>54.082629549283901</v>
      </c>
      <c r="P3224">
        <v>-8.2747174297942205E-2</v>
      </c>
      <c r="Q3224">
        <v>0.26492625063622099</v>
      </c>
      <c r="R3224">
        <v>0.88384521148359896</v>
      </c>
      <c r="S3224" t="s">
        <v>8807</v>
      </c>
      <c r="T3224" t="s">
        <v>11164</v>
      </c>
      <c r="U3224" t="s">
        <v>11164</v>
      </c>
      <c r="V3224" t="s">
        <v>11164</v>
      </c>
      <c r="W3224" t="s">
        <v>14348</v>
      </c>
      <c r="X3224">
        <v>1</v>
      </c>
      <c r="Y3224" t="s">
        <v>19833</v>
      </c>
      <c r="Z3224" t="s">
        <v>25374</v>
      </c>
      <c r="AA3224">
        <v>0.69900994046720255</v>
      </c>
      <c r="AB3224" t="str">
        <f>HYPERLINK("Melting_Curves/meltCurve_Q3MII6_TBC1D25.pdf", "Melting_Curves/meltCurve_Q3MII6_TBC1D25.pdf")</f>
        <v>Melting_Curves/meltCurve_Q3MII6_TBC1D25.pdf</v>
      </c>
    </row>
    <row r="3225" spans="1:28" x14ac:dyDescent="0.25">
      <c r="A3225" t="s">
        <v>3229</v>
      </c>
      <c r="B3225">
        <v>0.99796759195183404</v>
      </c>
      <c r="C3225">
        <v>1.0308736307924999</v>
      </c>
      <c r="D3225">
        <v>1.1298142069139301</v>
      </c>
      <c r="E3225">
        <v>0.90747104991558203</v>
      </c>
      <c r="F3225">
        <v>0.740104768346597</v>
      </c>
      <c r="G3225">
        <v>0.34609711291135897</v>
      </c>
      <c r="H3225">
        <v>0.30352698880270301</v>
      </c>
      <c r="I3225">
        <v>9.8942129133314793E-2</v>
      </c>
      <c r="J3225">
        <v>0.189828465603985</v>
      </c>
      <c r="K3225">
        <v>9.76530420789571E-2</v>
      </c>
      <c r="L3225">
        <v>1192.3290945849401</v>
      </c>
      <c r="M3225">
        <v>23.0112824839312</v>
      </c>
      <c r="N3225">
        <v>52.519357497217001</v>
      </c>
      <c r="O3225">
        <v>51.428430759227403</v>
      </c>
      <c r="P3225">
        <v>-9.7010655105465096E-2</v>
      </c>
      <c r="Q3225">
        <v>0.13277117156000101</v>
      </c>
      <c r="R3225">
        <v>0.97536037499174999</v>
      </c>
      <c r="S3225" t="s">
        <v>8808</v>
      </c>
      <c r="T3225" t="s">
        <v>11164</v>
      </c>
      <c r="U3225" t="s">
        <v>11164</v>
      </c>
      <c r="V3225" t="s">
        <v>11164</v>
      </c>
      <c r="W3225" t="s">
        <v>14349</v>
      </c>
      <c r="X3225">
        <v>2</v>
      </c>
      <c r="Y3225" t="s">
        <v>19834</v>
      </c>
      <c r="Z3225" t="s">
        <v>25375</v>
      </c>
      <c r="AA3225">
        <v>0.56993437390189494</v>
      </c>
      <c r="AB3225" t="str">
        <f>HYPERLINK("Melting_Curves/meltCurve_Q3MIT2_PUS10.pdf", "Melting_Curves/meltCurve_Q3MIT2_PUS10.pdf")</f>
        <v>Melting_Curves/meltCurve_Q3MIT2_PUS10.pdf</v>
      </c>
    </row>
    <row r="3226" spans="1:28" x14ac:dyDescent="0.25">
      <c r="A3226" t="s">
        <v>3230</v>
      </c>
      <c r="B3226">
        <v>0.99796759195183404</v>
      </c>
      <c r="C3226">
        <v>1.08625564666185</v>
      </c>
      <c r="D3226">
        <v>1.08541991329746</v>
      </c>
      <c r="E3226">
        <v>1.05948967043989</v>
      </c>
      <c r="F3226">
        <v>0.92915119347007302</v>
      </c>
      <c r="G3226">
        <v>0.59257429424599795</v>
      </c>
      <c r="H3226">
        <v>0.64647892426405595</v>
      </c>
      <c r="I3226">
        <v>0.62370313160896795</v>
      </c>
      <c r="J3226">
        <v>0.71029011703131695</v>
      </c>
      <c r="K3226">
        <v>0.32072745042943501</v>
      </c>
      <c r="L3226">
        <v>3525.4749015473199</v>
      </c>
      <c r="M3226">
        <v>68.611380122256506</v>
      </c>
      <c r="O3226">
        <v>51.339641423623299</v>
      </c>
      <c r="P3226">
        <v>-0.142010034370051</v>
      </c>
      <c r="Q3226">
        <v>0.57495434620159103</v>
      </c>
      <c r="R3226">
        <v>0.82514641633036701</v>
      </c>
      <c r="S3226" t="s">
        <v>8809</v>
      </c>
      <c r="T3226" t="s">
        <v>11164</v>
      </c>
      <c r="U3226" t="s">
        <v>11164</v>
      </c>
      <c r="V3226" t="s">
        <v>11164</v>
      </c>
      <c r="W3226" t="s">
        <v>14350</v>
      </c>
      <c r="X3226">
        <v>9</v>
      </c>
      <c r="Y3226" t="s">
        <v>19835</v>
      </c>
      <c r="Z3226" t="s">
        <v>25376</v>
      </c>
      <c r="AA3226">
        <v>0.77924905026761393</v>
      </c>
      <c r="AB3226" t="str">
        <f>HYPERLINK("Melting_Curves/meltCurve_Q3SXM5_HSDL1.pdf", "Melting_Curves/meltCurve_Q3SXM5_HSDL1.pdf")</f>
        <v>Melting_Curves/meltCurve_Q3SXM5_HSDL1.pdf</v>
      </c>
    </row>
    <row r="3227" spans="1:28" x14ac:dyDescent="0.25">
      <c r="A3227" t="s">
        <v>3231</v>
      </c>
      <c r="B3227">
        <v>0.99796759195183404</v>
      </c>
      <c r="C3227">
        <v>1.0695527499481501</v>
      </c>
      <c r="D3227">
        <v>0.96656532225986203</v>
      </c>
      <c r="E3227">
        <v>0.993860547787072</v>
      </c>
      <c r="F3227">
        <v>0.94177171517965796</v>
      </c>
      <c r="G3227">
        <v>0.60844445436003802</v>
      </c>
      <c r="H3227">
        <v>0.674839756841768</v>
      </c>
      <c r="I3227">
        <v>0.57672275773735904</v>
      </c>
      <c r="J3227">
        <v>0.701905700471118</v>
      </c>
      <c r="K3227">
        <v>0.57264200332158199</v>
      </c>
      <c r="L3227">
        <v>12634.7254868158</v>
      </c>
      <c r="M3227">
        <v>250</v>
      </c>
      <c r="O3227">
        <v>50.535667730139103</v>
      </c>
      <c r="P3227">
        <v>-0.46141801884754002</v>
      </c>
      <c r="Q3227">
        <v>0.62691091701216795</v>
      </c>
      <c r="R3227">
        <v>0.94516838003245296</v>
      </c>
      <c r="S3227" t="s">
        <v>8810</v>
      </c>
      <c r="T3227" t="s">
        <v>11164</v>
      </c>
      <c r="U3227" t="s">
        <v>11164</v>
      </c>
      <c r="V3227" t="s">
        <v>11164</v>
      </c>
      <c r="W3227" t="s">
        <v>14351</v>
      </c>
      <c r="X3227">
        <v>11</v>
      </c>
      <c r="Y3227" t="s">
        <v>19836</v>
      </c>
      <c r="Z3227" t="s">
        <v>25377</v>
      </c>
      <c r="AA3227">
        <v>0.79531789188218061</v>
      </c>
      <c r="AB3227" t="str">
        <f>HYPERLINK("Melting_Curves/meltCurve_Q3V6T2_2_CCDC88A.pdf", "Melting_Curves/meltCurve_Q3V6T2_2_CCDC88A.pdf")</f>
        <v>Melting_Curves/meltCurve_Q3V6T2_2_CCDC88A.pdf</v>
      </c>
    </row>
    <row r="3228" spans="1:28" x14ac:dyDescent="0.25">
      <c r="A3228" t="s">
        <v>3232</v>
      </c>
      <c r="B3228">
        <v>0.99796759195183404</v>
      </c>
      <c r="C3228">
        <v>1.00112495971871</v>
      </c>
      <c r="D3228">
        <v>0.919537518828904</v>
      </c>
      <c r="E3228">
        <v>0.96953729230937702</v>
      </c>
      <c r="F3228">
        <v>0.86729613397552396</v>
      </c>
      <c r="G3228">
        <v>1.62859946101876</v>
      </c>
      <c r="H3228">
        <v>1.2108042834630801</v>
      </c>
      <c r="I3228">
        <v>0.70571597517895501</v>
      </c>
      <c r="J3228">
        <v>0.18459703441197201</v>
      </c>
      <c r="K3228">
        <v>0.15053318329568299</v>
      </c>
      <c r="L3228">
        <v>7299.8318636354497</v>
      </c>
      <c r="M3228">
        <v>119.057825710157</v>
      </c>
      <c r="N3228">
        <v>61.520369483909903</v>
      </c>
      <c r="O3228">
        <v>61.296035535860803</v>
      </c>
      <c r="P3228">
        <v>-0.40542491756667598</v>
      </c>
      <c r="Q3228">
        <v>0.16507999674694901</v>
      </c>
      <c r="R3228">
        <v>0.73444494585206799</v>
      </c>
      <c r="S3228" t="s">
        <v>8811</v>
      </c>
      <c r="T3228" t="s">
        <v>11164</v>
      </c>
      <c r="U3228" t="s">
        <v>11164</v>
      </c>
      <c r="V3228" t="s">
        <v>11164</v>
      </c>
      <c r="W3228" t="s">
        <v>14352</v>
      </c>
      <c r="X3228">
        <v>7</v>
      </c>
      <c r="Y3228" t="s">
        <v>19837</v>
      </c>
      <c r="Z3228" t="s">
        <v>25378</v>
      </c>
      <c r="AA3228">
        <v>0.84213192327062869</v>
      </c>
      <c r="AB3228" t="str">
        <f>HYPERLINK("Melting_Curves/meltCurve_Q3YEC7_RABL6.pdf", "Melting_Curves/meltCurve_Q3YEC7_RABL6.pdf")</f>
        <v>Melting_Curves/meltCurve_Q3YEC7_RABL6.pdf</v>
      </c>
    </row>
    <row r="3229" spans="1:28" x14ac:dyDescent="0.25">
      <c r="A3229" t="s">
        <v>3233</v>
      </c>
      <c r="B3229">
        <v>0.99796759195183404</v>
      </c>
      <c r="C3229">
        <v>0.97966869186974603</v>
      </c>
      <c r="D3229">
        <v>1.0107076973334701</v>
      </c>
      <c r="E3229">
        <v>0.99975582073339897</v>
      </c>
      <c r="F3229">
        <v>0.98240484413668006</v>
      </c>
      <c r="G3229">
        <v>0.79088481691277002</v>
      </c>
      <c r="H3229">
        <v>0.56035450029894496</v>
      </c>
      <c r="I3229">
        <v>0.34269356125519301</v>
      </c>
      <c r="J3229">
        <v>0.200734289040956</v>
      </c>
      <c r="K3229">
        <v>8.3715910429642104E-2</v>
      </c>
      <c r="L3229">
        <v>985.23007404987595</v>
      </c>
      <c r="M3229">
        <v>16.864280862312899</v>
      </c>
      <c r="N3229">
        <v>58.421114972840002</v>
      </c>
      <c r="O3229">
        <v>57.618228126040499</v>
      </c>
      <c r="P3229">
        <v>-7.3177203443880706E-2</v>
      </c>
      <c r="Q3229">
        <v>0</v>
      </c>
      <c r="R3229">
        <v>0.99676368917012004</v>
      </c>
      <c r="S3229" t="s">
        <v>8812</v>
      </c>
      <c r="T3229" t="s">
        <v>11164</v>
      </c>
      <c r="U3229" t="s">
        <v>11164</v>
      </c>
      <c r="V3229" t="s">
        <v>11164</v>
      </c>
      <c r="W3229" t="s">
        <v>14353</v>
      </c>
      <c r="X3229">
        <v>13</v>
      </c>
      <c r="Y3229" t="s">
        <v>19838</v>
      </c>
      <c r="Z3229" t="s">
        <v>25379</v>
      </c>
      <c r="AA3229">
        <v>0.71821714332618547</v>
      </c>
      <c r="AB3229" t="str">
        <f>HYPERLINK("Melting_Curves/meltCurve_Q3ZCM7_TUBB8.pdf", "Melting_Curves/meltCurve_Q3ZCM7_TUBB8.pdf")</f>
        <v>Melting_Curves/meltCurve_Q3ZCM7_TUBB8.pdf</v>
      </c>
    </row>
    <row r="3230" spans="1:28" x14ac:dyDescent="0.25">
      <c r="A3230" t="s">
        <v>3234</v>
      </c>
      <c r="B3230">
        <v>0.99796759195183404</v>
      </c>
      <c r="C3230">
        <v>0.99688846436457501</v>
      </c>
      <c r="D3230">
        <v>0.975757924974201</v>
      </c>
      <c r="E3230">
        <v>0.93251807381784102</v>
      </c>
      <c r="F3230">
        <v>0.74917573217831301</v>
      </c>
      <c r="G3230">
        <v>0.52906237059829897</v>
      </c>
      <c r="H3230">
        <v>0.30175106592283402</v>
      </c>
      <c r="I3230">
        <v>0.19362905943167499</v>
      </c>
      <c r="J3230">
        <v>0.187561701198315</v>
      </c>
      <c r="K3230">
        <v>0.12894145227165299</v>
      </c>
      <c r="L3230">
        <v>894.98512003195106</v>
      </c>
      <c r="M3230">
        <v>16.832883101076199</v>
      </c>
      <c r="N3230">
        <v>53.999269435315398</v>
      </c>
      <c r="O3230">
        <v>52.4354641402551</v>
      </c>
      <c r="P3230">
        <v>-7.1108170978357699E-2</v>
      </c>
      <c r="Q3230">
        <v>0.1140316530108</v>
      </c>
      <c r="R3230">
        <v>0.99871757735601296</v>
      </c>
      <c r="S3230" t="s">
        <v>8813</v>
      </c>
      <c r="T3230" t="s">
        <v>11164</v>
      </c>
      <c r="U3230" t="s">
        <v>11164</v>
      </c>
      <c r="V3230" t="s">
        <v>11164</v>
      </c>
      <c r="W3230" t="s">
        <v>14354</v>
      </c>
      <c r="X3230">
        <v>20</v>
      </c>
      <c r="Y3230" t="s">
        <v>19839</v>
      </c>
      <c r="Z3230" t="s">
        <v>25380</v>
      </c>
      <c r="AA3230">
        <v>0.60537637701877467</v>
      </c>
      <c r="AB3230" t="str">
        <f>HYPERLINK("Melting_Curves/meltCurve_Q3ZCQ8_TIMM50.pdf", "Melting_Curves/meltCurve_Q3ZCQ8_TIMM50.pdf")</f>
        <v>Melting_Curves/meltCurve_Q3ZCQ8_TIMM50.pdf</v>
      </c>
    </row>
    <row r="3231" spans="1:28" x14ac:dyDescent="0.25">
      <c r="A3231" t="s">
        <v>3235</v>
      </c>
      <c r="B3231">
        <v>0.99796759195183404</v>
      </c>
      <c r="C3231">
        <v>1.4520487815252301</v>
      </c>
      <c r="D3231">
        <v>1.2044608416757301</v>
      </c>
      <c r="E3231">
        <v>1.1386637093966101</v>
      </c>
      <c r="F3231">
        <v>1.18016161004489</v>
      </c>
      <c r="G3231">
        <v>0.75330674825067401</v>
      </c>
      <c r="H3231">
        <v>0.42726769724737901</v>
      </c>
      <c r="I3231">
        <v>0.47841814081189799</v>
      </c>
      <c r="J3231">
        <v>0.235839903322103</v>
      </c>
      <c r="K3231">
        <v>1.3683519187045099</v>
      </c>
      <c r="L3231">
        <v>13413.7842004342</v>
      </c>
      <c r="M3231">
        <v>250</v>
      </c>
      <c r="O3231">
        <v>53.651703407028599</v>
      </c>
      <c r="P3231">
        <v>-0.43396872528702801</v>
      </c>
      <c r="Q3231">
        <v>0.62746942028124297</v>
      </c>
      <c r="R3231">
        <v>0.34422507134772401</v>
      </c>
      <c r="S3231" t="s">
        <v>8814</v>
      </c>
      <c r="T3231" t="s">
        <v>11164</v>
      </c>
      <c r="U3231" t="s">
        <v>11164</v>
      </c>
      <c r="V3231" t="s">
        <v>11164</v>
      </c>
      <c r="W3231" t="s">
        <v>14355</v>
      </c>
      <c r="X3231">
        <v>1</v>
      </c>
      <c r="Y3231" t="s">
        <v>19840</v>
      </c>
      <c r="Z3231" t="s">
        <v>25381</v>
      </c>
      <c r="AA3231">
        <v>0.83432275815955925</v>
      </c>
      <c r="AB3231" t="str">
        <f>HYPERLINK("Melting_Curves/meltCurve_Q3ZCW2_LGALSL.pdf", "Melting_Curves/meltCurve_Q3ZCW2_LGALSL.pdf")</f>
        <v>Melting_Curves/meltCurve_Q3ZCW2_LGALSL.pdf</v>
      </c>
    </row>
    <row r="3232" spans="1:28" x14ac:dyDescent="0.25">
      <c r="A3232" t="s">
        <v>3236</v>
      </c>
      <c r="B3232">
        <v>0.99796759195183404</v>
      </c>
      <c r="C3232">
        <v>1.19265585297049</v>
      </c>
      <c r="D3232">
        <v>1.3647060766214401</v>
      </c>
      <c r="E3232">
        <v>1.11991198577382</v>
      </c>
      <c r="F3232">
        <v>1.1600811648273399</v>
      </c>
      <c r="G3232">
        <v>0.97835142804349995</v>
      </c>
      <c r="H3232">
        <v>0.53089500099502895</v>
      </c>
      <c r="I3232">
        <v>0.24601462122210499</v>
      </c>
      <c r="J3232">
        <v>0</v>
      </c>
      <c r="K3232">
        <v>0</v>
      </c>
      <c r="L3232">
        <v>1872.7052890765401</v>
      </c>
      <c r="M3232">
        <v>32.279654451930703</v>
      </c>
      <c r="N3232">
        <v>58.0150300108672</v>
      </c>
      <c r="O3232">
        <v>57.793744157247602</v>
      </c>
      <c r="P3232">
        <v>-0.13963368964112599</v>
      </c>
      <c r="Q3232">
        <v>0</v>
      </c>
      <c r="R3232">
        <v>0.90660285604266799</v>
      </c>
      <c r="S3232" t="s">
        <v>8815</v>
      </c>
      <c r="T3232" t="s">
        <v>11164</v>
      </c>
      <c r="U3232" t="s">
        <v>11164</v>
      </c>
      <c r="V3232" t="s">
        <v>11164</v>
      </c>
      <c r="W3232" t="s">
        <v>14356</v>
      </c>
      <c r="X3232">
        <v>2</v>
      </c>
      <c r="Y3232" t="s">
        <v>19841</v>
      </c>
      <c r="Z3232" t="s">
        <v>25382</v>
      </c>
      <c r="AA3232">
        <v>0.70555938463894086</v>
      </c>
      <c r="AB3232" t="str">
        <f>HYPERLINK("Melting_Curves/meltCurve_Q495W5_2_FUT11.pdf", "Melting_Curves/meltCurve_Q495W5_2_FUT11.pdf")</f>
        <v>Melting_Curves/meltCurve_Q495W5_2_FUT11.pdf</v>
      </c>
    </row>
    <row r="3233" spans="1:28" x14ac:dyDescent="0.25">
      <c r="A3233" t="s">
        <v>3237</v>
      </c>
      <c r="B3233">
        <v>0.99796759195183404</v>
      </c>
      <c r="C3233">
        <v>0.96511360962402903</v>
      </c>
      <c r="D3233">
        <v>0.88914817614029396</v>
      </c>
      <c r="E3233">
        <v>0.81077460290303305</v>
      </c>
      <c r="F3233">
        <v>0.78180781545320699</v>
      </c>
      <c r="G3233">
        <v>0.69082091847819305</v>
      </c>
      <c r="H3233">
        <v>0.42663996549003502</v>
      </c>
      <c r="I3233">
        <v>0.32358872882379203</v>
      </c>
      <c r="J3233">
        <v>0.41979260179915501</v>
      </c>
      <c r="K3233">
        <v>0.43467450291363602</v>
      </c>
      <c r="L3233">
        <v>557.27448742812396</v>
      </c>
      <c r="M3233">
        <v>10.650365117146899</v>
      </c>
      <c r="N3233">
        <v>57.443470556893303</v>
      </c>
      <c r="O3233">
        <v>50.580880433875201</v>
      </c>
      <c r="P3233">
        <v>-3.6522325047733999E-2</v>
      </c>
      <c r="Q3233">
        <v>0.30645536479781799</v>
      </c>
      <c r="R3233">
        <v>0.93535789087246202</v>
      </c>
      <c r="S3233" t="s">
        <v>8816</v>
      </c>
      <c r="T3233" t="s">
        <v>11164</v>
      </c>
      <c r="U3233" t="s">
        <v>11164</v>
      </c>
      <c r="V3233" t="s">
        <v>11164</v>
      </c>
      <c r="W3233" t="s">
        <v>14357</v>
      </c>
      <c r="X3233">
        <v>3</v>
      </c>
      <c r="Y3233" t="s">
        <v>19842</v>
      </c>
      <c r="Z3233" t="s">
        <v>25383</v>
      </c>
      <c r="AA3233">
        <v>0.67781654754952592</v>
      </c>
      <c r="AB3233" t="str">
        <f>HYPERLINK("Melting_Curves/meltCurve_Q49AH0_2_CDNF.pdf", "Melting_Curves/meltCurve_Q49AH0_2_CDNF.pdf")</f>
        <v>Melting_Curves/meltCurve_Q49AH0_2_CDNF.pdf</v>
      </c>
    </row>
    <row r="3234" spans="1:28" x14ac:dyDescent="0.25">
      <c r="A3234" t="s">
        <v>3238</v>
      </c>
      <c r="B3234">
        <v>0.99796759195183404</v>
      </c>
      <c r="C3234">
        <v>1.06382052393786</v>
      </c>
      <c r="D3234">
        <v>1.01853073431985</v>
      </c>
      <c r="E3234">
        <v>0.96816502202712196</v>
      </c>
      <c r="F3234">
        <v>0.95201287725374795</v>
      </c>
      <c r="G3234">
        <v>0.62407076827998298</v>
      </c>
      <c r="H3234">
        <v>0.38700209354551501</v>
      </c>
      <c r="I3234">
        <v>0.18988049926065201</v>
      </c>
      <c r="J3234">
        <v>0.109196878336728</v>
      </c>
      <c r="K3234">
        <v>4.8913653495651202E-2</v>
      </c>
      <c r="L3234">
        <v>1100.9158008811301</v>
      </c>
      <c r="M3234">
        <v>19.8129796568229</v>
      </c>
      <c r="N3234">
        <v>55.7804910256162</v>
      </c>
      <c r="O3234">
        <v>55.008600341570997</v>
      </c>
      <c r="P3234">
        <v>-8.6736183138512404E-2</v>
      </c>
      <c r="Q3234">
        <v>3.6777563252931599E-2</v>
      </c>
      <c r="R3234">
        <v>0.99309691132716404</v>
      </c>
      <c r="S3234" t="s">
        <v>8817</v>
      </c>
      <c r="T3234" t="s">
        <v>11164</v>
      </c>
      <c r="U3234" t="s">
        <v>11164</v>
      </c>
      <c r="V3234" t="s">
        <v>11164</v>
      </c>
      <c r="W3234" t="s">
        <v>14358</v>
      </c>
      <c r="X3234">
        <v>8</v>
      </c>
      <c r="Y3234" t="s">
        <v>19843</v>
      </c>
      <c r="Z3234" t="s">
        <v>25384</v>
      </c>
      <c r="AA3234">
        <v>0.64334435196752382</v>
      </c>
      <c r="AB3234" t="str">
        <f>HYPERLINK("Melting_Curves/meltCurve_Q49AR2_C5orf22.pdf", "Melting_Curves/meltCurve_Q49AR2_C5orf22.pdf")</f>
        <v>Melting_Curves/meltCurve_Q49AR2_C5orf22.pdf</v>
      </c>
    </row>
    <row r="3235" spans="1:28" x14ac:dyDescent="0.25">
      <c r="A3235" t="s">
        <v>3239</v>
      </c>
      <c r="B3235">
        <v>0.99796759195183404</v>
      </c>
      <c r="C3235">
        <v>0.98074888429687501</v>
      </c>
      <c r="D3235">
        <v>0.96956434149791504</v>
      </c>
      <c r="E3235">
        <v>0.92139641057687005</v>
      </c>
      <c r="F3235">
        <v>0.78170374413767096</v>
      </c>
      <c r="G3235">
        <v>0.61568956864822899</v>
      </c>
      <c r="H3235">
        <v>0.56895960578577498</v>
      </c>
      <c r="I3235">
        <v>0.50977983749183398</v>
      </c>
      <c r="J3235">
        <v>0.47994948952967698</v>
      </c>
      <c r="K3235">
        <v>0.46774120775206701</v>
      </c>
      <c r="L3235">
        <v>814.16008102013802</v>
      </c>
      <c r="M3235">
        <v>15.862983713272699</v>
      </c>
      <c r="N3235">
        <v>61.389330036080104</v>
      </c>
      <c r="O3235">
        <v>50.529640505011002</v>
      </c>
      <c r="P3235">
        <v>-4.2157660109650198E-2</v>
      </c>
      <c r="Q3235">
        <v>0.46289080401640498</v>
      </c>
      <c r="R3235">
        <v>0.99680666678860497</v>
      </c>
      <c r="S3235" t="s">
        <v>8818</v>
      </c>
      <c r="T3235" t="s">
        <v>11164</v>
      </c>
      <c r="U3235" t="s">
        <v>11164</v>
      </c>
      <c r="V3235" t="s">
        <v>11164</v>
      </c>
      <c r="W3235" t="s">
        <v>14359</v>
      </c>
      <c r="X3235">
        <v>7</v>
      </c>
      <c r="Y3235" t="s">
        <v>19844</v>
      </c>
      <c r="Z3235" t="s">
        <v>25385</v>
      </c>
      <c r="AA3235">
        <v>0.72925829210259541</v>
      </c>
      <c r="AB3235" t="str">
        <f>HYPERLINK("Melting_Curves/meltCurve_Q49B96_COX19.pdf", "Melting_Curves/meltCurve_Q49B96_COX19.pdf")</f>
        <v>Melting_Curves/meltCurve_Q49B96_COX19.pdf</v>
      </c>
    </row>
    <row r="3236" spans="1:28" x14ac:dyDescent="0.25">
      <c r="A3236" t="s">
        <v>3240</v>
      </c>
      <c r="B3236">
        <v>0.99796759195183404</v>
      </c>
      <c r="C3236">
        <v>0.74981575220999397</v>
      </c>
      <c r="D3236">
        <v>0.79396108221235495</v>
      </c>
      <c r="E3236">
        <v>0.78695490291020298</v>
      </c>
      <c r="F3236">
        <v>0.461102412202336</v>
      </c>
      <c r="G3236">
        <v>0.29352392901579599</v>
      </c>
      <c r="H3236">
        <v>0.27529643885768201</v>
      </c>
      <c r="I3236">
        <v>0.25639455085350299</v>
      </c>
      <c r="J3236">
        <v>0.19298440694673299</v>
      </c>
      <c r="K3236">
        <v>0.132793582734581</v>
      </c>
      <c r="L3236">
        <v>413.99609247742302</v>
      </c>
      <c r="M3236">
        <v>8.3624326168028098</v>
      </c>
      <c r="N3236">
        <v>50.164608600170901</v>
      </c>
      <c r="O3236">
        <v>46.918302352487203</v>
      </c>
      <c r="P3236">
        <v>-4.2284561603882803E-2</v>
      </c>
      <c r="Q3236">
        <v>5.1940471646767801E-2</v>
      </c>
      <c r="R3236">
        <v>0.94019993504066501</v>
      </c>
      <c r="S3236" t="s">
        <v>8819</v>
      </c>
      <c r="T3236" t="s">
        <v>11164</v>
      </c>
      <c r="U3236" t="s">
        <v>11164</v>
      </c>
      <c r="V3236" t="s">
        <v>11164</v>
      </c>
      <c r="W3236" t="s">
        <v>14360</v>
      </c>
      <c r="X3236">
        <v>1</v>
      </c>
      <c r="Y3236" t="s">
        <v>19845</v>
      </c>
      <c r="Z3236" t="s">
        <v>25386</v>
      </c>
      <c r="AA3236">
        <v>0.48700477716066298</v>
      </c>
      <c r="AB3236" t="str">
        <f>HYPERLINK("Melting_Curves/meltCurve_Q4G0A6_FAM188B.pdf", "Melting_Curves/meltCurve_Q4G0A6_FAM188B.pdf")</f>
        <v>Melting_Curves/meltCurve_Q4G0A6_FAM188B.pdf</v>
      </c>
    </row>
    <row r="3237" spans="1:28" x14ac:dyDescent="0.25">
      <c r="A3237" t="s">
        <v>3241</v>
      </c>
      <c r="B3237">
        <v>0.99796759195183404</v>
      </c>
      <c r="C3237">
        <v>1.0458793019442001</v>
      </c>
      <c r="D3237">
        <v>0.94137415401120905</v>
      </c>
      <c r="E3237">
        <v>1.0213181442960799</v>
      </c>
      <c r="F3237">
        <v>0.85276571842503501</v>
      </c>
      <c r="G3237">
        <v>0.73648366209239702</v>
      </c>
      <c r="H3237">
        <v>0.46531842783396299</v>
      </c>
      <c r="I3237">
        <v>0.32526751844155</v>
      </c>
      <c r="J3237">
        <v>0.19841185642919101</v>
      </c>
      <c r="K3237">
        <v>0.16261027787317101</v>
      </c>
      <c r="L3237">
        <v>890.84752668885903</v>
      </c>
      <c r="M3237">
        <v>15.782066231047899</v>
      </c>
      <c r="N3237">
        <v>57.170514959714502</v>
      </c>
      <c r="O3237">
        <v>55.563854816381401</v>
      </c>
      <c r="P3237">
        <v>-6.4584717137469605E-2</v>
      </c>
      <c r="Q3237">
        <v>9.0542686537080794E-2</v>
      </c>
      <c r="R3237">
        <v>0.99066036436538696</v>
      </c>
      <c r="S3237" t="s">
        <v>8820</v>
      </c>
      <c r="T3237" t="s">
        <v>11164</v>
      </c>
      <c r="U3237" t="s">
        <v>11164</v>
      </c>
      <c r="V3237" t="s">
        <v>11164</v>
      </c>
      <c r="W3237" t="s">
        <v>14361</v>
      </c>
      <c r="X3237">
        <v>5</v>
      </c>
      <c r="Y3237" t="s">
        <v>19846</v>
      </c>
      <c r="Z3237" t="s">
        <v>25387</v>
      </c>
      <c r="AA3237">
        <v>0.68941189118511836</v>
      </c>
      <c r="AB3237" t="str">
        <f>HYPERLINK("Melting_Curves/meltCurve_Q4G0F5_VPS26B.pdf", "Melting_Curves/meltCurve_Q4G0F5_VPS26B.pdf")</f>
        <v>Melting_Curves/meltCurve_Q4G0F5_VPS26B.pdf</v>
      </c>
    </row>
    <row r="3238" spans="1:28" x14ac:dyDescent="0.25">
      <c r="A3238" t="s">
        <v>3242</v>
      </c>
      <c r="B3238">
        <v>0.99796759195183404</v>
      </c>
      <c r="C3238">
        <v>1.08971505444509</v>
      </c>
      <c r="D3238">
        <v>1.11684717858697</v>
      </c>
      <c r="E3238">
        <v>0.98933984204172598</v>
      </c>
      <c r="F3238">
        <v>1.3500386043886601</v>
      </c>
      <c r="G3238">
        <v>0.68625466854063399</v>
      </c>
      <c r="H3238">
        <v>0.70629559066758996</v>
      </c>
      <c r="I3238">
        <v>0.598239564528941</v>
      </c>
      <c r="J3238">
        <v>0.68891714318820596</v>
      </c>
      <c r="K3238">
        <v>0.47857190600841998</v>
      </c>
      <c r="L3238">
        <v>13367.9324272053</v>
      </c>
      <c r="M3238">
        <v>250</v>
      </c>
      <c r="O3238">
        <v>53.468308031581898</v>
      </c>
      <c r="P3238">
        <v>-0.44651917399927898</v>
      </c>
      <c r="Q3238">
        <v>0.61800600578374498</v>
      </c>
      <c r="R3238">
        <v>0.74372837321406005</v>
      </c>
      <c r="S3238" t="s">
        <v>8821</v>
      </c>
      <c r="T3238" t="s">
        <v>11164</v>
      </c>
      <c r="U3238" t="s">
        <v>11164</v>
      </c>
      <c r="V3238" t="s">
        <v>11164</v>
      </c>
      <c r="W3238" t="s">
        <v>14362</v>
      </c>
      <c r="X3238">
        <v>3</v>
      </c>
      <c r="Y3238" t="s">
        <v>19847</v>
      </c>
      <c r="Z3238" t="s">
        <v>25388</v>
      </c>
      <c r="AA3238">
        <v>0.82777858032200524</v>
      </c>
      <c r="AB3238" t="str">
        <f>HYPERLINK("Melting_Curves/meltCurve_Q4G0I0_CCSMST1.pdf", "Melting_Curves/meltCurve_Q4G0I0_CCSMST1.pdf")</f>
        <v>Melting_Curves/meltCurve_Q4G0I0_CCSMST1.pdf</v>
      </c>
    </row>
    <row r="3239" spans="1:28" x14ac:dyDescent="0.25">
      <c r="A3239" t="s">
        <v>3243</v>
      </c>
      <c r="B3239">
        <v>0.99796759195183404</v>
      </c>
      <c r="C3239">
        <v>1.05545030484211</v>
      </c>
      <c r="D3239">
        <v>0.74773629761026295</v>
      </c>
      <c r="E3239">
        <v>0.97249414257089395</v>
      </c>
      <c r="F3239">
        <v>1.0626195695966301</v>
      </c>
      <c r="G3239">
        <v>1.19696585341702</v>
      </c>
      <c r="H3239">
        <v>0.53968137949991601</v>
      </c>
      <c r="I3239">
        <v>0.26151260355481099</v>
      </c>
      <c r="J3239">
        <v>0.33715618969205302</v>
      </c>
      <c r="K3239">
        <v>0.119749652059965</v>
      </c>
      <c r="L3239">
        <v>14325.4649071082</v>
      </c>
      <c r="M3239">
        <v>250</v>
      </c>
      <c r="N3239">
        <v>57.4516711010899</v>
      </c>
      <c r="O3239">
        <v>57.298191503329498</v>
      </c>
      <c r="P3239">
        <v>-0.82957161469583696</v>
      </c>
      <c r="Q3239">
        <v>0.23947273322905799</v>
      </c>
      <c r="R3239">
        <v>0.90018213166311001</v>
      </c>
      <c r="S3239" t="s">
        <v>8822</v>
      </c>
      <c r="T3239" t="s">
        <v>11164</v>
      </c>
      <c r="U3239" t="s">
        <v>11164</v>
      </c>
      <c r="V3239" t="s">
        <v>11164</v>
      </c>
      <c r="W3239" t="s">
        <v>14363</v>
      </c>
      <c r="X3239">
        <v>3</v>
      </c>
      <c r="Y3239" t="s">
        <v>19848</v>
      </c>
      <c r="Z3239" t="s">
        <v>25389</v>
      </c>
      <c r="AA3239">
        <v>0.75421980858161719</v>
      </c>
      <c r="AB3239" t="str">
        <f>HYPERLINK("Melting_Curves/meltCurve_Q4G0J3_LARP7.pdf", "Melting_Curves/meltCurve_Q4G0J3_LARP7.pdf")</f>
        <v>Melting_Curves/meltCurve_Q4G0J3_LARP7.pdf</v>
      </c>
    </row>
    <row r="3240" spans="1:28" x14ac:dyDescent="0.25">
      <c r="A3240" t="s">
        <v>3244</v>
      </c>
      <c r="B3240">
        <v>0.99796759195183404</v>
      </c>
      <c r="C3240">
        <v>0.99072554136483304</v>
      </c>
      <c r="D3240">
        <v>0.97825882324328794</v>
      </c>
      <c r="E3240">
        <v>0.93927076182898095</v>
      </c>
      <c r="F3240">
        <v>0.85651464256489396</v>
      </c>
      <c r="G3240">
        <v>0.71608574935899805</v>
      </c>
      <c r="H3240">
        <v>0.58982475418987901</v>
      </c>
      <c r="I3240">
        <v>0.30856705088714398</v>
      </c>
      <c r="J3240">
        <v>0.168862557955412</v>
      </c>
      <c r="K3240">
        <v>0.137939758618463</v>
      </c>
      <c r="L3240">
        <v>782.66974591278995</v>
      </c>
      <c r="M3240">
        <v>13.548472644900601</v>
      </c>
      <c r="N3240">
        <v>57.7681166170415</v>
      </c>
      <c r="O3240">
        <v>56.553172989955797</v>
      </c>
      <c r="P3240">
        <v>-5.9901635671810498E-2</v>
      </c>
      <c r="Q3240">
        <v>0</v>
      </c>
      <c r="R3240">
        <v>0.99232972816335496</v>
      </c>
      <c r="S3240" t="s">
        <v>8823</v>
      </c>
      <c r="T3240" t="s">
        <v>11164</v>
      </c>
      <c r="U3240" t="s">
        <v>11164</v>
      </c>
      <c r="V3240" t="s">
        <v>11164</v>
      </c>
      <c r="W3240" t="s">
        <v>14364</v>
      </c>
      <c r="X3240">
        <v>23</v>
      </c>
      <c r="Y3240" t="s">
        <v>19849</v>
      </c>
      <c r="Z3240" t="s">
        <v>25390</v>
      </c>
      <c r="AA3240">
        <v>0.69556182925187149</v>
      </c>
      <c r="AB3240" t="str">
        <f>HYPERLINK("Melting_Curves/meltCurve_Q4G0N4_NADKD1.pdf", "Melting_Curves/meltCurve_Q4G0N4_NADKD1.pdf")</f>
        <v>Melting_Curves/meltCurve_Q4G0N4_NADKD1.pdf</v>
      </c>
    </row>
    <row r="3241" spans="1:28" x14ac:dyDescent="0.25">
      <c r="A3241" t="s">
        <v>3245</v>
      </c>
      <c r="B3241">
        <v>0.99796759195183404</v>
      </c>
      <c r="C3241">
        <v>1.0541342782022201</v>
      </c>
      <c r="D3241">
        <v>1.04541871914358</v>
      </c>
      <c r="E3241">
        <v>1.0469538594383001</v>
      </c>
      <c r="F3241">
        <v>0.92569489690014695</v>
      </c>
      <c r="G3241">
        <v>0.74448534989098503</v>
      </c>
      <c r="H3241">
        <v>0.59791069294003196</v>
      </c>
      <c r="I3241">
        <v>0.36588066045561002</v>
      </c>
      <c r="J3241">
        <v>0.26323441111956403</v>
      </c>
      <c r="K3241">
        <v>0.16969777069438399</v>
      </c>
      <c r="L3241">
        <v>894.55604570507001</v>
      </c>
      <c r="M3241">
        <v>15.429489511692999</v>
      </c>
      <c r="N3241">
        <v>58.625318716353298</v>
      </c>
      <c r="O3241">
        <v>57.0293654893457</v>
      </c>
      <c r="P3241">
        <v>-6.2339205820458203E-2</v>
      </c>
      <c r="Q3241">
        <v>7.8429050554379903E-2</v>
      </c>
      <c r="R3241">
        <v>0.98841186984542595</v>
      </c>
      <c r="S3241" t="s">
        <v>8824</v>
      </c>
      <c r="T3241" t="s">
        <v>11164</v>
      </c>
      <c r="U3241" t="s">
        <v>11164</v>
      </c>
      <c r="V3241" t="s">
        <v>11164</v>
      </c>
      <c r="W3241" t="s">
        <v>14365</v>
      </c>
      <c r="X3241">
        <v>3</v>
      </c>
      <c r="Y3241" t="s">
        <v>19850</v>
      </c>
      <c r="Z3241" t="s">
        <v>25391</v>
      </c>
      <c r="AA3241">
        <v>0.72716026128344524</v>
      </c>
      <c r="AB3241" t="str">
        <f>HYPERLINK("Melting_Curves/meltCurve_Q4G148_2_GXYLT1.pdf", "Melting_Curves/meltCurve_Q4G148_2_GXYLT1.pdf")</f>
        <v>Melting_Curves/meltCurve_Q4G148_2_GXYLT1.pdf</v>
      </c>
    </row>
    <row r="3242" spans="1:28" x14ac:dyDescent="0.25">
      <c r="A3242" t="s">
        <v>3246</v>
      </c>
      <c r="B3242">
        <v>0.99796759195183404</v>
      </c>
      <c r="C3242">
        <v>1.0682185200937799</v>
      </c>
      <c r="D3242">
        <v>1.03265559828822</v>
      </c>
      <c r="E3242">
        <v>0.99616940322076997</v>
      </c>
      <c r="F3242">
        <v>0.66440532074425096</v>
      </c>
      <c r="G3242">
        <v>0.33001223288645398</v>
      </c>
      <c r="H3242">
        <v>0.21789684617129901</v>
      </c>
      <c r="I3242">
        <v>0.14331421551149201</v>
      </c>
      <c r="J3242">
        <v>0.112409933926644</v>
      </c>
      <c r="K3242">
        <v>9.0684195098262102E-2</v>
      </c>
      <c r="L3242">
        <v>1328.6165894311901</v>
      </c>
      <c r="M3242">
        <v>25.852073341464902</v>
      </c>
      <c r="N3242">
        <v>51.942613003358197</v>
      </c>
      <c r="O3242">
        <v>51.088478902925601</v>
      </c>
      <c r="P3242">
        <v>-0.111370719463809</v>
      </c>
      <c r="Q3242">
        <v>0.11965376430446099</v>
      </c>
      <c r="R3242">
        <v>0.99215877169327604</v>
      </c>
      <c r="S3242" t="s">
        <v>8825</v>
      </c>
      <c r="T3242" t="s">
        <v>11164</v>
      </c>
      <c r="U3242" t="s">
        <v>11164</v>
      </c>
      <c r="V3242" t="s">
        <v>11164</v>
      </c>
      <c r="W3242" t="s">
        <v>14366</v>
      </c>
      <c r="X3242">
        <v>12</v>
      </c>
      <c r="Y3242" t="s">
        <v>19851</v>
      </c>
      <c r="Z3242" t="s">
        <v>25392</v>
      </c>
      <c r="AA3242">
        <v>0.54933297381428192</v>
      </c>
      <c r="AB3242" t="str">
        <f>HYPERLINK("Melting_Curves/meltCurve_Q4G176_ACSF3.pdf", "Melting_Curves/meltCurve_Q4G176_ACSF3.pdf")</f>
        <v>Melting_Curves/meltCurve_Q4G176_ACSF3.pdf</v>
      </c>
    </row>
    <row r="3243" spans="1:28" x14ac:dyDescent="0.25">
      <c r="A3243" t="s">
        <v>3247</v>
      </c>
      <c r="B3243">
        <v>0.99796759195183404</v>
      </c>
      <c r="C3243">
        <v>0.91694186971556102</v>
      </c>
      <c r="D3243">
        <v>0.94182019344373702</v>
      </c>
      <c r="E3243">
        <v>0.83292114327959699</v>
      </c>
      <c r="F3243">
        <v>0.70492123258897299</v>
      </c>
      <c r="G3243">
        <v>0.58026234538256305</v>
      </c>
      <c r="H3243">
        <v>0.345498834828672</v>
      </c>
      <c r="I3243">
        <v>0.22778085286787</v>
      </c>
      <c r="J3243">
        <v>0.153893466391335</v>
      </c>
      <c r="K3243">
        <v>9.3022985652203197E-2</v>
      </c>
      <c r="L3243">
        <v>586.90469868539003</v>
      </c>
      <c r="M3243">
        <v>10.800282223324</v>
      </c>
      <c r="N3243">
        <v>54.341606288403099</v>
      </c>
      <c r="O3243">
        <v>52.5780781768335</v>
      </c>
      <c r="P3243">
        <v>-5.1372123761167503E-2</v>
      </c>
      <c r="Q3243">
        <v>0</v>
      </c>
      <c r="R3243">
        <v>0.99242919258751905</v>
      </c>
      <c r="S3243" t="s">
        <v>8826</v>
      </c>
      <c r="T3243" t="s">
        <v>11164</v>
      </c>
      <c r="U3243" t="s">
        <v>11164</v>
      </c>
      <c r="V3243" t="s">
        <v>11164</v>
      </c>
      <c r="W3243" t="s">
        <v>14367</v>
      </c>
      <c r="X3243">
        <v>14</v>
      </c>
      <c r="Y3243" t="s">
        <v>19852</v>
      </c>
      <c r="Z3243" t="s">
        <v>25393</v>
      </c>
      <c r="AA3243">
        <v>0.59447800681848073</v>
      </c>
      <c r="AB3243" t="str">
        <f>HYPERLINK("Melting_Curves/meltCurve_Q4J6C6_4_PREPL.pdf", "Melting_Curves/meltCurve_Q4J6C6_4_PREPL.pdf")</f>
        <v>Melting_Curves/meltCurve_Q4J6C6_4_PREPL.pdf</v>
      </c>
    </row>
    <row r="3244" spans="1:28" x14ac:dyDescent="0.25">
      <c r="A3244" t="s">
        <v>3248</v>
      </c>
      <c r="B3244">
        <v>0.99796759195183404</v>
      </c>
      <c r="C3244">
        <v>1.1131226026819701</v>
      </c>
      <c r="D3244">
        <v>1.08703872702433</v>
      </c>
      <c r="E3244">
        <v>1.0531261721632801</v>
      </c>
      <c r="F3244">
        <v>0.95698475939066296</v>
      </c>
      <c r="G3244">
        <v>0.56207600927714796</v>
      </c>
      <c r="H3244">
        <v>0.27965788257514401</v>
      </c>
      <c r="I3244">
        <v>0.226727213090437</v>
      </c>
      <c r="J3244">
        <v>0.249244912721962</v>
      </c>
      <c r="K3244">
        <v>0.174030427892649</v>
      </c>
      <c r="L3244">
        <v>2158.6020506086802</v>
      </c>
      <c r="M3244">
        <v>40.332886464125799</v>
      </c>
      <c r="N3244">
        <v>54.289758300216398</v>
      </c>
      <c r="O3244">
        <v>53.388589305855</v>
      </c>
      <c r="P3244">
        <v>-0.14772313357250599</v>
      </c>
      <c r="Q3244">
        <v>0.21783788987619701</v>
      </c>
      <c r="R3244">
        <v>0.98216841422538104</v>
      </c>
      <c r="S3244" t="s">
        <v>8827</v>
      </c>
      <c r="T3244" t="s">
        <v>11164</v>
      </c>
      <c r="U3244" t="s">
        <v>11164</v>
      </c>
      <c r="V3244" t="s">
        <v>11164</v>
      </c>
      <c r="W3244" t="s">
        <v>14368</v>
      </c>
      <c r="X3244">
        <v>8</v>
      </c>
      <c r="Y3244" t="s">
        <v>19853</v>
      </c>
      <c r="Z3244" t="s">
        <v>25394</v>
      </c>
      <c r="AA3244">
        <v>0.65136848814280313</v>
      </c>
      <c r="AB3244" t="str">
        <f>HYPERLINK("Melting_Curves/meltCurve_Q4KMP7_TBC1D10B.pdf", "Melting_Curves/meltCurve_Q4KMP7_TBC1D10B.pdf")</f>
        <v>Melting_Curves/meltCurve_Q4KMP7_TBC1D10B.pdf</v>
      </c>
    </row>
    <row r="3245" spans="1:28" x14ac:dyDescent="0.25">
      <c r="A3245" t="s">
        <v>3249</v>
      </c>
      <c r="B3245">
        <v>0.99796759195183404</v>
      </c>
      <c r="C3245">
        <v>1.13254846087701</v>
      </c>
      <c r="D3245">
        <v>1.2085786562779699</v>
      </c>
      <c r="E3245">
        <v>1.0867204070529499</v>
      </c>
      <c r="F3245">
        <v>1.09115599323576</v>
      </c>
      <c r="G3245">
        <v>1.1114430444252199</v>
      </c>
      <c r="H3245">
        <v>0.900476216340234</v>
      </c>
      <c r="I3245">
        <v>0.39275630819199497</v>
      </c>
      <c r="J3245">
        <v>0.24362733776912601</v>
      </c>
      <c r="K3245">
        <v>0.20243489821857799</v>
      </c>
      <c r="L3245">
        <v>3135.6293897518899</v>
      </c>
      <c r="M3245">
        <v>52.616752975982301</v>
      </c>
      <c r="N3245">
        <v>60.225455201648202</v>
      </c>
      <c r="O3245">
        <v>59.507839337211699</v>
      </c>
      <c r="P3245">
        <v>-0.174171279611954</v>
      </c>
      <c r="Q3245">
        <v>0.21207214893152801</v>
      </c>
      <c r="R3245">
        <v>0.93595246371417395</v>
      </c>
      <c r="S3245" t="s">
        <v>8828</v>
      </c>
      <c r="T3245" t="s">
        <v>11164</v>
      </c>
      <c r="U3245" t="s">
        <v>11164</v>
      </c>
      <c r="V3245" t="s">
        <v>11164</v>
      </c>
      <c r="W3245" t="s">
        <v>14369</v>
      </c>
      <c r="X3245">
        <v>4</v>
      </c>
      <c r="Y3245" t="s">
        <v>19854</v>
      </c>
      <c r="Z3245" t="s">
        <v>25395</v>
      </c>
      <c r="AA3245">
        <v>0.80723256708659907</v>
      </c>
      <c r="AB3245" t="str">
        <f>HYPERLINK("Melting_Curves/meltCurve_Q4KMQ2_3_ANO6.pdf", "Melting_Curves/meltCurve_Q4KMQ2_3_ANO6.pdf")</f>
        <v>Melting_Curves/meltCurve_Q4KMQ2_3_ANO6.pdf</v>
      </c>
    </row>
    <row r="3246" spans="1:28" x14ac:dyDescent="0.25">
      <c r="A3246" t="s">
        <v>3250</v>
      </c>
      <c r="B3246">
        <v>0.99796759195183404</v>
      </c>
      <c r="C3246">
        <v>1.11008166448305</v>
      </c>
      <c r="D3246">
        <v>1.09322350826296</v>
      </c>
      <c r="E3246">
        <v>1.0227976055425301</v>
      </c>
      <c r="F3246">
        <v>0.92119207440111395</v>
      </c>
      <c r="G3246">
        <v>0.67306198734294997</v>
      </c>
      <c r="H3246">
        <v>0.32511301809811599</v>
      </c>
      <c r="I3246">
        <v>0.14216618300023101</v>
      </c>
      <c r="J3246">
        <v>0.123862328141313</v>
      </c>
      <c r="K3246">
        <v>0.10188678291830899</v>
      </c>
      <c r="L3246">
        <v>1448.2445781573099</v>
      </c>
      <c r="M3246">
        <v>26.343434783560099</v>
      </c>
      <c r="N3246">
        <v>55.413484305617303</v>
      </c>
      <c r="O3246">
        <v>54.661680264460799</v>
      </c>
      <c r="P3246">
        <v>-0.109162824371144</v>
      </c>
      <c r="Q3246">
        <v>9.3974168992080206E-2</v>
      </c>
      <c r="R3246">
        <v>0.98673651027183396</v>
      </c>
      <c r="S3246" t="s">
        <v>8829</v>
      </c>
      <c r="T3246" t="s">
        <v>11164</v>
      </c>
      <c r="U3246" t="s">
        <v>11164</v>
      </c>
      <c r="V3246" t="s">
        <v>11164</v>
      </c>
      <c r="W3246" t="s">
        <v>14370</v>
      </c>
      <c r="X3246">
        <v>4</v>
      </c>
      <c r="Y3246" t="s">
        <v>19855</v>
      </c>
      <c r="Z3246" t="s">
        <v>25396</v>
      </c>
      <c r="AA3246">
        <v>0.6439722763349619</v>
      </c>
      <c r="AB3246" t="str">
        <f>HYPERLINK("Melting_Curves/meltCurve_Q4LDG9_DNAL1.pdf", "Melting_Curves/meltCurve_Q4LDG9_DNAL1.pdf")</f>
        <v>Melting_Curves/meltCurve_Q4LDG9_DNAL1.pdf</v>
      </c>
    </row>
    <row r="3247" spans="1:28" x14ac:dyDescent="0.25">
      <c r="A3247" t="s">
        <v>3251</v>
      </c>
      <c r="B3247">
        <v>0.99796759195183404</v>
      </c>
      <c r="C3247">
        <v>0.99385448697212397</v>
      </c>
      <c r="D3247">
        <v>0.97994687517632095</v>
      </c>
      <c r="E3247">
        <v>0.85894592261459801</v>
      </c>
      <c r="F3247">
        <v>0.62951146820309201</v>
      </c>
      <c r="G3247">
        <v>0.40322785143069101</v>
      </c>
      <c r="H3247">
        <v>0.36935822591154599</v>
      </c>
      <c r="I3247">
        <v>0.34694038334128602</v>
      </c>
      <c r="J3247">
        <v>0.37854549799942599</v>
      </c>
      <c r="K3247">
        <v>0.39782929702783099</v>
      </c>
      <c r="L3247">
        <v>1238.7551014119099</v>
      </c>
      <c r="M3247">
        <v>25.168066529809799</v>
      </c>
      <c r="N3247">
        <v>51.902398980082999</v>
      </c>
      <c r="O3247">
        <v>48.9117405704012</v>
      </c>
      <c r="P3247">
        <v>-8.1831944971567899E-2</v>
      </c>
      <c r="Q3247">
        <v>0.36387795926388899</v>
      </c>
      <c r="R3247">
        <v>0.99534713288633303</v>
      </c>
      <c r="S3247" t="s">
        <v>8830</v>
      </c>
      <c r="T3247" t="s">
        <v>11164</v>
      </c>
      <c r="U3247" t="s">
        <v>11164</v>
      </c>
      <c r="V3247" t="s">
        <v>11164</v>
      </c>
      <c r="W3247" t="s">
        <v>14371</v>
      </c>
      <c r="X3247">
        <v>31</v>
      </c>
      <c r="Y3247" t="s">
        <v>19856</v>
      </c>
      <c r="Z3247" t="s">
        <v>25397</v>
      </c>
      <c r="AA3247">
        <v>0.62841861633126761</v>
      </c>
      <c r="AB3247" t="str">
        <f>HYPERLINK("Melting_Curves/meltCurve_Q4V328_GRIPAP1.pdf", "Melting_Curves/meltCurve_Q4V328_GRIPAP1.pdf")</f>
        <v>Melting_Curves/meltCurve_Q4V328_GRIPAP1.pdf</v>
      </c>
    </row>
    <row r="3248" spans="1:28" x14ac:dyDescent="0.25">
      <c r="A3248" t="s">
        <v>3252</v>
      </c>
      <c r="B3248">
        <v>0.99796759195183404</v>
      </c>
      <c r="C3248">
        <v>1.0203335994380101</v>
      </c>
      <c r="D3248">
        <v>1.00916860937707</v>
      </c>
      <c r="E3248">
        <v>0.92824220478373998</v>
      </c>
      <c r="F3248">
        <v>0.95566693518283896</v>
      </c>
      <c r="G3248">
        <v>0.56932586022143306</v>
      </c>
      <c r="H3248">
        <v>0.56788616458306995</v>
      </c>
      <c r="I3248">
        <v>0.60414353341802496</v>
      </c>
      <c r="J3248">
        <v>0.76304426186438301</v>
      </c>
      <c r="K3248">
        <v>0.70296393588203898</v>
      </c>
      <c r="L3248">
        <v>12648.3054084622</v>
      </c>
      <c r="M3248">
        <v>250</v>
      </c>
      <c r="O3248">
        <v>50.589999032267997</v>
      </c>
      <c r="P3248">
        <v>-0.44293261545335699</v>
      </c>
      <c r="Q3248">
        <v>0.64147273704163799</v>
      </c>
      <c r="R3248">
        <v>0.88921483866360596</v>
      </c>
      <c r="S3248" t="s">
        <v>8831</v>
      </c>
      <c r="T3248" t="s">
        <v>11164</v>
      </c>
      <c r="U3248" t="s">
        <v>11164</v>
      </c>
      <c r="V3248" t="s">
        <v>11164</v>
      </c>
      <c r="W3248" t="s">
        <v>14372</v>
      </c>
      <c r="X3248">
        <v>4</v>
      </c>
      <c r="Y3248" t="s">
        <v>19857</v>
      </c>
      <c r="Z3248" t="s">
        <v>25398</v>
      </c>
      <c r="AA3248">
        <v>0.8039559223631525</v>
      </c>
      <c r="AB3248" t="str">
        <f>HYPERLINK("Melting_Curves/meltCurve_Q4VC05_BCL7A.pdf", "Melting_Curves/meltCurve_Q4VC05_BCL7A.pdf")</f>
        <v>Melting_Curves/meltCurve_Q4VC05_BCL7A.pdf</v>
      </c>
    </row>
    <row r="3249" spans="1:28" x14ac:dyDescent="0.25">
      <c r="A3249" t="s">
        <v>3253</v>
      </c>
      <c r="B3249">
        <v>0.99796759195183404</v>
      </c>
      <c r="C3249">
        <v>1.10276959166969</v>
      </c>
      <c r="D3249">
        <v>1.0386936846467101</v>
      </c>
      <c r="E3249">
        <v>1.00998790407773</v>
      </c>
      <c r="F3249">
        <v>0.99989837801274295</v>
      </c>
      <c r="G3249">
        <v>0.69036175671578703</v>
      </c>
      <c r="H3249">
        <v>0.663860188358394</v>
      </c>
      <c r="I3249">
        <v>0.72106099464583095</v>
      </c>
      <c r="J3249">
        <v>0.62446283914165501</v>
      </c>
      <c r="K3249">
        <v>0.23598041808950301</v>
      </c>
      <c r="L3249">
        <v>590.76110178850604</v>
      </c>
      <c r="M3249">
        <v>9.2698773744297291</v>
      </c>
      <c r="N3249">
        <v>63.729115500452203</v>
      </c>
      <c r="O3249">
        <v>60.973947686735599</v>
      </c>
      <c r="P3249">
        <v>-3.8032210467799303E-2</v>
      </c>
      <c r="Q3249">
        <v>0</v>
      </c>
      <c r="R3249">
        <v>0.836322595716123</v>
      </c>
      <c r="S3249" t="s">
        <v>8832</v>
      </c>
      <c r="T3249" t="s">
        <v>11164</v>
      </c>
      <c r="U3249" t="s">
        <v>11164</v>
      </c>
      <c r="V3249" t="s">
        <v>11164</v>
      </c>
      <c r="W3249" t="s">
        <v>14373</v>
      </c>
      <c r="X3249">
        <v>4</v>
      </c>
      <c r="Y3249" t="s">
        <v>19858</v>
      </c>
      <c r="Z3249" t="s">
        <v>25399</v>
      </c>
      <c r="AA3249">
        <v>0.81105083256339439</v>
      </c>
      <c r="AB3249" t="str">
        <f>HYPERLINK("Melting_Curves/meltCurve_Q4ZIN3_2_TMEM259.pdf", "Melting_Curves/meltCurve_Q4ZIN3_2_TMEM259.pdf")</f>
        <v>Melting_Curves/meltCurve_Q4ZIN3_2_TMEM259.pdf</v>
      </c>
    </row>
    <row r="3250" spans="1:28" x14ac:dyDescent="0.25">
      <c r="A3250" t="s">
        <v>3254</v>
      </c>
      <c r="B3250">
        <v>0.99796759195183404</v>
      </c>
      <c r="C3250">
        <v>0.94690976045364295</v>
      </c>
      <c r="D3250">
        <v>1.07082892667164</v>
      </c>
      <c r="E3250">
        <v>0.81075672028718404</v>
      </c>
      <c r="F3250">
        <v>0.72157590572152797</v>
      </c>
      <c r="G3250">
        <v>0.24024809082861501</v>
      </c>
      <c r="H3250">
        <v>0.118219827585429</v>
      </c>
      <c r="I3250">
        <v>0.19820542588022899</v>
      </c>
      <c r="J3250">
        <v>0.10982382234162601</v>
      </c>
      <c r="K3250">
        <v>2.95582217636822E-2</v>
      </c>
      <c r="L3250">
        <v>1271.7056770306301</v>
      </c>
      <c r="M3250">
        <v>24.867969582777</v>
      </c>
      <c r="N3250">
        <v>51.540006345917497</v>
      </c>
      <c r="O3250">
        <v>50.811055730988997</v>
      </c>
      <c r="P3250">
        <v>-0.111577392079359</v>
      </c>
      <c r="Q3250">
        <v>8.8098158298109797E-2</v>
      </c>
      <c r="R3250">
        <v>0.97233370330530999</v>
      </c>
      <c r="S3250" t="s">
        <v>8833</v>
      </c>
      <c r="T3250" t="s">
        <v>11164</v>
      </c>
      <c r="U3250" t="s">
        <v>11164</v>
      </c>
      <c r="V3250" t="s">
        <v>11164</v>
      </c>
      <c r="W3250" t="s">
        <v>14374</v>
      </c>
      <c r="X3250">
        <v>2</v>
      </c>
      <c r="Y3250" t="s">
        <v>19859</v>
      </c>
      <c r="Z3250" t="s">
        <v>25400</v>
      </c>
      <c r="AA3250">
        <v>0.52598791442513793</v>
      </c>
      <c r="AB3250" t="str">
        <f>HYPERLINK("Melting_Curves/meltCurve_Q504Q3_2_PAN2.pdf", "Melting_Curves/meltCurve_Q504Q3_2_PAN2.pdf")</f>
        <v>Melting_Curves/meltCurve_Q504Q3_2_PAN2.pdf</v>
      </c>
    </row>
    <row r="3251" spans="1:28" x14ac:dyDescent="0.25">
      <c r="A3251" t="s">
        <v>3255</v>
      </c>
      <c r="B3251">
        <v>0.99796759195183404</v>
      </c>
      <c r="C3251">
        <v>0.99974946315518998</v>
      </c>
      <c r="D3251">
        <v>1.0250847561340699</v>
      </c>
      <c r="E3251">
        <v>0.89775110651469803</v>
      </c>
      <c r="F3251">
        <v>0.72434570427626299</v>
      </c>
      <c r="G3251">
        <v>0.64866393819763402</v>
      </c>
      <c r="H3251">
        <v>0.52946038531152695</v>
      </c>
      <c r="I3251">
        <v>0.51090916990316304</v>
      </c>
      <c r="J3251">
        <v>0.64113070081194301</v>
      </c>
      <c r="K3251">
        <v>0.56761678840376095</v>
      </c>
      <c r="L3251">
        <v>1199.62951797969</v>
      </c>
      <c r="M3251">
        <v>24.403321259032499</v>
      </c>
      <c r="O3251">
        <v>48.831915540842601</v>
      </c>
      <c r="P3251">
        <v>-5.4332135932602901E-2</v>
      </c>
      <c r="Q3251">
        <v>0.56512428028367001</v>
      </c>
      <c r="R3251">
        <v>0.96296735762653496</v>
      </c>
      <c r="S3251" t="s">
        <v>8834</v>
      </c>
      <c r="T3251" t="s">
        <v>11164</v>
      </c>
      <c r="U3251" t="s">
        <v>11164</v>
      </c>
      <c r="V3251" t="s">
        <v>11164</v>
      </c>
      <c r="W3251" t="s">
        <v>14375</v>
      </c>
      <c r="X3251">
        <v>1</v>
      </c>
      <c r="Y3251" t="s">
        <v>19860</v>
      </c>
      <c r="Z3251" t="s">
        <v>25401</v>
      </c>
      <c r="AA3251">
        <v>0.74531713781227749</v>
      </c>
      <c r="AB3251" t="str">
        <f>HYPERLINK("Melting_Curves/meltCurve_Q504U0_C4orf46.pdf", "Melting_Curves/meltCurve_Q504U0_C4orf46.pdf")</f>
        <v>Melting_Curves/meltCurve_Q504U0_C4orf46.pdf</v>
      </c>
    </row>
    <row r="3252" spans="1:28" x14ac:dyDescent="0.25">
      <c r="A3252" t="s">
        <v>3256</v>
      </c>
      <c r="B3252">
        <v>0.99796759195183404</v>
      </c>
      <c r="C3252">
        <v>1.1051870476447201</v>
      </c>
      <c r="D3252">
        <v>1.0939330109638099</v>
      </c>
      <c r="E3252">
        <v>0.93439446519786296</v>
      </c>
      <c r="F3252">
        <v>0.95403632155578</v>
      </c>
      <c r="G3252">
        <v>0.78704851662057795</v>
      </c>
      <c r="H3252">
        <v>0.29228101807091</v>
      </c>
      <c r="I3252">
        <v>0.23678249860721701</v>
      </c>
      <c r="J3252">
        <v>0.15578187565559301</v>
      </c>
      <c r="K3252">
        <v>0.10923438819825999</v>
      </c>
      <c r="L3252">
        <v>2085.92703893308</v>
      </c>
      <c r="M3252">
        <v>37.765908838452503</v>
      </c>
      <c r="N3252">
        <v>55.767111986021</v>
      </c>
      <c r="O3252">
        <v>55.078890931594401</v>
      </c>
      <c r="P3252">
        <v>-0.14540692228272001</v>
      </c>
      <c r="Q3252">
        <v>0.15173968258655099</v>
      </c>
      <c r="R3252">
        <v>0.97978830763177505</v>
      </c>
      <c r="S3252" t="s">
        <v>8835</v>
      </c>
      <c r="T3252" t="s">
        <v>11164</v>
      </c>
      <c r="U3252" t="s">
        <v>11164</v>
      </c>
      <c r="V3252" t="s">
        <v>11164</v>
      </c>
      <c r="W3252" t="s">
        <v>14376</v>
      </c>
      <c r="X3252">
        <v>5</v>
      </c>
      <c r="Y3252" t="s">
        <v>19861</v>
      </c>
      <c r="Z3252" t="s">
        <v>25402</v>
      </c>
      <c r="AA3252">
        <v>0.67083823341587945</v>
      </c>
      <c r="AB3252" t="str">
        <f>HYPERLINK("Melting_Curves/meltCurve_Q52LJ0_2_FAM98B.pdf", "Melting_Curves/meltCurve_Q52LJ0_2_FAM98B.pdf")</f>
        <v>Melting_Curves/meltCurve_Q52LJ0_2_FAM98B.pdf</v>
      </c>
    </row>
    <row r="3253" spans="1:28" x14ac:dyDescent="0.25">
      <c r="A3253" t="s">
        <v>3257</v>
      </c>
      <c r="B3253">
        <v>0.99796759195183404</v>
      </c>
      <c r="C3253">
        <v>0.94612410574929995</v>
      </c>
      <c r="D3253">
        <v>0.95626766381956896</v>
      </c>
      <c r="E3253">
        <v>0.94148614110259998</v>
      </c>
      <c r="F3253">
        <v>0.68958032507302403</v>
      </c>
      <c r="G3253">
        <v>0.45497558902336899</v>
      </c>
      <c r="H3253">
        <v>0.24990090504617299</v>
      </c>
      <c r="I3253">
        <v>0.217420993954235</v>
      </c>
      <c r="J3253">
        <v>0.12934911677314601</v>
      </c>
      <c r="K3253">
        <v>9.5217666604838602E-2</v>
      </c>
      <c r="L3253">
        <v>875.67055955460205</v>
      </c>
      <c r="M3253">
        <v>16.6988696303066</v>
      </c>
      <c r="N3253">
        <v>53.096869919832997</v>
      </c>
      <c r="O3253">
        <v>51.704205216490401</v>
      </c>
      <c r="P3253">
        <v>-7.3200976850732902E-2</v>
      </c>
      <c r="Q3253">
        <v>9.3460240945668405E-2</v>
      </c>
      <c r="R3253">
        <v>0.99403730881505503</v>
      </c>
      <c r="S3253" t="s">
        <v>8836</v>
      </c>
      <c r="T3253" t="s">
        <v>11164</v>
      </c>
      <c r="U3253" t="s">
        <v>11164</v>
      </c>
      <c r="V3253" t="s">
        <v>11164</v>
      </c>
      <c r="W3253" t="s">
        <v>14377</v>
      </c>
      <c r="X3253">
        <v>2</v>
      </c>
      <c r="Y3253" t="s">
        <v>19862</v>
      </c>
      <c r="Z3253" t="s">
        <v>25403</v>
      </c>
      <c r="AA3253">
        <v>0.57488648754880878</v>
      </c>
      <c r="AB3253" t="str">
        <f>HYPERLINK("Melting_Curves/meltCurve_Q52LW3_ARHGAP29.pdf", "Melting_Curves/meltCurve_Q52LW3_ARHGAP29.pdf")</f>
        <v>Melting_Curves/meltCurve_Q52LW3_ARHGAP29.pdf</v>
      </c>
    </row>
    <row r="3254" spans="1:28" x14ac:dyDescent="0.25">
      <c r="A3254" t="s">
        <v>3258</v>
      </c>
      <c r="B3254">
        <v>0.99796759195183404</v>
      </c>
      <c r="C3254">
        <v>1.0348506196600999</v>
      </c>
      <c r="D3254">
        <v>0.96149196661552905</v>
      </c>
      <c r="E3254">
        <v>0.81734928575667598</v>
      </c>
      <c r="F3254">
        <v>0.89567090627190105</v>
      </c>
      <c r="G3254">
        <v>0.93134841976346305</v>
      </c>
      <c r="H3254">
        <v>0.58251571922632694</v>
      </c>
      <c r="I3254">
        <v>0.35265818651124198</v>
      </c>
      <c r="J3254">
        <v>0.26012537717005801</v>
      </c>
      <c r="K3254">
        <v>0.12247235762181399</v>
      </c>
      <c r="L3254">
        <v>938.92471775015997</v>
      </c>
      <c r="M3254">
        <v>15.881629506574599</v>
      </c>
      <c r="N3254">
        <v>59.120175521979299</v>
      </c>
      <c r="O3254">
        <v>58.206651581669497</v>
      </c>
      <c r="P3254">
        <v>-6.8217770532045696E-2</v>
      </c>
      <c r="Q3254">
        <v>0</v>
      </c>
      <c r="R3254">
        <v>0.95432638208626297</v>
      </c>
      <c r="S3254" t="s">
        <v>8837</v>
      </c>
      <c r="T3254" t="s">
        <v>11164</v>
      </c>
      <c r="U3254" t="s">
        <v>11164</v>
      </c>
      <c r="V3254" t="s">
        <v>11164</v>
      </c>
      <c r="W3254" t="s">
        <v>14378</v>
      </c>
      <c r="X3254">
        <v>7</v>
      </c>
      <c r="Y3254" t="s">
        <v>19863</v>
      </c>
      <c r="Z3254" t="s">
        <v>25404</v>
      </c>
      <c r="AA3254">
        <v>0.73731507141653552</v>
      </c>
      <c r="AB3254" t="str">
        <f>HYPERLINK("Melting_Curves/meltCurve_Q53EL6_2_PDCD4.pdf", "Melting_Curves/meltCurve_Q53EL6_2_PDCD4.pdf")</f>
        <v>Melting_Curves/meltCurve_Q53EL6_2_PDCD4.pdf</v>
      </c>
    </row>
    <row r="3255" spans="1:28" x14ac:dyDescent="0.25">
      <c r="A3255" t="s">
        <v>3259</v>
      </c>
      <c r="B3255">
        <v>0.99796759195183404</v>
      </c>
      <c r="C3255">
        <v>1.1049971205842799</v>
      </c>
      <c r="D3255">
        <v>1.09233171847313</v>
      </c>
      <c r="E3255">
        <v>0.93998673301829805</v>
      </c>
      <c r="F3255">
        <v>0.86939068806150199</v>
      </c>
      <c r="G3255">
        <v>0.56239082598162704</v>
      </c>
      <c r="H3255">
        <v>0.601428505512411</v>
      </c>
      <c r="I3255">
        <v>0.58882030858138101</v>
      </c>
      <c r="J3255">
        <v>0.66996051905929999</v>
      </c>
      <c r="K3255">
        <v>0.55315059034314595</v>
      </c>
      <c r="L3255">
        <v>12587.238105509199</v>
      </c>
      <c r="M3255">
        <v>250</v>
      </c>
      <c r="O3255">
        <v>50.3457361680845</v>
      </c>
      <c r="P3255">
        <v>-0.5025871288014</v>
      </c>
      <c r="Q3255">
        <v>0.59515014278084599</v>
      </c>
      <c r="R3255">
        <v>0.93121167571298902</v>
      </c>
      <c r="S3255" t="s">
        <v>8838</v>
      </c>
      <c r="T3255" t="s">
        <v>11164</v>
      </c>
      <c r="U3255" t="s">
        <v>11164</v>
      </c>
      <c r="V3255" t="s">
        <v>11164</v>
      </c>
      <c r="W3255" t="s">
        <v>14379</v>
      </c>
      <c r="X3255">
        <v>4</v>
      </c>
      <c r="Y3255" t="s">
        <v>19864</v>
      </c>
      <c r="Z3255" t="s">
        <v>25405</v>
      </c>
      <c r="AA3255">
        <v>0.77532996537617782</v>
      </c>
      <c r="AB3255" t="str">
        <f>HYPERLINK("Melting_Curves/meltCurve_Q53ET0_CRTC2.pdf", "Melting_Curves/meltCurve_Q53ET0_CRTC2.pdf")</f>
        <v>Melting_Curves/meltCurve_Q53ET0_CRTC2.pdf</v>
      </c>
    </row>
    <row r="3256" spans="1:28" x14ac:dyDescent="0.25">
      <c r="A3256" t="s">
        <v>3260</v>
      </c>
      <c r="B3256">
        <v>0.99796759195183404</v>
      </c>
      <c r="C3256">
        <v>1.09657520486236</v>
      </c>
      <c r="D3256">
        <v>1.07421996522547</v>
      </c>
      <c r="E3256">
        <v>0.99571912748298697</v>
      </c>
      <c r="F3256">
        <v>0.48965878273708902</v>
      </c>
      <c r="G3256">
        <v>0.295950483343769</v>
      </c>
      <c r="H3256">
        <v>0.25008675833529198</v>
      </c>
      <c r="I3256">
        <v>0.24019183239352401</v>
      </c>
      <c r="J3256">
        <v>0.18130518432552001</v>
      </c>
      <c r="K3256">
        <v>0.121728918381803</v>
      </c>
      <c r="L3256">
        <v>2322.7665436887401</v>
      </c>
      <c r="M3256">
        <v>46.8045736811168</v>
      </c>
      <c r="N3256">
        <v>50.217850686276499</v>
      </c>
      <c r="O3256">
        <v>49.536574910099503</v>
      </c>
      <c r="P3256">
        <v>-0.186195247579865</v>
      </c>
      <c r="Q3256">
        <v>0.21174674759140499</v>
      </c>
      <c r="R3256">
        <v>0.97962468857912099</v>
      </c>
      <c r="S3256" t="s">
        <v>8839</v>
      </c>
      <c r="T3256" t="s">
        <v>11164</v>
      </c>
      <c r="U3256" t="s">
        <v>11164</v>
      </c>
      <c r="V3256" t="s">
        <v>11164</v>
      </c>
      <c r="W3256" t="s">
        <v>14380</v>
      </c>
      <c r="X3256">
        <v>9</v>
      </c>
      <c r="Y3256" t="s">
        <v>19865</v>
      </c>
      <c r="Z3256" t="s">
        <v>25406</v>
      </c>
      <c r="AA3256">
        <v>0.545490751069725</v>
      </c>
      <c r="AB3256" t="str">
        <f>HYPERLINK("Melting_Curves/meltCurve_Q53EZ4_CEP55.pdf", "Melting_Curves/meltCurve_Q53EZ4_CEP55.pdf")</f>
        <v>Melting_Curves/meltCurve_Q53EZ4_CEP55.pdf</v>
      </c>
    </row>
    <row r="3257" spans="1:28" x14ac:dyDescent="0.25">
      <c r="A3257" t="s">
        <v>3261</v>
      </c>
      <c r="B3257">
        <v>0.99796759195183404</v>
      </c>
      <c r="C3257">
        <v>0.96193324302578898</v>
      </c>
      <c r="D3257">
        <v>1.15259283919299</v>
      </c>
      <c r="E3257">
        <v>0.90905798050421405</v>
      </c>
      <c r="F3257">
        <v>0.60432213024583903</v>
      </c>
      <c r="G3257">
        <v>0.100395273132191</v>
      </c>
      <c r="H3257">
        <v>0.45935584903092902</v>
      </c>
      <c r="I3257">
        <v>0.107983952147005</v>
      </c>
      <c r="J3257">
        <v>0.112750626716193</v>
      </c>
      <c r="K3257">
        <v>0.121873980022858</v>
      </c>
      <c r="L3257">
        <v>12553.452735036501</v>
      </c>
      <c r="M3257">
        <v>250</v>
      </c>
      <c r="N3257">
        <v>50.303909466529902</v>
      </c>
      <c r="O3257">
        <v>50.210612271148499</v>
      </c>
      <c r="P3257">
        <v>-1.02011342031945</v>
      </c>
      <c r="Q3257">
        <v>0.18047192877727999</v>
      </c>
      <c r="R3257">
        <v>0.92071002839577798</v>
      </c>
      <c r="S3257" t="s">
        <v>8840</v>
      </c>
      <c r="T3257" t="s">
        <v>11164</v>
      </c>
      <c r="U3257" t="s">
        <v>11164</v>
      </c>
      <c r="V3257" t="s">
        <v>11164</v>
      </c>
      <c r="W3257" t="s">
        <v>14381</v>
      </c>
      <c r="X3257">
        <v>2</v>
      </c>
      <c r="Y3257" t="s">
        <v>19866</v>
      </c>
      <c r="Z3257" t="s">
        <v>25407</v>
      </c>
      <c r="AA3257">
        <v>0.54151378235262559</v>
      </c>
      <c r="AB3257" t="str">
        <f>HYPERLINK("Melting_Curves/meltCurve_Q53F19_C17orf85.pdf", "Melting_Curves/meltCurve_Q53F19_C17orf85.pdf")</f>
        <v>Melting_Curves/meltCurve_Q53F19_C17orf85.pdf</v>
      </c>
    </row>
    <row r="3258" spans="1:28" x14ac:dyDescent="0.25">
      <c r="A3258" t="s">
        <v>3262</v>
      </c>
      <c r="B3258">
        <v>0.99796759195183404</v>
      </c>
      <c r="C3258">
        <v>1.0542796546976201</v>
      </c>
      <c r="D3258">
        <v>1.0919958700488599</v>
      </c>
      <c r="E3258">
        <v>1.05160070737914</v>
      </c>
      <c r="F3258">
        <v>0.87810573488831101</v>
      </c>
      <c r="G3258">
        <v>0.66283467286222197</v>
      </c>
      <c r="H3258">
        <v>0.68145533725458995</v>
      </c>
      <c r="I3258">
        <v>0.59949483923575297</v>
      </c>
      <c r="J3258">
        <v>0.72954907465878405</v>
      </c>
      <c r="K3258">
        <v>0.59597647013849997</v>
      </c>
      <c r="L3258">
        <v>4185.2349784150601</v>
      </c>
      <c r="M3258">
        <v>82.754056087552499</v>
      </c>
      <c r="O3258">
        <v>50.544867437988202</v>
      </c>
      <c r="P3258">
        <v>-0.14188898961423299</v>
      </c>
      <c r="Q3258">
        <v>0.65334584472434798</v>
      </c>
      <c r="R3258">
        <v>0.926459005587429</v>
      </c>
      <c r="S3258" t="s">
        <v>8841</v>
      </c>
      <c r="T3258" t="s">
        <v>11164</v>
      </c>
      <c r="U3258" t="s">
        <v>11164</v>
      </c>
      <c r="V3258" t="s">
        <v>11164</v>
      </c>
      <c r="W3258" t="s">
        <v>14382</v>
      </c>
      <c r="X3258">
        <v>17</v>
      </c>
      <c r="Y3258" t="s">
        <v>19867</v>
      </c>
      <c r="Z3258" t="s">
        <v>25408</v>
      </c>
      <c r="AA3258">
        <v>0.81048098162440174</v>
      </c>
      <c r="AB3258" t="str">
        <f>HYPERLINK("Melting_Curves/meltCurve_Q53GG5_2_PDLIM3.pdf", "Melting_Curves/meltCurve_Q53GG5_2_PDLIM3.pdf")</f>
        <v>Melting_Curves/meltCurve_Q53GG5_2_PDLIM3.pdf</v>
      </c>
    </row>
    <row r="3259" spans="1:28" x14ac:dyDescent="0.25">
      <c r="A3259" t="s">
        <v>3263</v>
      </c>
      <c r="B3259">
        <v>0.99796759195183404</v>
      </c>
      <c r="C3259">
        <v>1.0001347047061</v>
      </c>
      <c r="D3259">
        <v>1.07205255061363</v>
      </c>
      <c r="E3259">
        <v>1.00328532976221</v>
      </c>
      <c r="F3259">
        <v>0.88042767744333195</v>
      </c>
      <c r="G3259">
        <v>0.615068642573115</v>
      </c>
      <c r="H3259">
        <v>0.36951065984440501</v>
      </c>
      <c r="I3259">
        <v>0.18579562422670001</v>
      </c>
      <c r="J3259">
        <v>0.12350084225809201</v>
      </c>
      <c r="K3259">
        <v>9.0124257284454307E-2</v>
      </c>
      <c r="L3259">
        <v>1092.97199316557</v>
      </c>
      <c r="M3259">
        <v>19.878069015740301</v>
      </c>
      <c r="N3259">
        <v>55.410960429402998</v>
      </c>
      <c r="O3259">
        <v>54.4364188772118</v>
      </c>
      <c r="P3259">
        <v>-8.4808419213171907E-2</v>
      </c>
      <c r="Q3259">
        <v>7.1033972440519594E-2</v>
      </c>
      <c r="R3259">
        <v>0.99505992834542201</v>
      </c>
      <c r="S3259" t="s">
        <v>8842</v>
      </c>
      <c r="T3259" t="s">
        <v>11164</v>
      </c>
      <c r="U3259" t="s">
        <v>11164</v>
      </c>
      <c r="V3259" t="s">
        <v>11164</v>
      </c>
      <c r="W3259" t="s">
        <v>14383</v>
      </c>
      <c r="X3259">
        <v>7</v>
      </c>
      <c r="Y3259" t="s">
        <v>19868</v>
      </c>
      <c r="Z3259" t="s">
        <v>25409</v>
      </c>
      <c r="AA3259">
        <v>0.6385348677805377</v>
      </c>
      <c r="AB3259" t="str">
        <f>HYPERLINK("Melting_Curves/meltCurve_Q53GQ0_HSD17B12.pdf", "Melting_Curves/meltCurve_Q53GQ0_HSD17B12.pdf")</f>
        <v>Melting_Curves/meltCurve_Q53GQ0_HSD17B12.pdf</v>
      </c>
    </row>
    <row r="3260" spans="1:28" x14ac:dyDescent="0.25">
      <c r="A3260" t="s">
        <v>3264</v>
      </c>
      <c r="B3260">
        <v>0.99796759195183404</v>
      </c>
      <c r="C3260">
        <v>0.84928983782316803</v>
      </c>
      <c r="D3260">
        <v>0.76251909875967405</v>
      </c>
      <c r="E3260">
        <v>0.64850349682396202</v>
      </c>
      <c r="F3260">
        <v>0.73937822378082096</v>
      </c>
      <c r="G3260">
        <v>0.64338757485084297</v>
      </c>
      <c r="H3260">
        <v>0.53811398673400801</v>
      </c>
      <c r="I3260">
        <v>0.38493072394928302</v>
      </c>
      <c r="J3260">
        <v>0.30577016586233602</v>
      </c>
      <c r="K3260">
        <v>0.19017776401914399</v>
      </c>
      <c r="L3260">
        <v>303.44567577406701</v>
      </c>
      <c r="M3260">
        <v>5.4183690662552904</v>
      </c>
      <c r="N3260">
        <v>56.003122409373603</v>
      </c>
      <c r="O3260">
        <v>49.7506898953582</v>
      </c>
      <c r="P3260">
        <v>-2.7353983714492301E-2</v>
      </c>
      <c r="Q3260">
        <v>0</v>
      </c>
      <c r="R3260">
        <v>0.90786223567193203</v>
      </c>
      <c r="S3260" t="s">
        <v>8843</v>
      </c>
      <c r="T3260" t="s">
        <v>11164</v>
      </c>
      <c r="U3260" t="s">
        <v>11164</v>
      </c>
      <c r="V3260" t="s">
        <v>11164</v>
      </c>
      <c r="W3260" t="s">
        <v>14384</v>
      </c>
      <c r="X3260">
        <v>1</v>
      </c>
      <c r="Y3260" t="s">
        <v>19869</v>
      </c>
      <c r="Z3260" t="s">
        <v>25410</v>
      </c>
      <c r="AA3260">
        <v>0.61094318001241765</v>
      </c>
      <c r="AB3260" t="str">
        <f>HYPERLINK("Melting_Curves/meltCurve_Q53H80_AKIRIN2.pdf", "Melting_Curves/meltCurve_Q53H80_AKIRIN2.pdf")</f>
        <v>Melting_Curves/meltCurve_Q53H80_AKIRIN2.pdf</v>
      </c>
    </row>
    <row r="3261" spans="1:28" x14ac:dyDescent="0.25">
      <c r="A3261" t="s">
        <v>3265</v>
      </c>
      <c r="B3261">
        <v>0.99796759195183404</v>
      </c>
      <c r="C3261">
        <v>0.98772229631403097</v>
      </c>
      <c r="D3261">
        <v>0.97016628075604905</v>
      </c>
      <c r="E3261">
        <v>0.90214886766744196</v>
      </c>
      <c r="F3261">
        <v>0.76540368414396998</v>
      </c>
      <c r="G3261">
        <v>0.50087036074729696</v>
      </c>
      <c r="H3261">
        <v>0.49771301493342501</v>
      </c>
      <c r="I3261">
        <v>0.38362073092274102</v>
      </c>
      <c r="J3261">
        <v>0.39360384423115702</v>
      </c>
      <c r="K3261">
        <v>0.342154551748174</v>
      </c>
      <c r="L3261">
        <v>893.49479679507101</v>
      </c>
      <c r="M3261">
        <v>17.4199942675417</v>
      </c>
      <c r="N3261">
        <v>55.265171677872502</v>
      </c>
      <c r="O3261">
        <v>50.629728868352302</v>
      </c>
      <c r="P3261">
        <v>-5.53017598712571E-2</v>
      </c>
      <c r="Q3261">
        <v>0.35711668123157903</v>
      </c>
      <c r="R3261">
        <v>0.988763590494394</v>
      </c>
      <c r="S3261" t="s">
        <v>8844</v>
      </c>
      <c r="T3261" t="s">
        <v>11164</v>
      </c>
      <c r="U3261" t="s">
        <v>11164</v>
      </c>
      <c r="V3261" t="s">
        <v>11164</v>
      </c>
      <c r="W3261" t="s">
        <v>14385</v>
      </c>
      <c r="X3261">
        <v>12</v>
      </c>
      <c r="Y3261" t="s">
        <v>19870</v>
      </c>
      <c r="Z3261" t="s">
        <v>25411</v>
      </c>
      <c r="AA3261">
        <v>0.67377716788258502</v>
      </c>
      <c r="AB3261" t="str">
        <f>HYPERLINK("Melting_Curves/meltCurve_Q53H82_LACTB2.pdf", "Melting_Curves/meltCurve_Q53H82_LACTB2.pdf")</f>
        <v>Melting_Curves/meltCurve_Q53H82_LACTB2.pdf</v>
      </c>
    </row>
    <row r="3262" spans="1:28" x14ac:dyDescent="0.25">
      <c r="A3262" t="s">
        <v>3266</v>
      </c>
      <c r="B3262">
        <v>0.99796759195183404</v>
      </c>
      <c r="C3262">
        <v>0.94986667261657098</v>
      </c>
      <c r="D3262">
        <v>0.82776816549255405</v>
      </c>
      <c r="E3262">
        <v>0.751738692628381</v>
      </c>
      <c r="F3262">
        <v>0.73624597378335299</v>
      </c>
      <c r="G3262">
        <v>0.78274111469181495</v>
      </c>
      <c r="H3262">
        <v>0.652972451560489</v>
      </c>
      <c r="I3262">
        <v>0.54291050884319003</v>
      </c>
      <c r="J3262">
        <v>0.50060633060178406</v>
      </c>
      <c r="K3262">
        <v>0.37649138639730401</v>
      </c>
      <c r="L3262">
        <v>274.60032054546599</v>
      </c>
      <c r="M3262">
        <v>4.32865799343781</v>
      </c>
      <c r="N3262">
        <v>63.437738902136701</v>
      </c>
      <c r="O3262">
        <v>53.334805731716202</v>
      </c>
      <c r="P3262">
        <v>-2.0491807152526301E-2</v>
      </c>
      <c r="Q3262">
        <v>0</v>
      </c>
      <c r="R3262">
        <v>0.92069377334483005</v>
      </c>
      <c r="S3262" t="s">
        <v>8845</v>
      </c>
      <c r="T3262" t="s">
        <v>11164</v>
      </c>
      <c r="U3262" t="s">
        <v>11164</v>
      </c>
      <c r="V3262" t="s">
        <v>11164</v>
      </c>
      <c r="W3262" t="s">
        <v>14386</v>
      </c>
      <c r="X3262">
        <v>9</v>
      </c>
      <c r="Y3262" t="s">
        <v>17504</v>
      </c>
      <c r="Z3262" t="s">
        <v>25412</v>
      </c>
      <c r="AA3262">
        <v>0.71494628077965749</v>
      </c>
      <c r="AB3262" t="str">
        <f>HYPERLINK("Melting_Curves/meltCurve_Q53H96_PYCRL.pdf", "Melting_Curves/meltCurve_Q53H96_PYCRL.pdf")</f>
        <v>Melting_Curves/meltCurve_Q53H96_PYCRL.pdf</v>
      </c>
    </row>
    <row r="3263" spans="1:28" x14ac:dyDescent="0.25">
      <c r="A3263" t="s">
        <v>3267</v>
      </c>
      <c r="B3263">
        <v>0.99796759195183404</v>
      </c>
      <c r="C3263">
        <v>0.96049492594949104</v>
      </c>
      <c r="D3263">
        <v>0.94637396791026895</v>
      </c>
      <c r="E3263">
        <v>0.95577602751907798</v>
      </c>
      <c r="F3263">
        <v>0.82224151966216197</v>
      </c>
      <c r="G3263">
        <v>0.54367708741755205</v>
      </c>
      <c r="H3263">
        <v>0.30266303886556301</v>
      </c>
      <c r="I3263">
        <v>0.146071269541617</v>
      </c>
      <c r="J3263">
        <v>0.11095621016924199</v>
      </c>
      <c r="K3263">
        <v>9.4551770110987698E-2</v>
      </c>
      <c r="L3263">
        <v>1008.03176879706</v>
      </c>
      <c r="M3263">
        <v>18.669740563622899</v>
      </c>
      <c r="N3263">
        <v>54.383140576951</v>
      </c>
      <c r="O3263">
        <v>53.384811619782603</v>
      </c>
      <c r="P3263">
        <v>-8.1951234840928103E-2</v>
      </c>
      <c r="Q3263">
        <v>6.2705133166759103E-2</v>
      </c>
      <c r="R3263">
        <v>0.997131598947676</v>
      </c>
      <c r="S3263" t="s">
        <v>8846</v>
      </c>
      <c r="T3263" t="s">
        <v>11164</v>
      </c>
      <c r="U3263" t="s">
        <v>11164</v>
      </c>
      <c r="V3263" t="s">
        <v>11164</v>
      </c>
      <c r="W3263" t="s">
        <v>14387</v>
      </c>
      <c r="X3263">
        <v>7</v>
      </c>
      <c r="Y3263" t="s">
        <v>19871</v>
      </c>
      <c r="Z3263" t="s">
        <v>25413</v>
      </c>
      <c r="AA3263">
        <v>0.6059533984545582</v>
      </c>
      <c r="AB3263" t="str">
        <f>HYPERLINK("Melting_Curves/meltCurve_Q53HV7_SMUG1.pdf", "Melting_Curves/meltCurve_Q53HV7_SMUG1.pdf")</f>
        <v>Melting_Curves/meltCurve_Q53HV7_SMUG1.pdf</v>
      </c>
    </row>
    <row r="3264" spans="1:28" x14ac:dyDescent="0.25">
      <c r="A3264" t="s">
        <v>3268</v>
      </c>
      <c r="B3264">
        <v>0.99796759195183404</v>
      </c>
      <c r="C3264">
        <v>0.97196673081086504</v>
      </c>
      <c r="D3264">
        <v>0.953081830146152</v>
      </c>
      <c r="E3264">
        <v>0.90017644012887399</v>
      </c>
      <c r="F3264">
        <v>0.70847198043831605</v>
      </c>
      <c r="G3264">
        <v>0.55333262429304697</v>
      </c>
      <c r="H3264">
        <v>0.42844359730517401</v>
      </c>
      <c r="I3264">
        <v>0.28666245061782603</v>
      </c>
      <c r="J3264">
        <v>0.28416432331885499</v>
      </c>
      <c r="K3264">
        <v>0.24236095697260199</v>
      </c>
      <c r="L3264">
        <v>675.95466728154202</v>
      </c>
      <c r="M3264">
        <v>12.786940824879901</v>
      </c>
      <c r="N3264">
        <v>54.946602413060099</v>
      </c>
      <c r="O3264">
        <v>51.620019678745898</v>
      </c>
      <c r="P3264">
        <v>-5.00397644965761E-2</v>
      </c>
      <c r="Q3264">
        <v>0.19212343638441601</v>
      </c>
      <c r="R3264">
        <v>0.99687885116664998</v>
      </c>
      <c r="S3264" t="s">
        <v>8847</v>
      </c>
      <c r="T3264" t="s">
        <v>11164</v>
      </c>
      <c r="U3264" t="s">
        <v>11164</v>
      </c>
      <c r="V3264" t="s">
        <v>11164</v>
      </c>
      <c r="W3264" t="s">
        <v>14388</v>
      </c>
      <c r="X3264">
        <v>6</v>
      </c>
      <c r="Y3264" t="s">
        <v>19872</v>
      </c>
      <c r="Z3264" t="s">
        <v>25414</v>
      </c>
      <c r="AA3264">
        <v>0.63596967095511714</v>
      </c>
      <c r="AB3264" t="str">
        <f>HYPERLINK("Melting_Curves/meltCurve_Q53S33_BOLA3.pdf", "Melting_Curves/meltCurve_Q53S33_BOLA3.pdf")</f>
        <v>Melting_Curves/meltCurve_Q53S33_BOLA3.pdf</v>
      </c>
    </row>
    <row r="3265" spans="1:28" x14ac:dyDescent="0.25">
      <c r="A3265" t="s">
        <v>3269</v>
      </c>
      <c r="B3265">
        <v>0.99796759195183404</v>
      </c>
      <c r="C3265">
        <v>1.0032754573940501</v>
      </c>
      <c r="D3265">
        <v>0.96949420125422403</v>
      </c>
      <c r="E3265">
        <v>0.88109639421202102</v>
      </c>
      <c r="F3265">
        <v>0.87952469434438796</v>
      </c>
      <c r="G3265">
        <v>0.58106504498289502</v>
      </c>
      <c r="H3265">
        <v>0.41724505024110697</v>
      </c>
      <c r="I3265">
        <v>0.30359514174518898</v>
      </c>
      <c r="J3265">
        <v>0.20292115551782899</v>
      </c>
      <c r="K3265">
        <v>0.15783112989338999</v>
      </c>
      <c r="L3265">
        <v>760.45385153232803</v>
      </c>
      <c r="M3265">
        <v>13.812250696460699</v>
      </c>
      <c r="N3265">
        <v>55.8928323933334</v>
      </c>
      <c r="O3265">
        <v>53.940900577591002</v>
      </c>
      <c r="P3265">
        <v>-5.80472389287853E-2</v>
      </c>
      <c r="Q3265">
        <v>9.3360292313123303E-2</v>
      </c>
      <c r="R3265">
        <v>0.99117324568807197</v>
      </c>
      <c r="S3265" t="s">
        <v>8848</v>
      </c>
      <c r="T3265" t="s">
        <v>11164</v>
      </c>
      <c r="U3265" t="s">
        <v>11164</v>
      </c>
      <c r="V3265" t="s">
        <v>11164</v>
      </c>
      <c r="W3265" t="s">
        <v>14389</v>
      </c>
      <c r="X3265">
        <v>1</v>
      </c>
      <c r="Y3265" t="s">
        <v>19873</v>
      </c>
      <c r="Z3265" t="s">
        <v>25415</v>
      </c>
      <c r="AA3265">
        <v>0.65196662734425648</v>
      </c>
      <c r="AB3265" t="str">
        <f>HYPERLINK("Melting_Curves/meltCurve_Q53S58_TMEM177.pdf", "Melting_Curves/meltCurve_Q53S58_TMEM177.pdf")</f>
        <v>Melting_Curves/meltCurve_Q53S58_TMEM177.pdf</v>
      </c>
    </row>
    <row r="3266" spans="1:28" x14ac:dyDescent="0.25">
      <c r="A3266" t="s">
        <v>3270</v>
      </c>
      <c r="B3266">
        <v>0.99796759195183404</v>
      </c>
      <c r="C3266">
        <v>0.97772240325258997</v>
      </c>
      <c r="D3266">
        <v>0.98058357784775996</v>
      </c>
      <c r="E3266">
        <v>0.90145742074965196</v>
      </c>
      <c r="F3266">
        <v>0.741246488335771</v>
      </c>
      <c r="G3266">
        <v>0.35895838920425699</v>
      </c>
      <c r="H3266">
        <v>0.25286827937522799</v>
      </c>
      <c r="I3266">
        <v>0.19776816081080401</v>
      </c>
      <c r="J3266">
        <v>0.14569037648996599</v>
      </c>
      <c r="K3266">
        <v>0.102579780774419</v>
      </c>
      <c r="L3266">
        <v>1090.7365800678499</v>
      </c>
      <c r="M3266">
        <v>21.0560791601274</v>
      </c>
      <c r="N3266">
        <v>52.550787709419303</v>
      </c>
      <c r="O3266">
        <v>51.341063801174698</v>
      </c>
      <c r="P3266">
        <v>-8.9237300174541803E-2</v>
      </c>
      <c r="Q3266">
        <v>0.129673551394201</v>
      </c>
      <c r="R3266">
        <v>0.99472188237251502</v>
      </c>
      <c r="S3266" t="s">
        <v>8849</v>
      </c>
      <c r="T3266" t="s">
        <v>11164</v>
      </c>
      <c r="U3266" t="s">
        <v>11164</v>
      </c>
      <c r="V3266" t="s">
        <v>11164</v>
      </c>
      <c r="W3266" t="s">
        <v>14390</v>
      </c>
      <c r="X3266">
        <v>12</v>
      </c>
      <c r="Y3266" t="s">
        <v>19874</v>
      </c>
      <c r="Z3266" t="s">
        <v>25416</v>
      </c>
      <c r="AA3266">
        <v>0.56945672721374052</v>
      </c>
      <c r="AB3266" t="str">
        <f>HYPERLINK("Melting_Curves/meltCurve_Q53T59_HS1BP3.pdf", "Melting_Curves/meltCurve_Q53T59_HS1BP3.pdf")</f>
        <v>Melting_Curves/meltCurve_Q53T59_HS1BP3.pdf</v>
      </c>
    </row>
    <row r="3267" spans="1:28" x14ac:dyDescent="0.25">
      <c r="A3267" t="s">
        <v>3271</v>
      </c>
      <c r="B3267">
        <v>0.99796759195183404</v>
      </c>
      <c r="C3267">
        <v>1.05579779832392</v>
      </c>
      <c r="D3267">
        <v>0.98387349889956499</v>
      </c>
      <c r="E3267">
        <v>1.0688138814455801</v>
      </c>
      <c r="F3267">
        <v>1.0691292424113601</v>
      </c>
      <c r="G3267">
        <v>0.30274130614075201</v>
      </c>
      <c r="H3267">
        <v>0.35367101081083502</v>
      </c>
      <c r="I3267">
        <v>0.29882631017155697</v>
      </c>
      <c r="J3267">
        <v>0.21479838249510799</v>
      </c>
      <c r="K3267">
        <v>0.362431130311481</v>
      </c>
      <c r="L3267">
        <v>13059.3578511667</v>
      </c>
      <c r="M3267">
        <v>250</v>
      </c>
      <c r="N3267">
        <v>52.436438218309</v>
      </c>
      <c r="O3267">
        <v>52.234088567475403</v>
      </c>
      <c r="P3267">
        <v>-0.82992093639387199</v>
      </c>
      <c r="Q3267">
        <v>0.30639738184188697</v>
      </c>
      <c r="R3267">
        <v>0.98016382248739198</v>
      </c>
      <c r="S3267" t="s">
        <v>8850</v>
      </c>
      <c r="T3267" t="s">
        <v>11164</v>
      </c>
      <c r="U3267" t="s">
        <v>11164</v>
      </c>
      <c r="V3267" t="s">
        <v>11164</v>
      </c>
      <c r="W3267" t="s">
        <v>14391</v>
      </c>
      <c r="X3267">
        <v>14</v>
      </c>
      <c r="Y3267" t="s">
        <v>19875</v>
      </c>
      <c r="Z3267" t="s">
        <v>25417</v>
      </c>
      <c r="AA3267">
        <v>0.65875171234771746</v>
      </c>
      <c r="AB3267" t="str">
        <f>HYPERLINK("Melting_Curves/meltCurve_Q562R1_ACTBL2.pdf", "Melting_Curves/meltCurve_Q562R1_ACTBL2.pdf")</f>
        <v>Melting_Curves/meltCurve_Q562R1_ACTBL2.pdf</v>
      </c>
    </row>
    <row r="3268" spans="1:28" x14ac:dyDescent="0.25">
      <c r="A3268" t="s">
        <v>3272</v>
      </c>
      <c r="B3268">
        <v>0.99796759195183404</v>
      </c>
      <c r="C3268">
        <v>1.76858694871955</v>
      </c>
      <c r="D3268">
        <v>1.5497082653771601</v>
      </c>
      <c r="E3268">
        <v>0.89234539976652505</v>
      </c>
      <c r="F3268">
        <v>1.97135571542456</v>
      </c>
      <c r="G3268">
        <v>1.10342294278669</v>
      </c>
      <c r="H3268">
        <v>0.54240582569526896</v>
      </c>
      <c r="I3268">
        <v>0.29830151516514303</v>
      </c>
      <c r="J3268">
        <v>0.37120919555968801</v>
      </c>
      <c r="K3268">
        <v>0.31411315346416302</v>
      </c>
      <c r="L3268">
        <v>14306.5179479782</v>
      </c>
      <c r="M3268">
        <v>250</v>
      </c>
      <c r="N3268">
        <v>57.471239679149299</v>
      </c>
      <c r="O3268">
        <v>57.222386896138502</v>
      </c>
      <c r="P3268">
        <v>-0.73411516879965899</v>
      </c>
      <c r="Q3268">
        <v>0.32787457578715701</v>
      </c>
      <c r="R3268">
        <v>0.456079672137016</v>
      </c>
      <c r="S3268" t="s">
        <v>8851</v>
      </c>
      <c r="T3268" t="s">
        <v>11164</v>
      </c>
      <c r="U3268" t="s">
        <v>11164</v>
      </c>
      <c r="V3268" t="s">
        <v>11164</v>
      </c>
      <c r="W3268" t="s">
        <v>13784</v>
      </c>
      <c r="X3268">
        <v>14</v>
      </c>
      <c r="Y3268" t="s">
        <v>19286</v>
      </c>
      <c r="Z3268" t="s">
        <v>25418</v>
      </c>
      <c r="AA3268">
        <v>0.78109064736843703</v>
      </c>
      <c r="AB3268" t="str">
        <f>HYPERLINK("Melting_Curves/meltCurve_Q567Q0_PPIA.pdf", "Melting_Curves/meltCurve_Q567Q0_PPIA.pdf")</f>
        <v>Melting_Curves/meltCurve_Q567Q0_PPIA.pdf</v>
      </c>
    </row>
    <row r="3269" spans="1:28" x14ac:dyDescent="0.25">
      <c r="A3269" t="s">
        <v>3273</v>
      </c>
      <c r="B3269">
        <v>0.99796759195183404</v>
      </c>
      <c r="C3269">
        <v>0.94823613544918794</v>
      </c>
      <c r="D3269">
        <v>0.93257206838738405</v>
      </c>
      <c r="E3269">
        <v>0.64089953296137003</v>
      </c>
      <c r="F3269">
        <v>0.76621860308662804</v>
      </c>
      <c r="G3269">
        <v>0.37550413489923301</v>
      </c>
      <c r="H3269">
        <v>0.44106659033280399</v>
      </c>
      <c r="I3269">
        <v>0.49196915496542198</v>
      </c>
      <c r="J3269">
        <v>0.56475577672830402</v>
      </c>
      <c r="K3269">
        <v>0.28079445458552599</v>
      </c>
      <c r="L3269">
        <v>628.98631806107903</v>
      </c>
      <c r="M3269">
        <v>13.1988145634337</v>
      </c>
      <c r="N3269">
        <v>54.434329346536899</v>
      </c>
      <c r="O3269">
        <v>46.600690130720302</v>
      </c>
      <c r="P3269">
        <v>-4.2252276561220603E-2</v>
      </c>
      <c r="Q3269">
        <v>0.40338383795850102</v>
      </c>
      <c r="R3269">
        <v>0.83067278366294395</v>
      </c>
      <c r="S3269" t="s">
        <v>8852</v>
      </c>
      <c r="T3269" t="s">
        <v>11164</v>
      </c>
      <c r="U3269" t="s">
        <v>11164</v>
      </c>
      <c r="V3269" t="s">
        <v>11164</v>
      </c>
      <c r="W3269" t="s">
        <v>14392</v>
      </c>
      <c r="X3269">
        <v>1</v>
      </c>
      <c r="Y3269" t="s">
        <v>19876</v>
      </c>
      <c r="Z3269" t="s">
        <v>25419</v>
      </c>
      <c r="AA3269">
        <v>0.63165721021651644</v>
      </c>
      <c r="AB3269" t="str">
        <f>HYPERLINK("Melting_Curves/meltCurve_Q567V2_2_MPV17L2.pdf", "Melting_Curves/meltCurve_Q567V2_2_MPV17L2.pdf")</f>
        <v>Melting_Curves/meltCurve_Q567V2_2_MPV17L2.pdf</v>
      </c>
    </row>
    <row r="3270" spans="1:28" x14ac:dyDescent="0.25">
      <c r="A3270" t="s">
        <v>3274</v>
      </c>
      <c r="B3270">
        <v>0.99796759195183404</v>
      </c>
      <c r="C3270">
        <v>0.98252781943170597</v>
      </c>
      <c r="D3270">
        <v>1.0212262786409501</v>
      </c>
      <c r="E3270">
        <v>0.97803605209602595</v>
      </c>
      <c r="F3270">
        <v>0.80157519011309497</v>
      </c>
      <c r="G3270">
        <v>0.57559996458733598</v>
      </c>
      <c r="H3270">
        <v>0.64442095918196496</v>
      </c>
      <c r="I3270">
        <v>0.56018922525620096</v>
      </c>
      <c r="J3270">
        <v>0.70211510826701895</v>
      </c>
      <c r="K3270">
        <v>0.63287499368817601</v>
      </c>
      <c r="L3270">
        <v>12544.697631142601</v>
      </c>
      <c r="M3270">
        <v>250</v>
      </c>
      <c r="O3270">
        <v>50.175554912258697</v>
      </c>
      <c r="P3270">
        <v>-0.469551068873579</v>
      </c>
      <c r="Q3270">
        <v>0.62304004790678802</v>
      </c>
      <c r="R3270">
        <v>0.95569874035425395</v>
      </c>
      <c r="S3270" t="s">
        <v>8853</v>
      </c>
      <c r="T3270" t="s">
        <v>11164</v>
      </c>
      <c r="U3270" t="s">
        <v>11164</v>
      </c>
      <c r="V3270" t="s">
        <v>11164</v>
      </c>
      <c r="W3270" t="s">
        <v>14393</v>
      </c>
      <c r="X3270">
        <v>3</v>
      </c>
      <c r="Y3270" t="s">
        <v>19877</v>
      </c>
      <c r="Z3270" t="s">
        <v>25420</v>
      </c>
      <c r="AA3270">
        <v>0.7886691189559828</v>
      </c>
      <c r="AB3270" t="str">
        <f>HYPERLINK("Melting_Curves/meltCurve_Q587I9_SFT2D3.pdf", "Melting_Curves/meltCurve_Q587I9_SFT2D3.pdf")</f>
        <v>Melting_Curves/meltCurve_Q587I9_SFT2D3.pdf</v>
      </c>
    </row>
    <row r="3271" spans="1:28" x14ac:dyDescent="0.25">
      <c r="A3271" t="s">
        <v>3275</v>
      </c>
      <c r="B3271">
        <v>0.99796759195183404</v>
      </c>
      <c r="C3271">
        <v>1.0443154871984699</v>
      </c>
      <c r="D3271">
        <v>1.02720003909084</v>
      </c>
      <c r="E3271">
        <v>0.97332552820529405</v>
      </c>
      <c r="F3271">
        <v>0.81391100278485196</v>
      </c>
      <c r="G3271">
        <v>0.56986201159326999</v>
      </c>
      <c r="H3271">
        <v>0.32016711069727799</v>
      </c>
      <c r="I3271">
        <v>0.20239408399178199</v>
      </c>
      <c r="J3271">
        <v>0.15655302139871399</v>
      </c>
      <c r="K3271">
        <v>0.12322492406652399</v>
      </c>
      <c r="L3271">
        <v>1037.73916767948</v>
      </c>
      <c r="M3271">
        <v>19.2461855220883</v>
      </c>
      <c r="N3271">
        <v>54.6351980468771</v>
      </c>
      <c r="O3271">
        <v>53.347222987766699</v>
      </c>
      <c r="P3271">
        <v>-8.0142912052771603E-2</v>
      </c>
      <c r="Q3271">
        <v>0.11146241005473501</v>
      </c>
      <c r="R3271">
        <v>0.99727262714577003</v>
      </c>
      <c r="S3271" t="s">
        <v>8854</v>
      </c>
      <c r="T3271" t="s">
        <v>11164</v>
      </c>
      <c r="U3271" t="s">
        <v>11164</v>
      </c>
      <c r="V3271" t="s">
        <v>11164</v>
      </c>
      <c r="W3271" t="s">
        <v>14394</v>
      </c>
      <c r="X3271">
        <v>1</v>
      </c>
      <c r="Y3271" t="s">
        <v>19878</v>
      </c>
      <c r="Z3271" t="s">
        <v>25421</v>
      </c>
      <c r="AA3271">
        <v>0.62390158338617197</v>
      </c>
      <c r="AB3271" t="str">
        <f>HYPERLINK("Melting_Curves/meltCurve_Q58A45_4_PAN3.pdf", "Melting_Curves/meltCurve_Q58A45_4_PAN3.pdf")</f>
        <v>Melting_Curves/meltCurve_Q58A45_4_PAN3.pdf</v>
      </c>
    </row>
    <row r="3272" spans="1:28" x14ac:dyDescent="0.25">
      <c r="A3272" t="s">
        <v>3276</v>
      </c>
      <c r="B3272">
        <v>0.99796759195183404</v>
      </c>
      <c r="C3272">
        <v>1.0301278238040199</v>
      </c>
      <c r="D3272">
        <v>0.94025205624099395</v>
      </c>
      <c r="E3272">
        <v>0.71524259976512095</v>
      </c>
      <c r="F3272">
        <v>0.27188063097395798</v>
      </c>
      <c r="G3272">
        <v>0.267439524333624</v>
      </c>
      <c r="H3272">
        <v>0.124325420321823</v>
      </c>
      <c r="I3272">
        <v>0.10090932445711</v>
      </c>
      <c r="J3272">
        <v>7.8751623894368905E-2</v>
      </c>
      <c r="K3272">
        <v>6.6222561078965694E-2</v>
      </c>
      <c r="L3272">
        <v>1108.0077617198899</v>
      </c>
      <c r="M3272">
        <v>23.111379039622001</v>
      </c>
      <c r="N3272">
        <v>48.403523827056802</v>
      </c>
      <c r="O3272">
        <v>47.587479935718399</v>
      </c>
      <c r="P3272">
        <v>-0.109412894484457</v>
      </c>
      <c r="Q3272">
        <v>9.8870162440842596E-2</v>
      </c>
      <c r="R3272">
        <v>0.98832307834182298</v>
      </c>
      <c r="S3272" t="s">
        <v>8855</v>
      </c>
      <c r="T3272" t="s">
        <v>11164</v>
      </c>
      <c r="U3272" t="s">
        <v>11164</v>
      </c>
      <c r="V3272" t="s">
        <v>11164</v>
      </c>
      <c r="W3272" t="s">
        <v>14395</v>
      </c>
      <c r="X3272">
        <v>20</v>
      </c>
      <c r="Y3272" t="s">
        <v>19879</v>
      </c>
      <c r="Z3272" t="s">
        <v>25422</v>
      </c>
      <c r="AA3272">
        <v>0.43650126103368131</v>
      </c>
      <c r="AB3272" t="str">
        <f>HYPERLINK("Melting_Curves/meltCurve_Q58FF8_HSP90AB2P.pdf", "Melting_Curves/meltCurve_Q58FF8_HSP90AB2P.pdf")</f>
        <v>Melting_Curves/meltCurve_Q58FF8_HSP90AB2P.pdf</v>
      </c>
    </row>
    <row r="3273" spans="1:28" x14ac:dyDescent="0.25">
      <c r="A3273" t="s">
        <v>3277</v>
      </c>
      <c r="B3273">
        <v>0.99796759195183404</v>
      </c>
      <c r="C3273">
        <v>0.98648408144506505</v>
      </c>
      <c r="D3273">
        <v>0.96042420351150304</v>
      </c>
      <c r="E3273">
        <v>0.92937609025253998</v>
      </c>
      <c r="F3273">
        <v>0.88537751128682596</v>
      </c>
      <c r="G3273">
        <v>0.91118202836352302</v>
      </c>
      <c r="H3273">
        <v>0.78142577871376695</v>
      </c>
      <c r="I3273">
        <v>0.67642636135255496</v>
      </c>
      <c r="J3273">
        <v>0.50863189868177106</v>
      </c>
      <c r="K3273">
        <v>0.130301108687534</v>
      </c>
      <c r="L3273">
        <v>1076.6744540750001</v>
      </c>
      <c r="M3273">
        <v>17.137747458617099</v>
      </c>
      <c r="N3273">
        <v>62.824759060284698</v>
      </c>
      <c r="O3273">
        <v>61.988038760848603</v>
      </c>
      <c r="P3273">
        <v>-6.9121292576624596E-2</v>
      </c>
      <c r="Q3273">
        <v>0</v>
      </c>
      <c r="R3273">
        <v>0.92977165306946497</v>
      </c>
      <c r="S3273" t="s">
        <v>8856</v>
      </c>
      <c r="T3273" t="s">
        <v>11164</v>
      </c>
      <c r="U3273" t="s">
        <v>11164</v>
      </c>
      <c r="V3273" t="s">
        <v>11164</v>
      </c>
      <c r="W3273" t="s">
        <v>14396</v>
      </c>
      <c r="X3273">
        <v>6</v>
      </c>
      <c r="Y3273" t="s">
        <v>19880</v>
      </c>
      <c r="Z3273" t="s">
        <v>25423</v>
      </c>
      <c r="AA3273">
        <v>0.83749443822640224</v>
      </c>
      <c r="AB3273" t="str">
        <f>HYPERLINK("Melting_Curves/meltCurve_Q58WW2_DCAF6.pdf", "Melting_Curves/meltCurve_Q58WW2_DCAF6.pdf")</f>
        <v>Melting_Curves/meltCurve_Q58WW2_DCAF6.pdf</v>
      </c>
    </row>
    <row r="3274" spans="1:28" x14ac:dyDescent="0.25">
      <c r="A3274" t="s">
        <v>3278</v>
      </c>
      <c r="B3274">
        <v>0.99796759195183404</v>
      </c>
      <c r="C3274">
        <v>1.0255005081377799</v>
      </c>
      <c r="D3274">
        <v>0.99659103711136099</v>
      </c>
      <c r="E3274">
        <v>0.98129102074024699</v>
      </c>
      <c r="F3274">
        <v>0.74433568566072295</v>
      </c>
      <c r="G3274">
        <v>0.30874482057786701</v>
      </c>
      <c r="H3274">
        <v>0.178492662767891</v>
      </c>
      <c r="I3274">
        <v>0.141559386466482</v>
      </c>
      <c r="J3274">
        <v>0.10128734511425901</v>
      </c>
      <c r="K3274">
        <v>7.29577423870056E-2</v>
      </c>
      <c r="L3274">
        <v>1540.1910009835599</v>
      </c>
      <c r="M3274">
        <v>29.7764558057446</v>
      </c>
      <c r="N3274">
        <v>52.144430741136901</v>
      </c>
      <c r="O3274">
        <v>51.493513693066198</v>
      </c>
      <c r="P3274">
        <v>-0.12917391026474301</v>
      </c>
      <c r="Q3274">
        <v>0.106465331798986</v>
      </c>
      <c r="R3274">
        <v>0.997759711129655</v>
      </c>
      <c r="S3274" t="s">
        <v>8857</v>
      </c>
      <c r="T3274" t="s">
        <v>11164</v>
      </c>
      <c r="U3274" t="s">
        <v>11164</v>
      </c>
      <c r="V3274" t="s">
        <v>11164</v>
      </c>
      <c r="W3274" t="s">
        <v>14397</v>
      </c>
      <c r="X3274">
        <v>3</v>
      </c>
      <c r="Y3274" t="s">
        <v>19881</v>
      </c>
      <c r="Z3274" t="s">
        <v>25424</v>
      </c>
      <c r="AA3274">
        <v>0.55074719072648481</v>
      </c>
      <c r="AB3274" t="str">
        <f>HYPERLINK("Melting_Curves/meltCurve_Q5BKX5_C19orf54.pdf", "Melting_Curves/meltCurve_Q5BKX5_C19orf54.pdf")</f>
        <v>Melting_Curves/meltCurve_Q5BKX5_C19orf54.pdf</v>
      </c>
    </row>
    <row r="3275" spans="1:28" x14ac:dyDescent="0.25">
      <c r="A3275" t="s">
        <v>3279</v>
      </c>
      <c r="B3275">
        <v>0.99796759195183404</v>
      </c>
      <c r="C3275">
        <v>1.0017228653071</v>
      </c>
      <c r="D3275">
        <v>0.95198250297300901</v>
      </c>
      <c r="E3275">
        <v>0.90780080482792003</v>
      </c>
      <c r="F3275">
        <v>0.17603338411405101</v>
      </c>
      <c r="G3275">
        <v>7.5287078002332503E-2</v>
      </c>
      <c r="H3275">
        <v>6.0851791137306599E-2</v>
      </c>
      <c r="I3275">
        <v>6.2020367291042801E-2</v>
      </c>
      <c r="J3275">
        <v>6.0363715076342001E-2</v>
      </c>
      <c r="K3275">
        <v>0</v>
      </c>
      <c r="L3275">
        <v>2643.97711630911</v>
      </c>
      <c r="M3275">
        <v>54.531968677944</v>
      </c>
      <c r="N3275">
        <v>48.579681016686102</v>
      </c>
      <c r="O3275">
        <v>48.4198328467332</v>
      </c>
      <c r="P3275">
        <v>-0.26734959577944101</v>
      </c>
      <c r="Q3275">
        <v>5.0464203092278802E-2</v>
      </c>
      <c r="R3275">
        <v>0.99713673809877901</v>
      </c>
      <c r="S3275" t="s">
        <v>8858</v>
      </c>
      <c r="T3275" t="s">
        <v>11164</v>
      </c>
      <c r="U3275" t="s">
        <v>11164</v>
      </c>
      <c r="V3275" t="s">
        <v>11164</v>
      </c>
      <c r="W3275" t="s">
        <v>14398</v>
      </c>
      <c r="X3275">
        <v>2</v>
      </c>
      <c r="Y3275" t="s">
        <v>19882</v>
      </c>
      <c r="Z3275" t="s">
        <v>25425</v>
      </c>
      <c r="AA3275">
        <v>0.41568073542410311</v>
      </c>
      <c r="AB3275" t="str">
        <f>HYPERLINK("Melting_Curves/meltCurve_Q5C9Z4_NOM1.pdf", "Melting_Curves/meltCurve_Q5C9Z4_NOM1.pdf")</f>
        <v>Melting_Curves/meltCurve_Q5C9Z4_NOM1.pdf</v>
      </c>
    </row>
    <row r="3276" spans="1:28" x14ac:dyDescent="0.25">
      <c r="A3276" t="s">
        <v>3280</v>
      </c>
      <c r="B3276">
        <v>0.99796759195183404</v>
      </c>
      <c r="C3276">
        <v>1.11895596697495</v>
      </c>
      <c r="D3276">
        <v>0.97083571426746096</v>
      </c>
      <c r="E3276">
        <v>0.92976855868985497</v>
      </c>
      <c r="F3276">
        <v>0.73926872052021697</v>
      </c>
      <c r="G3276">
        <v>0.36425434732108503</v>
      </c>
      <c r="H3276">
        <v>0.313762965657917</v>
      </c>
      <c r="I3276">
        <v>0.20404839040652401</v>
      </c>
      <c r="J3276">
        <v>0.16874260850266201</v>
      </c>
      <c r="K3276">
        <v>0.14514098903633499</v>
      </c>
      <c r="L3276">
        <v>1146.7243080891701</v>
      </c>
      <c r="M3276">
        <v>22.180521178339099</v>
      </c>
      <c r="N3276">
        <v>52.670149508084002</v>
      </c>
      <c r="O3276">
        <v>51.284876144597497</v>
      </c>
      <c r="P3276">
        <v>-8.9988525836604494E-2</v>
      </c>
      <c r="Q3276">
        <v>0.167747118814768</v>
      </c>
      <c r="R3276">
        <v>0.98349213427237603</v>
      </c>
      <c r="S3276" t="s">
        <v>8859</v>
      </c>
      <c r="T3276" t="s">
        <v>11164</v>
      </c>
      <c r="U3276" t="s">
        <v>11164</v>
      </c>
      <c r="V3276" t="s">
        <v>11164</v>
      </c>
      <c r="W3276" t="s">
        <v>14399</v>
      </c>
      <c r="X3276">
        <v>9</v>
      </c>
      <c r="Y3276" t="s">
        <v>19883</v>
      </c>
      <c r="Z3276" t="s">
        <v>25426</v>
      </c>
      <c r="AA3276">
        <v>0.58464240794975886</v>
      </c>
      <c r="AB3276" t="str">
        <f>HYPERLINK("Melting_Curves/meltCurve_Q5EBL4_RILPL1.pdf", "Melting_Curves/meltCurve_Q5EBL4_RILPL1.pdf")</f>
        <v>Melting_Curves/meltCurve_Q5EBL4_RILPL1.pdf</v>
      </c>
    </row>
    <row r="3277" spans="1:28" x14ac:dyDescent="0.25">
      <c r="A3277" t="s">
        <v>3281</v>
      </c>
      <c r="B3277">
        <v>0.99796759195183404</v>
      </c>
      <c r="C3277">
        <v>1.2658776401019201</v>
      </c>
      <c r="D3277">
        <v>1.1082785227451799</v>
      </c>
      <c r="E3277">
        <v>1.0424384230593799</v>
      </c>
      <c r="F3277">
        <v>1.18592845456275</v>
      </c>
      <c r="G3277">
        <v>1.00230536962515</v>
      </c>
      <c r="H3277">
        <v>0.35194508392804502</v>
      </c>
      <c r="I3277">
        <v>0.40375052609702999</v>
      </c>
      <c r="J3277">
        <v>0.27602031197506499</v>
      </c>
      <c r="K3277">
        <v>0.227973805011632</v>
      </c>
      <c r="L3277">
        <v>10883.024065780401</v>
      </c>
      <c r="M3277">
        <v>192.174397770008</v>
      </c>
      <c r="N3277">
        <v>56.906152148229403</v>
      </c>
      <c r="O3277">
        <v>56.624844075733002</v>
      </c>
      <c r="P3277">
        <v>-0.59172872514133001</v>
      </c>
      <c r="Q3277">
        <v>0.30258041119921603</v>
      </c>
      <c r="R3277">
        <v>0.91313198044993404</v>
      </c>
      <c r="S3277" t="s">
        <v>8860</v>
      </c>
      <c r="T3277" t="s">
        <v>11164</v>
      </c>
      <c r="U3277" t="s">
        <v>11164</v>
      </c>
      <c r="V3277" t="s">
        <v>11164</v>
      </c>
      <c r="W3277" t="s">
        <v>14400</v>
      </c>
      <c r="X3277">
        <v>3</v>
      </c>
      <c r="Y3277" t="s">
        <v>19884</v>
      </c>
      <c r="Z3277" t="s">
        <v>25427</v>
      </c>
      <c r="AA3277">
        <v>0.75906534947401794</v>
      </c>
      <c r="AB3277" t="str">
        <f>HYPERLINK("Melting_Curves/meltCurve_Q5EBL8_PDZD11.pdf", "Melting_Curves/meltCurve_Q5EBL8_PDZD11.pdf")</f>
        <v>Melting_Curves/meltCurve_Q5EBL8_PDZD11.pdf</v>
      </c>
    </row>
    <row r="3278" spans="1:28" x14ac:dyDescent="0.25">
      <c r="A3278" t="s">
        <v>3282</v>
      </c>
      <c r="B3278">
        <v>0.99796759195183404</v>
      </c>
      <c r="C3278">
        <v>1.26663063724752</v>
      </c>
      <c r="D3278">
        <v>1.2484033302625399</v>
      </c>
      <c r="E3278">
        <v>1.21546806486425</v>
      </c>
      <c r="F3278">
        <v>0.872488076123483</v>
      </c>
      <c r="G3278">
        <v>0.24396325382088199</v>
      </c>
      <c r="H3278">
        <v>0.18558638133015901</v>
      </c>
      <c r="I3278">
        <v>0.22024400279136799</v>
      </c>
      <c r="J3278">
        <v>0.16977958321832901</v>
      </c>
      <c r="K3278">
        <v>0.121330537831387</v>
      </c>
      <c r="L3278">
        <v>3151.0545038390501</v>
      </c>
      <c r="M3278">
        <v>61.0241978560558</v>
      </c>
      <c r="N3278">
        <v>52.002169405914699</v>
      </c>
      <c r="O3278">
        <v>51.580783326841797</v>
      </c>
      <c r="P3278">
        <v>-0.244131434592714</v>
      </c>
      <c r="Q3278">
        <v>0.17459065754125699</v>
      </c>
      <c r="R3278">
        <v>0.91979484510515996</v>
      </c>
      <c r="S3278" t="s">
        <v>8861</v>
      </c>
      <c r="T3278" t="s">
        <v>11164</v>
      </c>
      <c r="U3278" t="s">
        <v>11164</v>
      </c>
      <c r="V3278" t="s">
        <v>11164</v>
      </c>
      <c r="W3278" t="s">
        <v>14401</v>
      </c>
      <c r="X3278">
        <v>3</v>
      </c>
      <c r="Y3278" t="s">
        <v>19885</v>
      </c>
      <c r="Z3278" t="s">
        <v>25428</v>
      </c>
      <c r="AA3278">
        <v>0.57854418678752306</v>
      </c>
      <c r="AB3278" t="str">
        <f>HYPERLINK("Melting_Curves/meltCurve_Q5F1R6_DNAJC21.pdf", "Melting_Curves/meltCurve_Q5F1R6_DNAJC21.pdf")</f>
        <v>Melting_Curves/meltCurve_Q5F1R6_DNAJC21.pdf</v>
      </c>
    </row>
    <row r="3279" spans="1:28" x14ac:dyDescent="0.25">
      <c r="A3279" t="s">
        <v>3283</v>
      </c>
      <c r="B3279">
        <v>0.99796759195183404</v>
      </c>
      <c r="C3279">
        <v>1.0678726776402601</v>
      </c>
      <c r="D3279">
        <v>1.03560653910163</v>
      </c>
      <c r="E3279">
        <v>0.94720030035829506</v>
      </c>
      <c r="F3279">
        <v>0.90177299549503498</v>
      </c>
      <c r="G3279">
        <v>0.79452473807153301</v>
      </c>
      <c r="H3279">
        <v>0.44243130018218502</v>
      </c>
      <c r="I3279">
        <v>0.35048485390395001</v>
      </c>
      <c r="J3279">
        <v>0.31222528306093</v>
      </c>
      <c r="K3279">
        <v>0.18857223932647399</v>
      </c>
      <c r="L3279">
        <v>1124.60905492808</v>
      </c>
      <c r="M3279">
        <v>20.148058526083599</v>
      </c>
      <c r="N3279">
        <v>57.341152674287002</v>
      </c>
      <c r="O3279">
        <v>55.276108045755301</v>
      </c>
      <c r="P3279">
        <v>-7.2236787747138195E-2</v>
      </c>
      <c r="Q3279">
        <v>0.20729985647028901</v>
      </c>
      <c r="R3279">
        <v>0.98252610482147995</v>
      </c>
      <c r="S3279" t="s">
        <v>8862</v>
      </c>
      <c r="T3279" t="s">
        <v>11164</v>
      </c>
      <c r="U3279" t="s">
        <v>11164</v>
      </c>
      <c r="V3279" t="s">
        <v>11164</v>
      </c>
      <c r="W3279" t="s">
        <v>14402</v>
      </c>
      <c r="X3279">
        <v>3</v>
      </c>
      <c r="Y3279" t="s">
        <v>19886</v>
      </c>
      <c r="Z3279" t="s">
        <v>25429</v>
      </c>
      <c r="AA3279">
        <v>0.71278394199221151</v>
      </c>
      <c r="AB3279" t="str">
        <f>HYPERLINK("Melting_Curves/meltCurve_Q5GLZ8_3_HERC4.pdf", "Melting_Curves/meltCurve_Q5GLZ8_3_HERC4.pdf")</f>
        <v>Melting_Curves/meltCurve_Q5GLZ8_3_HERC4.pdf</v>
      </c>
    </row>
    <row r="3280" spans="1:28" x14ac:dyDescent="0.25">
      <c r="A3280" t="s">
        <v>3284</v>
      </c>
      <c r="B3280">
        <v>0.99796759195183404</v>
      </c>
      <c r="C3280">
        <v>1.14944530678542</v>
      </c>
      <c r="D3280">
        <v>1.07425638870059</v>
      </c>
      <c r="E3280">
        <v>1.0261261657595799</v>
      </c>
      <c r="F3280">
        <v>0.90267914323628196</v>
      </c>
      <c r="G3280">
        <v>0.50837759705200802</v>
      </c>
      <c r="H3280">
        <v>0.507299731395358</v>
      </c>
      <c r="I3280">
        <v>0.55413340715398096</v>
      </c>
      <c r="J3280">
        <v>0.64081809653215005</v>
      </c>
      <c r="K3280">
        <v>0.50404145071603002</v>
      </c>
      <c r="L3280">
        <v>12615.630573669399</v>
      </c>
      <c r="M3280">
        <v>250</v>
      </c>
      <c r="O3280">
        <v>50.459293112029002</v>
      </c>
      <c r="P3280">
        <v>-0.56613203748510299</v>
      </c>
      <c r="Q3280">
        <v>0.54293404258408695</v>
      </c>
      <c r="R3280">
        <v>0.93408341804475803</v>
      </c>
      <c r="S3280" t="s">
        <v>8863</v>
      </c>
      <c r="T3280" t="s">
        <v>11164</v>
      </c>
      <c r="U3280" t="s">
        <v>11164</v>
      </c>
      <c r="V3280" t="s">
        <v>11164</v>
      </c>
      <c r="W3280" t="s">
        <v>14403</v>
      </c>
      <c r="X3280">
        <v>2</v>
      </c>
      <c r="Y3280" t="s">
        <v>19887</v>
      </c>
      <c r="Z3280" t="s">
        <v>25430</v>
      </c>
      <c r="AA3280">
        <v>0.74808320883715518</v>
      </c>
      <c r="AB3280" t="str">
        <f>HYPERLINK("Melting_Curves/meltCurve_Q5H937_PKIG.pdf", "Melting_Curves/meltCurve_Q5H937_PKIG.pdf")</f>
        <v>Melting_Curves/meltCurve_Q5H937_PKIG.pdf</v>
      </c>
    </row>
    <row r="3281" spans="1:28" x14ac:dyDescent="0.25">
      <c r="A3281" t="s">
        <v>3285</v>
      </c>
      <c r="B3281">
        <v>0.99796759195183404</v>
      </c>
      <c r="C3281">
        <v>0.83250043851487199</v>
      </c>
      <c r="D3281">
        <v>0.99332849957210501</v>
      </c>
      <c r="E3281">
        <v>0.84426500004461502</v>
      </c>
      <c r="F3281">
        <v>0.81690700517299197</v>
      </c>
      <c r="G3281">
        <v>0.59268039379861304</v>
      </c>
      <c r="H3281">
        <v>0.54060335563726503</v>
      </c>
      <c r="I3281">
        <v>0.51517047226270296</v>
      </c>
      <c r="J3281">
        <v>0.46784861210002299</v>
      </c>
      <c r="K3281">
        <v>0.32805133396693298</v>
      </c>
      <c r="L3281">
        <v>367.91469083074998</v>
      </c>
      <c r="M3281">
        <v>6.2987374954383499</v>
      </c>
      <c r="N3281">
        <v>60.216011005698697</v>
      </c>
      <c r="O3281">
        <v>53.352448256818597</v>
      </c>
      <c r="P3281">
        <v>-2.7048887331452501E-2</v>
      </c>
      <c r="Q3281">
        <v>8.6033385031749204E-2</v>
      </c>
      <c r="R3281">
        <v>0.92729298375305402</v>
      </c>
      <c r="S3281" t="s">
        <v>8864</v>
      </c>
      <c r="T3281" t="s">
        <v>11164</v>
      </c>
      <c r="U3281" t="s">
        <v>11164</v>
      </c>
      <c r="V3281" t="s">
        <v>11164</v>
      </c>
      <c r="W3281" t="s">
        <v>14404</v>
      </c>
      <c r="X3281">
        <v>1</v>
      </c>
      <c r="Y3281" t="s">
        <v>19888</v>
      </c>
      <c r="Z3281" t="s">
        <v>25431</v>
      </c>
      <c r="AA3281">
        <v>0.69884060887000576</v>
      </c>
      <c r="AB3281" t="str">
        <f>HYPERLINK("Melting_Curves/meltCurve_Q5H9A7_TIMP1.pdf", "Melting_Curves/meltCurve_Q5H9A7_TIMP1.pdf")</f>
        <v>Melting_Curves/meltCurve_Q5H9A7_TIMP1.pdf</v>
      </c>
    </row>
    <row r="3282" spans="1:28" x14ac:dyDescent="0.25">
      <c r="A3282" t="s">
        <v>3286</v>
      </c>
      <c r="B3282">
        <v>0.99796759195183404</v>
      </c>
      <c r="C3282">
        <v>0.98463375666370101</v>
      </c>
      <c r="D3282">
        <v>0.96223038980567999</v>
      </c>
      <c r="E3282">
        <v>0.88374564490713103</v>
      </c>
      <c r="F3282">
        <v>0.75595464677100799</v>
      </c>
      <c r="G3282">
        <v>0.48974423137770901</v>
      </c>
      <c r="H3282">
        <v>0.195309591173143</v>
      </c>
      <c r="I3282">
        <v>0.14337772361405399</v>
      </c>
      <c r="J3282">
        <v>9.0436000058630603E-2</v>
      </c>
      <c r="K3282">
        <v>6.66706126307159E-2</v>
      </c>
      <c r="L3282">
        <v>916.57380218341302</v>
      </c>
      <c r="M3282">
        <v>17.265742423334299</v>
      </c>
      <c r="N3282">
        <v>53.3229077904154</v>
      </c>
      <c r="O3282">
        <v>52.389485549434198</v>
      </c>
      <c r="P3282">
        <v>-7.9356937984196393E-2</v>
      </c>
      <c r="Q3282">
        <v>3.6884226512186501E-2</v>
      </c>
      <c r="R3282">
        <v>0.99624406041552904</v>
      </c>
      <c r="S3282" t="s">
        <v>8865</v>
      </c>
      <c r="T3282" t="s">
        <v>11164</v>
      </c>
      <c r="U3282" t="s">
        <v>11164</v>
      </c>
      <c r="V3282" t="s">
        <v>11164</v>
      </c>
      <c r="W3282" t="s">
        <v>14405</v>
      </c>
      <c r="X3282">
        <v>65</v>
      </c>
      <c r="Y3282" t="s">
        <v>19889</v>
      </c>
      <c r="Z3282" t="s">
        <v>25432</v>
      </c>
      <c r="AA3282">
        <v>0.56799534501687532</v>
      </c>
      <c r="AB3282" t="str">
        <f>HYPERLINK("Melting_Curves/meltCurve_Q5HY54_FLNA.pdf", "Melting_Curves/meltCurve_Q5HY54_FLNA.pdf")</f>
        <v>Melting_Curves/meltCurve_Q5HY54_FLNA.pdf</v>
      </c>
    </row>
    <row r="3283" spans="1:28" x14ac:dyDescent="0.25">
      <c r="A3283" t="s">
        <v>3287</v>
      </c>
      <c r="B3283">
        <v>0.99796759195183404</v>
      </c>
      <c r="C3283">
        <v>1.1074115281722201</v>
      </c>
      <c r="D3283">
        <v>1.0641595867404701</v>
      </c>
      <c r="E3283">
        <v>1.0298643821898401</v>
      </c>
      <c r="F3283">
        <v>0.83081491392420004</v>
      </c>
      <c r="G3283">
        <v>0.64221484212739399</v>
      </c>
      <c r="H3283">
        <v>0.39774290525802602</v>
      </c>
      <c r="I3283">
        <v>0.216024247987775</v>
      </c>
      <c r="J3283">
        <v>0.10344382702829399</v>
      </c>
      <c r="K3283">
        <v>8.3810928965457401E-2</v>
      </c>
      <c r="L3283">
        <v>957.40086869967001</v>
      </c>
      <c r="M3283">
        <v>17.230623372100698</v>
      </c>
      <c r="N3283">
        <v>55.779310719714402</v>
      </c>
      <c r="O3283">
        <v>54.831699273658899</v>
      </c>
      <c r="P3283">
        <v>-7.6037323197144902E-2</v>
      </c>
      <c r="Q3283">
        <v>3.2185627839595797E-2</v>
      </c>
      <c r="R3283">
        <v>0.98528565147909597</v>
      </c>
      <c r="S3283" t="s">
        <v>8866</v>
      </c>
      <c r="T3283" t="s">
        <v>11164</v>
      </c>
      <c r="U3283" t="s">
        <v>11164</v>
      </c>
      <c r="V3283" t="s">
        <v>11164</v>
      </c>
      <c r="W3283" t="s">
        <v>14406</v>
      </c>
      <c r="X3283">
        <v>3</v>
      </c>
      <c r="Y3283" t="s">
        <v>19890</v>
      </c>
      <c r="Z3283" t="s">
        <v>25433</v>
      </c>
      <c r="AA3283">
        <v>0.64275573795883778</v>
      </c>
      <c r="AB3283" t="str">
        <f>HYPERLINK("Melting_Curves/meltCurve_Q5HY92_FIGN.pdf", "Melting_Curves/meltCurve_Q5HY92_FIGN.pdf")</f>
        <v>Melting_Curves/meltCurve_Q5HY92_FIGN.pdf</v>
      </c>
    </row>
    <row r="3284" spans="1:28" x14ac:dyDescent="0.25">
      <c r="A3284" t="s">
        <v>3288</v>
      </c>
      <c r="B3284">
        <v>0.99796759195183404</v>
      </c>
      <c r="C3284">
        <v>1.0255824430200799</v>
      </c>
      <c r="D3284">
        <v>0.96396859788132905</v>
      </c>
      <c r="E3284">
        <v>0.87785118518116001</v>
      </c>
      <c r="F3284">
        <v>0.89870553068516101</v>
      </c>
      <c r="G3284">
        <v>0.73804008056973203</v>
      </c>
      <c r="H3284">
        <v>0.55284400882906504</v>
      </c>
      <c r="I3284">
        <v>0.446460912510382</v>
      </c>
      <c r="J3284">
        <v>0.39503660723425499</v>
      </c>
      <c r="K3284">
        <v>0.20041527063720099</v>
      </c>
      <c r="L3284">
        <v>571.153688915457</v>
      </c>
      <c r="M3284">
        <v>9.6034408612365194</v>
      </c>
      <c r="N3284">
        <v>59.473872555954003</v>
      </c>
      <c r="O3284">
        <v>57.066576840762501</v>
      </c>
      <c r="P3284">
        <v>-4.2095094397254999E-2</v>
      </c>
      <c r="Q3284">
        <v>0</v>
      </c>
      <c r="R3284">
        <v>0.98141705685292402</v>
      </c>
      <c r="S3284" t="s">
        <v>8867</v>
      </c>
      <c r="T3284" t="s">
        <v>11164</v>
      </c>
      <c r="U3284" t="s">
        <v>11164</v>
      </c>
      <c r="V3284" t="s">
        <v>11164</v>
      </c>
      <c r="W3284" t="s">
        <v>14407</v>
      </c>
      <c r="X3284">
        <v>5</v>
      </c>
      <c r="Y3284" t="s">
        <v>19891</v>
      </c>
      <c r="Z3284" t="s">
        <v>25434</v>
      </c>
      <c r="AA3284">
        <v>0.72492162318160169</v>
      </c>
      <c r="AB3284" t="str">
        <f>HYPERLINK("Melting_Curves/meltCurve_Q5HYI7_MTX3.pdf", "Melting_Curves/meltCurve_Q5HYI7_MTX3.pdf")</f>
        <v>Melting_Curves/meltCurve_Q5HYI7_MTX3.pdf</v>
      </c>
    </row>
    <row r="3285" spans="1:28" x14ac:dyDescent="0.25">
      <c r="A3285" t="s">
        <v>3289</v>
      </c>
      <c r="B3285">
        <v>0.99796759195183404</v>
      </c>
      <c r="C3285">
        <v>0.99961512466757496</v>
      </c>
      <c r="D3285">
        <v>1.0293733191760199</v>
      </c>
      <c r="E3285">
        <v>1.0078835672880999</v>
      </c>
      <c r="F3285">
        <v>0.93241203773998904</v>
      </c>
      <c r="G3285">
        <v>0.75921329202953602</v>
      </c>
      <c r="H3285">
        <v>0.41556485092603201</v>
      </c>
      <c r="I3285">
        <v>0.34192484847285298</v>
      </c>
      <c r="J3285">
        <v>0.35596502456316398</v>
      </c>
      <c r="K3285">
        <v>9.65996319809245E-2</v>
      </c>
      <c r="L3285">
        <v>1137.1571078376901</v>
      </c>
      <c r="M3285">
        <v>20.387537155207099</v>
      </c>
      <c r="N3285">
        <v>57.061518772468503</v>
      </c>
      <c r="O3285">
        <v>55.248758062684203</v>
      </c>
      <c r="P3285">
        <v>-7.5279479613046194E-2</v>
      </c>
      <c r="Q3285">
        <v>0.18401675573402901</v>
      </c>
      <c r="R3285">
        <v>0.96995022240805195</v>
      </c>
      <c r="S3285" t="s">
        <v>8868</v>
      </c>
      <c r="T3285" t="s">
        <v>11164</v>
      </c>
      <c r="U3285" t="s">
        <v>11164</v>
      </c>
      <c r="V3285" t="s">
        <v>11164</v>
      </c>
      <c r="W3285" t="s">
        <v>14408</v>
      </c>
      <c r="X3285">
        <v>3</v>
      </c>
      <c r="Y3285" t="s">
        <v>19892</v>
      </c>
      <c r="Z3285" t="s">
        <v>25435</v>
      </c>
      <c r="AA3285">
        <v>0.70320141145426474</v>
      </c>
      <c r="AB3285" t="str">
        <f>HYPERLINK("Melting_Curves/meltCurve_Q5HYI8_RABL3.pdf", "Melting_Curves/meltCurve_Q5HYI8_RABL3.pdf")</f>
        <v>Melting_Curves/meltCurve_Q5HYI8_RABL3.pdf</v>
      </c>
    </row>
    <row r="3286" spans="1:28" x14ac:dyDescent="0.25">
      <c r="A3286" t="s">
        <v>3290</v>
      </c>
      <c r="B3286">
        <v>0.99796759195183404</v>
      </c>
      <c r="C3286">
        <v>1.0398157046076799</v>
      </c>
      <c r="D3286">
        <v>1.02478505772851</v>
      </c>
      <c r="E3286">
        <v>0.96865991741138502</v>
      </c>
      <c r="F3286">
        <v>0.85712534249677197</v>
      </c>
      <c r="G3286">
        <v>0.60481599743135395</v>
      </c>
      <c r="H3286">
        <v>0.59567918107879103</v>
      </c>
      <c r="I3286">
        <v>0.49935552966324098</v>
      </c>
      <c r="J3286">
        <v>0.56678153166462097</v>
      </c>
      <c r="K3286">
        <v>0.41643894739411402</v>
      </c>
      <c r="L3286">
        <v>1274.5398061390399</v>
      </c>
      <c r="M3286">
        <v>24.604622272155201</v>
      </c>
      <c r="N3286">
        <v>66.759613781721001</v>
      </c>
      <c r="O3286">
        <v>51.462284504365897</v>
      </c>
      <c r="P3286">
        <v>-6.0005635859841998E-2</v>
      </c>
      <c r="Q3286">
        <v>0.49798329392754997</v>
      </c>
      <c r="R3286">
        <v>0.96560197545232695</v>
      </c>
      <c r="S3286" t="s">
        <v>8869</v>
      </c>
      <c r="T3286" t="s">
        <v>11164</v>
      </c>
      <c r="U3286" t="s">
        <v>11164</v>
      </c>
      <c r="V3286" t="s">
        <v>11164</v>
      </c>
      <c r="W3286" t="s">
        <v>14409</v>
      </c>
      <c r="X3286">
        <v>5</v>
      </c>
      <c r="Y3286" t="s">
        <v>19893</v>
      </c>
      <c r="Z3286" t="s">
        <v>25436</v>
      </c>
      <c r="AA3286">
        <v>0.75023429155044918</v>
      </c>
      <c r="AB3286" t="str">
        <f>HYPERLINK("Melting_Curves/meltCurve_Q5HYK3_COQ5.pdf", "Melting_Curves/meltCurve_Q5HYK3_COQ5.pdf")</f>
        <v>Melting_Curves/meltCurve_Q5HYK3_COQ5.pdf</v>
      </c>
    </row>
    <row r="3287" spans="1:28" x14ac:dyDescent="0.25">
      <c r="A3287" t="s">
        <v>3291</v>
      </c>
      <c r="B3287">
        <v>0.99796759195183404</v>
      </c>
      <c r="C3287">
        <v>0.96260340326692495</v>
      </c>
      <c r="D3287">
        <v>1.0346627492053</v>
      </c>
      <c r="E3287">
        <v>0.91332249979724101</v>
      </c>
      <c r="F3287">
        <v>0.71267161498630804</v>
      </c>
      <c r="G3287">
        <v>0.34736750680886702</v>
      </c>
      <c r="H3287">
        <v>0.217087573109086</v>
      </c>
      <c r="I3287">
        <v>0.25373631362902499</v>
      </c>
      <c r="J3287">
        <v>0.1934840835129</v>
      </c>
      <c r="K3287">
        <v>0.15582338987015701</v>
      </c>
      <c r="L3287">
        <v>1372.8193424339099</v>
      </c>
      <c r="M3287">
        <v>26.837400161362101</v>
      </c>
      <c r="N3287">
        <v>52.076915927605398</v>
      </c>
      <c r="O3287">
        <v>50.871733150820504</v>
      </c>
      <c r="P3287">
        <v>-0.106912504497849</v>
      </c>
      <c r="Q3287">
        <v>0.189374686281579</v>
      </c>
      <c r="R3287">
        <v>0.99318172450398401</v>
      </c>
      <c r="S3287" t="s">
        <v>8870</v>
      </c>
      <c r="T3287" t="s">
        <v>11164</v>
      </c>
      <c r="U3287" t="s">
        <v>11164</v>
      </c>
      <c r="V3287" t="s">
        <v>11164</v>
      </c>
      <c r="W3287" t="s">
        <v>14410</v>
      </c>
      <c r="X3287">
        <v>3</v>
      </c>
      <c r="Y3287" t="s">
        <v>19894</v>
      </c>
      <c r="Z3287" t="s">
        <v>25437</v>
      </c>
      <c r="AA3287">
        <v>0.57807529967134952</v>
      </c>
      <c r="AB3287" t="str">
        <f>HYPERLINK("Melting_Curves/meltCurve_Q5HYK7_2_SH3D19.pdf", "Melting_Curves/meltCurve_Q5HYK7_2_SH3D19.pdf")</f>
        <v>Melting_Curves/meltCurve_Q5HYK7_2_SH3D19.pdf</v>
      </c>
    </row>
    <row r="3288" spans="1:28" x14ac:dyDescent="0.25">
      <c r="A3288" t="s">
        <v>3292</v>
      </c>
      <c r="B3288">
        <v>0.99796759195183404</v>
      </c>
      <c r="C3288">
        <v>1.0383018163336899</v>
      </c>
      <c r="D3288">
        <v>0.99735802990301303</v>
      </c>
      <c r="E3288">
        <v>0.95605375123402403</v>
      </c>
      <c r="F3288">
        <v>0.83965543488361605</v>
      </c>
      <c r="G3288">
        <v>0.89316943714197505</v>
      </c>
      <c r="H3288">
        <v>0.63543529478565897</v>
      </c>
      <c r="I3288">
        <v>0.38670188780465098</v>
      </c>
      <c r="J3288">
        <v>0.118967065349897</v>
      </c>
      <c r="K3288">
        <v>3.8555220289136299E-2</v>
      </c>
      <c r="L3288">
        <v>1199.56632487971</v>
      </c>
      <c r="M3288">
        <v>20.342634289056701</v>
      </c>
      <c r="N3288">
        <v>58.968101885407201</v>
      </c>
      <c r="O3288">
        <v>58.407123043984797</v>
      </c>
      <c r="P3288">
        <v>-8.7075224715302005E-2</v>
      </c>
      <c r="Q3288">
        <v>0</v>
      </c>
      <c r="R3288">
        <v>0.97895963901791105</v>
      </c>
      <c r="S3288" t="s">
        <v>8871</v>
      </c>
      <c r="T3288" t="s">
        <v>11164</v>
      </c>
      <c r="U3288" t="s">
        <v>11164</v>
      </c>
      <c r="V3288" t="s">
        <v>11164</v>
      </c>
      <c r="W3288" t="s">
        <v>14411</v>
      </c>
      <c r="X3288">
        <v>39</v>
      </c>
      <c r="Y3288" t="s">
        <v>19895</v>
      </c>
      <c r="Z3288" t="s">
        <v>25438</v>
      </c>
      <c r="AA3288">
        <v>0.73656908294090462</v>
      </c>
      <c r="AB3288" t="str">
        <f>HYPERLINK("Melting_Curves/meltCurve_Q5JP53_TUBB.pdf", "Melting_Curves/meltCurve_Q5JP53_TUBB.pdf")</f>
        <v>Melting_Curves/meltCurve_Q5JP53_TUBB.pdf</v>
      </c>
    </row>
    <row r="3289" spans="1:28" x14ac:dyDescent="0.25">
      <c r="A3289" t="s">
        <v>3293</v>
      </c>
      <c r="B3289">
        <v>0.99796759195183404</v>
      </c>
      <c r="C3289">
        <v>0.98361183305448396</v>
      </c>
      <c r="D3289">
        <v>0.97131475966119696</v>
      </c>
      <c r="E3289">
        <v>0.92540880689903304</v>
      </c>
      <c r="F3289">
        <v>0.83054275438790703</v>
      </c>
      <c r="G3289">
        <v>0.73157087717309799</v>
      </c>
      <c r="H3289">
        <v>0.38245016874483201</v>
      </c>
      <c r="I3289">
        <v>0.229346243877696</v>
      </c>
      <c r="J3289">
        <v>0.14019885014633701</v>
      </c>
      <c r="K3289">
        <v>0.110418415206658</v>
      </c>
      <c r="L3289">
        <v>888.94931312988501</v>
      </c>
      <c r="M3289">
        <v>15.884878657077801</v>
      </c>
      <c r="N3289">
        <v>56.179160949810097</v>
      </c>
      <c r="O3289">
        <v>55.097605100715498</v>
      </c>
      <c r="P3289">
        <v>-6.9935306178383602E-2</v>
      </c>
      <c r="Q3289">
        <v>2.9779944650617299E-2</v>
      </c>
      <c r="R3289">
        <v>0.99255391503326995</v>
      </c>
      <c r="S3289" t="s">
        <v>8872</v>
      </c>
      <c r="T3289" t="s">
        <v>11164</v>
      </c>
      <c r="U3289" t="s">
        <v>11164</v>
      </c>
      <c r="V3289" t="s">
        <v>11164</v>
      </c>
      <c r="W3289" t="s">
        <v>14412</v>
      </c>
      <c r="X3289">
        <v>24</v>
      </c>
      <c r="Y3289" t="s">
        <v>19896</v>
      </c>
      <c r="Z3289" t="s">
        <v>25439</v>
      </c>
      <c r="AA3289">
        <v>0.65424703767423176</v>
      </c>
      <c r="AB3289" t="str">
        <f>HYPERLINK("Melting_Curves/meltCurve_Q5JPE7_2_NOMO2.pdf", "Melting_Curves/meltCurve_Q5JPE7_2_NOMO2.pdf")</f>
        <v>Melting_Curves/meltCurve_Q5JPE7_2_NOMO2.pdf</v>
      </c>
    </row>
    <row r="3290" spans="1:28" x14ac:dyDescent="0.25">
      <c r="A3290" t="s">
        <v>3294</v>
      </c>
      <c r="B3290">
        <v>0.99796759195183404</v>
      </c>
      <c r="C3290">
        <v>0.99939814242201397</v>
      </c>
      <c r="D3290">
        <v>0.94020635821256704</v>
      </c>
      <c r="E3290">
        <v>0.87557759593386497</v>
      </c>
      <c r="F3290">
        <v>0.60255271201529104</v>
      </c>
      <c r="G3290">
        <v>0.21254327151838701</v>
      </c>
      <c r="H3290">
        <v>0.18565162913983299</v>
      </c>
      <c r="I3290">
        <v>0.12383015200429601</v>
      </c>
      <c r="J3290">
        <v>7.3626989640171905E-2</v>
      </c>
      <c r="K3290">
        <v>7.2707830545020904E-2</v>
      </c>
      <c r="L3290">
        <v>1163.9613364586</v>
      </c>
      <c r="M3290">
        <v>23.048850985672299</v>
      </c>
      <c r="N3290">
        <v>50.913727050354403</v>
      </c>
      <c r="O3290">
        <v>50.124246859971898</v>
      </c>
      <c r="P3290">
        <v>-0.105137748993835</v>
      </c>
      <c r="Q3290">
        <v>8.5446750217489001E-2</v>
      </c>
      <c r="R3290">
        <v>0.99432685722357805</v>
      </c>
      <c r="S3290" t="s">
        <v>8873</v>
      </c>
      <c r="T3290" t="s">
        <v>11164</v>
      </c>
      <c r="U3290" t="s">
        <v>11164</v>
      </c>
      <c r="V3290" t="s">
        <v>11164</v>
      </c>
      <c r="W3290" t="s">
        <v>14413</v>
      </c>
      <c r="X3290">
        <v>6</v>
      </c>
      <c r="Y3290" t="s">
        <v>19897</v>
      </c>
      <c r="Z3290" t="s">
        <v>25440</v>
      </c>
      <c r="AA3290">
        <v>0.50633464756999635</v>
      </c>
      <c r="AB3290" t="str">
        <f>HYPERLINK("Melting_Curves/meltCurve_Q5JPH6_EARS2.pdf", "Melting_Curves/meltCurve_Q5JPH6_EARS2.pdf")</f>
        <v>Melting_Curves/meltCurve_Q5JPH6_EARS2.pdf</v>
      </c>
    </row>
    <row r="3291" spans="1:28" x14ac:dyDescent="0.25">
      <c r="A3291" t="s">
        <v>3295</v>
      </c>
      <c r="B3291">
        <v>0.99796759195183404</v>
      </c>
      <c r="C3291">
        <v>0.87203177497447504</v>
      </c>
      <c r="D3291">
        <v>0.89964526555554403</v>
      </c>
      <c r="E3291">
        <v>0.79220904923146795</v>
      </c>
      <c r="F3291">
        <v>0.70813245604063002</v>
      </c>
      <c r="G3291">
        <v>0.72222419479935096</v>
      </c>
      <c r="H3291">
        <v>0.41208457382695501</v>
      </c>
      <c r="I3291">
        <v>0.26634970227618099</v>
      </c>
      <c r="J3291">
        <v>0.22153648412174801</v>
      </c>
      <c r="K3291">
        <v>0.16327910960536601</v>
      </c>
      <c r="L3291">
        <v>488.012198846974</v>
      </c>
      <c r="M3291">
        <v>8.7728050234861108</v>
      </c>
      <c r="N3291">
        <v>55.627840321519002</v>
      </c>
      <c r="O3291">
        <v>52.964513777905402</v>
      </c>
      <c r="P3291">
        <v>-4.1442007265108903E-2</v>
      </c>
      <c r="Q3291">
        <v>0</v>
      </c>
      <c r="R3291">
        <v>0.95489496713272404</v>
      </c>
      <c r="S3291" t="s">
        <v>8874</v>
      </c>
      <c r="T3291" t="s">
        <v>11164</v>
      </c>
      <c r="U3291" t="s">
        <v>11164</v>
      </c>
      <c r="V3291" t="s">
        <v>11164</v>
      </c>
      <c r="W3291" t="s">
        <v>14414</v>
      </c>
      <c r="X3291">
        <v>9</v>
      </c>
      <c r="Y3291" t="s">
        <v>19309</v>
      </c>
      <c r="Z3291" t="s">
        <v>25441</v>
      </c>
      <c r="AA3291">
        <v>0.62571227397300255</v>
      </c>
      <c r="AB3291" t="str">
        <f>HYPERLINK("Melting_Curves/meltCurve_Q5JR01_EEF1A1.pdf", "Melting_Curves/meltCurve_Q5JR01_EEF1A1.pdf")</f>
        <v>Melting_Curves/meltCurve_Q5JR01_EEF1A1.pdf</v>
      </c>
    </row>
    <row r="3292" spans="1:28" x14ac:dyDescent="0.25">
      <c r="A3292" t="s">
        <v>3296</v>
      </c>
      <c r="B3292">
        <v>0.99796759195183404</v>
      </c>
      <c r="C3292">
        <v>0.96642950222620505</v>
      </c>
      <c r="D3292">
        <v>0.98128553527233597</v>
      </c>
      <c r="E3292">
        <v>0.92896312161455297</v>
      </c>
      <c r="F3292">
        <v>0.77089659258529397</v>
      </c>
      <c r="G3292">
        <v>0.57877316106596199</v>
      </c>
      <c r="H3292">
        <v>0.523810393234862</v>
      </c>
      <c r="I3292">
        <v>0.39645127054477902</v>
      </c>
      <c r="J3292">
        <v>0.39255129689746998</v>
      </c>
      <c r="K3292">
        <v>0.27609107819749601</v>
      </c>
      <c r="L3292">
        <v>656.36667375573802</v>
      </c>
      <c r="M3292">
        <v>12.240541361141</v>
      </c>
      <c r="N3292">
        <v>57.068863069197697</v>
      </c>
      <c r="O3292">
        <v>52.251435352475198</v>
      </c>
      <c r="P3292">
        <v>-4.3274395599020701E-2</v>
      </c>
      <c r="Q3292">
        <v>0.26126021991118697</v>
      </c>
      <c r="R3292">
        <v>0.98771208466302796</v>
      </c>
      <c r="S3292" t="s">
        <v>8875</v>
      </c>
      <c r="T3292" t="s">
        <v>11164</v>
      </c>
      <c r="U3292" t="s">
        <v>11164</v>
      </c>
      <c r="V3292" t="s">
        <v>11164</v>
      </c>
      <c r="W3292" t="s">
        <v>14415</v>
      </c>
      <c r="X3292">
        <v>14</v>
      </c>
      <c r="Y3292" t="s">
        <v>19898</v>
      </c>
      <c r="Z3292" t="s">
        <v>25442</v>
      </c>
      <c r="AA3292">
        <v>0.68464821692502753</v>
      </c>
      <c r="AB3292" t="str">
        <f>HYPERLINK("Melting_Curves/meltCurve_Q5JR08_RHOC.pdf", "Melting_Curves/meltCurve_Q5JR08_RHOC.pdf")</f>
        <v>Melting_Curves/meltCurve_Q5JR08_RHOC.pdf</v>
      </c>
    </row>
    <row r="3293" spans="1:28" x14ac:dyDescent="0.25">
      <c r="A3293" t="s">
        <v>3297</v>
      </c>
      <c r="B3293">
        <v>0.99796759195183404</v>
      </c>
      <c r="C3293">
        <v>0.95199602164118702</v>
      </c>
      <c r="D3293">
        <v>0.86305019415655204</v>
      </c>
      <c r="E3293">
        <v>0.96884439388405696</v>
      </c>
      <c r="F3293">
        <v>0.88391521508672999</v>
      </c>
      <c r="G3293">
        <v>0.69314175867406702</v>
      </c>
      <c r="H3293">
        <v>0.99752987026116602</v>
      </c>
      <c r="I3293">
        <v>0.87599378021289398</v>
      </c>
      <c r="J3293">
        <v>0.30399679101890498</v>
      </c>
      <c r="K3293">
        <v>0.24331074587663901</v>
      </c>
      <c r="L3293">
        <v>5089.0301582421698</v>
      </c>
      <c r="M3293">
        <v>81.7940415117653</v>
      </c>
      <c r="N3293">
        <v>62.722153111359702</v>
      </c>
      <c r="O3293">
        <v>62.180452854249097</v>
      </c>
      <c r="P3293">
        <v>-0.24958550441761901</v>
      </c>
      <c r="Q3293">
        <v>0.24105289100490801</v>
      </c>
      <c r="R3293">
        <v>0.81712984574621195</v>
      </c>
      <c r="S3293" t="s">
        <v>8876</v>
      </c>
      <c r="T3293" t="s">
        <v>11164</v>
      </c>
      <c r="U3293" t="s">
        <v>11164</v>
      </c>
      <c r="V3293" t="s">
        <v>11164</v>
      </c>
      <c r="W3293" t="s">
        <v>14416</v>
      </c>
      <c r="X3293">
        <v>6</v>
      </c>
      <c r="Y3293" t="s">
        <v>19899</v>
      </c>
      <c r="Z3293" t="s">
        <v>25443</v>
      </c>
      <c r="AA3293">
        <v>0.87972297947692657</v>
      </c>
      <c r="AB3293" t="str">
        <f>HYPERLINK("Melting_Curves/meltCurve_Q5JR95_RPS8.pdf", "Melting_Curves/meltCurve_Q5JR95_RPS8.pdf")</f>
        <v>Melting_Curves/meltCurve_Q5JR95_RPS8.pdf</v>
      </c>
    </row>
    <row r="3294" spans="1:28" x14ac:dyDescent="0.25">
      <c r="A3294" t="s">
        <v>3298</v>
      </c>
      <c r="B3294">
        <v>0.99796759195183404</v>
      </c>
      <c r="C3294">
        <v>0.95397824733331804</v>
      </c>
      <c r="D3294">
        <v>0.89336347175420405</v>
      </c>
      <c r="E3294">
        <v>0.92554509292505405</v>
      </c>
      <c r="F3294">
        <v>0.87405171667495596</v>
      </c>
      <c r="G3294">
        <v>1.07706753673664</v>
      </c>
      <c r="H3294">
        <v>0.84314685144674995</v>
      </c>
      <c r="I3294">
        <v>0.63156660118132901</v>
      </c>
      <c r="J3294">
        <v>0.463207928888688</v>
      </c>
      <c r="K3294">
        <v>0.33929373473454499</v>
      </c>
      <c r="L3294">
        <v>1516.1305595035201</v>
      </c>
      <c r="M3294">
        <v>24.888256676469901</v>
      </c>
      <c r="N3294">
        <v>63.031813557494203</v>
      </c>
      <c r="O3294">
        <v>60.528297729703198</v>
      </c>
      <c r="P3294">
        <v>-7.3702841105111896E-2</v>
      </c>
      <c r="Q3294">
        <v>0.28302776593122098</v>
      </c>
      <c r="R3294">
        <v>0.91274918054033705</v>
      </c>
      <c r="S3294" t="s">
        <v>8877</v>
      </c>
      <c r="T3294" t="s">
        <v>11164</v>
      </c>
      <c r="U3294" t="s">
        <v>11164</v>
      </c>
      <c r="V3294" t="s">
        <v>11164</v>
      </c>
      <c r="W3294" t="s">
        <v>14417</v>
      </c>
      <c r="X3294">
        <v>8</v>
      </c>
      <c r="Y3294" t="s">
        <v>19900</v>
      </c>
      <c r="Z3294" t="s">
        <v>25444</v>
      </c>
      <c r="AA3294">
        <v>0.85477919916921552</v>
      </c>
      <c r="AB3294" t="str">
        <f>HYPERLINK("Melting_Curves/meltCurve_Q5JRG1_NUPL1.pdf", "Melting_Curves/meltCurve_Q5JRG1_NUPL1.pdf")</f>
        <v>Melting_Curves/meltCurve_Q5JRG1_NUPL1.pdf</v>
      </c>
    </row>
    <row r="3295" spans="1:28" x14ac:dyDescent="0.25">
      <c r="A3295" t="s">
        <v>3299</v>
      </c>
      <c r="B3295">
        <v>0.99796759195183404</v>
      </c>
      <c r="C3295">
        <v>1.0168379642284899</v>
      </c>
      <c r="D3295">
        <v>1.00666752531793</v>
      </c>
      <c r="E3295">
        <v>0.97139917832790301</v>
      </c>
      <c r="F3295">
        <v>0.79364162717950903</v>
      </c>
      <c r="G3295">
        <v>0.46444305895957</v>
      </c>
      <c r="H3295">
        <v>0.27111523482534799</v>
      </c>
      <c r="I3295">
        <v>0.184925396502609</v>
      </c>
      <c r="J3295">
        <v>0.15444611491923199</v>
      </c>
      <c r="K3295">
        <v>0.117539264953019</v>
      </c>
      <c r="L3295">
        <v>1173.35100262125</v>
      </c>
      <c r="M3295">
        <v>22.2194856929619</v>
      </c>
      <c r="N3295">
        <v>53.543478468176502</v>
      </c>
      <c r="O3295">
        <v>52.385146327247497</v>
      </c>
      <c r="P3295">
        <v>-9.2083962862681307E-2</v>
      </c>
      <c r="Q3295">
        <v>0.131622028124563</v>
      </c>
      <c r="R3295">
        <v>0.99879946053575597</v>
      </c>
      <c r="S3295" t="s">
        <v>8878</v>
      </c>
      <c r="T3295" t="s">
        <v>11164</v>
      </c>
      <c r="U3295" t="s">
        <v>11164</v>
      </c>
      <c r="V3295" t="s">
        <v>11164</v>
      </c>
      <c r="W3295" t="s">
        <v>14418</v>
      </c>
      <c r="X3295">
        <v>20</v>
      </c>
      <c r="Y3295" t="s">
        <v>19901</v>
      </c>
      <c r="Z3295" t="s">
        <v>25445</v>
      </c>
      <c r="AA3295">
        <v>0.59853684111195415</v>
      </c>
      <c r="AB3295" t="str">
        <f>HYPERLINK("Melting_Curves/meltCurve_Q5JRX3_PITRM1.pdf", "Melting_Curves/meltCurve_Q5JRX3_PITRM1.pdf")</f>
        <v>Melting_Curves/meltCurve_Q5JRX3_PITRM1.pdf</v>
      </c>
    </row>
    <row r="3296" spans="1:28" x14ac:dyDescent="0.25">
      <c r="A3296" t="s">
        <v>3300</v>
      </c>
      <c r="B3296">
        <v>0.99796759195183404</v>
      </c>
      <c r="C3296">
        <v>1.2656159121657899</v>
      </c>
      <c r="D3296">
        <v>0.93630531363171998</v>
      </c>
      <c r="E3296">
        <v>1.3874675863936601</v>
      </c>
      <c r="F3296">
        <v>1.1735271192935799</v>
      </c>
      <c r="G3296">
        <v>1.4538398856386701</v>
      </c>
      <c r="H3296">
        <v>1.02526154261555</v>
      </c>
      <c r="I3296">
        <v>1.2728414353783</v>
      </c>
      <c r="J3296">
        <v>1.1310843594089399</v>
      </c>
      <c r="K3296">
        <v>1.20128176365078</v>
      </c>
      <c r="L3296">
        <v>655.92673133609196</v>
      </c>
      <c r="M3296">
        <v>16.6287738634386</v>
      </c>
      <c r="O3296">
        <v>38.888071973595302</v>
      </c>
      <c r="P3296">
        <v>2.3419116858249898E-2</v>
      </c>
      <c r="Q3296">
        <v>1.21905711639044</v>
      </c>
      <c r="R3296">
        <v>0.126028939739838</v>
      </c>
      <c r="S3296" t="s">
        <v>8879</v>
      </c>
      <c r="T3296" t="s">
        <v>11164</v>
      </c>
      <c r="U3296" t="s">
        <v>11164</v>
      </c>
      <c r="V3296" t="s">
        <v>11164</v>
      </c>
      <c r="W3296" t="s">
        <v>14419</v>
      </c>
      <c r="X3296">
        <v>2</v>
      </c>
      <c r="Y3296" t="s">
        <v>19902</v>
      </c>
      <c r="Z3296" t="s">
        <v>25446</v>
      </c>
      <c r="AA3296">
        <v>1.1937208944403359</v>
      </c>
      <c r="AB3296" t="str">
        <f>HYPERLINK("Melting_Curves/meltCurve_Q5JS54_PSMG4.pdf", "Melting_Curves/meltCurve_Q5JS54_PSMG4.pdf")</f>
        <v>Melting_Curves/meltCurve_Q5JS54_PSMG4.pdf</v>
      </c>
    </row>
    <row r="3297" spans="1:28" x14ac:dyDescent="0.25">
      <c r="A3297" t="s">
        <v>3301</v>
      </c>
      <c r="B3297">
        <v>0.99796759195183404</v>
      </c>
      <c r="C3297">
        <v>1.0306774591704799</v>
      </c>
      <c r="D3297">
        <v>0.975761180008346</v>
      </c>
      <c r="E3297">
        <v>0.96417382016835396</v>
      </c>
      <c r="F3297">
        <v>0.81896464214568399</v>
      </c>
      <c r="G3297">
        <v>0.65662346753027001</v>
      </c>
      <c r="H3297">
        <v>0.60856669924644602</v>
      </c>
      <c r="I3297">
        <v>0.44940409056203501</v>
      </c>
      <c r="J3297">
        <v>0.26239468557298301</v>
      </c>
      <c r="K3297">
        <v>0.195862108160724</v>
      </c>
      <c r="L3297">
        <v>595.29070916168303</v>
      </c>
      <c r="M3297">
        <v>10.150029012747099</v>
      </c>
      <c r="N3297">
        <v>58.649163328309697</v>
      </c>
      <c r="O3297">
        <v>56.509214181829797</v>
      </c>
      <c r="P3297">
        <v>-4.4924941046723697E-2</v>
      </c>
      <c r="Q3297">
        <v>0</v>
      </c>
      <c r="R3297">
        <v>0.98478436929235902</v>
      </c>
      <c r="S3297" t="s">
        <v>8880</v>
      </c>
      <c r="T3297" t="s">
        <v>11164</v>
      </c>
      <c r="U3297" t="s">
        <v>11164</v>
      </c>
      <c r="V3297" t="s">
        <v>11164</v>
      </c>
      <c r="W3297" t="s">
        <v>14420</v>
      </c>
      <c r="X3297">
        <v>12</v>
      </c>
      <c r="Y3297" t="s">
        <v>19903</v>
      </c>
      <c r="Z3297" t="s">
        <v>25447</v>
      </c>
      <c r="AA3297">
        <v>0.70832786178669471</v>
      </c>
      <c r="AB3297" t="str">
        <f>HYPERLINK("Melting_Curves/meltCurve_Q5JSH3_2_WDR44.pdf", "Melting_Curves/meltCurve_Q5JSH3_2_WDR44.pdf")</f>
        <v>Melting_Curves/meltCurve_Q5JSH3_2_WDR44.pdf</v>
      </c>
    </row>
    <row r="3298" spans="1:28" x14ac:dyDescent="0.25">
      <c r="A3298" t="s">
        <v>3302</v>
      </c>
      <c r="B3298">
        <v>0.99796759195183404</v>
      </c>
      <c r="C3298">
        <v>1.1891700315424301</v>
      </c>
      <c r="D3298">
        <v>1.1301503797502099</v>
      </c>
      <c r="E3298">
        <v>1.06638983873874</v>
      </c>
      <c r="F3298">
        <v>1.0597248910905399</v>
      </c>
      <c r="G3298">
        <v>0.43554900680102798</v>
      </c>
      <c r="H3298">
        <v>0.502381289447144</v>
      </c>
      <c r="I3298">
        <v>0.66664648409444105</v>
      </c>
      <c r="J3298">
        <v>0.85774638262497205</v>
      </c>
      <c r="K3298">
        <v>0.57316389066602003</v>
      </c>
      <c r="L3298">
        <v>4762.7748287756203</v>
      </c>
      <c r="M3298">
        <v>92.116818147437698</v>
      </c>
      <c r="O3298">
        <v>51.679283085745801</v>
      </c>
      <c r="P3298">
        <v>-0.17514897265506801</v>
      </c>
      <c r="Q3298">
        <v>0.60695241149759505</v>
      </c>
      <c r="R3298">
        <v>0.75221080583974997</v>
      </c>
      <c r="S3298" t="s">
        <v>8881</v>
      </c>
      <c r="T3298" t="s">
        <v>11164</v>
      </c>
      <c r="U3298" t="s">
        <v>11164</v>
      </c>
      <c r="V3298" t="s">
        <v>11164</v>
      </c>
      <c r="W3298" t="s">
        <v>14421</v>
      </c>
      <c r="X3298">
        <v>3</v>
      </c>
      <c r="Y3298" t="s">
        <v>19904</v>
      </c>
      <c r="Z3298" t="s">
        <v>25448</v>
      </c>
      <c r="AA3298">
        <v>0.79985648326080794</v>
      </c>
      <c r="AB3298" t="str">
        <f>HYPERLINK("Melting_Curves/meltCurve_Q5JSK7_HMGN5.pdf", "Melting_Curves/meltCurve_Q5JSK7_HMGN5.pdf")</f>
        <v>Melting_Curves/meltCurve_Q5JSK7_HMGN5.pdf</v>
      </c>
    </row>
    <row r="3299" spans="1:28" x14ac:dyDescent="0.25">
      <c r="A3299" t="s">
        <v>3303</v>
      </c>
      <c r="B3299">
        <v>0.99796759195183404</v>
      </c>
      <c r="C3299">
        <v>0.960273135476295</v>
      </c>
      <c r="D3299">
        <v>0.82641945322405896</v>
      </c>
      <c r="E3299">
        <v>0.80195569491577001</v>
      </c>
      <c r="F3299">
        <v>0.80674657452815701</v>
      </c>
      <c r="G3299">
        <v>1.0108450326843399</v>
      </c>
      <c r="H3299">
        <v>1.12738893685261</v>
      </c>
      <c r="I3299">
        <v>0.97537744139175597</v>
      </c>
      <c r="J3299">
        <v>0.64705236959185597</v>
      </c>
      <c r="K3299">
        <v>0.38330941981917899</v>
      </c>
      <c r="L3299">
        <v>4499.59964800952</v>
      </c>
      <c r="M3299">
        <v>70.402492103955396</v>
      </c>
      <c r="N3299">
        <v>65.085002514885502</v>
      </c>
      <c r="O3299">
        <v>63.861003185765</v>
      </c>
      <c r="P3299">
        <v>-0.17657087900173901</v>
      </c>
      <c r="Q3299">
        <v>0.35934144357459102</v>
      </c>
      <c r="R3299">
        <v>0.70038452312733701</v>
      </c>
      <c r="S3299" t="s">
        <v>8882</v>
      </c>
      <c r="T3299" t="s">
        <v>11164</v>
      </c>
      <c r="U3299" t="s">
        <v>11164</v>
      </c>
      <c r="V3299" t="s">
        <v>11164</v>
      </c>
      <c r="W3299" t="s">
        <v>14422</v>
      </c>
      <c r="X3299">
        <v>18</v>
      </c>
      <c r="Y3299" t="s">
        <v>19905</v>
      </c>
      <c r="Z3299" t="s">
        <v>25449</v>
      </c>
      <c r="AA3299">
        <v>0.93413343790459202</v>
      </c>
      <c r="AB3299" t="str">
        <f>HYPERLINK("Melting_Curves/meltCurve_Q5JSZ5_PRRC2B.pdf", "Melting_Curves/meltCurve_Q5JSZ5_PRRC2B.pdf")</f>
        <v>Melting_Curves/meltCurve_Q5JSZ5_PRRC2B.pdf</v>
      </c>
    </row>
    <row r="3300" spans="1:28" x14ac:dyDescent="0.25">
      <c r="A3300" t="s">
        <v>3304</v>
      </c>
      <c r="B3300">
        <v>0.99796759195183404</v>
      </c>
      <c r="C3300">
        <v>0.95322131846203795</v>
      </c>
      <c r="D3300">
        <v>1.00066131144555</v>
      </c>
      <c r="E3300">
        <v>1.0626627557684001</v>
      </c>
      <c r="F3300">
        <v>0.91388671297365698</v>
      </c>
      <c r="G3300">
        <v>0.29823219937551498</v>
      </c>
      <c r="H3300">
        <v>0.63709880380808104</v>
      </c>
      <c r="I3300">
        <v>0.44279682699788298</v>
      </c>
      <c r="J3300">
        <v>0.18722374670852701</v>
      </c>
      <c r="K3300">
        <v>0.14974062136485899</v>
      </c>
      <c r="L3300">
        <v>702.151476311735</v>
      </c>
      <c r="M3300">
        <v>12.712768067481999</v>
      </c>
      <c r="N3300">
        <v>56.4347602299529</v>
      </c>
      <c r="O3300">
        <v>53.918823002618701</v>
      </c>
      <c r="P3300">
        <v>-5.1959114701034599E-2</v>
      </c>
      <c r="Q3300">
        <v>0.11867045199665301</v>
      </c>
      <c r="R3300">
        <v>0.83471981646495397</v>
      </c>
      <c r="S3300" t="s">
        <v>8883</v>
      </c>
      <c r="T3300" t="s">
        <v>11164</v>
      </c>
      <c r="U3300" t="s">
        <v>11164</v>
      </c>
      <c r="V3300" t="s">
        <v>11164</v>
      </c>
      <c r="W3300" t="s">
        <v>14423</v>
      </c>
      <c r="X3300">
        <v>1</v>
      </c>
      <c r="Y3300" t="s">
        <v>19906</v>
      </c>
      <c r="Z3300" t="s">
        <v>25450</v>
      </c>
      <c r="AA3300">
        <v>0.66623476212081234</v>
      </c>
      <c r="AB3300" t="str">
        <f>HYPERLINK("Melting_Curves/meltCurve_Q5JTC6_2_AMER1.pdf", "Melting_Curves/meltCurve_Q5JTC6_2_AMER1.pdf")</f>
        <v>Melting_Curves/meltCurve_Q5JTC6_2_AMER1.pdf</v>
      </c>
    </row>
    <row r="3301" spans="1:28" x14ac:dyDescent="0.25">
      <c r="A3301" t="s">
        <v>3305</v>
      </c>
      <c r="B3301">
        <v>0.99796759195183404</v>
      </c>
      <c r="C3301">
        <v>1.03371244705153</v>
      </c>
      <c r="D3301">
        <v>0.97391863963027903</v>
      </c>
      <c r="E3301">
        <v>0.95528801500485405</v>
      </c>
      <c r="F3301">
        <v>0.83050524388234603</v>
      </c>
      <c r="G3301">
        <v>0.56615568159320995</v>
      </c>
      <c r="H3301">
        <v>0.455002706748112</v>
      </c>
      <c r="I3301">
        <v>0.39518201270258302</v>
      </c>
      <c r="J3301">
        <v>0.45943761554784701</v>
      </c>
      <c r="K3301">
        <v>0.38804789469908801</v>
      </c>
      <c r="L3301">
        <v>1361.9083696099201</v>
      </c>
      <c r="M3301">
        <v>26.288779555284101</v>
      </c>
      <c r="N3301">
        <v>55.402833742900299</v>
      </c>
      <c r="O3301">
        <v>51.508706624029799</v>
      </c>
      <c r="P3301">
        <v>-7.5372840804247193E-2</v>
      </c>
      <c r="Q3301">
        <v>0.40928185978496001</v>
      </c>
      <c r="R3301">
        <v>0.99219137166132298</v>
      </c>
      <c r="S3301" t="s">
        <v>8884</v>
      </c>
      <c r="T3301" t="s">
        <v>11164</v>
      </c>
      <c r="U3301" t="s">
        <v>11164</v>
      </c>
      <c r="V3301" t="s">
        <v>11164</v>
      </c>
      <c r="W3301" t="s">
        <v>14424</v>
      </c>
      <c r="X3301">
        <v>13</v>
      </c>
      <c r="Y3301" t="s">
        <v>19907</v>
      </c>
      <c r="Z3301" t="s">
        <v>25451</v>
      </c>
      <c r="AA3301">
        <v>0.70558676102183893</v>
      </c>
      <c r="AB3301" t="str">
        <f>HYPERLINK("Melting_Curves/meltCurve_Q5JTD0_2_TJAP1.pdf", "Melting_Curves/meltCurve_Q5JTD0_2_TJAP1.pdf")</f>
        <v>Melting_Curves/meltCurve_Q5JTD0_2_TJAP1.pdf</v>
      </c>
    </row>
    <row r="3302" spans="1:28" x14ac:dyDescent="0.25">
      <c r="A3302" t="s">
        <v>3306</v>
      </c>
      <c r="B3302">
        <v>0.99796759195183404</v>
      </c>
      <c r="C3302">
        <v>1.0611841016210599</v>
      </c>
      <c r="D3302">
        <v>1.05142784556656</v>
      </c>
      <c r="E3302">
        <v>0.88840604681200896</v>
      </c>
      <c r="F3302">
        <v>0.46916383143714901</v>
      </c>
      <c r="G3302">
        <v>0.23322645981349299</v>
      </c>
      <c r="H3302">
        <v>0.18048356974681201</v>
      </c>
      <c r="I3302">
        <v>0.15799275184796699</v>
      </c>
      <c r="J3302">
        <v>0.12950061405593</v>
      </c>
      <c r="K3302">
        <v>9.1633082547336597E-2</v>
      </c>
      <c r="L3302">
        <v>1465.7885893641101</v>
      </c>
      <c r="M3302">
        <v>29.600561079135598</v>
      </c>
      <c r="N3302">
        <v>50.064656518630599</v>
      </c>
      <c r="O3302">
        <v>49.294590116533598</v>
      </c>
      <c r="P3302">
        <v>-0.129422058427793</v>
      </c>
      <c r="Q3302">
        <v>0.13788619255638501</v>
      </c>
      <c r="R3302">
        <v>0.99281099893282998</v>
      </c>
      <c r="S3302" t="s">
        <v>8885</v>
      </c>
      <c r="T3302" t="s">
        <v>11164</v>
      </c>
      <c r="U3302" t="s">
        <v>11164</v>
      </c>
      <c r="V3302" t="s">
        <v>11164</v>
      </c>
      <c r="W3302" t="s">
        <v>14425</v>
      </c>
      <c r="X3302">
        <v>9</v>
      </c>
      <c r="Y3302" t="s">
        <v>19908</v>
      </c>
      <c r="Z3302" t="s">
        <v>25452</v>
      </c>
      <c r="AA3302">
        <v>0.50303336146395405</v>
      </c>
      <c r="AB3302" t="str">
        <f>HYPERLINK("Melting_Curves/meltCurve_Q5JTH9_2_RRP12.pdf", "Melting_Curves/meltCurve_Q5JTH9_2_RRP12.pdf")</f>
        <v>Melting_Curves/meltCurve_Q5JTH9_2_RRP12.pdf</v>
      </c>
    </row>
    <row r="3303" spans="1:28" x14ac:dyDescent="0.25">
      <c r="A3303" t="s">
        <v>3307</v>
      </c>
      <c r="B3303">
        <v>0.99796759195183404</v>
      </c>
      <c r="C3303">
        <v>1.09256329105175</v>
      </c>
      <c r="D3303">
        <v>1.1143558561617899</v>
      </c>
      <c r="E3303">
        <v>1.07488140485277</v>
      </c>
      <c r="F3303">
        <v>0.96361707431330701</v>
      </c>
      <c r="G3303">
        <v>0.64181000878377603</v>
      </c>
      <c r="H3303">
        <v>0.70714056012704996</v>
      </c>
      <c r="I3303">
        <v>0.61681547992589802</v>
      </c>
      <c r="J3303">
        <v>0.85779345301300303</v>
      </c>
      <c r="K3303">
        <v>0.77998505067010404</v>
      </c>
      <c r="L3303">
        <v>12645.308582269399</v>
      </c>
      <c r="M3303">
        <v>250</v>
      </c>
      <c r="O3303">
        <v>50.578009832995299</v>
      </c>
      <c r="P3303">
        <v>-0.345124252315269</v>
      </c>
      <c r="Q3303">
        <v>0.72070890312424296</v>
      </c>
      <c r="R3303">
        <v>0.79466247925095101</v>
      </c>
      <c r="S3303" t="s">
        <v>8886</v>
      </c>
      <c r="T3303" t="s">
        <v>11164</v>
      </c>
      <c r="U3303" t="s">
        <v>11164</v>
      </c>
      <c r="V3303" t="s">
        <v>11164</v>
      </c>
      <c r="W3303" t="s">
        <v>14426</v>
      </c>
      <c r="X3303">
        <v>9</v>
      </c>
      <c r="Y3303" t="s">
        <v>19909</v>
      </c>
      <c r="Z3303" t="s">
        <v>25453</v>
      </c>
      <c r="AA3303">
        <v>0.8471709566833775</v>
      </c>
      <c r="AB3303" t="str">
        <f>HYPERLINK("Melting_Curves/meltCurve_Q5JTJ3_3_COA6.pdf", "Melting_Curves/meltCurve_Q5JTJ3_3_COA6.pdf")</f>
        <v>Melting_Curves/meltCurve_Q5JTJ3_3_COA6.pdf</v>
      </c>
    </row>
    <row r="3304" spans="1:28" x14ac:dyDescent="0.25">
      <c r="A3304" t="s">
        <v>3308</v>
      </c>
      <c r="B3304">
        <v>0.99796759195183404</v>
      </c>
      <c r="C3304">
        <v>0.95070496103945601</v>
      </c>
      <c r="D3304">
        <v>0.94874247344043605</v>
      </c>
      <c r="E3304">
        <v>0.87415108988560297</v>
      </c>
      <c r="F3304">
        <v>0.53606590030458401</v>
      </c>
      <c r="G3304">
        <v>0.31145815870669102</v>
      </c>
      <c r="H3304">
        <v>0.17050386078812099</v>
      </c>
      <c r="I3304">
        <v>0.138701310746811</v>
      </c>
      <c r="J3304">
        <v>0.10497401532289601</v>
      </c>
      <c r="K3304">
        <v>6.7548427670872296E-2</v>
      </c>
      <c r="L3304">
        <v>943.49522032232005</v>
      </c>
      <c r="M3304">
        <v>18.702896983740199</v>
      </c>
      <c r="N3304">
        <v>50.9454013659279</v>
      </c>
      <c r="O3304">
        <v>49.880375304003103</v>
      </c>
      <c r="P3304">
        <v>-8.5897947796315002E-2</v>
      </c>
      <c r="Q3304">
        <v>8.36842792094631E-2</v>
      </c>
      <c r="R3304">
        <v>0.99627906552463197</v>
      </c>
      <c r="S3304" t="s">
        <v>8887</v>
      </c>
      <c r="T3304" t="s">
        <v>11164</v>
      </c>
      <c r="U3304" t="s">
        <v>11164</v>
      </c>
      <c r="V3304" t="s">
        <v>11164</v>
      </c>
      <c r="W3304" t="s">
        <v>14427</v>
      </c>
      <c r="X3304">
        <v>6</v>
      </c>
      <c r="Y3304" t="s">
        <v>19910</v>
      </c>
      <c r="Z3304" t="s">
        <v>25454</v>
      </c>
      <c r="AA3304">
        <v>0.50787411691859963</v>
      </c>
      <c r="AB3304" t="str">
        <f>HYPERLINK("Melting_Curves/meltCurve_Q5JTV1_GMEB2.pdf", "Melting_Curves/meltCurve_Q5JTV1_GMEB2.pdf")</f>
        <v>Melting_Curves/meltCurve_Q5JTV1_GMEB2.pdf</v>
      </c>
    </row>
    <row r="3305" spans="1:28" x14ac:dyDescent="0.25">
      <c r="A3305" t="s">
        <v>3309</v>
      </c>
      <c r="B3305">
        <v>0.99796759195183404</v>
      </c>
      <c r="C3305">
        <v>0.96631157944115398</v>
      </c>
      <c r="D3305">
        <v>0.935831645099233</v>
      </c>
      <c r="E3305">
        <v>0.91502275094741403</v>
      </c>
      <c r="F3305">
        <v>0.84063786475206803</v>
      </c>
      <c r="G3305">
        <v>0.66153117661294303</v>
      </c>
      <c r="H3305">
        <v>0.52679763787850598</v>
      </c>
      <c r="I3305">
        <v>0.33479273296803203</v>
      </c>
      <c r="J3305">
        <v>0.180161653638895</v>
      </c>
      <c r="K3305">
        <v>0.12869887667371899</v>
      </c>
      <c r="L3305">
        <v>677.99655975819996</v>
      </c>
      <c r="M3305">
        <v>11.868019107307701</v>
      </c>
      <c r="N3305">
        <v>57.128030786647301</v>
      </c>
      <c r="O3305">
        <v>55.578483560789401</v>
      </c>
      <c r="P3305">
        <v>-5.3397486959788999E-2</v>
      </c>
      <c r="Q3305">
        <v>0</v>
      </c>
      <c r="R3305">
        <v>0.99319889701323805</v>
      </c>
      <c r="S3305" t="s">
        <v>8888</v>
      </c>
      <c r="T3305" t="s">
        <v>11164</v>
      </c>
      <c r="U3305" t="s">
        <v>11164</v>
      </c>
      <c r="V3305" t="s">
        <v>11164</v>
      </c>
      <c r="W3305" t="s">
        <v>12140</v>
      </c>
      <c r="X3305">
        <v>17</v>
      </c>
      <c r="Y3305" t="s">
        <v>17670</v>
      </c>
      <c r="Z3305" t="s">
        <v>25455</v>
      </c>
      <c r="AA3305">
        <v>0.6745891772519006</v>
      </c>
      <c r="AB3305" t="str">
        <f>HYPERLINK("Melting_Curves/meltCurve_Q5JTV8_TOR1AIP1.pdf", "Melting_Curves/meltCurve_Q5JTV8_TOR1AIP1.pdf")</f>
        <v>Melting_Curves/meltCurve_Q5JTV8_TOR1AIP1.pdf</v>
      </c>
    </row>
    <row r="3306" spans="1:28" x14ac:dyDescent="0.25">
      <c r="A3306" t="s">
        <v>3310</v>
      </c>
      <c r="B3306">
        <v>0.99796759195183404</v>
      </c>
      <c r="C3306">
        <v>1.0379282328822601</v>
      </c>
      <c r="D3306">
        <v>1.0003739324474701</v>
      </c>
      <c r="E3306">
        <v>0.87837460396462597</v>
      </c>
      <c r="F3306">
        <v>0.668920441983197</v>
      </c>
      <c r="G3306">
        <v>0.21781761184604301</v>
      </c>
      <c r="H3306">
        <v>0.15935602108358601</v>
      </c>
      <c r="I3306">
        <v>0.14688544572496601</v>
      </c>
      <c r="J3306">
        <v>0.117799318944973</v>
      </c>
      <c r="K3306">
        <v>8.3337151649447799E-2</v>
      </c>
      <c r="L3306">
        <v>1452.96678118618</v>
      </c>
      <c r="M3306">
        <v>28.5950747155605</v>
      </c>
      <c r="N3306">
        <v>51.256236707126703</v>
      </c>
      <c r="O3306">
        <v>50.565219823758099</v>
      </c>
      <c r="P3306">
        <v>-0.12585469655516399</v>
      </c>
      <c r="Q3306">
        <v>0.109801795047863</v>
      </c>
      <c r="R3306">
        <v>0.99358825355555302</v>
      </c>
      <c r="S3306" t="s">
        <v>8889</v>
      </c>
      <c r="T3306" t="s">
        <v>11164</v>
      </c>
      <c r="U3306" t="s">
        <v>11164</v>
      </c>
      <c r="V3306" t="s">
        <v>11164</v>
      </c>
      <c r="W3306" t="s">
        <v>14428</v>
      </c>
      <c r="X3306">
        <v>21</v>
      </c>
      <c r="Y3306" t="s">
        <v>19911</v>
      </c>
      <c r="Z3306" t="s">
        <v>25456</v>
      </c>
      <c r="AA3306">
        <v>0.52571492506293349</v>
      </c>
      <c r="AB3306" t="str">
        <f>HYPERLINK("Melting_Curves/meltCurve_Q5JTZ9_AARS2.pdf", "Melting_Curves/meltCurve_Q5JTZ9_AARS2.pdf")</f>
        <v>Melting_Curves/meltCurve_Q5JTZ9_AARS2.pdf</v>
      </c>
    </row>
    <row r="3307" spans="1:28" x14ac:dyDescent="0.25">
      <c r="A3307" t="s">
        <v>3311</v>
      </c>
      <c r="B3307">
        <v>0.99796759195183404</v>
      </c>
      <c r="C3307">
        <v>0.95530028949226198</v>
      </c>
      <c r="D3307">
        <v>0.90501839080630098</v>
      </c>
      <c r="E3307">
        <v>0.82536241241560304</v>
      </c>
      <c r="F3307">
        <v>0.99172501137855995</v>
      </c>
      <c r="G3307">
        <v>0.63187631554351698</v>
      </c>
      <c r="H3307">
        <v>0.46398809057447399</v>
      </c>
      <c r="I3307">
        <v>0.33926271585971701</v>
      </c>
      <c r="J3307">
        <v>0.46117879508186999</v>
      </c>
      <c r="K3307">
        <v>0.40639215153928399</v>
      </c>
      <c r="L3307">
        <v>2533.4556385057099</v>
      </c>
      <c r="M3307">
        <v>47.549899857086203</v>
      </c>
      <c r="N3307">
        <v>55.293139629630403</v>
      </c>
      <c r="O3307">
        <v>53.185954162842499</v>
      </c>
      <c r="P3307">
        <v>-0.13154100606772401</v>
      </c>
      <c r="Q3307">
        <v>0.411470758074583</v>
      </c>
      <c r="R3307">
        <v>0.91931465828509695</v>
      </c>
      <c r="S3307" t="s">
        <v>8890</v>
      </c>
      <c r="T3307" t="s">
        <v>11164</v>
      </c>
      <c r="U3307" t="s">
        <v>11164</v>
      </c>
      <c r="V3307" t="s">
        <v>11164</v>
      </c>
      <c r="W3307" t="s">
        <v>14429</v>
      </c>
      <c r="X3307">
        <v>1</v>
      </c>
      <c r="Y3307" t="s">
        <v>19912</v>
      </c>
      <c r="Z3307" t="s">
        <v>25457</v>
      </c>
      <c r="AA3307">
        <v>0.73237282876311771</v>
      </c>
      <c r="AB3307" t="str">
        <f>HYPERLINK("Melting_Curves/meltCurve_Q5JU69_TOR2A.pdf", "Melting_Curves/meltCurve_Q5JU69_TOR2A.pdf")</f>
        <v>Melting_Curves/meltCurve_Q5JU69_TOR2A.pdf</v>
      </c>
    </row>
    <row r="3308" spans="1:28" x14ac:dyDescent="0.25">
      <c r="A3308" t="s">
        <v>3312</v>
      </c>
      <c r="B3308">
        <v>0.99796759195183404</v>
      </c>
      <c r="C3308">
        <v>1.16077523625687</v>
      </c>
      <c r="D3308">
        <v>0.85834462593496996</v>
      </c>
      <c r="E3308">
        <v>0.83601032064730296</v>
      </c>
      <c r="F3308">
        <v>0.72366567726395803</v>
      </c>
      <c r="G3308">
        <v>0.66382972876657798</v>
      </c>
      <c r="H3308">
        <v>0.40922125994283498</v>
      </c>
      <c r="I3308">
        <v>0.369974984272394</v>
      </c>
      <c r="J3308">
        <v>0.21802130081326301</v>
      </c>
      <c r="K3308">
        <v>6.7142677358757896E-2</v>
      </c>
      <c r="L3308">
        <v>559.709565527922</v>
      </c>
      <c r="M3308">
        <v>10.0132005178742</v>
      </c>
      <c r="N3308">
        <v>55.897155503860603</v>
      </c>
      <c r="O3308">
        <v>53.804948591049097</v>
      </c>
      <c r="P3308">
        <v>-4.65479782792396E-2</v>
      </c>
      <c r="Q3308">
        <v>0</v>
      </c>
      <c r="R3308">
        <v>0.94459498973313305</v>
      </c>
      <c r="S3308" t="s">
        <v>8891</v>
      </c>
      <c r="T3308" t="s">
        <v>11164</v>
      </c>
      <c r="U3308" t="s">
        <v>11164</v>
      </c>
      <c r="V3308" t="s">
        <v>11164</v>
      </c>
      <c r="W3308" t="s">
        <v>14430</v>
      </c>
      <c r="X3308">
        <v>3</v>
      </c>
      <c r="Y3308" t="s">
        <v>19913</v>
      </c>
      <c r="Z3308" t="s">
        <v>25458</v>
      </c>
      <c r="AA3308">
        <v>0.63665705304253806</v>
      </c>
      <c r="AB3308" t="str">
        <f>HYPERLINK("Melting_Curves/meltCurve_Q5JUA8_VPS16.pdf", "Melting_Curves/meltCurve_Q5JUA8_VPS16.pdf")</f>
        <v>Melting_Curves/meltCurve_Q5JUA8_VPS16.pdf</v>
      </c>
    </row>
    <row r="3309" spans="1:28" x14ac:dyDescent="0.25">
      <c r="A3309" t="s">
        <v>3313</v>
      </c>
      <c r="B3309">
        <v>0.99796759195183404</v>
      </c>
      <c r="C3309">
        <v>1.06276950939642</v>
      </c>
      <c r="D3309">
        <v>1.04142696585046</v>
      </c>
      <c r="E3309">
        <v>1.0529067684604101</v>
      </c>
      <c r="F3309">
        <v>0.93814365977159297</v>
      </c>
      <c r="G3309">
        <v>0.37669986076080297</v>
      </c>
      <c r="H3309">
        <v>0.27206000019111498</v>
      </c>
      <c r="I3309">
        <v>0.22748183731924801</v>
      </c>
      <c r="J3309">
        <v>9.7602032076150202E-2</v>
      </c>
      <c r="K3309">
        <v>0.14403233039378499</v>
      </c>
      <c r="L3309">
        <v>2523.9879963205799</v>
      </c>
      <c r="M3309">
        <v>47.973089280746599</v>
      </c>
      <c r="N3309">
        <v>53.102158327260398</v>
      </c>
      <c r="O3309">
        <v>52.521400209896001</v>
      </c>
      <c r="P3309">
        <v>-0.187540043719819</v>
      </c>
      <c r="Q3309">
        <v>0.17871823899508299</v>
      </c>
      <c r="R3309">
        <v>0.98460004363248699</v>
      </c>
      <c r="S3309" t="s">
        <v>8892</v>
      </c>
      <c r="T3309" t="s">
        <v>11164</v>
      </c>
      <c r="U3309" t="s">
        <v>11164</v>
      </c>
      <c r="V3309" t="s">
        <v>11164</v>
      </c>
      <c r="W3309" t="s">
        <v>14431</v>
      </c>
      <c r="X3309">
        <v>3</v>
      </c>
      <c r="Y3309" t="s">
        <v>19914</v>
      </c>
      <c r="Z3309" t="s">
        <v>25459</v>
      </c>
      <c r="AA3309">
        <v>0.60819888875946215</v>
      </c>
      <c r="AB3309" t="str">
        <f>HYPERLINK("Melting_Curves/meltCurve_Q5JUE6_RAPGEF1.pdf", "Melting_Curves/meltCurve_Q5JUE6_RAPGEF1.pdf")</f>
        <v>Melting_Curves/meltCurve_Q5JUE6_RAPGEF1.pdf</v>
      </c>
    </row>
    <row r="3310" spans="1:28" x14ac:dyDescent="0.25">
      <c r="A3310" t="s">
        <v>3314</v>
      </c>
      <c r="B3310">
        <v>0.99796759195183404</v>
      </c>
      <c r="C3310">
        <v>1.0177677876390701</v>
      </c>
      <c r="D3310">
        <v>1.0128417910980201</v>
      </c>
      <c r="E3310">
        <v>0.90763075336266397</v>
      </c>
      <c r="F3310">
        <v>0.80410199355902501</v>
      </c>
      <c r="G3310">
        <v>0.69495620550831305</v>
      </c>
      <c r="H3310">
        <v>0.373930882619048</v>
      </c>
      <c r="I3310">
        <v>0.225127153237827</v>
      </c>
      <c r="J3310">
        <v>0.14635858025788001</v>
      </c>
      <c r="K3310">
        <v>0.12567358498505099</v>
      </c>
      <c r="L3310">
        <v>829.34334495323901</v>
      </c>
      <c r="M3310">
        <v>14.934909147493601</v>
      </c>
      <c r="N3310">
        <v>55.823255988253997</v>
      </c>
      <c r="O3310">
        <v>54.563485002915499</v>
      </c>
      <c r="P3310">
        <v>-6.5858505695692404E-2</v>
      </c>
      <c r="Q3310">
        <v>3.7664270783091203E-2</v>
      </c>
      <c r="R3310">
        <v>0.99277739305245005</v>
      </c>
      <c r="S3310" t="s">
        <v>8893</v>
      </c>
      <c r="T3310" t="s">
        <v>11164</v>
      </c>
      <c r="U3310" t="s">
        <v>11164</v>
      </c>
      <c r="V3310" t="s">
        <v>11164</v>
      </c>
      <c r="W3310" t="s">
        <v>14432</v>
      </c>
      <c r="X3310">
        <v>4</v>
      </c>
      <c r="Y3310" t="s">
        <v>19915</v>
      </c>
      <c r="Z3310" t="s">
        <v>25460</v>
      </c>
      <c r="AA3310">
        <v>0.64438764918070057</v>
      </c>
      <c r="AB3310" t="str">
        <f>HYPERLINK("Melting_Curves/meltCurve_Q5JUW8_DLG3.pdf", "Melting_Curves/meltCurve_Q5JUW8_DLG3.pdf")</f>
        <v>Melting_Curves/meltCurve_Q5JUW8_DLG3.pdf</v>
      </c>
    </row>
    <row r="3311" spans="1:28" x14ac:dyDescent="0.25">
      <c r="A3311" t="s">
        <v>3315</v>
      </c>
      <c r="B3311">
        <v>0.99796759195183404</v>
      </c>
      <c r="C3311">
        <v>0.97780189707998599</v>
      </c>
      <c r="D3311">
        <v>0.87920338517692997</v>
      </c>
      <c r="E3311">
        <v>0.90732781920911898</v>
      </c>
      <c r="F3311">
        <v>0.80660158515237801</v>
      </c>
      <c r="G3311">
        <v>0.796102390838761</v>
      </c>
      <c r="H3311">
        <v>0.59419542662597302</v>
      </c>
      <c r="I3311">
        <v>0.444789773014441</v>
      </c>
      <c r="J3311">
        <v>0.23314608666091499</v>
      </c>
      <c r="K3311">
        <v>0.10567498861050099</v>
      </c>
      <c r="L3311">
        <v>708.19384669007502</v>
      </c>
      <c r="M3311">
        <v>12.068241792305001</v>
      </c>
      <c r="N3311">
        <v>58.682437731163802</v>
      </c>
      <c r="O3311">
        <v>57.140843645960103</v>
      </c>
      <c r="P3311">
        <v>-5.2812870519853103E-2</v>
      </c>
      <c r="Q3311">
        <v>0</v>
      </c>
      <c r="R3311">
        <v>0.96228515201326603</v>
      </c>
      <c r="S3311" t="s">
        <v>8894</v>
      </c>
      <c r="T3311" t="s">
        <v>11164</v>
      </c>
      <c r="U3311" t="s">
        <v>11164</v>
      </c>
      <c r="V3311" t="s">
        <v>11164</v>
      </c>
      <c r="W3311" t="s">
        <v>14433</v>
      </c>
      <c r="X3311">
        <v>1</v>
      </c>
      <c r="Y3311" t="s">
        <v>19916</v>
      </c>
      <c r="Z3311" t="s">
        <v>25461</v>
      </c>
      <c r="AA3311">
        <v>0.71699497299605297</v>
      </c>
      <c r="AB3311" t="str">
        <f>HYPERLINK("Melting_Curves/meltCurve_Q5JV61_FRMD3.pdf", "Melting_Curves/meltCurve_Q5JV61_FRMD3.pdf")</f>
        <v>Melting_Curves/meltCurve_Q5JV61_FRMD3.pdf</v>
      </c>
    </row>
    <row r="3312" spans="1:28" x14ac:dyDescent="0.25">
      <c r="A3312" t="s">
        <v>3316</v>
      </c>
      <c r="B3312">
        <v>0.99796759195183404</v>
      </c>
      <c r="C3312">
        <v>0.83126520638749402</v>
      </c>
      <c r="D3312">
        <v>0.73082019546285704</v>
      </c>
      <c r="E3312">
        <v>0.68146540862500105</v>
      </c>
      <c r="F3312">
        <v>0.44477483300023402</v>
      </c>
      <c r="G3312">
        <v>0.24179611809392701</v>
      </c>
      <c r="H3312">
        <v>0.161654108367805</v>
      </c>
      <c r="I3312">
        <v>0.13496507684960801</v>
      </c>
      <c r="J3312">
        <v>9.5728935775705001E-2</v>
      </c>
      <c r="K3312">
        <v>6.2768876097311799E-2</v>
      </c>
      <c r="L3312">
        <v>468.70433836886599</v>
      </c>
      <c r="M3312">
        <v>9.6364780192113404</v>
      </c>
      <c r="N3312">
        <v>48.638534173767198</v>
      </c>
      <c r="O3312">
        <v>46.6824350117029</v>
      </c>
      <c r="P3312">
        <v>-5.1635464271375803E-2</v>
      </c>
      <c r="Q3312">
        <v>0</v>
      </c>
      <c r="R3312">
        <v>0.98424772333825095</v>
      </c>
      <c r="S3312" t="s">
        <v>8895</v>
      </c>
      <c r="T3312" t="s">
        <v>11164</v>
      </c>
      <c r="U3312" t="s">
        <v>11164</v>
      </c>
      <c r="V3312" t="s">
        <v>11164</v>
      </c>
      <c r="W3312" t="s">
        <v>14434</v>
      </c>
      <c r="X3312">
        <v>1</v>
      </c>
      <c r="Y3312" t="s">
        <v>19917</v>
      </c>
      <c r="Z3312" t="s">
        <v>25462</v>
      </c>
      <c r="AA3312">
        <v>0.42786017054868808</v>
      </c>
      <c r="AB3312" t="str">
        <f>HYPERLINK("Melting_Curves/meltCurve_Q5JV73_FRMPD3.pdf", "Melting_Curves/meltCurve_Q5JV73_FRMPD3.pdf")</f>
        <v>Melting_Curves/meltCurve_Q5JV73_FRMPD3.pdf</v>
      </c>
    </row>
    <row r="3313" spans="1:28" x14ac:dyDescent="0.25">
      <c r="A3313" t="s">
        <v>3317</v>
      </c>
      <c r="B3313">
        <v>0.99796759195183404</v>
      </c>
      <c r="C3313">
        <v>0.94386395779908405</v>
      </c>
      <c r="D3313">
        <v>0.99988116658746395</v>
      </c>
      <c r="E3313">
        <v>0.88964286029784001</v>
      </c>
      <c r="F3313">
        <v>0.86486586779021402</v>
      </c>
      <c r="G3313">
        <v>0.633816785849873</v>
      </c>
      <c r="H3313">
        <v>0.38605973191868997</v>
      </c>
      <c r="I3313">
        <v>0.45009414309860102</v>
      </c>
      <c r="J3313">
        <v>0.345460474489864</v>
      </c>
      <c r="K3313">
        <v>0.25339187780305999</v>
      </c>
      <c r="L3313">
        <v>848.68437234729799</v>
      </c>
      <c r="M3313">
        <v>15.807012614200699</v>
      </c>
      <c r="N3313">
        <v>56.482145769527399</v>
      </c>
      <c r="O3313">
        <v>52.8531030950573</v>
      </c>
      <c r="P3313">
        <v>-5.4503684005765801E-2</v>
      </c>
      <c r="Q3313">
        <v>0.27109522949980103</v>
      </c>
      <c r="R3313">
        <v>0.96995384915254801</v>
      </c>
      <c r="S3313" t="s">
        <v>8896</v>
      </c>
      <c r="T3313" t="s">
        <v>11164</v>
      </c>
      <c r="U3313" t="s">
        <v>11164</v>
      </c>
      <c r="V3313" t="s">
        <v>11164</v>
      </c>
      <c r="W3313" t="s">
        <v>14435</v>
      </c>
      <c r="X3313">
        <v>1</v>
      </c>
      <c r="Y3313" t="s">
        <v>19918</v>
      </c>
      <c r="Z3313" t="s">
        <v>25463</v>
      </c>
      <c r="AA3313">
        <v>0.68829354633978557</v>
      </c>
      <c r="AB3313" t="str">
        <f>HYPERLINK("Melting_Curves/meltCurve_Q5JVD1_CNTRL.pdf", "Melting_Curves/meltCurve_Q5JVD1_CNTRL.pdf")</f>
        <v>Melting_Curves/meltCurve_Q5JVD1_CNTRL.pdf</v>
      </c>
    </row>
    <row r="3314" spans="1:28" x14ac:dyDescent="0.25">
      <c r="A3314" t="s">
        <v>3318</v>
      </c>
      <c r="B3314">
        <v>0.99796759195183404</v>
      </c>
      <c r="C3314">
        <v>1.07545804604845</v>
      </c>
      <c r="D3314">
        <v>1.07037942550016</v>
      </c>
      <c r="E3314">
        <v>1.0628465606130499</v>
      </c>
      <c r="F3314">
        <v>0.89601889805557</v>
      </c>
      <c r="G3314">
        <v>0.27921966114449298</v>
      </c>
      <c r="H3314">
        <v>0.265470137515879</v>
      </c>
      <c r="I3314">
        <v>0.25618350800684098</v>
      </c>
      <c r="J3314">
        <v>0.227276431861931</v>
      </c>
      <c r="K3314">
        <v>0.20692052817961701</v>
      </c>
      <c r="L3314">
        <v>3551.24458672732</v>
      </c>
      <c r="M3314">
        <v>68.891438140480503</v>
      </c>
      <c r="N3314">
        <v>52.038880692701198</v>
      </c>
      <c r="O3314">
        <v>51.505033770962903</v>
      </c>
      <c r="P3314">
        <v>-0.25454114784267201</v>
      </c>
      <c r="Q3314">
        <v>0.238793826890592</v>
      </c>
      <c r="R3314">
        <v>0.98897170823361602</v>
      </c>
      <c r="S3314" t="s">
        <v>8897</v>
      </c>
      <c r="T3314" t="s">
        <v>11164</v>
      </c>
      <c r="U3314" t="s">
        <v>11164</v>
      </c>
      <c r="V3314" t="s">
        <v>11164</v>
      </c>
      <c r="W3314" t="s">
        <v>14436</v>
      </c>
      <c r="X3314">
        <v>2</v>
      </c>
      <c r="Y3314" t="s">
        <v>19919</v>
      </c>
      <c r="Z3314" t="s">
        <v>25464</v>
      </c>
      <c r="AA3314">
        <v>0.60884796946356967</v>
      </c>
      <c r="AB3314" t="str">
        <f>HYPERLINK("Melting_Curves/meltCurve_Q5JVF3_3_PCID2.pdf", "Melting_Curves/meltCurve_Q5JVF3_3_PCID2.pdf")</f>
        <v>Melting_Curves/meltCurve_Q5JVF3_3_PCID2.pdf</v>
      </c>
    </row>
    <row r="3315" spans="1:28" x14ac:dyDescent="0.25">
      <c r="A3315" t="s">
        <v>3319</v>
      </c>
      <c r="B3315">
        <v>0.99796759195183404</v>
      </c>
      <c r="C3315">
        <v>1.04376131275562</v>
      </c>
      <c r="D3315">
        <v>0.90709631289697301</v>
      </c>
      <c r="E3315">
        <v>0.98787266428283604</v>
      </c>
      <c r="F3315">
        <v>0.80142243201804098</v>
      </c>
      <c r="G3315">
        <v>0.62047278400364103</v>
      </c>
      <c r="H3315">
        <v>0.547043719299249</v>
      </c>
      <c r="I3315">
        <v>0.46479846380213802</v>
      </c>
      <c r="J3315">
        <v>0.477927181919998</v>
      </c>
      <c r="K3315">
        <v>0.33392616465911901</v>
      </c>
      <c r="L3315">
        <v>754.42363965833795</v>
      </c>
      <c r="M3315">
        <v>14.1856338463472</v>
      </c>
      <c r="N3315">
        <v>58.601975588690202</v>
      </c>
      <c r="O3315">
        <v>52.158835976464403</v>
      </c>
      <c r="P3315">
        <v>-4.3156713682379902E-2</v>
      </c>
      <c r="Q3315">
        <v>0.36535199668641999</v>
      </c>
      <c r="R3315">
        <v>0.96536689099088402</v>
      </c>
      <c r="S3315" t="s">
        <v>8898</v>
      </c>
      <c r="T3315" t="s">
        <v>11164</v>
      </c>
      <c r="U3315" t="s">
        <v>11164</v>
      </c>
      <c r="V3315" t="s">
        <v>11164</v>
      </c>
      <c r="W3315" t="s">
        <v>14437</v>
      </c>
      <c r="X3315">
        <v>3</v>
      </c>
      <c r="Y3315" t="s">
        <v>19920</v>
      </c>
      <c r="Z3315" t="s">
        <v>25465</v>
      </c>
      <c r="AA3315">
        <v>0.71939430120676684</v>
      </c>
      <c r="AB3315" t="str">
        <f>HYPERLINK("Melting_Curves/meltCurve_Q5JVS0_HABP4.pdf", "Melting_Curves/meltCurve_Q5JVS0_HABP4.pdf")</f>
        <v>Melting_Curves/meltCurve_Q5JVS0_HABP4.pdf</v>
      </c>
    </row>
    <row r="3316" spans="1:28" x14ac:dyDescent="0.25">
      <c r="A3316" t="s">
        <v>3320</v>
      </c>
      <c r="B3316">
        <v>0.99796759195183404</v>
      </c>
      <c r="C3316">
        <v>1.0416775402448299</v>
      </c>
      <c r="D3316">
        <v>0.848416411278343</v>
      </c>
      <c r="E3316">
        <v>0.86454575126566702</v>
      </c>
      <c r="F3316">
        <v>0.87984117492004599</v>
      </c>
      <c r="G3316">
        <v>0.65676672524828195</v>
      </c>
      <c r="H3316">
        <v>0.27186340670376102</v>
      </c>
      <c r="I3316">
        <v>0.22224210309616299</v>
      </c>
      <c r="J3316">
        <v>0.18888216314141201</v>
      </c>
      <c r="K3316">
        <v>9.8111743542039206E-2</v>
      </c>
      <c r="L3316">
        <v>1029.5115413420999</v>
      </c>
      <c r="M3316">
        <v>18.881655744837602</v>
      </c>
      <c r="N3316">
        <v>55.147187473041399</v>
      </c>
      <c r="O3316">
        <v>53.923886565876799</v>
      </c>
      <c r="P3316">
        <v>-7.9136929650371599E-2</v>
      </c>
      <c r="Q3316">
        <v>9.6012274337219206E-2</v>
      </c>
      <c r="R3316">
        <v>0.963409198965958</v>
      </c>
      <c r="S3316" t="s">
        <v>8899</v>
      </c>
      <c r="T3316" t="s">
        <v>11164</v>
      </c>
      <c r="U3316" t="s">
        <v>11164</v>
      </c>
      <c r="V3316" t="s">
        <v>11164</v>
      </c>
      <c r="W3316" t="s">
        <v>14438</v>
      </c>
      <c r="X3316">
        <v>1</v>
      </c>
      <c r="Y3316" t="s">
        <v>19921</v>
      </c>
      <c r="Z3316" t="s">
        <v>25466</v>
      </c>
      <c r="AA3316">
        <v>0.63539839606653115</v>
      </c>
      <c r="AB3316" t="str">
        <f>HYPERLINK("Melting_Curves/meltCurve_Q5JVZ5_ELMO2.pdf", "Melting_Curves/meltCurve_Q5JVZ5_ELMO2.pdf")</f>
        <v>Melting_Curves/meltCurve_Q5JVZ5_ELMO2.pdf</v>
      </c>
    </row>
    <row r="3317" spans="1:28" x14ac:dyDescent="0.25">
      <c r="A3317" t="s">
        <v>3321</v>
      </c>
      <c r="B3317">
        <v>0.99796759195183404</v>
      </c>
      <c r="C3317">
        <v>0.938812778205525</v>
      </c>
      <c r="D3317">
        <v>0.93472231058550304</v>
      </c>
      <c r="E3317">
        <v>0.75778573180497499</v>
      </c>
      <c r="F3317">
        <v>0.682879904808393</v>
      </c>
      <c r="G3317">
        <v>0.48894008607559403</v>
      </c>
      <c r="H3317">
        <v>0.39079585924228799</v>
      </c>
      <c r="I3317">
        <v>0.298493265598468</v>
      </c>
      <c r="J3317">
        <v>0.21384635256303799</v>
      </c>
      <c r="K3317">
        <v>0.11243703865940199</v>
      </c>
      <c r="L3317">
        <v>468.382379025028</v>
      </c>
      <c r="M3317">
        <v>8.6666968173395897</v>
      </c>
      <c r="N3317">
        <v>54.043941956369402</v>
      </c>
      <c r="O3317">
        <v>51.39776614126</v>
      </c>
      <c r="P3317">
        <v>-4.2190331575057603E-2</v>
      </c>
      <c r="Q3317">
        <v>0</v>
      </c>
      <c r="R3317">
        <v>0.99220058585980997</v>
      </c>
      <c r="S3317" t="s">
        <v>8900</v>
      </c>
      <c r="T3317" t="s">
        <v>11164</v>
      </c>
      <c r="U3317" t="s">
        <v>11164</v>
      </c>
      <c r="V3317" t="s">
        <v>11164</v>
      </c>
      <c r="W3317" t="s">
        <v>14439</v>
      </c>
      <c r="X3317">
        <v>2</v>
      </c>
      <c r="Y3317" t="s">
        <v>19922</v>
      </c>
      <c r="Z3317" t="s">
        <v>25467</v>
      </c>
      <c r="AA3317">
        <v>0.58384817864199723</v>
      </c>
      <c r="AB3317" t="str">
        <f>HYPERLINK("Melting_Curves/meltCurve_Q5JW30_STAU1.pdf", "Melting_Curves/meltCurve_Q5JW30_STAU1.pdf")</f>
        <v>Melting_Curves/meltCurve_Q5JW30_STAU1.pdf</v>
      </c>
    </row>
    <row r="3318" spans="1:28" x14ac:dyDescent="0.25">
      <c r="A3318" t="s">
        <v>3322</v>
      </c>
      <c r="B3318">
        <v>0.99796759195183404</v>
      </c>
      <c r="C3318">
        <v>0.95195148132287799</v>
      </c>
      <c r="D3318">
        <v>1.0203678595983501</v>
      </c>
      <c r="E3318">
        <v>0.98773999874816498</v>
      </c>
      <c r="F3318">
        <v>0.86746004685374201</v>
      </c>
      <c r="G3318">
        <v>0.67044560349454596</v>
      </c>
      <c r="H3318">
        <v>0.62189718685898399</v>
      </c>
      <c r="I3318">
        <v>0.54398348485331804</v>
      </c>
      <c r="J3318">
        <v>0.71517490337455103</v>
      </c>
      <c r="K3318">
        <v>0.63575563188225603</v>
      </c>
      <c r="L3318">
        <v>2074.0741632887102</v>
      </c>
      <c r="M3318">
        <v>40.725342180814103</v>
      </c>
      <c r="O3318">
        <v>50.806008541444498</v>
      </c>
      <c r="P3318">
        <v>-7.4358083366051E-2</v>
      </c>
      <c r="Q3318">
        <v>0.62894552897946199</v>
      </c>
      <c r="R3318">
        <v>0.94096660670685395</v>
      </c>
      <c r="S3318" t="s">
        <v>8901</v>
      </c>
      <c r="T3318" t="s">
        <v>11164</v>
      </c>
      <c r="U3318" t="s">
        <v>11164</v>
      </c>
      <c r="V3318" t="s">
        <v>11164</v>
      </c>
      <c r="W3318" t="s">
        <v>14440</v>
      </c>
      <c r="X3318">
        <v>2</v>
      </c>
      <c r="Y3318" t="s">
        <v>19923</v>
      </c>
      <c r="Z3318" t="s">
        <v>25468</v>
      </c>
      <c r="AA3318">
        <v>0.8024764245370295</v>
      </c>
      <c r="AB3318" t="str">
        <f>HYPERLINK("Melting_Curves/meltCurve_Q5JWB9_TMEM230.pdf", "Melting_Curves/meltCurve_Q5JWB9_TMEM230.pdf")</f>
        <v>Melting_Curves/meltCurve_Q5JWB9_TMEM230.pdf</v>
      </c>
    </row>
    <row r="3319" spans="1:28" x14ac:dyDescent="0.25">
      <c r="A3319" t="s">
        <v>3323</v>
      </c>
      <c r="B3319">
        <v>0.99796759195183404</v>
      </c>
      <c r="C3319">
        <v>0.92550531606917097</v>
      </c>
      <c r="D3319">
        <v>0.86247375100102397</v>
      </c>
      <c r="E3319">
        <v>0.75135932144463602</v>
      </c>
      <c r="F3319">
        <v>0.70611849825152895</v>
      </c>
      <c r="G3319">
        <v>0.41830910478795003</v>
      </c>
      <c r="H3319">
        <v>0.22271630937592701</v>
      </c>
      <c r="I3319">
        <v>0.186335440651034</v>
      </c>
      <c r="J3319">
        <v>0.13137684386795201</v>
      </c>
      <c r="K3319">
        <v>0.16913831758990799</v>
      </c>
      <c r="L3319">
        <v>563.76447085653604</v>
      </c>
      <c r="M3319">
        <v>10.875027337372799</v>
      </c>
      <c r="N3319">
        <v>52.250338081123502</v>
      </c>
      <c r="O3319">
        <v>50.179772490939598</v>
      </c>
      <c r="P3319">
        <v>-5.1982517193098501E-2</v>
      </c>
      <c r="Q3319">
        <v>4.0902987733894003E-2</v>
      </c>
      <c r="R3319">
        <v>0.97920283616777404</v>
      </c>
      <c r="S3319" t="s">
        <v>8902</v>
      </c>
      <c r="T3319" t="s">
        <v>11164</v>
      </c>
      <c r="U3319" t="s">
        <v>11164</v>
      </c>
      <c r="V3319" t="s">
        <v>11164</v>
      </c>
      <c r="W3319" t="s">
        <v>14441</v>
      </c>
      <c r="X3319">
        <v>1</v>
      </c>
      <c r="Y3319" t="s">
        <v>19924</v>
      </c>
      <c r="Z3319" t="s">
        <v>25469</v>
      </c>
      <c r="AA3319">
        <v>0.54025362639673091</v>
      </c>
      <c r="AB3319" t="str">
        <f>HYPERLINK("Melting_Curves/meltCurve_Q5JXC2_MIIP.pdf", "Melting_Curves/meltCurve_Q5JXC2_MIIP.pdf")</f>
        <v>Melting_Curves/meltCurve_Q5JXC2_MIIP.pdf</v>
      </c>
    </row>
    <row r="3320" spans="1:28" x14ac:dyDescent="0.25">
      <c r="A3320" t="s">
        <v>3324</v>
      </c>
      <c r="B3320">
        <v>0.99796759195183404</v>
      </c>
      <c r="C3320">
        <v>0.94509098936793201</v>
      </c>
      <c r="D3320">
        <v>0.94021514712633503</v>
      </c>
      <c r="E3320">
        <v>0.89543160176832604</v>
      </c>
      <c r="F3320">
        <v>0.76645445720445404</v>
      </c>
      <c r="G3320">
        <v>0.57722060100269801</v>
      </c>
      <c r="H3320">
        <v>0.39582856778945302</v>
      </c>
      <c r="I3320">
        <v>0.24399505281494299</v>
      </c>
      <c r="J3320">
        <v>0.165644675315199</v>
      </c>
      <c r="K3320">
        <v>0.13649532259629599</v>
      </c>
      <c r="L3320">
        <v>623.63953135689906</v>
      </c>
      <c r="M3320">
        <v>11.2945227263489</v>
      </c>
      <c r="N3320">
        <v>55.230966524693301</v>
      </c>
      <c r="O3320">
        <v>53.570096241637003</v>
      </c>
      <c r="P3320">
        <v>-5.2645212675932598E-2</v>
      </c>
      <c r="Q3320">
        <v>1.51601068686428E-3</v>
      </c>
      <c r="R3320">
        <v>0.99741375944202004</v>
      </c>
      <c r="S3320" t="s">
        <v>8903</v>
      </c>
      <c r="T3320" t="s">
        <v>11164</v>
      </c>
      <c r="U3320" t="s">
        <v>11164</v>
      </c>
      <c r="V3320" t="s">
        <v>11164</v>
      </c>
      <c r="W3320" t="s">
        <v>14442</v>
      </c>
      <c r="X3320">
        <v>5</v>
      </c>
      <c r="Y3320" t="s">
        <v>19925</v>
      </c>
      <c r="Z3320" t="s">
        <v>25470</v>
      </c>
      <c r="AA3320">
        <v>0.62051749078822149</v>
      </c>
      <c r="AB3320" t="str">
        <f>HYPERLINK("Melting_Curves/meltCurve_Q5JXX2_MORF4L2.pdf", "Melting_Curves/meltCurve_Q5JXX2_MORF4L2.pdf")</f>
        <v>Melting_Curves/meltCurve_Q5JXX2_MORF4L2.pdf</v>
      </c>
    </row>
    <row r="3321" spans="1:28" x14ac:dyDescent="0.25">
      <c r="A3321" t="s">
        <v>3325</v>
      </c>
      <c r="B3321">
        <v>0.99796759195183404</v>
      </c>
      <c r="C3321">
        <v>1.02478092424987</v>
      </c>
      <c r="D3321">
        <v>0.99544617296490401</v>
      </c>
      <c r="E3321">
        <v>0.92795101574388905</v>
      </c>
      <c r="F3321">
        <v>0.45808994603345699</v>
      </c>
      <c r="G3321">
        <v>0.31577243047217102</v>
      </c>
      <c r="H3321">
        <v>0.28581123184031898</v>
      </c>
      <c r="I3321">
        <v>0.23619297438895301</v>
      </c>
      <c r="J3321">
        <v>0.22611843009719201</v>
      </c>
      <c r="K3321">
        <v>0.17472520612002801</v>
      </c>
      <c r="L3321">
        <v>1823.33410624368</v>
      </c>
      <c r="M3321">
        <v>37.114190469877201</v>
      </c>
      <c r="N3321">
        <v>50.00139941586</v>
      </c>
      <c r="O3321">
        <v>48.985687048659599</v>
      </c>
      <c r="P3321">
        <v>-0.144220987579149</v>
      </c>
      <c r="Q3321">
        <v>0.23859342043113599</v>
      </c>
      <c r="R3321">
        <v>0.99218435267944805</v>
      </c>
      <c r="S3321" t="s">
        <v>8904</v>
      </c>
      <c r="T3321" t="s">
        <v>11164</v>
      </c>
      <c r="U3321" t="s">
        <v>11164</v>
      </c>
      <c r="V3321" t="s">
        <v>11164</v>
      </c>
      <c r="W3321" t="s">
        <v>14443</v>
      </c>
      <c r="X3321">
        <v>7</v>
      </c>
      <c r="Y3321" t="s">
        <v>19926</v>
      </c>
      <c r="Z3321" t="s">
        <v>25471</v>
      </c>
      <c r="AA3321">
        <v>0.54940187018649855</v>
      </c>
      <c r="AB3321" t="str">
        <f>HYPERLINK("Melting_Curves/meltCurve_Q5JY65_CRNKL1.pdf", "Melting_Curves/meltCurve_Q5JY65_CRNKL1.pdf")</f>
        <v>Melting_Curves/meltCurve_Q5JY65_CRNKL1.pdf</v>
      </c>
    </row>
    <row r="3322" spans="1:28" x14ac:dyDescent="0.25">
      <c r="A3322" t="s">
        <v>3326</v>
      </c>
      <c r="B3322">
        <v>0.99796759195183404</v>
      </c>
      <c r="C3322">
        <v>0.992708095374085</v>
      </c>
      <c r="D3322">
        <v>0.97229365377797194</v>
      </c>
      <c r="E3322">
        <v>0.78137950246897003</v>
      </c>
      <c r="F3322">
        <v>0.39777138700723702</v>
      </c>
      <c r="G3322">
        <v>0.321105340703561</v>
      </c>
      <c r="H3322">
        <v>0.21902400406765099</v>
      </c>
      <c r="I3322">
        <v>0.15711101001658401</v>
      </c>
      <c r="J3322">
        <v>0.109465247711653</v>
      </c>
      <c r="K3322">
        <v>0.10921244938148</v>
      </c>
      <c r="L3322">
        <v>936.83724495544402</v>
      </c>
      <c r="M3322">
        <v>19.145215465035999</v>
      </c>
      <c r="N3322">
        <v>49.730055300784002</v>
      </c>
      <c r="O3322">
        <v>48.408741607460399</v>
      </c>
      <c r="P3322">
        <v>-8.5816158323996403E-2</v>
      </c>
      <c r="Q3322">
        <v>0.132087795464948</v>
      </c>
      <c r="R3322">
        <v>0.99072764340622399</v>
      </c>
      <c r="S3322" t="s">
        <v>8905</v>
      </c>
      <c r="T3322" t="s">
        <v>11164</v>
      </c>
      <c r="U3322" t="s">
        <v>11164</v>
      </c>
      <c r="V3322" t="s">
        <v>11164</v>
      </c>
      <c r="W3322" t="s">
        <v>14444</v>
      </c>
      <c r="X3322">
        <v>4</v>
      </c>
      <c r="Y3322" t="s">
        <v>19927</v>
      </c>
      <c r="Z3322" t="s">
        <v>25472</v>
      </c>
      <c r="AA3322">
        <v>0.48969631738579228</v>
      </c>
      <c r="AB3322" t="str">
        <f>HYPERLINK("Melting_Curves/meltCurve_Q5K4L6_SLC27A3.pdf", "Melting_Curves/meltCurve_Q5K4L6_SLC27A3.pdf")</f>
        <v>Melting_Curves/meltCurve_Q5K4L6_SLC27A3.pdf</v>
      </c>
    </row>
    <row r="3323" spans="1:28" x14ac:dyDescent="0.25">
      <c r="A3323" t="s">
        <v>3327</v>
      </c>
      <c r="B3323">
        <v>0.99796759195183404</v>
      </c>
      <c r="C3323">
        <v>1.0118112843203699</v>
      </c>
      <c r="D3323">
        <v>0.99812711927835795</v>
      </c>
      <c r="E3323">
        <v>0.97196785358822302</v>
      </c>
      <c r="F3323">
        <v>0.67502540051663196</v>
      </c>
      <c r="G3323">
        <v>0.58828894938600695</v>
      </c>
      <c r="H3323">
        <v>0.50956556304154998</v>
      </c>
      <c r="I3323">
        <v>0.45398869736501701</v>
      </c>
      <c r="J3323">
        <v>0.481567634796433</v>
      </c>
      <c r="K3323">
        <v>0.309205250197849</v>
      </c>
      <c r="L3323">
        <v>903.53535115333602</v>
      </c>
      <c r="M3323">
        <v>17.706391140008101</v>
      </c>
      <c r="N3323">
        <v>56.231883776557602</v>
      </c>
      <c r="O3323">
        <v>50.391230964515501</v>
      </c>
      <c r="P3323">
        <v>-5.2459104553647898E-2</v>
      </c>
      <c r="Q3323">
        <v>0.40285070349762703</v>
      </c>
      <c r="R3323">
        <v>0.96066175133718301</v>
      </c>
      <c r="S3323" t="s">
        <v>8906</v>
      </c>
      <c r="T3323" t="s">
        <v>11164</v>
      </c>
      <c r="U3323" t="s">
        <v>11164</v>
      </c>
      <c r="V3323" t="s">
        <v>11164</v>
      </c>
      <c r="W3323" t="s">
        <v>14445</v>
      </c>
      <c r="X3323">
        <v>4</v>
      </c>
      <c r="Y3323" t="s">
        <v>19928</v>
      </c>
      <c r="Z3323" t="s">
        <v>25473</v>
      </c>
      <c r="AA3323">
        <v>0.69158535948805233</v>
      </c>
      <c r="AB3323" t="str">
        <f>HYPERLINK("Melting_Curves/meltCurve_Q5M775_SPECC1.pdf", "Melting_Curves/meltCurve_Q5M775_SPECC1.pdf")</f>
        <v>Melting_Curves/meltCurve_Q5M775_SPECC1.pdf</v>
      </c>
    </row>
    <row r="3324" spans="1:28" x14ac:dyDescent="0.25">
      <c r="A3324" t="s">
        <v>3328</v>
      </c>
      <c r="B3324">
        <v>0.99796759195183404</v>
      </c>
      <c r="C3324">
        <v>0.87301359488791497</v>
      </c>
      <c r="D3324">
        <v>0.87849602305247199</v>
      </c>
      <c r="E3324">
        <v>0.83280646707352601</v>
      </c>
      <c r="F3324">
        <v>0.54570639974204105</v>
      </c>
      <c r="G3324">
        <v>0.31157358913023597</v>
      </c>
      <c r="H3324">
        <v>0.249511587979487</v>
      </c>
      <c r="I3324">
        <v>0.18738774297451699</v>
      </c>
      <c r="J3324">
        <v>0.16029445125112199</v>
      </c>
      <c r="K3324">
        <v>9.9747405509988105E-2</v>
      </c>
      <c r="L3324">
        <v>661.23793939245604</v>
      </c>
      <c r="M3324">
        <v>13.148529097241299</v>
      </c>
      <c r="N3324">
        <v>51.045763116237303</v>
      </c>
      <c r="O3324">
        <v>49.169314306079102</v>
      </c>
      <c r="P3324">
        <v>-6.0949780968641197E-2</v>
      </c>
      <c r="Q3324">
        <v>8.8460445847785202E-2</v>
      </c>
      <c r="R3324">
        <v>0.98253249029776302</v>
      </c>
      <c r="S3324" t="s">
        <v>8907</v>
      </c>
      <c r="T3324" t="s">
        <v>11164</v>
      </c>
      <c r="U3324" t="s">
        <v>11164</v>
      </c>
      <c r="V3324" t="s">
        <v>11164</v>
      </c>
      <c r="W3324" t="s">
        <v>14446</v>
      </c>
      <c r="X3324">
        <v>2</v>
      </c>
      <c r="Y3324" t="s">
        <v>19929</v>
      </c>
      <c r="Z3324" t="s">
        <v>25474</v>
      </c>
      <c r="AA3324">
        <v>0.51473365409522553</v>
      </c>
      <c r="AB3324" t="str">
        <f>HYPERLINK("Melting_Curves/meltCurve_Q5MIZ7_3_SMEK2.pdf", "Melting_Curves/meltCurve_Q5MIZ7_3_SMEK2.pdf")</f>
        <v>Melting_Curves/meltCurve_Q5MIZ7_3_SMEK2.pdf</v>
      </c>
    </row>
    <row r="3325" spans="1:28" x14ac:dyDescent="0.25">
      <c r="A3325" t="s">
        <v>3329</v>
      </c>
      <c r="B3325">
        <v>0.99796759195183404</v>
      </c>
      <c r="C3325">
        <v>0.88628202388014898</v>
      </c>
      <c r="D3325">
        <v>0.79216125178031804</v>
      </c>
      <c r="E3325">
        <v>0.75179750984300797</v>
      </c>
      <c r="F3325">
        <v>0.72756643511285501</v>
      </c>
      <c r="G3325">
        <v>0.73422052954558303</v>
      </c>
      <c r="H3325">
        <v>0.645348926502466</v>
      </c>
      <c r="I3325">
        <v>0.54058018896927695</v>
      </c>
      <c r="J3325">
        <v>0.60117258621244596</v>
      </c>
      <c r="K3325">
        <v>0.43304112026297298</v>
      </c>
      <c r="L3325">
        <v>208.98234061017999</v>
      </c>
      <c r="M3325">
        <v>3.1359155848934401</v>
      </c>
      <c r="N3325">
        <v>66.641571073615097</v>
      </c>
      <c r="O3325">
        <v>50.015069236673298</v>
      </c>
      <c r="P3325">
        <v>-1.6100553192586801E-2</v>
      </c>
      <c r="Q3325">
        <v>0</v>
      </c>
      <c r="R3325">
        <v>0.90289176380112202</v>
      </c>
      <c r="S3325" t="s">
        <v>8908</v>
      </c>
      <c r="T3325" t="s">
        <v>11164</v>
      </c>
      <c r="U3325" t="s">
        <v>11164</v>
      </c>
      <c r="V3325" t="s">
        <v>11164</v>
      </c>
      <c r="W3325" t="s">
        <v>14447</v>
      </c>
      <c r="X3325">
        <v>1</v>
      </c>
      <c r="Y3325" t="s">
        <v>19930</v>
      </c>
      <c r="Z3325" t="s">
        <v>25475</v>
      </c>
      <c r="AA3325">
        <v>0.70946843542063465</v>
      </c>
      <c r="AB3325" t="str">
        <f>HYPERLINK("Melting_Curves/meltCurve_Q5MNZ6_WDR45B.pdf", "Melting_Curves/meltCurve_Q5MNZ6_WDR45B.pdf")</f>
        <v>Melting_Curves/meltCurve_Q5MNZ6_WDR45B.pdf</v>
      </c>
    </row>
    <row r="3326" spans="1:28" x14ac:dyDescent="0.25">
      <c r="A3326" t="s">
        <v>3330</v>
      </c>
      <c r="B3326">
        <v>0.99796759195183404</v>
      </c>
      <c r="C3326">
        <v>0.99420201733814795</v>
      </c>
      <c r="D3326">
        <v>0.971239320035716</v>
      </c>
      <c r="E3326">
        <v>0.917684304789667</v>
      </c>
      <c r="F3326">
        <v>0.88650796306147805</v>
      </c>
      <c r="G3326">
        <v>0.55274852484928405</v>
      </c>
      <c r="H3326">
        <v>0.39780072229590302</v>
      </c>
      <c r="I3326">
        <v>0.30959094340601101</v>
      </c>
      <c r="J3326">
        <v>0.135794614453427</v>
      </c>
      <c r="K3326">
        <v>5.0793662211756803E-2</v>
      </c>
      <c r="L3326">
        <v>754.99134129422805</v>
      </c>
      <c r="M3326">
        <v>13.543069138622</v>
      </c>
      <c r="N3326">
        <v>55.747433387508103</v>
      </c>
      <c r="O3326">
        <v>54.5740846642882</v>
      </c>
      <c r="P3326">
        <v>-6.2049181985772799E-2</v>
      </c>
      <c r="Q3326">
        <v>0</v>
      </c>
      <c r="R3326">
        <v>0.98673229696076203</v>
      </c>
      <c r="S3326" t="s">
        <v>8909</v>
      </c>
      <c r="T3326" t="s">
        <v>11164</v>
      </c>
      <c r="U3326" t="s">
        <v>11164</v>
      </c>
      <c r="V3326" t="s">
        <v>11164</v>
      </c>
      <c r="W3326" t="s">
        <v>14448</v>
      </c>
      <c r="X3326">
        <v>4</v>
      </c>
      <c r="Y3326" t="s">
        <v>19931</v>
      </c>
      <c r="Z3326" t="s">
        <v>25476</v>
      </c>
      <c r="AA3326">
        <v>0.6368879591427532</v>
      </c>
      <c r="AB3326" t="str">
        <f>HYPERLINK("Melting_Curves/meltCurve_Q5NDL2_EOGT.pdf", "Melting_Curves/meltCurve_Q5NDL2_EOGT.pdf")</f>
        <v>Melting_Curves/meltCurve_Q5NDL2_EOGT.pdf</v>
      </c>
    </row>
    <row r="3327" spans="1:28" x14ac:dyDescent="0.25">
      <c r="A3327" t="s">
        <v>3331</v>
      </c>
      <c r="B3327">
        <v>0.99796759195183404</v>
      </c>
      <c r="C3327">
        <v>0.96703717514131105</v>
      </c>
      <c r="D3327">
        <v>1.0311161983519399</v>
      </c>
      <c r="E3327">
        <v>0.90215206401603498</v>
      </c>
      <c r="F3327">
        <v>0.72568110620320303</v>
      </c>
      <c r="G3327">
        <v>0.407547614328649</v>
      </c>
      <c r="H3327">
        <v>0.36781077070423501</v>
      </c>
      <c r="I3327">
        <v>0.23619117411099999</v>
      </c>
      <c r="J3327">
        <v>0.19515638519783199</v>
      </c>
      <c r="K3327">
        <v>0.16570710574185399</v>
      </c>
      <c r="L3327">
        <v>929.56617622823205</v>
      </c>
      <c r="M3327">
        <v>17.907005977529099</v>
      </c>
      <c r="N3327">
        <v>53.2024335006897</v>
      </c>
      <c r="O3327">
        <v>51.276356872459097</v>
      </c>
      <c r="P3327">
        <v>-7.1918831098926106E-2</v>
      </c>
      <c r="Q3327">
        <v>0.176288919829373</v>
      </c>
      <c r="R3327">
        <v>0.98987467324390699</v>
      </c>
      <c r="S3327" t="s">
        <v>8910</v>
      </c>
      <c r="T3327" t="s">
        <v>11164</v>
      </c>
      <c r="U3327" t="s">
        <v>11164</v>
      </c>
      <c r="V3327" t="s">
        <v>11164</v>
      </c>
      <c r="W3327" t="s">
        <v>14449</v>
      </c>
      <c r="X3327">
        <v>6</v>
      </c>
      <c r="Y3327" t="s">
        <v>19932</v>
      </c>
      <c r="Z3327" t="s">
        <v>25477</v>
      </c>
      <c r="AA3327">
        <v>0.59827644900059229</v>
      </c>
      <c r="AB3327" t="str">
        <f>HYPERLINK("Melting_Curves/meltCurve_Q5QJ74_TBCEL.pdf", "Melting_Curves/meltCurve_Q5QJ74_TBCEL.pdf")</f>
        <v>Melting_Curves/meltCurve_Q5QJ74_TBCEL.pdf</v>
      </c>
    </row>
    <row r="3328" spans="1:28" x14ac:dyDescent="0.25">
      <c r="A3328" t="s">
        <v>3332</v>
      </c>
      <c r="B3328">
        <v>0.99796759195183404</v>
      </c>
      <c r="C3328">
        <v>0.95688065901679797</v>
      </c>
      <c r="D3328">
        <v>1.00610440729955</v>
      </c>
      <c r="E3328">
        <v>0.92024602838409297</v>
      </c>
      <c r="F3328">
        <v>0.85429768880103696</v>
      </c>
      <c r="G3328">
        <v>0.63266030759230396</v>
      </c>
      <c r="H3328">
        <v>0.661112921048291</v>
      </c>
      <c r="I3328">
        <v>0.64467638622736001</v>
      </c>
      <c r="J3328">
        <v>0.80800640018112002</v>
      </c>
      <c r="K3328">
        <v>0.69588454673423095</v>
      </c>
      <c r="L3328">
        <v>12556.495622320401</v>
      </c>
      <c r="M3328">
        <v>250</v>
      </c>
      <c r="O3328">
        <v>50.2227909192342</v>
      </c>
      <c r="P3328">
        <v>-0.38768757052624903</v>
      </c>
      <c r="Q3328">
        <v>0.68846811057707902</v>
      </c>
      <c r="R3328">
        <v>0.860061346209396</v>
      </c>
      <c r="S3328" t="s">
        <v>8911</v>
      </c>
      <c r="T3328" t="s">
        <v>11164</v>
      </c>
      <c r="U3328" t="s">
        <v>11164</v>
      </c>
      <c r="V3328" t="s">
        <v>11164</v>
      </c>
      <c r="W3328" t="s">
        <v>14450</v>
      </c>
      <c r="X3328">
        <v>14</v>
      </c>
      <c r="Y3328" t="s">
        <v>19933</v>
      </c>
      <c r="Z3328" t="s">
        <v>25478</v>
      </c>
      <c r="AA3328">
        <v>0.82583941462218691</v>
      </c>
      <c r="AB3328" t="str">
        <f>HYPERLINK("Melting_Curves/meltCurve_Q5QNY5_PEX19.pdf", "Melting_Curves/meltCurve_Q5QNY5_PEX19.pdf")</f>
        <v>Melting_Curves/meltCurve_Q5QNY5_PEX19.pdf</v>
      </c>
    </row>
    <row r="3329" spans="1:28" x14ac:dyDescent="0.25">
      <c r="A3329" t="s">
        <v>3333</v>
      </c>
      <c r="B3329">
        <v>0.99796759195183404</v>
      </c>
      <c r="C3329">
        <v>0.85769141664093096</v>
      </c>
      <c r="D3329">
        <v>0.88516112990269002</v>
      </c>
      <c r="E3329">
        <v>0.82369441480313299</v>
      </c>
      <c r="F3329">
        <v>0.74161150876424398</v>
      </c>
      <c r="G3329">
        <v>0.84596547952010304</v>
      </c>
      <c r="H3329">
        <v>0.80167909766530898</v>
      </c>
      <c r="I3329">
        <v>1.30797085696015</v>
      </c>
      <c r="J3329">
        <v>0.62689867600253601</v>
      </c>
      <c r="K3329">
        <v>0.35779175173165401</v>
      </c>
      <c r="L3329">
        <v>207.81533745040699</v>
      </c>
      <c r="M3329">
        <v>2.34039444484499</v>
      </c>
      <c r="O3329">
        <v>57.802395396058699</v>
      </c>
      <c r="P3329">
        <v>-1.0737876215847901E-2</v>
      </c>
      <c r="Q3329">
        <v>0</v>
      </c>
      <c r="R3329">
        <v>0.13751457381679999</v>
      </c>
      <c r="S3329" t="s">
        <v>8912</v>
      </c>
      <c r="T3329" t="s">
        <v>11164</v>
      </c>
      <c r="U3329" t="s">
        <v>11164</v>
      </c>
      <c r="V3329" t="s">
        <v>11164</v>
      </c>
      <c r="W3329" t="s">
        <v>14451</v>
      </c>
      <c r="X3329">
        <v>4</v>
      </c>
      <c r="Y3329" t="s">
        <v>19934</v>
      </c>
      <c r="Z3329" t="s">
        <v>25479</v>
      </c>
      <c r="AA3329">
        <v>0.83412925489307743</v>
      </c>
      <c r="AB3329" t="str">
        <f>HYPERLINK("Melting_Curves/meltCurve_Q5QNZ2_ATP5F1.pdf", "Melting_Curves/meltCurve_Q5QNZ2_ATP5F1.pdf")</f>
        <v>Melting_Curves/meltCurve_Q5QNZ2_ATP5F1.pdf</v>
      </c>
    </row>
    <row r="3330" spans="1:28" x14ac:dyDescent="0.25">
      <c r="A3330" t="s">
        <v>3334</v>
      </c>
      <c r="B3330">
        <v>0.99796759195183404</v>
      </c>
      <c r="C3330">
        <v>0.95877025401289695</v>
      </c>
      <c r="D3330">
        <v>0.87020959185806901</v>
      </c>
      <c r="E3330">
        <v>0.91507216146253201</v>
      </c>
      <c r="F3330">
        <v>0.97038531192970601</v>
      </c>
      <c r="G3330">
        <v>0.999544791690678</v>
      </c>
      <c r="H3330">
        <v>0.77769079321921297</v>
      </c>
      <c r="I3330">
        <v>0.65898056841513497</v>
      </c>
      <c r="J3330">
        <v>0.28597145915931199</v>
      </c>
      <c r="K3330">
        <v>0.267378228067644</v>
      </c>
      <c r="L3330">
        <v>1334.2318179079</v>
      </c>
      <c r="M3330">
        <v>21.753462174637601</v>
      </c>
      <c r="N3330">
        <v>62.0638343828196</v>
      </c>
      <c r="O3330">
        <v>60.822966763501</v>
      </c>
      <c r="P3330">
        <v>-7.9326754368790997E-2</v>
      </c>
      <c r="Q3330">
        <v>0.112826108995458</v>
      </c>
      <c r="R3330">
        <v>0.93824276231499604</v>
      </c>
      <c r="S3330" t="s">
        <v>8913</v>
      </c>
      <c r="T3330" t="s">
        <v>11164</v>
      </c>
      <c r="U3330" t="s">
        <v>11164</v>
      </c>
      <c r="V3330" t="s">
        <v>11164</v>
      </c>
      <c r="W3330" t="s">
        <v>14452</v>
      </c>
      <c r="X3330">
        <v>1</v>
      </c>
      <c r="Y3330" t="s">
        <v>19935</v>
      </c>
      <c r="Z3330" t="s">
        <v>25480</v>
      </c>
      <c r="AA3330">
        <v>0.82895462491447947</v>
      </c>
      <c r="AB3330" t="str">
        <f>HYPERLINK("Melting_Curves/meltCurve_Q5QP82_DCAF10.pdf", "Melting_Curves/meltCurve_Q5QP82_DCAF10.pdf")</f>
        <v>Melting_Curves/meltCurve_Q5QP82_DCAF10.pdf</v>
      </c>
    </row>
    <row r="3331" spans="1:28" x14ac:dyDescent="0.25">
      <c r="A3331" t="s">
        <v>3335</v>
      </c>
      <c r="B3331">
        <v>0.99796759195183404</v>
      </c>
      <c r="C3331">
        <v>0.95783967917283597</v>
      </c>
      <c r="D3331">
        <v>0.96654091507209905</v>
      </c>
      <c r="E3331">
        <v>0.96996191929764297</v>
      </c>
      <c r="F3331">
        <v>0.75052030663262803</v>
      </c>
      <c r="G3331">
        <v>0.60323121538957203</v>
      </c>
      <c r="H3331">
        <v>0.51229766608958405</v>
      </c>
      <c r="I3331">
        <v>0.39461523850312802</v>
      </c>
      <c r="J3331">
        <v>0.148193643145547</v>
      </c>
      <c r="K3331">
        <v>5.6513336473022903E-2</v>
      </c>
      <c r="L3331">
        <v>651.11914732270304</v>
      </c>
      <c r="M3331">
        <v>11.5220915174742</v>
      </c>
      <c r="N3331">
        <v>56.510499592346697</v>
      </c>
      <c r="O3331">
        <v>54.8886857646213</v>
      </c>
      <c r="P3331">
        <v>-5.2494159489914198E-2</v>
      </c>
      <c r="Q3331">
        <v>0</v>
      </c>
      <c r="R3331">
        <v>0.97218216648760802</v>
      </c>
      <c r="S3331" t="s">
        <v>8914</v>
      </c>
      <c r="T3331" t="s">
        <v>11164</v>
      </c>
      <c r="U3331" t="s">
        <v>11164</v>
      </c>
      <c r="V3331" t="s">
        <v>11164</v>
      </c>
      <c r="W3331" t="s">
        <v>14453</v>
      </c>
      <c r="X3331">
        <v>7</v>
      </c>
      <c r="Y3331" t="s">
        <v>19936</v>
      </c>
      <c r="Z3331" t="s">
        <v>25481</v>
      </c>
      <c r="AA3331">
        <v>0.65679159309060819</v>
      </c>
      <c r="AB3331" t="str">
        <f>HYPERLINK("Melting_Curves/meltCurve_Q5QPK2_DPM1.pdf", "Melting_Curves/meltCurve_Q5QPK2_DPM1.pdf")</f>
        <v>Melting_Curves/meltCurve_Q5QPK2_DPM1.pdf</v>
      </c>
    </row>
    <row r="3332" spans="1:28" x14ac:dyDescent="0.25">
      <c r="A3332" t="s">
        <v>3336</v>
      </c>
      <c r="B3332">
        <v>0.99796759195183404</v>
      </c>
      <c r="C3332">
        <v>1.24676404904232</v>
      </c>
      <c r="D3332">
        <v>1.23795547115142</v>
      </c>
      <c r="E3332">
        <v>1.1591461015684199</v>
      </c>
      <c r="F3332">
        <v>0.82781288358330596</v>
      </c>
      <c r="G3332">
        <v>0.59021151429520202</v>
      </c>
      <c r="H3332">
        <v>0.32013627271159101</v>
      </c>
      <c r="I3332">
        <v>0.25747560158272798</v>
      </c>
      <c r="J3332">
        <v>8.9780660573347701E-2</v>
      </c>
      <c r="K3332">
        <v>0</v>
      </c>
      <c r="L3332">
        <v>1075.4716674280701</v>
      </c>
      <c r="M3332">
        <v>19.550042075753701</v>
      </c>
      <c r="N3332">
        <v>55.222629497351498</v>
      </c>
      <c r="O3332">
        <v>54.445340418708597</v>
      </c>
      <c r="P3332">
        <v>-8.6535667564267504E-2</v>
      </c>
      <c r="Q3332">
        <v>3.6054055484789599E-2</v>
      </c>
      <c r="R3332">
        <v>0.91878569361479301</v>
      </c>
      <c r="S3332" t="s">
        <v>8915</v>
      </c>
      <c r="T3332" t="s">
        <v>11164</v>
      </c>
      <c r="U3332" t="s">
        <v>11164</v>
      </c>
      <c r="V3332" t="s">
        <v>11164</v>
      </c>
      <c r="W3332" t="s">
        <v>14454</v>
      </c>
      <c r="X3332">
        <v>1</v>
      </c>
      <c r="Y3332" t="s">
        <v>19937</v>
      </c>
      <c r="Z3332" t="s">
        <v>25482</v>
      </c>
      <c r="AA3332">
        <v>0.62597480762954305</v>
      </c>
      <c r="AB3332" t="str">
        <f>HYPERLINK("Melting_Curves/meltCurve_Q5R363_SRPK1.pdf", "Melting_Curves/meltCurve_Q5R363_SRPK1.pdf")</f>
        <v>Melting_Curves/meltCurve_Q5R363_SRPK1.pdf</v>
      </c>
    </row>
    <row r="3333" spans="1:28" x14ac:dyDescent="0.25">
      <c r="A3333" t="s">
        <v>3337</v>
      </c>
      <c r="B3333">
        <v>0.99796759195183404</v>
      </c>
      <c r="C3333">
        <v>1.04979921737302</v>
      </c>
      <c r="D3333">
        <v>1.0089360420411699</v>
      </c>
      <c r="E3333">
        <v>1.03425347141053</v>
      </c>
      <c r="F3333">
        <v>0.87067672551970599</v>
      </c>
      <c r="G3333">
        <v>0.47558958358629899</v>
      </c>
      <c r="H3333">
        <v>0.23903268216920201</v>
      </c>
      <c r="I3333">
        <v>0.169792965958452</v>
      </c>
      <c r="J3333">
        <v>0.14727943231021701</v>
      </c>
      <c r="K3333">
        <v>0.121252324571297</v>
      </c>
      <c r="L3333">
        <v>1601.64337728688</v>
      </c>
      <c r="M3333">
        <v>30.175226773819801</v>
      </c>
      <c r="N3333">
        <v>53.671310540345402</v>
      </c>
      <c r="O3333">
        <v>52.846611592169502</v>
      </c>
      <c r="P3333">
        <v>-0.122507871356571</v>
      </c>
      <c r="Q3333">
        <v>0.141801360101691</v>
      </c>
      <c r="R3333">
        <v>0.99627197961176905</v>
      </c>
      <c r="S3333" t="s">
        <v>8916</v>
      </c>
      <c r="T3333" t="s">
        <v>11164</v>
      </c>
      <c r="U3333" t="s">
        <v>11164</v>
      </c>
      <c r="V3333" t="s">
        <v>11164</v>
      </c>
      <c r="W3333" t="s">
        <v>14455</v>
      </c>
      <c r="X3333">
        <v>8</v>
      </c>
      <c r="Y3333" t="s">
        <v>17350</v>
      </c>
      <c r="Z3333" t="s">
        <v>25483</v>
      </c>
      <c r="AA3333">
        <v>0.60714738714952821</v>
      </c>
      <c r="AB3333" t="str">
        <f>HYPERLINK("Melting_Curves/meltCurve_Q5R372_4_RABGAP1L.pdf", "Melting_Curves/meltCurve_Q5R372_4_RABGAP1L.pdf")</f>
        <v>Melting_Curves/meltCurve_Q5R372_4_RABGAP1L.pdf</v>
      </c>
    </row>
    <row r="3334" spans="1:28" x14ac:dyDescent="0.25">
      <c r="A3334" t="s">
        <v>3338</v>
      </c>
      <c r="B3334">
        <v>0.99796759195183404</v>
      </c>
      <c r="C3334">
        <v>0.52502847367778704</v>
      </c>
      <c r="D3334">
        <v>0.92219885820943703</v>
      </c>
      <c r="E3334">
        <v>0.888567214272169</v>
      </c>
      <c r="F3334">
        <v>0.15037814523818399</v>
      </c>
      <c r="G3334">
        <v>0</v>
      </c>
      <c r="H3334">
        <v>0.12688633934322099</v>
      </c>
      <c r="I3334">
        <v>0</v>
      </c>
      <c r="J3334">
        <v>0</v>
      </c>
      <c r="K3334">
        <v>0</v>
      </c>
      <c r="L3334">
        <v>2565.5958581428899</v>
      </c>
      <c r="M3334">
        <v>53.022664539835503</v>
      </c>
      <c r="N3334">
        <v>48.4327192519943</v>
      </c>
      <c r="O3334">
        <v>48.318097214643601</v>
      </c>
      <c r="P3334">
        <v>-0.26761190630187698</v>
      </c>
      <c r="Q3334">
        <v>2.4531164835487802E-2</v>
      </c>
      <c r="R3334">
        <v>0.85146753435137301</v>
      </c>
      <c r="S3334" t="s">
        <v>8917</v>
      </c>
      <c r="T3334" t="s">
        <v>11164</v>
      </c>
      <c r="U3334" t="s">
        <v>11164</v>
      </c>
      <c r="V3334" t="s">
        <v>11164</v>
      </c>
      <c r="W3334" t="s">
        <v>14456</v>
      </c>
      <c r="X3334">
        <v>4</v>
      </c>
      <c r="Y3334" t="s">
        <v>19938</v>
      </c>
      <c r="Z3334" t="s">
        <v>25484</v>
      </c>
      <c r="AA3334">
        <v>0.39662959118178331</v>
      </c>
      <c r="AB3334" t="str">
        <f>HYPERLINK("Melting_Curves/meltCurve_Q5RGS4_PLEKHA1.pdf", "Melting_Curves/meltCurve_Q5RGS4_PLEKHA1.pdf")</f>
        <v>Melting_Curves/meltCurve_Q5RGS4_PLEKHA1.pdf</v>
      </c>
    </row>
    <row r="3335" spans="1:28" x14ac:dyDescent="0.25">
      <c r="A3335" t="s">
        <v>3339</v>
      </c>
      <c r="B3335">
        <v>0.99796759195183404</v>
      </c>
      <c r="C3335">
        <v>0.90063176500493003</v>
      </c>
      <c r="D3335">
        <v>0.934812661468571</v>
      </c>
      <c r="E3335">
        <v>0.86069315904582699</v>
      </c>
      <c r="F3335">
        <v>0.80181910813731805</v>
      </c>
      <c r="G3335">
        <v>0.62258578877491699</v>
      </c>
      <c r="H3335">
        <v>0.55417759466029703</v>
      </c>
      <c r="I3335">
        <v>0.52834586000947803</v>
      </c>
      <c r="J3335">
        <v>0.67542045416080898</v>
      </c>
      <c r="K3335">
        <v>0.60313072683672297</v>
      </c>
      <c r="L3335">
        <v>726.287885576083</v>
      </c>
      <c r="M3335">
        <v>14.897248819509</v>
      </c>
      <c r="O3335">
        <v>47.899960292118401</v>
      </c>
      <c r="P3335">
        <v>-3.3207966141010299E-2</v>
      </c>
      <c r="Q3335">
        <v>0.57294265724644</v>
      </c>
      <c r="R3335">
        <v>0.89113651748824096</v>
      </c>
      <c r="S3335" t="s">
        <v>8918</v>
      </c>
      <c r="T3335" t="s">
        <v>11164</v>
      </c>
      <c r="U3335" t="s">
        <v>11164</v>
      </c>
      <c r="V3335" t="s">
        <v>11164</v>
      </c>
      <c r="W3335" t="s">
        <v>14457</v>
      </c>
      <c r="X3335">
        <v>5</v>
      </c>
      <c r="Y3335" t="s">
        <v>19939</v>
      </c>
      <c r="Z3335" t="s">
        <v>25485</v>
      </c>
      <c r="AA3335">
        <v>0.74959730951281689</v>
      </c>
      <c r="AB3335" t="str">
        <f>HYPERLINK("Melting_Curves/meltCurve_Q5RI15_COX20.pdf", "Melting_Curves/meltCurve_Q5RI15_COX20.pdf")</f>
        <v>Melting_Curves/meltCurve_Q5RI15_COX20.pdf</v>
      </c>
    </row>
    <row r="3336" spans="1:28" x14ac:dyDescent="0.25">
      <c r="A3336" t="s">
        <v>3340</v>
      </c>
      <c r="B3336">
        <v>0.99796759195183404</v>
      </c>
      <c r="C3336">
        <v>1.1063675527624499</v>
      </c>
      <c r="D3336">
        <v>1.07259362950315</v>
      </c>
      <c r="E3336">
        <v>1.09324424781409</v>
      </c>
      <c r="F3336">
        <v>1.2528548171467899</v>
      </c>
      <c r="G3336">
        <v>2.39891860204744</v>
      </c>
      <c r="H3336">
        <v>2.8796970825296699</v>
      </c>
      <c r="I3336">
        <v>2.4881497472002398</v>
      </c>
      <c r="J3336">
        <v>1.83676632514357</v>
      </c>
      <c r="K3336">
        <v>1.35640219650295</v>
      </c>
      <c r="S3336" t="s">
        <v>8919</v>
      </c>
      <c r="T3336" t="s">
        <v>11164</v>
      </c>
      <c r="U3336" t="s">
        <v>11165</v>
      </c>
      <c r="V3336" t="s">
        <v>11164</v>
      </c>
      <c r="W3336" t="s">
        <v>14458</v>
      </c>
      <c r="X3336">
        <v>8</v>
      </c>
      <c r="Y3336" t="s">
        <v>19940</v>
      </c>
      <c r="Z3336" t="s">
        <v>25486</v>
      </c>
      <c r="AB3336" t="str">
        <f>HYPERLINK("Melting_Curves/meltCurve_Q5RKV6_EXOSC6.pdf", "Melting_Curves/meltCurve_Q5RKV6_EXOSC6.pdf")</f>
        <v>Melting_Curves/meltCurve_Q5RKV6_EXOSC6.pdf</v>
      </c>
    </row>
    <row r="3337" spans="1:28" x14ac:dyDescent="0.25">
      <c r="A3337" t="s">
        <v>3341</v>
      </c>
      <c r="B3337">
        <v>0.99796759195183404</v>
      </c>
      <c r="C3337">
        <v>0.53212583162976601</v>
      </c>
      <c r="D3337">
        <v>0.751511796081337</v>
      </c>
      <c r="E3337">
        <v>0.55958408292815898</v>
      </c>
      <c r="F3337">
        <v>0.82652952644335198</v>
      </c>
      <c r="G3337">
        <v>0.32839984493853502</v>
      </c>
      <c r="H3337">
        <v>0.22198399861176299</v>
      </c>
      <c r="I3337">
        <v>0.26128556711086798</v>
      </c>
      <c r="J3337">
        <v>0.17148218844091201</v>
      </c>
      <c r="K3337">
        <v>0.26859557570549702</v>
      </c>
      <c r="L3337">
        <v>268.788358273244</v>
      </c>
      <c r="M3337">
        <v>5.3553377346436202</v>
      </c>
      <c r="N3337">
        <v>50.190738788459299</v>
      </c>
      <c r="O3337">
        <v>44.478289553764903</v>
      </c>
      <c r="P3337">
        <v>-3.0246375511099498E-2</v>
      </c>
      <c r="Q3337">
        <v>0</v>
      </c>
      <c r="R3337">
        <v>0.69663659092911401</v>
      </c>
      <c r="S3337" t="s">
        <v>8920</v>
      </c>
      <c r="T3337" t="s">
        <v>11164</v>
      </c>
      <c r="U3337" t="s">
        <v>11164</v>
      </c>
      <c r="V3337" t="s">
        <v>11164</v>
      </c>
      <c r="W3337" t="s">
        <v>14459</v>
      </c>
      <c r="X3337">
        <v>1</v>
      </c>
      <c r="Y3337" t="s">
        <v>19941</v>
      </c>
      <c r="Z3337" t="s">
        <v>25487</v>
      </c>
      <c r="AA3337">
        <v>0.48787709659506939</v>
      </c>
      <c r="AB3337" t="str">
        <f>HYPERLINK("Melting_Curves/meltCurve_Q5SPY9_NPDC1.pdf", "Melting_Curves/meltCurve_Q5SPY9_NPDC1.pdf")</f>
        <v>Melting_Curves/meltCurve_Q5SPY9_NPDC1.pdf</v>
      </c>
    </row>
    <row r="3338" spans="1:28" x14ac:dyDescent="0.25">
      <c r="A3338" t="s">
        <v>3342</v>
      </c>
      <c r="B3338">
        <v>0.99796759195183404</v>
      </c>
      <c r="C3338">
        <v>1.0009268431007701</v>
      </c>
      <c r="D3338">
        <v>0.972134466936735</v>
      </c>
      <c r="E3338">
        <v>0.89209418987468903</v>
      </c>
      <c r="F3338">
        <v>0.52176951093645596</v>
      </c>
      <c r="G3338">
        <v>0.18397135548013599</v>
      </c>
      <c r="H3338">
        <v>0.13308353741832901</v>
      </c>
      <c r="I3338">
        <v>0.137697856746546</v>
      </c>
      <c r="J3338">
        <v>0.144514052513011</v>
      </c>
      <c r="K3338">
        <v>6.7697746113829504E-2</v>
      </c>
      <c r="L3338">
        <v>1471.19301383881</v>
      </c>
      <c r="M3338">
        <v>29.506954039306599</v>
      </c>
      <c r="N3338">
        <v>50.289525923709498</v>
      </c>
      <c r="O3338">
        <v>49.631891957020002</v>
      </c>
      <c r="P3338">
        <v>-0.13204788504131301</v>
      </c>
      <c r="Q3338">
        <v>0.111566989253622</v>
      </c>
      <c r="R3338">
        <v>0.99716065663843001</v>
      </c>
      <c r="S3338" t="s">
        <v>8921</v>
      </c>
      <c r="T3338" t="s">
        <v>11164</v>
      </c>
      <c r="U3338" t="s">
        <v>11164</v>
      </c>
      <c r="V3338" t="s">
        <v>11164</v>
      </c>
      <c r="W3338" t="s">
        <v>14460</v>
      </c>
      <c r="X3338">
        <v>4</v>
      </c>
      <c r="Y3338" t="s">
        <v>19942</v>
      </c>
      <c r="Z3338" t="s">
        <v>25488</v>
      </c>
      <c r="AA3338">
        <v>0.49800431218332708</v>
      </c>
      <c r="AB3338" t="str">
        <f>HYPERLINK("Melting_Curves/meltCurve_Q5SQI0_5_ATAT1.pdf", "Melting_Curves/meltCurve_Q5SQI0_5_ATAT1.pdf")</f>
        <v>Melting_Curves/meltCurve_Q5SQI0_5_ATAT1.pdf</v>
      </c>
    </row>
    <row r="3339" spans="1:28" x14ac:dyDescent="0.25">
      <c r="A3339" t="s">
        <v>3343</v>
      </c>
      <c r="B3339">
        <v>0.99796759195183404</v>
      </c>
      <c r="C3339">
        <v>1.0437365345118199</v>
      </c>
      <c r="D3339">
        <v>0.97604247684527801</v>
      </c>
      <c r="E3339">
        <v>0.91175487067553895</v>
      </c>
      <c r="F3339">
        <v>0.89386888720347701</v>
      </c>
      <c r="G3339">
        <v>0.833409617307872</v>
      </c>
      <c r="H3339">
        <v>0.44160397562233999</v>
      </c>
      <c r="I3339">
        <v>0.25596496972328298</v>
      </c>
      <c r="J3339">
        <v>0.167012104597976</v>
      </c>
      <c r="K3339">
        <v>0.14262108378132499</v>
      </c>
      <c r="L3339">
        <v>1305.6014797037701</v>
      </c>
      <c r="M3339">
        <v>23.151597901376</v>
      </c>
      <c r="N3339">
        <v>57.052163320832697</v>
      </c>
      <c r="O3339">
        <v>55.977914047084099</v>
      </c>
      <c r="P3339">
        <v>-9.1273638460686299E-2</v>
      </c>
      <c r="Q3339">
        <v>0.117259633350788</v>
      </c>
      <c r="R3339">
        <v>0.98699365761858104</v>
      </c>
      <c r="S3339" t="s">
        <v>8922</v>
      </c>
      <c r="T3339" t="s">
        <v>11164</v>
      </c>
      <c r="U3339" t="s">
        <v>11164</v>
      </c>
      <c r="V3339" t="s">
        <v>11164</v>
      </c>
      <c r="W3339" t="s">
        <v>14461</v>
      </c>
      <c r="X3339">
        <v>15</v>
      </c>
      <c r="Y3339" t="s">
        <v>19943</v>
      </c>
      <c r="Z3339" t="s">
        <v>25489</v>
      </c>
      <c r="AA3339">
        <v>0.6955000544499057</v>
      </c>
      <c r="AB3339" t="str">
        <f>HYPERLINK("Melting_Curves/meltCurve_Q5SQP8_CTBP2.pdf", "Melting_Curves/meltCurve_Q5SQP8_CTBP2.pdf")</f>
        <v>Melting_Curves/meltCurve_Q5SQP8_CTBP2.pdf</v>
      </c>
    </row>
    <row r="3340" spans="1:28" x14ac:dyDescent="0.25">
      <c r="A3340" t="s">
        <v>3344</v>
      </c>
      <c r="B3340">
        <v>0.99796759195183404</v>
      </c>
      <c r="C3340">
        <v>0.85658720395191301</v>
      </c>
      <c r="D3340">
        <v>0.90809174592379305</v>
      </c>
      <c r="E3340">
        <v>0.79242315061344504</v>
      </c>
      <c r="F3340">
        <v>0.73240234742964105</v>
      </c>
      <c r="G3340">
        <v>0.556527553913715</v>
      </c>
      <c r="H3340">
        <v>0.34441775724257401</v>
      </c>
      <c r="I3340">
        <v>0.340858236426552</v>
      </c>
      <c r="J3340">
        <v>0.27700343683940198</v>
      </c>
      <c r="K3340">
        <v>0.15483035575554999</v>
      </c>
      <c r="L3340">
        <v>434.08821550981702</v>
      </c>
      <c r="M3340">
        <v>7.9052473983167504</v>
      </c>
      <c r="N3340">
        <v>54.911404538922902</v>
      </c>
      <c r="O3340">
        <v>51.730885169045898</v>
      </c>
      <c r="P3340">
        <v>-3.8248894448674402E-2</v>
      </c>
      <c r="Q3340">
        <v>0</v>
      </c>
      <c r="R3340">
        <v>0.97374412431281299</v>
      </c>
      <c r="S3340" t="s">
        <v>8923</v>
      </c>
      <c r="T3340" t="s">
        <v>11164</v>
      </c>
      <c r="U3340" t="s">
        <v>11164</v>
      </c>
      <c r="V3340" t="s">
        <v>11164</v>
      </c>
      <c r="W3340" t="s">
        <v>14462</v>
      </c>
      <c r="X3340">
        <v>3</v>
      </c>
      <c r="Y3340" t="s">
        <v>19944</v>
      </c>
      <c r="Z3340" t="s">
        <v>25490</v>
      </c>
      <c r="AA3340">
        <v>0.60417162901518151</v>
      </c>
      <c r="AB3340" t="str">
        <f>HYPERLINK("Melting_Curves/meltCurve_Q5SQU3_PRKG1.pdf", "Melting_Curves/meltCurve_Q5SQU3_PRKG1.pdf")</f>
        <v>Melting_Curves/meltCurve_Q5SQU3_PRKG1.pdf</v>
      </c>
    </row>
    <row r="3341" spans="1:28" x14ac:dyDescent="0.25">
      <c r="A3341" t="s">
        <v>3345</v>
      </c>
      <c r="B3341">
        <v>0.99796759195183404</v>
      </c>
      <c r="C3341">
        <v>0.93488194617454501</v>
      </c>
      <c r="D3341">
        <v>0.903110479790735</v>
      </c>
      <c r="E3341">
        <v>1.0007217268575599</v>
      </c>
      <c r="F3341">
        <v>0.79242903016010302</v>
      </c>
      <c r="G3341">
        <v>0.54187761445657301</v>
      </c>
      <c r="H3341">
        <v>0.43381732892542202</v>
      </c>
      <c r="I3341">
        <v>0.206500572636765</v>
      </c>
      <c r="J3341">
        <v>0.35114787479596099</v>
      </c>
      <c r="K3341">
        <v>0.31394751313549601</v>
      </c>
      <c r="L3341">
        <v>1152.27848342782</v>
      </c>
      <c r="M3341">
        <v>21.976190361104798</v>
      </c>
      <c r="N3341">
        <v>54.572113748994703</v>
      </c>
      <c r="O3341">
        <v>52.004671250092002</v>
      </c>
      <c r="P3341">
        <v>-7.5145482494025501E-2</v>
      </c>
      <c r="Q3341">
        <v>0.28871593595258799</v>
      </c>
      <c r="R3341">
        <v>0.96192759091533797</v>
      </c>
      <c r="S3341" t="s">
        <v>8924</v>
      </c>
      <c r="T3341" t="s">
        <v>11164</v>
      </c>
      <c r="U3341" t="s">
        <v>11164</v>
      </c>
      <c r="V3341" t="s">
        <v>11164</v>
      </c>
      <c r="W3341" t="s">
        <v>14463</v>
      </c>
      <c r="X3341">
        <v>2</v>
      </c>
      <c r="Y3341" t="s">
        <v>19945</v>
      </c>
      <c r="Z3341" t="s">
        <v>25491</v>
      </c>
      <c r="AA3341">
        <v>0.66247142191347663</v>
      </c>
      <c r="AB3341" t="str">
        <f>HYPERLINK("Melting_Curves/meltCurve_Q5SRE7_2_PHYHD1.pdf", "Melting_Curves/meltCurve_Q5SRE7_2_PHYHD1.pdf")</f>
        <v>Melting_Curves/meltCurve_Q5SRE7_2_PHYHD1.pdf</v>
      </c>
    </row>
    <row r="3342" spans="1:28" x14ac:dyDescent="0.25">
      <c r="A3342" t="s">
        <v>3346</v>
      </c>
      <c r="B3342">
        <v>0.99796759195183404</v>
      </c>
      <c r="C3342">
        <v>1.08035644873545</v>
      </c>
      <c r="D3342">
        <v>1.0111419830070401</v>
      </c>
      <c r="E3342">
        <v>0.97627474896310296</v>
      </c>
      <c r="F3342">
        <v>0.85303663737708901</v>
      </c>
      <c r="G3342">
        <v>0.83579933806236895</v>
      </c>
      <c r="H3342">
        <v>0.50955931231999396</v>
      </c>
      <c r="I3342">
        <v>0.30672245265450598</v>
      </c>
      <c r="J3342">
        <v>0.17209407300169199</v>
      </c>
      <c r="K3342">
        <v>0.14542530966387701</v>
      </c>
      <c r="L3342">
        <v>1001.40144179371</v>
      </c>
      <c r="M3342">
        <v>17.447413241366</v>
      </c>
      <c r="N3342">
        <v>57.8040942072289</v>
      </c>
      <c r="O3342">
        <v>56.657342198919103</v>
      </c>
      <c r="P3342">
        <v>-7.2523453311688496E-2</v>
      </c>
      <c r="Q3342">
        <v>5.8024993785944501E-2</v>
      </c>
      <c r="R3342">
        <v>0.98616019871032301</v>
      </c>
      <c r="S3342" t="s">
        <v>8925</v>
      </c>
      <c r="T3342" t="s">
        <v>11164</v>
      </c>
      <c r="U3342" t="s">
        <v>11164</v>
      </c>
      <c r="V3342" t="s">
        <v>11164</v>
      </c>
      <c r="W3342" t="s">
        <v>14464</v>
      </c>
      <c r="X3342">
        <v>6</v>
      </c>
      <c r="Y3342" t="s">
        <v>19946</v>
      </c>
      <c r="Z3342" t="s">
        <v>25492</v>
      </c>
      <c r="AA3342">
        <v>0.705856752455847</v>
      </c>
      <c r="AB3342" t="str">
        <f>HYPERLINK("Melting_Curves/meltCurve_Q5SRQ6_CSNK2B.pdf", "Melting_Curves/meltCurve_Q5SRQ6_CSNK2B.pdf")</f>
        <v>Melting_Curves/meltCurve_Q5SRQ6_CSNK2B.pdf</v>
      </c>
    </row>
    <row r="3343" spans="1:28" x14ac:dyDescent="0.25">
      <c r="A3343" t="s">
        <v>3347</v>
      </c>
      <c r="B3343">
        <v>0.99796759195183404</v>
      </c>
      <c r="C3343">
        <v>1.0757877792372601</v>
      </c>
      <c r="D3343">
        <v>1.03279961940606</v>
      </c>
      <c r="E3343">
        <v>1.1291650711155701</v>
      </c>
      <c r="F3343">
        <v>0.80500381733674597</v>
      </c>
      <c r="G3343">
        <v>0.67505928828884998</v>
      </c>
      <c r="H3343">
        <v>0.663169211882493</v>
      </c>
      <c r="I3343">
        <v>0.65004882745316095</v>
      </c>
      <c r="J3343">
        <v>0.77074249147721297</v>
      </c>
      <c r="K3343">
        <v>0.68568964382156505</v>
      </c>
      <c r="L3343">
        <v>12523.953426321599</v>
      </c>
      <c r="M3343">
        <v>250</v>
      </c>
      <c r="O3343">
        <v>50.092613359019602</v>
      </c>
      <c r="P3343">
        <v>-0.38810380755365198</v>
      </c>
      <c r="Q3343">
        <v>0.68894189057260402</v>
      </c>
      <c r="R3343">
        <v>0.89975630161063602</v>
      </c>
      <c r="S3343" t="s">
        <v>8926</v>
      </c>
      <c r="T3343" t="s">
        <v>11164</v>
      </c>
      <c r="U3343" t="s">
        <v>11164</v>
      </c>
      <c r="V3343" t="s">
        <v>11164</v>
      </c>
      <c r="W3343" t="s">
        <v>14465</v>
      </c>
      <c r="X3343">
        <v>1</v>
      </c>
      <c r="Y3343" t="s">
        <v>19947</v>
      </c>
      <c r="Z3343" t="s">
        <v>25493</v>
      </c>
      <c r="AA3343">
        <v>0.82475453973721546</v>
      </c>
      <c r="AB3343" t="str">
        <f>HYPERLINK("Melting_Curves/meltCurve_Q5SSJ5_HP1BP3.pdf", "Melting_Curves/meltCurve_Q5SSJ5_HP1BP3.pdf")</f>
        <v>Melting_Curves/meltCurve_Q5SSJ5_HP1BP3.pdf</v>
      </c>
    </row>
    <row r="3344" spans="1:28" x14ac:dyDescent="0.25">
      <c r="A3344" t="s">
        <v>3348</v>
      </c>
      <c r="B3344">
        <v>0.99796759195183404</v>
      </c>
      <c r="C3344">
        <v>0.89646260994855398</v>
      </c>
      <c r="D3344">
        <v>0.90532311897519802</v>
      </c>
      <c r="E3344">
        <v>0.83729103956853301</v>
      </c>
      <c r="F3344">
        <v>0.631199233699409</v>
      </c>
      <c r="G3344">
        <v>0.49077705572827102</v>
      </c>
      <c r="H3344">
        <v>0.266710613888963</v>
      </c>
      <c r="I3344">
        <v>0.16526221258344201</v>
      </c>
      <c r="J3344">
        <v>0.148378499090838</v>
      </c>
      <c r="K3344">
        <v>0.117237754964941</v>
      </c>
      <c r="L3344">
        <v>569.43808591471202</v>
      </c>
      <c r="M3344">
        <v>10.7849272966904</v>
      </c>
      <c r="N3344">
        <v>52.862968279170801</v>
      </c>
      <c r="O3344">
        <v>51.081342952116898</v>
      </c>
      <c r="P3344">
        <v>-5.2462297500405097E-2</v>
      </c>
      <c r="Q3344">
        <v>6.43949999527194E-3</v>
      </c>
      <c r="R3344">
        <v>0.99045732926558205</v>
      </c>
      <c r="S3344" t="s">
        <v>8927</v>
      </c>
      <c r="T3344" t="s">
        <v>11164</v>
      </c>
      <c r="U3344" t="s">
        <v>11164</v>
      </c>
      <c r="V3344" t="s">
        <v>11164</v>
      </c>
      <c r="W3344" t="s">
        <v>14466</v>
      </c>
      <c r="X3344">
        <v>5</v>
      </c>
      <c r="Y3344" t="s">
        <v>19948</v>
      </c>
      <c r="Z3344" t="s">
        <v>25494</v>
      </c>
      <c r="AA3344">
        <v>0.55232828837349723</v>
      </c>
      <c r="AB3344" t="str">
        <f>HYPERLINK("Melting_Curves/meltCurve_Q5ST30_VARS2.pdf", "Melting_Curves/meltCurve_Q5ST30_VARS2.pdf")</f>
        <v>Melting_Curves/meltCurve_Q5ST30_VARS2.pdf</v>
      </c>
    </row>
    <row r="3345" spans="1:28" x14ac:dyDescent="0.25">
      <c r="A3345" t="s">
        <v>3349</v>
      </c>
      <c r="B3345">
        <v>0.99796759195183404</v>
      </c>
      <c r="C3345">
        <v>1.1841239448913601</v>
      </c>
      <c r="D3345">
        <v>0.99725761110644795</v>
      </c>
      <c r="E3345">
        <v>0.83383717748701702</v>
      </c>
      <c r="F3345">
        <v>0.54560935782269104</v>
      </c>
      <c r="G3345">
        <v>0.33205082271868402</v>
      </c>
      <c r="H3345">
        <v>0.30138788819037798</v>
      </c>
      <c r="I3345">
        <v>7.6253050468925901E-2</v>
      </c>
      <c r="J3345">
        <v>0.12519966608628499</v>
      </c>
      <c r="K3345">
        <v>0</v>
      </c>
      <c r="L3345">
        <v>795.31133691728201</v>
      </c>
      <c r="M3345">
        <v>15.528297541591799</v>
      </c>
      <c r="N3345">
        <v>51.513088169163701</v>
      </c>
      <c r="O3345">
        <v>50.390049601451999</v>
      </c>
      <c r="P3345">
        <v>-7.3756904674514706E-2</v>
      </c>
      <c r="Q3345">
        <v>4.2706060484701998E-2</v>
      </c>
      <c r="R3345">
        <v>0.96323177976139596</v>
      </c>
      <c r="S3345" t="s">
        <v>8928</v>
      </c>
      <c r="T3345" t="s">
        <v>11164</v>
      </c>
      <c r="U3345" t="s">
        <v>11164</v>
      </c>
      <c r="V3345" t="s">
        <v>11164</v>
      </c>
      <c r="W3345" t="s">
        <v>14467</v>
      </c>
      <c r="X3345">
        <v>2</v>
      </c>
      <c r="Y3345" t="s">
        <v>19949</v>
      </c>
      <c r="Z3345" t="s">
        <v>25495</v>
      </c>
      <c r="AA3345">
        <v>0.5146092330618649</v>
      </c>
      <c r="AB3345" t="str">
        <f>HYPERLINK("Melting_Curves/meltCurve_Q5SVK8_DNMBP.pdf", "Melting_Curves/meltCurve_Q5SVK8_DNMBP.pdf")</f>
        <v>Melting_Curves/meltCurve_Q5SVK8_DNMBP.pdf</v>
      </c>
    </row>
    <row r="3346" spans="1:28" x14ac:dyDescent="0.25">
      <c r="A3346" t="s">
        <v>3350</v>
      </c>
      <c r="B3346">
        <v>0.99796759195183404</v>
      </c>
      <c r="C3346">
        <v>0.99717960628828295</v>
      </c>
      <c r="D3346">
        <v>1.0853764668671599</v>
      </c>
      <c r="E3346">
        <v>0.97490836654408597</v>
      </c>
      <c r="F3346">
        <v>0.844629051715867</v>
      </c>
      <c r="G3346">
        <v>0.348810244298702</v>
      </c>
      <c r="H3346">
        <v>9.9793779313200104E-2</v>
      </c>
      <c r="I3346">
        <v>8.6758113130003006E-2</v>
      </c>
      <c r="J3346">
        <v>1.8739670690637901E-2</v>
      </c>
      <c r="K3346">
        <v>0</v>
      </c>
      <c r="L3346">
        <v>1703.80388972066</v>
      </c>
      <c r="M3346">
        <v>32.345285212458798</v>
      </c>
      <c r="N3346">
        <v>52.777561824978001</v>
      </c>
      <c r="O3346">
        <v>52.475372243307604</v>
      </c>
      <c r="P3346">
        <v>-0.149426179961444</v>
      </c>
      <c r="Q3346">
        <v>3.03184140579171E-2</v>
      </c>
      <c r="R3346">
        <v>0.994533435802187</v>
      </c>
      <c r="S3346" t="s">
        <v>8929</v>
      </c>
      <c r="T3346" t="s">
        <v>11164</v>
      </c>
      <c r="U3346" t="s">
        <v>11164</v>
      </c>
      <c r="V3346" t="s">
        <v>11164</v>
      </c>
      <c r="W3346" t="s">
        <v>14468</v>
      </c>
      <c r="X3346">
        <v>5</v>
      </c>
      <c r="Y3346" t="s">
        <v>19950</v>
      </c>
      <c r="Z3346" t="s">
        <v>25496</v>
      </c>
      <c r="AA3346">
        <v>0.54232787325798404</v>
      </c>
      <c r="AB3346" t="str">
        <f>HYPERLINK("Melting_Curves/meltCurve_Q5SWX8_ODR4.pdf", "Melting_Curves/meltCurve_Q5SWX8_ODR4.pdf")</f>
        <v>Melting_Curves/meltCurve_Q5SWX8_ODR4.pdf</v>
      </c>
    </row>
    <row r="3347" spans="1:28" x14ac:dyDescent="0.25">
      <c r="A3347" t="s">
        <v>3351</v>
      </c>
      <c r="B3347">
        <v>0.99796759195183404</v>
      </c>
      <c r="C3347">
        <v>1.06093888380777</v>
      </c>
      <c r="D3347">
        <v>0.88958802026391703</v>
      </c>
      <c r="E3347">
        <v>0.95847785003847397</v>
      </c>
      <c r="F3347">
        <v>0.85481908023382003</v>
      </c>
      <c r="G3347">
        <v>0.68238626192107199</v>
      </c>
      <c r="H3347">
        <v>0.60356157718693804</v>
      </c>
      <c r="I3347">
        <v>0.43215634939673903</v>
      </c>
      <c r="J3347">
        <v>0.52019787851518995</v>
      </c>
      <c r="K3347">
        <v>0.47730483088487202</v>
      </c>
      <c r="L3347">
        <v>872.96508991367102</v>
      </c>
      <c r="M3347">
        <v>16.475784301467598</v>
      </c>
      <c r="N3347">
        <v>61.708256536330097</v>
      </c>
      <c r="O3347">
        <v>52.222611296683098</v>
      </c>
      <c r="P3347">
        <v>-4.32797577049885E-2</v>
      </c>
      <c r="Q3347">
        <v>0.45131000721682601</v>
      </c>
      <c r="R3347">
        <v>0.95386446280785997</v>
      </c>
      <c r="S3347" t="s">
        <v>8930</v>
      </c>
      <c r="T3347" t="s">
        <v>11164</v>
      </c>
      <c r="U3347" t="s">
        <v>11164</v>
      </c>
      <c r="V3347" t="s">
        <v>11164</v>
      </c>
      <c r="W3347" t="s">
        <v>14469</v>
      </c>
      <c r="X3347">
        <v>4</v>
      </c>
      <c r="Y3347" t="s">
        <v>19951</v>
      </c>
      <c r="Z3347" t="s">
        <v>25497</v>
      </c>
      <c r="AA3347">
        <v>0.75255104576541598</v>
      </c>
      <c r="AB3347" t="str">
        <f>HYPERLINK("Melting_Curves/meltCurve_Q5SXM8_DNLZ.pdf", "Melting_Curves/meltCurve_Q5SXM8_DNLZ.pdf")</f>
        <v>Melting_Curves/meltCurve_Q5SXM8_DNLZ.pdf</v>
      </c>
    </row>
    <row r="3348" spans="1:28" x14ac:dyDescent="0.25">
      <c r="A3348" t="s">
        <v>3352</v>
      </c>
      <c r="B3348">
        <v>0.99796759195183404</v>
      </c>
      <c r="C3348">
        <v>1.26094133913498</v>
      </c>
      <c r="D3348">
        <v>1.05816966517511</v>
      </c>
      <c r="E3348">
        <v>0.46955041776084699</v>
      </c>
      <c r="F3348">
        <v>0.50651621600087304</v>
      </c>
      <c r="G3348">
        <v>0.69363026565706898</v>
      </c>
      <c r="H3348">
        <v>0.86822286990517095</v>
      </c>
      <c r="I3348">
        <v>0</v>
      </c>
      <c r="J3348">
        <v>0</v>
      </c>
      <c r="K3348">
        <v>0</v>
      </c>
      <c r="L3348">
        <v>531.02311660083603</v>
      </c>
      <c r="M3348">
        <v>9.8031949405770007</v>
      </c>
      <c r="N3348">
        <v>54.1683816031886</v>
      </c>
      <c r="O3348">
        <v>52.058654902761802</v>
      </c>
      <c r="P3348">
        <v>-4.71023487378864E-2</v>
      </c>
      <c r="Q3348">
        <v>0</v>
      </c>
      <c r="R3348">
        <v>0.66817344354018504</v>
      </c>
      <c r="S3348" t="s">
        <v>8931</v>
      </c>
      <c r="T3348" t="s">
        <v>11164</v>
      </c>
      <c r="U3348" t="s">
        <v>11164</v>
      </c>
      <c r="V3348" t="s">
        <v>11164</v>
      </c>
      <c r="W3348" t="s">
        <v>14470</v>
      </c>
      <c r="X3348">
        <v>3</v>
      </c>
      <c r="Y3348" t="s">
        <v>19952</v>
      </c>
      <c r="Z3348" t="s">
        <v>25498</v>
      </c>
      <c r="AA3348">
        <v>0.5888202308056889</v>
      </c>
      <c r="AB3348" t="str">
        <f>HYPERLINK("Melting_Curves/meltCurve_Q5SYE7_2_NHSL1.pdf", "Melting_Curves/meltCurve_Q5SYE7_2_NHSL1.pdf")</f>
        <v>Melting_Curves/meltCurve_Q5SYE7_2_NHSL1.pdf</v>
      </c>
    </row>
    <row r="3349" spans="1:28" x14ac:dyDescent="0.25">
      <c r="A3349" t="s">
        <v>3353</v>
      </c>
      <c r="B3349">
        <v>0.99796759195183404</v>
      </c>
      <c r="C3349">
        <v>1.0072138385049301</v>
      </c>
      <c r="D3349">
        <v>1.0064747657394799</v>
      </c>
      <c r="E3349">
        <v>0.94735905462118297</v>
      </c>
      <c r="F3349">
        <v>0.82627250840815702</v>
      </c>
      <c r="G3349">
        <v>0.57884063124929996</v>
      </c>
      <c r="H3349">
        <v>0.48769105858363399</v>
      </c>
      <c r="I3349">
        <v>0.30939049133173002</v>
      </c>
      <c r="J3349">
        <v>0.21617136038549201</v>
      </c>
      <c r="K3349">
        <v>0.14589024747215201</v>
      </c>
      <c r="L3349">
        <v>696.421932461756</v>
      </c>
      <c r="M3349">
        <v>12.4660776963781</v>
      </c>
      <c r="N3349">
        <v>56.392893777271603</v>
      </c>
      <c r="O3349">
        <v>54.486204479005004</v>
      </c>
      <c r="P3349">
        <v>-5.4061584604840798E-2</v>
      </c>
      <c r="Q3349">
        <v>5.5036159968326399E-2</v>
      </c>
      <c r="R3349">
        <v>0.99364099645830095</v>
      </c>
      <c r="S3349" t="s">
        <v>8932</v>
      </c>
      <c r="T3349" t="s">
        <v>11164</v>
      </c>
      <c r="U3349" t="s">
        <v>11164</v>
      </c>
      <c r="V3349" t="s">
        <v>11164</v>
      </c>
      <c r="W3349" t="s">
        <v>14471</v>
      </c>
      <c r="X3349">
        <v>13</v>
      </c>
      <c r="Y3349" t="s">
        <v>19953</v>
      </c>
      <c r="Z3349" t="s">
        <v>25499</v>
      </c>
      <c r="AA3349">
        <v>0.659550472456224</v>
      </c>
      <c r="AB3349" t="str">
        <f>HYPERLINK("Melting_Curves/meltCurve_Q5SYW2_CIZ1.pdf", "Melting_Curves/meltCurve_Q5SYW2_CIZ1.pdf")</f>
        <v>Melting_Curves/meltCurve_Q5SYW2_CIZ1.pdf</v>
      </c>
    </row>
    <row r="3350" spans="1:28" x14ac:dyDescent="0.25">
      <c r="A3350" t="s">
        <v>3354</v>
      </c>
      <c r="B3350">
        <v>0.99796759195183404</v>
      </c>
      <c r="C3350">
        <v>1.01045553815142</v>
      </c>
      <c r="D3350">
        <v>0.98451159953420497</v>
      </c>
      <c r="E3350">
        <v>0.93350533250823597</v>
      </c>
      <c r="F3350">
        <v>0.74028800367316505</v>
      </c>
      <c r="G3350">
        <v>0.43521978222563201</v>
      </c>
      <c r="H3350">
        <v>0.28589679769849102</v>
      </c>
      <c r="I3350">
        <v>0.24125057824899099</v>
      </c>
      <c r="J3350">
        <v>0.238222506456407</v>
      </c>
      <c r="K3350">
        <v>0.17445995867969</v>
      </c>
      <c r="L3350">
        <v>1139.8445655493799</v>
      </c>
      <c r="M3350">
        <v>22.016520624609701</v>
      </c>
      <c r="N3350">
        <v>53.018389356376296</v>
      </c>
      <c r="O3350">
        <v>51.350795317480902</v>
      </c>
      <c r="P3350">
        <v>-8.5538268982277899E-2</v>
      </c>
      <c r="Q3350">
        <v>0.201988278410724</v>
      </c>
      <c r="R3350">
        <v>0.99816099335417297</v>
      </c>
      <c r="S3350" t="s">
        <v>8933</v>
      </c>
      <c r="T3350" t="s">
        <v>11164</v>
      </c>
      <c r="U3350" t="s">
        <v>11164</v>
      </c>
      <c r="V3350" t="s">
        <v>11164</v>
      </c>
      <c r="W3350" t="s">
        <v>14472</v>
      </c>
      <c r="X3350">
        <v>8</v>
      </c>
      <c r="Y3350" t="s">
        <v>19954</v>
      </c>
      <c r="Z3350" t="s">
        <v>25500</v>
      </c>
      <c r="AA3350">
        <v>0.60377026124069066</v>
      </c>
      <c r="AB3350" t="str">
        <f>HYPERLINK("Melting_Curves/meltCurve_Q5SZR4_TDRKH.pdf", "Melting_Curves/meltCurve_Q5SZR4_TDRKH.pdf")</f>
        <v>Melting_Curves/meltCurve_Q5SZR4_TDRKH.pdf</v>
      </c>
    </row>
    <row r="3351" spans="1:28" x14ac:dyDescent="0.25">
      <c r="A3351" t="s">
        <v>3355</v>
      </c>
      <c r="B3351">
        <v>0.99796759195183404</v>
      </c>
      <c r="C3351">
        <v>0.94126634415421195</v>
      </c>
      <c r="D3351">
        <v>0.89564305652145904</v>
      </c>
      <c r="E3351">
        <v>0.85569813648772397</v>
      </c>
      <c r="F3351">
        <v>0.73609393286805902</v>
      </c>
      <c r="G3351">
        <v>0.25776557211565099</v>
      </c>
      <c r="H3351">
        <v>0.173533892959115</v>
      </c>
      <c r="I3351">
        <v>0.152385646081903</v>
      </c>
      <c r="J3351">
        <v>0.12914078812518401</v>
      </c>
      <c r="K3351">
        <v>0.136559388021193</v>
      </c>
      <c r="L3351">
        <v>1401.06508683313</v>
      </c>
      <c r="M3351">
        <v>27.379969844862199</v>
      </c>
      <c r="N3351">
        <v>51.725961793697699</v>
      </c>
      <c r="O3351">
        <v>50.900537635429203</v>
      </c>
      <c r="P3351">
        <v>-0.117368275541406</v>
      </c>
      <c r="Q3351">
        <v>0.12723755626125499</v>
      </c>
      <c r="R3351">
        <v>0.97923751632252798</v>
      </c>
      <c r="S3351" t="s">
        <v>8934</v>
      </c>
      <c r="T3351" t="s">
        <v>11164</v>
      </c>
      <c r="U3351" t="s">
        <v>11164</v>
      </c>
      <c r="V3351" t="s">
        <v>11164</v>
      </c>
      <c r="W3351" t="s">
        <v>14473</v>
      </c>
      <c r="X3351">
        <v>2</v>
      </c>
      <c r="Y3351" t="s">
        <v>19955</v>
      </c>
      <c r="Z3351" t="s">
        <v>25501</v>
      </c>
      <c r="AA3351">
        <v>0.54600517872405119</v>
      </c>
      <c r="AB3351" t="str">
        <f>HYPERLINK("Melting_Curves/meltCurve_Q5T0D9_TPRG1L.pdf", "Melting_Curves/meltCurve_Q5T0D9_TPRG1L.pdf")</f>
        <v>Melting_Curves/meltCurve_Q5T0D9_TPRG1L.pdf</v>
      </c>
    </row>
    <row r="3352" spans="1:28" x14ac:dyDescent="0.25">
      <c r="A3352" t="s">
        <v>3356</v>
      </c>
      <c r="B3352">
        <v>0.99796759195183404</v>
      </c>
      <c r="C3352">
        <v>1.13769038811693</v>
      </c>
      <c r="D3352">
        <v>1.0552202464001701</v>
      </c>
      <c r="E3352">
        <v>0.97477410586476998</v>
      </c>
      <c r="F3352">
        <v>0.85767671214479801</v>
      </c>
      <c r="G3352">
        <v>0.61223047817280096</v>
      </c>
      <c r="H3352">
        <v>0.30445126037008802</v>
      </c>
      <c r="I3352">
        <v>0.21318447855742301</v>
      </c>
      <c r="J3352">
        <v>0.17885843379737601</v>
      </c>
      <c r="K3352">
        <v>0.130183067102073</v>
      </c>
      <c r="L3352">
        <v>1212.17504723826</v>
      </c>
      <c r="M3352">
        <v>22.399938666243699</v>
      </c>
      <c r="N3352">
        <v>54.897757882875503</v>
      </c>
      <c r="O3352">
        <v>53.689346588685297</v>
      </c>
      <c r="P3352">
        <v>-9.0048317914708506E-2</v>
      </c>
      <c r="Q3352">
        <v>0.13668784023776301</v>
      </c>
      <c r="R3352">
        <v>0.98373825954090199</v>
      </c>
      <c r="S3352" t="s">
        <v>8935</v>
      </c>
      <c r="T3352" t="s">
        <v>11164</v>
      </c>
      <c r="U3352" t="s">
        <v>11164</v>
      </c>
      <c r="V3352" t="s">
        <v>11164</v>
      </c>
      <c r="W3352" t="s">
        <v>14474</v>
      </c>
      <c r="X3352">
        <v>14</v>
      </c>
      <c r="Y3352" t="s">
        <v>19956</v>
      </c>
      <c r="Z3352" t="s">
        <v>25502</v>
      </c>
      <c r="AA3352">
        <v>0.63810525484168223</v>
      </c>
      <c r="AB3352" t="str">
        <f>HYPERLINK("Melting_Curves/meltCurve_Q5T0N5_3_FNBP1L.pdf", "Melting_Curves/meltCurve_Q5T0N5_3_FNBP1L.pdf")</f>
        <v>Melting_Curves/meltCurve_Q5T0N5_3_FNBP1L.pdf</v>
      </c>
    </row>
    <row r="3353" spans="1:28" x14ac:dyDescent="0.25">
      <c r="A3353" t="s">
        <v>3357</v>
      </c>
      <c r="B3353">
        <v>0.99796759195183404</v>
      </c>
      <c r="C3353">
        <v>0.82146856605660301</v>
      </c>
      <c r="D3353">
        <v>0.94490945886312405</v>
      </c>
      <c r="E3353">
        <v>0.836946604173464</v>
      </c>
      <c r="F3353">
        <v>0.79351417274005598</v>
      </c>
      <c r="G3353">
        <v>0.42687120645719601</v>
      </c>
      <c r="H3353">
        <v>0.65513956908511894</v>
      </c>
      <c r="I3353">
        <v>0.59088368950855996</v>
      </c>
      <c r="J3353">
        <v>0.79821007112764897</v>
      </c>
      <c r="K3353">
        <v>0.68419133541343102</v>
      </c>
      <c r="L3353">
        <v>823.28580976648004</v>
      </c>
      <c r="M3353">
        <v>17.878933288584101</v>
      </c>
      <c r="O3353">
        <v>45.483334111513997</v>
      </c>
      <c r="P3353">
        <v>-3.5153837249228201E-2</v>
      </c>
      <c r="Q3353">
        <v>0.64229796386354698</v>
      </c>
      <c r="R3353">
        <v>0.537172610733199</v>
      </c>
      <c r="S3353" t="s">
        <v>8936</v>
      </c>
      <c r="T3353" t="s">
        <v>11164</v>
      </c>
      <c r="U3353" t="s">
        <v>11164</v>
      </c>
      <c r="V3353" t="s">
        <v>11164</v>
      </c>
      <c r="W3353" t="s">
        <v>14475</v>
      </c>
      <c r="X3353">
        <v>1</v>
      </c>
      <c r="Y3353" t="s">
        <v>19957</v>
      </c>
      <c r="Z3353" t="s">
        <v>25503</v>
      </c>
      <c r="AA3353">
        <v>0.75603561260921015</v>
      </c>
      <c r="AB3353" t="str">
        <f>HYPERLINK("Melting_Curves/meltCurve_Q5T0Z6_PKIB.pdf", "Melting_Curves/meltCurve_Q5T0Z6_PKIB.pdf")</f>
        <v>Melting_Curves/meltCurve_Q5T0Z6_PKIB.pdf</v>
      </c>
    </row>
    <row r="3354" spans="1:28" x14ac:dyDescent="0.25">
      <c r="A3354" t="s">
        <v>3358</v>
      </c>
      <c r="B3354">
        <v>0.99796759195183404</v>
      </c>
      <c r="C3354">
        <v>1.00507833083855</v>
      </c>
      <c r="D3354">
        <v>0.986120855559386</v>
      </c>
      <c r="E3354">
        <v>0.93264890948923196</v>
      </c>
      <c r="F3354">
        <v>0.85556293844710896</v>
      </c>
      <c r="G3354">
        <v>0.59658466809479205</v>
      </c>
      <c r="H3354">
        <v>0.56984419154391597</v>
      </c>
      <c r="I3354">
        <v>0.45882591820256202</v>
      </c>
      <c r="J3354">
        <v>0.51901662882247501</v>
      </c>
      <c r="K3354">
        <v>0.53308273009824303</v>
      </c>
      <c r="L3354">
        <v>1395.9198152617701</v>
      </c>
      <c r="M3354">
        <v>27.149376976654899</v>
      </c>
      <c r="O3354">
        <v>51.139749468215598</v>
      </c>
      <c r="P3354">
        <v>-6.5398521673895801E-2</v>
      </c>
      <c r="Q3354">
        <v>0.50725476429251304</v>
      </c>
      <c r="R3354">
        <v>0.98318605472264398</v>
      </c>
      <c r="S3354" t="s">
        <v>8937</v>
      </c>
      <c r="T3354" t="s">
        <v>11164</v>
      </c>
      <c r="U3354" t="s">
        <v>11164</v>
      </c>
      <c r="V3354" t="s">
        <v>11164</v>
      </c>
      <c r="W3354" t="s">
        <v>14476</v>
      </c>
      <c r="X3354">
        <v>8</v>
      </c>
      <c r="Y3354" t="s">
        <v>19958</v>
      </c>
      <c r="Z3354" t="s">
        <v>25504</v>
      </c>
      <c r="AA3354">
        <v>0.74777706864462457</v>
      </c>
      <c r="AB3354" t="str">
        <f>HYPERLINK("Melting_Curves/meltCurve_Q5T123_SH3BGRL3.pdf", "Melting_Curves/meltCurve_Q5T123_SH3BGRL3.pdf")</f>
        <v>Melting_Curves/meltCurve_Q5T123_SH3BGRL3.pdf</v>
      </c>
    </row>
    <row r="3355" spans="1:28" x14ac:dyDescent="0.25">
      <c r="A3355" t="s">
        <v>3359</v>
      </c>
      <c r="B3355">
        <v>0.99796759195183404</v>
      </c>
      <c r="C3355">
        <v>1.0415693120454299</v>
      </c>
      <c r="D3355">
        <v>0.944281836500516</v>
      </c>
      <c r="E3355">
        <v>1.0687404601913599</v>
      </c>
      <c r="F3355">
        <v>0.99828945311986395</v>
      </c>
      <c r="G3355">
        <v>0.49038990455141201</v>
      </c>
      <c r="H3355">
        <v>0.40311957694088602</v>
      </c>
      <c r="I3355">
        <v>0.27663614077135701</v>
      </c>
      <c r="J3355">
        <v>0.382828415071505</v>
      </c>
      <c r="K3355">
        <v>0.33983431637940997</v>
      </c>
      <c r="L3355">
        <v>4206.8444188458998</v>
      </c>
      <c r="M3355">
        <v>79.473403325696296</v>
      </c>
      <c r="N3355">
        <v>53.748424475928999</v>
      </c>
      <c r="O3355">
        <v>52.900501856545503</v>
      </c>
      <c r="P3355">
        <v>-0.2441115624445</v>
      </c>
      <c r="Q3355">
        <v>0.35004053607964802</v>
      </c>
      <c r="R3355">
        <v>0.981716180816671</v>
      </c>
      <c r="S3355" t="s">
        <v>8938</v>
      </c>
      <c r="T3355" t="s">
        <v>11164</v>
      </c>
      <c r="U3355" t="s">
        <v>11164</v>
      </c>
      <c r="V3355" t="s">
        <v>11164</v>
      </c>
      <c r="W3355" t="s">
        <v>14477</v>
      </c>
      <c r="X3355">
        <v>6</v>
      </c>
      <c r="Y3355" t="s">
        <v>19959</v>
      </c>
      <c r="Z3355" t="s">
        <v>25505</v>
      </c>
      <c r="AA3355">
        <v>0.69585414813858593</v>
      </c>
      <c r="AB3355" t="str">
        <f>HYPERLINK("Melting_Curves/meltCurve_Q5T160_RARS2.pdf", "Melting_Curves/meltCurve_Q5T160_RARS2.pdf")</f>
        <v>Melting_Curves/meltCurve_Q5T160_RARS2.pdf</v>
      </c>
    </row>
    <row r="3356" spans="1:28" x14ac:dyDescent="0.25">
      <c r="A3356" t="s">
        <v>3360</v>
      </c>
      <c r="B3356">
        <v>0.99796759195183404</v>
      </c>
      <c r="C3356">
        <v>1.0980547594277299</v>
      </c>
      <c r="D3356">
        <v>0.98243259268065797</v>
      </c>
      <c r="E3356">
        <v>0.94576647081183596</v>
      </c>
      <c r="F3356">
        <v>0.63661661322346896</v>
      </c>
      <c r="G3356">
        <v>0.51398184492259402</v>
      </c>
      <c r="H3356">
        <v>0.326378501309042</v>
      </c>
      <c r="I3356">
        <v>0.22464546984519901</v>
      </c>
      <c r="J3356">
        <v>0.15028692973907901</v>
      </c>
      <c r="K3356">
        <v>0.10521213570764799</v>
      </c>
      <c r="L3356">
        <v>761.57005154652904</v>
      </c>
      <c r="M3356">
        <v>14.375653005281601</v>
      </c>
      <c r="N3356">
        <v>53.666674675779703</v>
      </c>
      <c r="O3356">
        <v>51.982871424154702</v>
      </c>
      <c r="P3356">
        <v>-6.3308098217863804E-2</v>
      </c>
      <c r="Q3356">
        <v>8.4411601295206806E-2</v>
      </c>
      <c r="R3356">
        <v>0.98315340076660096</v>
      </c>
      <c r="S3356" t="s">
        <v>8939</v>
      </c>
      <c r="T3356" t="s">
        <v>11164</v>
      </c>
      <c r="U3356" t="s">
        <v>11164</v>
      </c>
      <c r="V3356" t="s">
        <v>11164</v>
      </c>
      <c r="W3356" t="s">
        <v>14478</v>
      </c>
      <c r="X3356">
        <v>2</v>
      </c>
      <c r="Y3356" t="s">
        <v>19960</v>
      </c>
      <c r="Z3356" t="s">
        <v>25506</v>
      </c>
      <c r="AA3356">
        <v>0.58903509031701118</v>
      </c>
      <c r="AB3356" t="str">
        <f>HYPERLINK("Melting_Curves/meltCurve_Q5T171_PYGO2.pdf", "Melting_Curves/meltCurve_Q5T171_PYGO2.pdf")</f>
        <v>Melting_Curves/meltCurve_Q5T171_PYGO2.pdf</v>
      </c>
    </row>
    <row r="3357" spans="1:28" x14ac:dyDescent="0.25">
      <c r="A3357" t="s">
        <v>3361</v>
      </c>
      <c r="B3357">
        <v>0.99796759195183404</v>
      </c>
      <c r="C3357">
        <v>0.88283543994656599</v>
      </c>
      <c r="D3357">
        <v>0.94316238937571195</v>
      </c>
      <c r="E3357">
        <v>1.0547734966723801</v>
      </c>
      <c r="F3357">
        <v>0.89380439085052799</v>
      </c>
      <c r="G3357">
        <v>0.340967747412316</v>
      </c>
      <c r="H3357">
        <v>0.20586892007162</v>
      </c>
      <c r="I3357">
        <v>0.20408944871069901</v>
      </c>
      <c r="J3357">
        <v>5.9478441308316303E-2</v>
      </c>
      <c r="K3357">
        <v>0.16138354233677599</v>
      </c>
      <c r="L3357">
        <v>2343.0444513410198</v>
      </c>
      <c r="M3357">
        <v>44.752382812568598</v>
      </c>
      <c r="N3357">
        <v>52.782430609606202</v>
      </c>
      <c r="O3357">
        <v>52.251538198943997</v>
      </c>
      <c r="P3357">
        <v>-0.181621381202272</v>
      </c>
      <c r="Q3357">
        <v>0.15177860976867799</v>
      </c>
      <c r="R3357">
        <v>0.97805923777692605</v>
      </c>
      <c r="S3357" t="s">
        <v>8940</v>
      </c>
      <c r="T3357" t="s">
        <v>11164</v>
      </c>
      <c r="U3357" t="s">
        <v>11164</v>
      </c>
      <c r="V3357" t="s">
        <v>11164</v>
      </c>
      <c r="W3357" t="s">
        <v>14479</v>
      </c>
      <c r="X3357">
        <v>2</v>
      </c>
      <c r="Y3357" t="s">
        <v>19961</v>
      </c>
      <c r="Z3357" t="s">
        <v>25507</v>
      </c>
      <c r="AA3357">
        <v>0.58839315376649837</v>
      </c>
      <c r="AB3357" t="str">
        <f>HYPERLINK("Melting_Curves/meltCurve_Q5T1B5_INPP5A.pdf", "Melting_Curves/meltCurve_Q5T1B5_INPP5A.pdf")</f>
        <v>Melting_Curves/meltCurve_Q5T1B5_INPP5A.pdf</v>
      </c>
    </row>
    <row r="3358" spans="1:28" x14ac:dyDescent="0.25">
      <c r="A3358" t="s">
        <v>3362</v>
      </c>
      <c r="B3358">
        <v>0.99796759195183404</v>
      </c>
      <c r="C3358">
        <v>1.43910459241014</v>
      </c>
      <c r="D3358">
        <v>1.16487652987015</v>
      </c>
      <c r="E3358">
        <v>1.1635036757258399</v>
      </c>
      <c r="F3358">
        <v>1.0240084111804799</v>
      </c>
      <c r="G3358">
        <v>0.77609433011804996</v>
      </c>
      <c r="H3358">
        <v>0.75654638820612896</v>
      </c>
      <c r="I3358">
        <v>0.51983642201926195</v>
      </c>
      <c r="J3358">
        <v>0.19827973807323601</v>
      </c>
      <c r="K3358">
        <v>6.0127310112351402E-2</v>
      </c>
      <c r="L3358">
        <v>1214.9228941568599</v>
      </c>
      <c r="M3358">
        <v>20.135242612739301</v>
      </c>
      <c r="N3358">
        <v>60.338133719205402</v>
      </c>
      <c r="O3358">
        <v>59.7524344361685</v>
      </c>
      <c r="P3358">
        <v>-8.4247114711103105E-2</v>
      </c>
      <c r="Q3358">
        <v>0</v>
      </c>
      <c r="R3358">
        <v>0.839720394108879</v>
      </c>
      <c r="S3358" t="s">
        <v>8941</v>
      </c>
      <c r="T3358" t="s">
        <v>11164</v>
      </c>
      <c r="U3358" t="s">
        <v>11164</v>
      </c>
      <c r="V3358" t="s">
        <v>11164</v>
      </c>
      <c r="W3358" t="s">
        <v>14480</v>
      </c>
      <c r="X3358">
        <v>1</v>
      </c>
      <c r="Y3358" t="s">
        <v>19962</v>
      </c>
      <c r="Z3358" t="s">
        <v>25508</v>
      </c>
      <c r="AA3358">
        <v>0.77709265371704606</v>
      </c>
      <c r="AB3358" t="str">
        <f>HYPERLINK("Melting_Curves/meltCurve_Q5T1C6_THEM4.pdf", "Melting_Curves/meltCurve_Q5T1C6_THEM4.pdf")</f>
        <v>Melting_Curves/meltCurve_Q5T1C6_THEM4.pdf</v>
      </c>
    </row>
    <row r="3359" spans="1:28" x14ac:dyDescent="0.25">
      <c r="A3359" t="s">
        <v>3363</v>
      </c>
      <c r="B3359">
        <v>0.99796759195183404</v>
      </c>
      <c r="C3359">
        <v>1.01388750855295</v>
      </c>
      <c r="D3359">
        <v>0.99217192982740998</v>
      </c>
      <c r="E3359">
        <v>0.95197811348288397</v>
      </c>
      <c r="F3359">
        <v>0.75517959109115995</v>
      </c>
      <c r="G3359">
        <v>0.40701316971943602</v>
      </c>
      <c r="H3359">
        <v>0.294481340290837</v>
      </c>
      <c r="I3359">
        <v>0.21772080303815</v>
      </c>
      <c r="J3359">
        <v>0.16674639893422</v>
      </c>
      <c r="K3359">
        <v>0.12292687510745</v>
      </c>
      <c r="L3359">
        <v>1119.36063828535</v>
      </c>
      <c r="M3359">
        <v>21.463189725397299</v>
      </c>
      <c r="N3359">
        <v>53.060490883082203</v>
      </c>
      <c r="O3359">
        <v>51.7061785102672</v>
      </c>
      <c r="P3359">
        <v>-8.7828463259768799E-2</v>
      </c>
      <c r="Q3359">
        <v>0.153683572344396</v>
      </c>
      <c r="R3359">
        <v>0.99595419857265899</v>
      </c>
      <c r="S3359" t="s">
        <v>8942</v>
      </c>
      <c r="T3359" t="s">
        <v>11164</v>
      </c>
      <c r="U3359" t="s">
        <v>11164</v>
      </c>
      <c r="V3359" t="s">
        <v>11164</v>
      </c>
      <c r="W3359" t="s">
        <v>14481</v>
      </c>
      <c r="X3359">
        <v>10</v>
      </c>
      <c r="Y3359" t="s">
        <v>19963</v>
      </c>
      <c r="Z3359" t="s">
        <v>25509</v>
      </c>
      <c r="AA3359">
        <v>0.59088477135976702</v>
      </c>
      <c r="AB3359" t="str">
        <f>HYPERLINK("Melting_Curves/meltCurve_Q5T1M5_FKBP15.pdf", "Melting_Curves/meltCurve_Q5T1M5_FKBP15.pdf")</f>
        <v>Melting_Curves/meltCurve_Q5T1M5_FKBP15.pdf</v>
      </c>
    </row>
    <row r="3360" spans="1:28" x14ac:dyDescent="0.25">
      <c r="A3360" t="s">
        <v>3364</v>
      </c>
      <c r="B3360">
        <v>0.99796759195183404</v>
      </c>
      <c r="C3360">
        <v>1.04939672732365</v>
      </c>
      <c r="D3360">
        <v>1.10035010183219</v>
      </c>
      <c r="E3360">
        <v>0.98389178696268298</v>
      </c>
      <c r="F3360">
        <v>0.913595165410367</v>
      </c>
      <c r="G3360">
        <v>0.51975367926813598</v>
      </c>
      <c r="H3360">
        <v>0.238414056941779</v>
      </c>
      <c r="I3360">
        <v>0.18825621129050901</v>
      </c>
      <c r="J3360">
        <v>0.185869240120036</v>
      </c>
      <c r="K3360">
        <v>0.12174753820959899</v>
      </c>
      <c r="L3360">
        <v>1754.7984162929599</v>
      </c>
      <c r="M3360">
        <v>32.880342630825297</v>
      </c>
      <c r="N3360">
        <v>53.999882478415202</v>
      </c>
      <c r="O3360">
        <v>53.172975751019003</v>
      </c>
      <c r="P3360">
        <v>-0.12994461036984101</v>
      </c>
      <c r="Q3360">
        <v>0.15943573657909499</v>
      </c>
      <c r="R3360">
        <v>0.99034345114004496</v>
      </c>
      <c r="S3360" t="s">
        <v>8943</v>
      </c>
      <c r="T3360" t="s">
        <v>11164</v>
      </c>
      <c r="U3360" t="s">
        <v>11164</v>
      </c>
      <c r="V3360" t="s">
        <v>11164</v>
      </c>
      <c r="W3360" t="s">
        <v>14482</v>
      </c>
      <c r="X3360">
        <v>12</v>
      </c>
      <c r="Y3360" t="s">
        <v>19964</v>
      </c>
      <c r="Z3360" t="s">
        <v>25510</v>
      </c>
      <c r="AA3360">
        <v>0.6225953871366855</v>
      </c>
      <c r="AB3360" t="str">
        <f>HYPERLINK("Melting_Curves/meltCurve_Q5T1V6_DDX59.pdf", "Melting_Curves/meltCurve_Q5T1V6_DDX59.pdf")</f>
        <v>Melting_Curves/meltCurve_Q5T1V6_DDX59.pdf</v>
      </c>
    </row>
    <row r="3361" spans="1:28" x14ac:dyDescent="0.25">
      <c r="A3361" t="s">
        <v>3365</v>
      </c>
      <c r="B3361">
        <v>0.99796759195183404</v>
      </c>
      <c r="C3361">
        <v>1.0518629311954399</v>
      </c>
      <c r="D3361">
        <v>1.12510368415573</v>
      </c>
      <c r="E3361">
        <v>0.99798413337927205</v>
      </c>
      <c r="F3361">
        <v>0.80256130906947798</v>
      </c>
      <c r="G3361">
        <v>0.69964795150785397</v>
      </c>
      <c r="H3361">
        <v>0.440944751150533</v>
      </c>
      <c r="I3361">
        <v>0.39951834515374302</v>
      </c>
      <c r="J3361">
        <v>0.32489842156004101</v>
      </c>
      <c r="K3361">
        <v>0.191606216363502</v>
      </c>
      <c r="L3361">
        <v>848.89481125298005</v>
      </c>
      <c r="M3361">
        <v>15.387946734996699</v>
      </c>
      <c r="N3361">
        <v>57.057014855555799</v>
      </c>
      <c r="O3361">
        <v>54.259731453799098</v>
      </c>
      <c r="P3361">
        <v>-5.67436795265049E-2</v>
      </c>
      <c r="Q3361">
        <v>0.199733354650518</v>
      </c>
      <c r="R3361">
        <v>0.96581959957932095</v>
      </c>
      <c r="S3361" t="s">
        <v>8944</v>
      </c>
      <c r="T3361" t="s">
        <v>11164</v>
      </c>
      <c r="U3361" t="s">
        <v>11164</v>
      </c>
      <c r="V3361" t="s">
        <v>11164</v>
      </c>
      <c r="W3361" t="s">
        <v>14483</v>
      </c>
      <c r="X3361">
        <v>3</v>
      </c>
      <c r="Y3361" t="s">
        <v>19965</v>
      </c>
      <c r="Z3361" t="s">
        <v>25511</v>
      </c>
      <c r="AA3361">
        <v>0.69519423780890266</v>
      </c>
      <c r="AB3361" t="str">
        <f>HYPERLINK("Melting_Curves/meltCurve_Q5T1Z0_LHPP.pdf", "Melting_Curves/meltCurve_Q5T1Z0_LHPP.pdf")</f>
        <v>Melting_Curves/meltCurve_Q5T1Z0_LHPP.pdf</v>
      </c>
    </row>
    <row r="3362" spans="1:28" x14ac:dyDescent="0.25">
      <c r="A3362" t="s">
        <v>3366</v>
      </c>
      <c r="B3362">
        <v>0.99796759195183404</v>
      </c>
      <c r="C3362">
        <v>0.69077395377526896</v>
      </c>
      <c r="D3362">
        <v>0.842446838463628</v>
      </c>
      <c r="E3362">
        <v>0.88951448611251804</v>
      </c>
      <c r="F3362">
        <v>0.24385747018491399</v>
      </c>
      <c r="G3362">
        <v>5.1450800931867699E-2</v>
      </c>
      <c r="H3362">
        <v>0.12429873139532301</v>
      </c>
      <c r="I3362">
        <v>6.6486218096025604E-2</v>
      </c>
      <c r="J3362">
        <v>0</v>
      </c>
      <c r="K3362">
        <v>0</v>
      </c>
      <c r="L3362">
        <v>2099.1663496188398</v>
      </c>
      <c r="M3362">
        <v>43.123316500983201</v>
      </c>
      <c r="N3362">
        <v>48.783848513737397</v>
      </c>
      <c r="O3362">
        <v>48.5738896489271</v>
      </c>
      <c r="P3362">
        <v>-0.212055677579149</v>
      </c>
      <c r="Q3362">
        <v>4.45676175812715E-2</v>
      </c>
      <c r="R3362">
        <v>0.91487751247968896</v>
      </c>
      <c r="S3362" t="s">
        <v>8945</v>
      </c>
      <c r="T3362" t="s">
        <v>11164</v>
      </c>
      <c r="U3362" t="s">
        <v>11164</v>
      </c>
      <c r="V3362" t="s">
        <v>11164</v>
      </c>
      <c r="W3362" t="s">
        <v>14484</v>
      </c>
      <c r="X3362">
        <v>1</v>
      </c>
      <c r="Y3362" t="s">
        <v>19966</v>
      </c>
      <c r="Z3362" t="s">
        <v>25512</v>
      </c>
      <c r="AA3362">
        <v>0.41925548549722069</v>
      </c>
      <c r="AB3362" t="str">
        <f>HYPERLINK("Melting_Curves/meltCurve_Q5T2D3_OTUD3.pdf", "Melting_Curves/meltCurve_Q5T2D3_OTUD3.pdf")</f>
        <v>Melting_Curves/meltCurve_Q5T2D3_OTUD3.pdf</v>
      </c>
    </row>
    <row r="3363" spans="1:28" x14ac:dyDescent="0.25">
      <c r="A3363" t="s">
        <v>3367</v>
      </c>
      <c r="B3363">
        <v>0.99796759195183404</v>
      </c>
      <c r="C3363">
        <v>0.86401297057489201</v>
      </c>
      <c r="D3363">
        <v>0.94725201044427498</v>
      </c>
      <c r="E3363">
        <v>0.82633137940117396</v>
      </c>
      <c r="F3363">
        <v>0.792724625693355</v>
      </c>
      <c r="G3363">
        <v>0.59945171050628498</v>
      </c>
      <c r="H3363">
        <v>0.70724342884134495</v>
      </c>
      <c r="I3363">
        <v>0.59090029856616699</v>
      </c>
      <c r="J3363">
        <v>0.465236870060106</v>
      </c>
      <c r="K3363">
        <v>8.9268415186650005E-2</v>
      </c>
      <c r="L3363">
        <v>417.43161362812901</v>
      </c>
      <c r="M3363">
        <v>6.9604606795536696</v>
      </c>
      <c r="N3363">
        <v>59.971836683785298</v>
      </c>
      <c r="O3363">
        <v>55.609290388988299</v>
      </c>
      <c r="P3363">
        <v>-3.135102945512E-2</v>
      </c>
      <c r="Q3363">
        <v>0</v>
      </c>
      <c r="R3363">
        <v>0.82263584564286996</v>
      </c>
      <c r="S3363" t="s">
        <v>8946</v>
      </c>
      <c r="T3363" t="s">
        <v>11164</v>
      </c>
      <c r="U3363" t="s">
        <v>11164</v>
      </c>
      <c r="V3363" t="s">
        <v>11164</v>
      </c>
      <c r="W3363" t="s">
        <v>14485</v>
      </c>
      <c r="X3363">
        <v>1</v>
      </c>
      <c r="Y3363" t="s">
        <v>19967</v>
      </c>
      <c r="Z3363" t="s">
        <v>25513</v>
      </c>
      <c r="AA3363">
        <v>0.71064328727536141</v>
      </c>
      <c r="AB3363" t="str">
        <f>HYPERLINK("Melting_Curves/meltCurve_Q5T2E6_2_C10orf76.pdf", "Melting_Curves/meltCurve_Q5T2E6_2_C10orf76.pdf")</f>
        <v>Melting_Curves/meltCurve_Q5T2E6_2_C10orf76.pdf</v>
      </c>
    </row>
    <row r="3364" spans="1:28" x14ac:dyDescent="0.25">
      <c r="A3364" t="s">
        <v>3368</v>
      </c>
      <c r="B3364">
        <v>0.99796759195183404</v>
      </c>
      <c r="C3364">
        <v>0.95105868513306202</v>
      </c>
      <c r="D3364">
        <v>0.96512672896165197</v>
      </c>
      <c r="E3364">
        <v>0.95965153885125798</v>
      </c>
      <c r="F3364">
        <v>0.75296252055344004</v>
      </c>
      <c r="G3364">
        <v>0.58194490874095695</v>
      </c>
      <c r="H3364">
        <v>0.44589279997105702</v>
      </c>
      <c r="I3364">
        <v>0.229294690973081</v>
      </c>
      <c r="J3364">
        <v>0.108979638816705</v>
      </c>
      <c r="K3364">
        <v>0.11354733846302401</v>
      </c>
      <c r="L3364">
        <v>702.54346756741904</v>
      </c>
      <c r="M3364">
        <v>12.674793866378501</v>
      </c>
      <c r="N3364">
        <v>55.428394029105903</v>
      </c>
      <c r="O3364">
        <v>54.1029538323018</v>
      </c>
      <c r="P3364">
        <v>-5.85793495182255E-2</v>
      </c>
      <c r="Q3364">
        <v>0</v>
      </c>
      <c r="R3364">
        <v>0.99160773359629995</v>
      </c>
      <c r="S3364" t="s">
        <v>8947</v>
      </c>
      <c r="T3364" t="s">
        <v>11164</v>
      </c>
      <c r="U3364" t="s">
        <v>11164</v>
      </c>
      <c r="V3364" t="s">
        <v>11164</v>
      </c>
      <c r="W3364" t="s">
        <v>14486</v>
      </c>
      <c r="X3364">
        <v>3</v>
      </c>
      <c r="Y3364" t="s">
        <v>19968</v>
      </c>
      <c r="Z3364" t="s">
        <v>25514</v>
      </c>
      <c r="AA3364">
        <v>0.62708091196442672</v>
      </c>
      <c r="AB3364" t="str">
        <f>HYPERLINK("Melting_Curves/meltCurve_Q5T2R2_3_PDSS1.pdf", "Melting_Curves/meltCurve_Q5T2R2_3_PDSS1.pdf")</f>
        <v>Melting_Curves/meltCurve_Q5T2R2_3_PDSS1.pdf</v>
      </c>
    </row>
    <row r="3365" spans="1:28" x14ac:dyDescent="0.25">
      <c r="A3365" t="s">
        <v>3369</v>
      </c>
      <c r="B3365">
        <v>0.99796759195183404</v>
      </c>
      <c r="C3365">
        <v>0.78926182433648695</v>
      </c>
      <c r="D3365">
        <v>0.77891197797963596</v>
      </c>
      <c r="E3365">
        <v>0.89774562507826206</v>
      </c>
      <c r="F3365">
        <v>0.85194732145969299</v>
      </c>
      <c r="G3365">
        <v>0.44810345349723002</v>
      </c>
      <c r="H3365">
        <v>0.233531238385222</v>
      </c>
      <c r="I3365">
        <v>0.12901067504154101</v>
      </c>
      <c r="J3365">
        <v>9.9486668174420104E-2</v>
      </c>
      <c r="K3365">
        <v>0.14980391146256899</v>
      </c>
      <c r="L3365">
        <v>1223.23659409417</v>
      </c>
      <c r="M3365">
        <v>23.119573706863001</v>
      </c>
      <c r="N3365">
        <v>53.4540087224837</v>
      </c>
      <c r="O3365">
        <v>52.518060100692097</v>
      </c>
      <c r="P3365">
        <v>-9.8503787930400696E-2</v>
      </c>
      <c r="Q3365">
        <v>0.104977795879401</v>
      </c>
      <c r="R3365">
        <v>0.91415463331340496</v>
      </c>
      <c r="S3365" t="s">
        <v>8948</v>
      </c>
      <c r="T3365" t="s">
        <v>11164</v>
      </c>
      <c r="U3365" t="s">
        <v>11164</v>
      </c>
      <c r="V3365" t="s">
        <v>11164</v>
      </c>
      <c r="W3365" t="s">
        <v>14487</v>
      </c>
      <c r="X3365">
        <v>1</v>
      </c>
      <c r="Y3365" t="s">
        <v>19969</v>
      </c>
      <c r="Z3365" t="s">
        <v>25515</v>
      </c>
      <c r="AA3365">
        <v>0.58864081210186037</v>
      </c>
      <c r="AB3365" t="str">
        <f>HYPERLINK("Melting_Curves/meltCurve_Q5T370_ARRDC1.pdf", "Melting_Curves/meltCurve_Q5T370_ARRDC1.pdf")</f>
        <v>Melting_Curves/meltCurve_Q5T370_ARRDC1.pdf</v>
      </c>
    </row>
    <row r="3366" spans="1:28" x14ac:dyDescent="0.25">
      <c r="A3366" t="s">
        <v>3370</v>
      </c>
      <c r="B3366">
        <v>0.99796759195183404</v>
      </c>
      <c r="C3366">
        <v>0.88543792191976001</v>
      </c>
      <c r="D3366">
        <v>0.85384884905292302</v>
      </c>
      <c r="E3366">
        <v>0.85147007181603696</v>
      </c>
      <c r="F3366">
        <v>0.67265143857502396</v>
      </c>
      <c r="G3366">
        <v>0.27647044845551599</v>
      </c>
      <c r="H3366">
        <v>0.13024329078907801</v>
      </c>
      <c r="I3366">
        <v>8.8444905719732805E-2</v>
      </c>
      <c r="J3366">
        <v>0.10750280336675699</v>
      </c>
      <c r="K3366">
        <v>7.8745179516633096E-2</v>
      </c>
      <c r="L3366">
        <v>958.18167672478603</v>
      </c>
      <c r="M3366">
        <v>18.7615484508779</v>
      </c>
      <c r="N3366">
        <v>51.3919486582544</v>
      </c>
      <c r="O3366">
        <v>50.501960202775599</v>
      </c>
      <c r="P3366">
        <v>-8.7753333706929407E-2</v>
      </c>
      <c r="Q3366">
        <v>5.5188955876111702E-2</v>
      </c>
      <c r="R3366">
        <v>0.97422023121115697</v>
      </c>
      <c r="S3366" t="s">
        <v>8949</v>
      </c>
      <c r="T3366" t="s">
        <v>11164</v>
      </c>
      <c r="U3366" t="s">
        <v>11164</v>
      </c>
      <c r="V3366" t="s">
        <v>11164</v>
      </c>
      <c r="W3366" t="s">
        <v>14488</v>
      </c>
      <c r="X3366">
        <v>2</v>
      </c>
      <c r="Y3366" t="s">
        <v>19970</v>
      </c>
      <c r="Z3366" t="s">
        <v>25516</v>
      </c>
      <c r="AA3366">
        <v>0.51206863637752809</v>
      </c>
      <c r="AB3366" t="str">
        <f>HYPERLINK("Melting_Curves/meltCurve_Q5T3Q7_HEATR1.pdf", "Melting_Curves/meltCurve_Q5T3Q7_HEATR1.pdf")</f>
        <v>Melting_Curves/meltCurve_Q5T3Q7_HEATR1.pdf</v>
      </c>
    </row>
    <row r="3367" spans="1:28" x14ac:dyDescent="0.25">
      <c r="A3367" t="s">
        <v>3371</v>
      </c>
      <c r="B3367">
        <v>0.99796759195183404</v>
      </c>
      <c r="C3367">
        <v>0.99242011848374301</v>
      </c>
      <c r="D3367">
        <v>0.98467865713534497</v>
      </c>
      <c r="E3367">
        <v>0.94481050874044403</v>
      </c>
      <c r="F3367">
        <v>0.83556335026069195</v>
      </c>
      <c r="G3367">
        <v>0.63255751170274299</v>
      </c>
      <c r="H3367">
        <v>0.33192037945695602</v>
      </c>
      <c r="I3367">
        <v>0.11446748016559</v>
      </c>
      <c r="J3367">
        <v>9.3999978339232806E-2</v>
      </c>
      <c r="K3367">
        <v>6.7514570468861307E-2</v>
      </c>
      <c r="L3367">
        <v>1010.5125889109401</v>
      </c>
      <c r="M3367">
        <v>18.3721910677186</v>
      </c>
      <c r="N3367">
        <v>55.099119549095299</v>
      </c>
      <c r="O3367">
        <v>54.363071494541998</v>
      </c>
      <c r="P3367">
        <v>-8.3150080690803096E-2</v>
      </c>
      <c r="Q3367">
        <v>1.5884816286683302E-2</v>
      </c>
      <c r="R3367">
        <v>0.99758068224773999</v>
      </c>
      <c r="S3367" t="s">
        <v>8950</v>
      </c>
      <c r="T3367" t="s">
        <v>11164</v>
      </c>
      <c r="U3367" t="s">
        <v>11164</v>
      </c>
      <c r="V3367" t="s">
        <v>11164</v>
      </c>
      <c r="W3367" t="s">
        <v>14489</v>
      </c>
      <c r="X3367">
        <v>5</v>
      </c>
      <c r="Y3367" t="s">
        <v>19971</v>
      </c>
      <c r="Z3367" t="s">
        <v>25517</v>
      </c>
      <c r="AA3367">
        <v>0.61857550686510965</v>
      </c>
      <c r="AB3367" t="str">
        <f>HYPERLINK("Melting_Curves/meltCurve_Q5T440_IBA57.pdf", "Melting_Curves/meltCurve_Q5T440_IBA57.pdf")</f>
        <v>Melting_Curves/meltCurve_Q5T440_IBA57.pdf</v>
      </c>
    </row>
    <row r="3368" spans="1:28" x14ac:dyDescent="0.25">
      <c r="A3368" t="s">
        <v>3372</v>
      </c>
      <c r="B3368">
        <v>0.99796759195183404</v>
      </c>
      <c r="C3368">
        <v>1.0421058498917199</v>
      </c>
      <c r="D3368">
        <v>1.1135252991548801</v>
      </c>
      <c r="E3368">
        <v>0.74179559523540195</v>
      </c>
      <c r="F3368">
        <v>0.370007485662119</v>
      </c>
      <c r="G3368">
        <v>0.17871962409901501</v>
      </c>
      <c r="H3368">
        <v>0.17125641942785599</v>
      </c>
      <c r="I3368">
        <v>9.2457671390957799E-2</v>
      </c>
      <c r="J3368">
        <v>0.106433144706734</v>
      </c>
      <c r="K3368">
        <v>5.5833164800478001E-2</v>
      </c>
      <c r="L3368">
        <v>1321.0812193995</v>
      </c>
      <c r="M3368">
        <v>27.2236620922912</v>
      </c>
      <c r="N3368">
        <v>48.952366737105102</v>
      </c>
      <c r="O3368">
        <v>48.267379045720098</v>
      </c>
      <c r="P3368">
        <v>-0.12615210171785099</v>
      </c>
      <c r="Q3368">
        <v>0.105341249879903</v>
      </c>
      <c r="R3368">
        <v>0.98321441944384402</v>
      </c>
      <c r="S3368" t="s">
        <v>8951</v>
      </c>
      <c r="T3368" t="s">
        <v>11164</v>
      </c>
      <c r="U3368" t="s">
        <v>11164</v>
      </c>
      <c r="V3368" t="s">
        <v>11164</v>
      </c>
      <c r="W3368" t="s">
        <v>14490</v>
      </c>
      <c r="X3368">
        <v>2</v>
      </c>
      <c r="Y3368" t="s">
        <v>19972</v>
      </c>
      <c r="Z3368" t="s">
        <v>25518</v>
      </c>
      <c r="AA3368">
        <v>0.45559026820432091</v>
      </c>
      <c r="AB3368" t="str">
        <f>HYPERLINK("Melting_Curves/meltCurve_Q5T481_RBM20.pdf", "Melting_Curves/meltCurve_Q5T481_RBM20.pdf")</f>
        <v>Melting_Curves/meltCurve_Q5T481_RBM20.pdf</v>
      </c>
    </row>
    <row r="3369" spans="1:28" x14ac:dyDescent="0.25">
      <c r="A3369" t="s">
        <v>3373</v>
      </c>
      <c r="B3369">
        <v>0.99796759195183404</v>
      </c>
      <c r="C3369">
        <v>0.69307213161489001</v>
      </c>
      <c r="D3369">
        <v>0.70704955716664897</v>
      </c>
      <c r="E3369">
        <v>0.71198280891524701</v>
      </c>
      <c r="F3369">
        <v>0.57122929364945396</v>
      </c>
      <c r="G3369">
        <v>0.79782236853649202</v>
      </c>
      <c r="H3369">
        <v>0.35027141087322899</v>
      </c>
      <c r="I3369">
        <v>0.26130431185118103</v>
      </c>
      <c r="J3369">
        <v>0.17949252833998</v>
      </c>
      <c r="K3369">
        <v>0.12578038418431001</v>
      </c>
      <c r="L3369">
        <v>312.79179065965502</v>
      </c>
      <c r="M3369">
        <v>5.9102752793940798</v>
      </c>
      <c r="N3369">
        <v>52.923387797947498</v>
      </c>
      <c r="O3369">
        <v>47.813511878429203</v>
      </c>
      <c r="P3369">
        <v>-3.1008337442373801E-2</v>
      </c>
      <c r="Q3369">
        <v>0</v>
      </c>
      <c r="R3369">
        <v>0.77978045524356199</v>
      </c>
      <c r="S3369" t="s">
        <v>8952</v>
      </c>
      <c r="T3369" t="s">
        <v>11164</v>
      </c>
      <c r="U3369" t="s">
        <v>11164</v>
      </c>
      <c r="V3369" t="s">
        <v>11164</v>
      </c>
      <c r="W3369" t="s">
        <v>14491</v>
      </c>
      <c r="X3369">
        <v>1</v>
      </c>
      <c r="Y3369" t="s">
        <v>19973</v>
      </c>
      <c r="Z3369" t="s">
        <v>25519</v>
      </c>
      <c r="AA3369">
        <v>0.54894898329737718</v>
      </c>
      <c r="AB3369" t="str">
        <f>HYPERLINK("Melting_Curves/meltCurve_Q5T4S7_3_UBR4.pdf", "Melting_Curves/meltCurve_Q5T4S7_3_UBR4.pdf")</f>
        <v>Melting_Curves/meltCurve_Q5T4S7_3_UBR4.pdf</v>
      </c>
    </row>
    <row r="3370" spans="1:28" x14ac:dyDescent="0.25">
      <c r="A3370" t="s">
        <v>3374</v>
      </c>
      <c r="B3370">
        <v>0.99796759195183404</v>
      </c>
      <c r="C3370">
        <v>1.00500410224665</v>
      </c>
      <c r="D3370">
        <v>0.99530030756282095</v>
      </c>
      <c r="E3370">
        <v>0.93306321725914798</v>
      </c>
      <c r="F3370">
        <v>0.82115308159039901</v>
      </c>
      <c r="G3370">
        <v>0.37662613955510699</v>
      </c>
      <c r="H3370">
        <v>0.26633383631747498</v>
      </c>
      <c r="I3370">
        <v>0.15333745276295499</v>
      </c>
      <c r="J3370">
        <v>0.10496961494569799</v>
      </c>
      <c r="K3370">
        <v>8.3746126977524302E-2</v>
      </c>
      <c r="L3370">
        <v>1261.58473249279</v>
      </c>
      <c r="M3370">
        <v>24.012008405798898</v>
      </c>
      <c r="N3370">
        <v>53.067930232818298</v>
      </c>
      <c r="O3370">
        <v>52.179406876881998</v>
      </c>
      <c r="P3370">
        <v>-0.10281894205171301</v>
      </c>
      <c r="Q3370">
        <v>0.106289375963851</v>
      </c>
      <c r="R3370">
        <v>0.993507730548155</v>
      </c>
      <c r="S3370" t="s">
        <v>8953</v>
      </c>
      <c r="T3370" t="s">
        <v>11164</v>
      </c>
      <c r="U3370" t="s">
        <v>11164</v>
      </c>
      <c r="V3370" t="s">
        <v>11164</v>
      </c>
      <c r="W3370" t="s">
        <v>14492</v>
      </c>
      <c r="X3370">
        <v>3</v>
      </c>
      <c r="Y3370" t="s">
        <v>19974</v>
      </c>
      <c r="Z3370" t="s">
        <v>25520</v>
      </c>
      <c r="AA3370">
        <v>0.57771306371249698</v>
      </c>
      <c r="AB3370" t="str">
        <f>HYPERLINK("Melting_Curves/meltCurve_Q5T4U8_RABGGTB.pdf", "Melting_Curves/meltCurve_Q5T4U8_RABGGTB.pdf")</f>
        <v>Melting_Curves/meltCurve_Q5T4U8_RABGGTB.pdf</v>
      </c>
    </row>
    <row r="3371" spans="1:28" x14ac:dyDescent="0.25">
      <c r="A3371" t="s">
        <v>3375</v>
      </c>
      <c r="B3371">
        <v>0.99796759195183404</v>
      </c>
      <c r="C3371">
        <v>1.3184691067744301</v>
      </c>
      <c r="D3371">
        <v>1.0796446398406401</v>
      </c>
      <c r="E3371">
        <v>1.0039822658176001</v>
      </c>
      <c r="F3371">
        <v>1.0535526579157</v>
      </c>
      <c r="G3371">
        <v>0.87032048757249303</v>
      </c>
      <c r="H3371">
        <v>0.95166140384578402</v>
      </c>
      <c r="I3371">
        <v>0.62125404942866203</v>
      </c>
      <c r="J3371">
        <v>0.85164770477456497</v>
      </c>
      <c r="K3371">
        <v>0.55743328166933503</v>
      </c>
      <c r="L3371">
        <v>868.73511374616498</v>
      </c>
      <c r="M3371">
        <v>14.0822857793541</v>
      </c>
      <c r="O3371">
        <v>60.4858886559525</v>
      </c>
      <c r="P3371">
        <v>-2.8989379731780701E-2</v>
      </c>
      <c r="Q3371">
        <v>0.50200651539387797</v>
      </c>
      <c r="R3371">
        <v>0.59474298816593896</v>
      </c>
      <c r="S3371" t="s">
        <v>8954</v>
      </c>
      <c r="T3371" t="s">
        <v>11164</v>
      </c>
      <c r="U3371" t="s">
        <v>11164</v>
      </c>
      <c r="V3371" t="s">
        <v>11164</v>
      </c>
      <c r="W3371" t="s">
        <v>14493</v>
      </c>
      <c r="X3371">
        <v>2</v>
      </c>
      <c r="Y3371" t="s">
        <v>19975</v>
      </c>
      <c r="Z3371" t="s">
        <v>25521</v>
      </c>
      <c r="AA3371">
        <v>0.90045743069128625</v>
      </c>
      <c r="AB3371" t="str">
        <f>HYPERLINK("Melting_Curves/meltCurve_Q5T5C0_3_STXBP5.pdf", "Melting_Curves/meltCurve_Q5T5C0_3_STXBP5.pdf")</f>
        <v>Melting_Curves/meltCurve_Q5T5C0_3_STXBP5.pdf</v>
      </c>
    </row>
    <row r="3372" spans="1:28" x14ac:dyDescent="0.25">
      <c r="A3372" t="s">
        <v>3376</v>
      </c>
      <c r="B3372">
        <v>0.99796759195183404</v>
      </c>
      <c r="C3372">
        <v>1.0113511441368801</v>
      </c>
      <c r="D3372">
        <v>0.98490661254697998</v>
      </c>
      <c r="E3372">
        <v>0.934001687265265</v>
      </c>
      <c r="F3372">
        <v>0.82691905040421099</v>
      </c>
      <c r="G3372">
        <v>0.96404376370747003</v>
      </c>
      <c r="H3372">
        <v>0.51087315797300503</v>
      </c>
      <c r="I3372">
        <v>0.17958997515178099</v>
      </c>
      <c r="J3372">
        <v>0.107132599867303</v>
      </c>
      <c r="K3372">
        <v>7.8033538339727607E-2</v>
      </c>
      <c r="L3372">
        <v>2189.2018533343798</v>
      </c>
      <c r="M3372">
        <v>38.2320488874416</v>
      </c>
      <c r="N3372">
        <v>57.548611041896002</v>
      </c>
      <c r="O3372">
        <v>57.104921713111501</v>
      </c>
      <c r="P3372">
        <v>-0.152816125821993</v>
      </c>
      <c r="Q3372">
        <v>8.6993086063535396E-2</v>
      </c>
      <c r="R3372">
        <v>0.97563887421893802</v>
      </c>
      <c r="S3372" t="s">
        <v>8955</v>
      </c>
      <c r="T3372" t="s">
        <v>11164</v>
      </c>
      <c r="U3372" t="s">
        <v>11164</v>
      </c>
      <c r="V3372" t="s">
        <v>11164</v>
      </c>
      <c r="W3372" t="s">
        <v>14494</v>
      </c>
      <c r="X3372">
        <v>19</v>
      </c>
      <c r="Y3372" t="s">
        <v>19976</v>
      </c>
      <c r="Z3372" t="s">
        <v>25522</v>
      </c>
      <c r="AA3372">
        <v>0.70730826187543083</v>
      </c>
      <c r="AB3372" t="str">
        <f>HYPERLINK("Melting_Curves/meltCurve_Q5T5C7_SARS.pdf", "Melting_Curves/meltCurve_Q5T5C7_SARS.pdf")</f>
        <v>Melting_Curves/meltCurve_Q5T5C7_SARS.pdf</v>
      </c>
    </row>
    <row r="3373" spans="1:28" x14ac:dyDescent="0.25">
      <c r="A3373" t="s">
        <v>3377</v>
      </c>
      <c r="B3373">
        <v>0.99796759195183404</v>
      </c>
      <c r="C3373">
        <v>0.84926605900136298</v>
      </c>
      <c r="D3373">
        <v>0.72611341645478</v>
      </c>
      <c r="E3373">
        <v>0.66290363741376301</v>
      </c>
      <c r="F3373">
        <v>0.52816193202153305</v>
      </c>
      <c r="G3373">
        <v>0.26303021856174802</v>
      </c>
      <c r="H3373">
        <v>0.21952398603996301</v>
      </c>
      <c r="I3373">
        <v>0.138869906569007</v>
      </c>
      <c r="J3373">
        <v>0.163668861419244</v>
      </c>
      <c r="K3373">
        <v>4.2276519993922602E-2</v>
      </c>
      <c r="L3373">
        <v>435.83077950921199</v>
      </c>
      <c r="M3373">
        <v>8.8425334673867795</v>
      </c>
      <c r="N3373">
        <v>49.2879933799749</v>
      </c>
      <c r="O3373">
        <v>46.962430143771002</v>
      </c>
      <c r="P3373">
        <v>-4.7108925251774798E-2</v>
      </c>
      <c r="Q3373">
        <v>0</v>
      </c>
      <c r="R3373">
        <v>0.97865958417625198</v>
      </c>
      <c r="S3373" t="s">
        <v>8956</v>
      </c>
      <c r="T3373" t="s">
        <v>11164</v>
      </c>
      <c r="U3373" t="s">
        <v>11164</v>
      </c>
      <c r="V3373" t="s">
        <v>11164</v>
      </c>
      <c r="W3373" t="s">
        <v>14495</v>
      </c>
      <c r="X3373">
        <v>2</v>
      </c>
      <c r="Y3373" t="s">
        <v>19977</v>
      </c>
      <c r="Z3373" t="s">
        <v>25523</v>
      </c>
      <c r="AA3373">
        <v>0.45059149744074339</v>
      </c>
      <c r="AB3373" t="str">
        <f>HYPERLINK("Melting_Curves/meltCurve_Q5T5P2_3_KIAA1217.pdf", "Melting_Curves/meltCurve_Q5T5P2_3_KIAA1217.pdf")</f>
        <v>Melting_Curves/meltCurve_Q5T5P2_3_KIAA1217.pdf</v>
      </c>
    </row>
    <row r="3374" spans="1:28" x14ac:dyDescent="0.25">
      <c r="A3374" t="s">
        <v>3378</v>
      </c>
      <c r="B3374">
        <v>0.99796759195183404</v>
      </c>
      <c r="C3374">
        <v>0.78372973771774501</v>
      </c>
      <c r="D3374">
        <v>0.79804566735248705</v>
      </c>
      <c r="E3374">
        <v>0.74115306583801599</v>
      </c>
      <c r="F3374">
        <v>0.52659655839732999</v>
      </c>
      <c r="G3374">
        <v>0.243571914210891</v>
      </c>
      <c r="H3374">
        <v>0.19683317756861299</v>
      </c>
      <c r="I3374">
        <v>0.15704001251535299</v>
      </c>
      <c r="J3374">
        <v>0.160712823174601</v>
      </c>
      <c r="K3374">
        <v>8.7168616868500207E-2</v>
      </c>
      <c r="L3374">
        <v>463.77232926961</v>
      </c>
      <c r="M3374">
        <v>9.3301841786688104</v>
      </c>
      <c r="N3374">
        <v>49.7688976033674</v>
      </c>
      <c r="O3374">
        <v>47.583490520874399</v>
      </c>
      <c r="P3374">
        <v>-4.8766636619348103E-2</v>
      </c>
      <c r="Q3374">
        <v>5.7999859692957102E-3</v>
      </c>
      <c r="R3374">
        <v>0.96272698659192502</v>
      </c>
      <c r="S3374" t="s">
        <v>8957</v>
      </c>
      <c r="T3374" t="s">
        <v>11164</v>
      </c>
      <c r="U3374" t="s">
        <v>11164</v>
      </c>
      <c r="V3374" t="s">
        <v>11164</v>
      </c>
      <c r="W3374" t="s">
        <v>14496</v>
      </c>
      <c r="X3374">
        <v>6</v>
      </c>
      <c r="Y3374" t="s">
        <v>19978</v>
      </c>
      <c r="Z3374" t="s">
        <v>25524</v>
      </c>
      <c r="AA3374">
        <v>0.46397844582241499</v>
      </c>
      <c r="AB3374" t="str">
        <f>HYPERLINK("Melting_Curves/meltCurve_Q5T5U3_ARHGAP21.pdf", "Melting_Curves/meltCurve_Q5T5U3_ARHGAP21.pdf")</f>
        <v>Melting_Curves/meltCurve_Q5T5U3_ARHGAP21.pdf</v>
      </c>
    </row>
    <row r="3375" spans="1:28" x14ac:dyDescent="0.25">
      <c r="A3375" t="s">
        <v>3379</v>
      </c>
      <c r="B3375">
        <v>0.99796759195183404</v>
      </c>
      <c r="C3375">
        <v>1.0433845299995801</v>
      </c>
      <c r="D3375">
        <v>0.92606380872871197</v>
      </c>
      <c r="E3375">
        <v>0.83590478424505898</v>
      </c>
      <c r="F3375">
        <v>0.74312682393632001</v>
      </c>
      <c r="G3375">
        <v>0.39510912180892899</v>
      </c>
      <c r="H3375">
        <v>0.26459370069879601</v>
      </c>
      <c r="I3375">
        <v>0.18752715173231199</v>
      </c>
      <c r="J3375">
        <v>0.16015519297036501</v>
      </c>
      <c r="K3375">
        <v>9.7842336473774702E-2</v>
      </c>
      <c r="L3375">
        <v>804.85974507057597</v>
      </c>
      <c r="M3375">
        <v>15.4303899103158</v>
      </c>
      <c r="N3375">
        <v>52.827605625380698</v>
      </c>
      <c r="O3375">
        <v>51.308150552237798</v>
      </c>
      <c r="P3375">
        <v>-6.8537188752721204E-2</v>
      </c>
      <c r="Q3375">
        <v>8.8500170117998503E-2</v>
      </c>
      <c r="R3375">
        <v>0.98986370429019399</v>
      </c>
      <c r="S3375" t="s">
        <v>8958</v>
      </c>
      <c r="T3375" t="s">
        <v>11164</v>
      </c>
      <c r="U3375" t="s">
        <v>11164</v>
      </c>
      <c r="V3375" t="s">
        <v>11164</v>
      </c>
      <c r="W3375" t="s">
        <v>14497</v>
      </c>
      <c r="X3375">
        <v>6</v>
      </c>
      <c r="Y3375" t="s">
        <v>19979</v>
      </c>
      <c r="Z3375" t="s">
        <v>25525</v>
      </c>
      <c r="AA3375">
        <v>0.56585411973462896</v>
      </c>
      <c r="AB3375" t="str">
        <f>HYPERLINK("Melting_Curves/meltCurve_Q5T5Y3_2_CAMSAP1.pdf", "Melting_Curves/meltCurve_Q5T5Y3_2_CAMSAP1.pdf")</f>
        <v>Melting_Curves/meltCurve_Q5T5Y3_2_CAMSAP1.pdf</v>
      </c>
    </row>
    <row r="3376" spans="1:28" x14ac:dyDescent="0.25">
      <c r="A3376" t="s">
        <v>3380</v>
      </c>
      <c r="B3376">
        <v>0.99796759195183404</v>
      </c>
      <c r="C3376">
        <v>1.07045761960724</v>
      </c>
      <c r="D3376">
        <v>0.99180003968471697</v>
      </c>
      <c r="E3376">
        <v>0.96475350830185402</v>
      </c>
      <c r="F3376">
        <v>0.81651288684876799</v>
      </c>
      <c r="G3376">
        <v>0.73513175755450599</v>
      </c>
      <c r="H3376">
        <v>0.87577975995638702</v>
      </c>
      <c r="I3376">
        <v>0.84650778856258602</v>
      </c>
      <c r="J3376">
        <v>1.2943120400719299</v>
      </c>
      <c r="K3376">
        <v>1.0344014905808401</v>
      </c>
      <c r="L3376">
        <v>3200.0972382099899</v>
      </c>
      <c r="M3376">
        <v>51.049002580144403</v>
      </c>
      <c r="O3376">
        <v>62.590801674559302</v>
      </c>
      <c r="P3376">
        <v>2.9312539497318699E-2</v>
      </c>
      <c r="Q3376">
        <v>1.14375942717058</v>
      </c>
      <c r="R3376">
        <v>8.4248873244115605E-2</v>
      </c>
      <c r="S3376" t="s">
        <v>8959</v>
      </c>
      <c r="T3376" t="s">
        <v>11164</v>
      </c>
      <c r="U3376" t="s">
        <v>11164</v>
      </c>
      <c r="V3376" t="s">
        <v>11164</v>
      </c>
      <c r="W3376" t="s">
        <v>14498</v>
      </c>
      <c r="X3376">
        <v>13</v>
      </c>
      <c r="Y3376" t="s">
        <v>19980</v>
      </c>
      <c r="Z3376" t="s">
        <v>25526</v>
      </c>
      <c r="AA3376">
        <v>1.020545541380647</v>
      </c>
      <c r="AB3376" t="str">
        <f>HYPERLINK("Melting_Curves/meltCurve_Q5T6F2_UBAP2.pdf", "Melting_Curves/meltCurve_Q5T6F2_UBAP2.pdf")</f>
        <v>Melting_Curves/meltCurve_Q5T6F2_UBAP2.pdf</v>
      </c>
    </row>
    <row r="3377" spans="1:28" x14ac:dyDescent="0.25">
      <c r="A3377" t="s">
        <v>3381</v>
      </c>
      <c r="B3377">
        <v>0.99796759195183404</v>
      </c>
      <c r="C3377">
        <v>1.0459708383430699</v>
      </c>
      <c r="D3377">
        <v>0.96207470712964704</v>
      </c>
      <c r="E3377">
        <v>0.81844205070839504</v>
      </c>
      <c r="F3377">
        <v>0.68726361215077902</v>
      </c>
      <c r="G3377">
        <v>0.41553855308287002</v>
      </c>
      <c r="H3377">
        <v>0.21627560563697601</v>
      </c>
      <c r="I3377">
        <v>0.151018351762295</v>
      </c>
      <c r="J3377">
        <v>0.11029623654908299</v>
      </c>
      <c r="K3377">
        <v>8.6672072451413396E-2</v>
      </c>
      <c r="L3377">
        <v>784.65244954371599</v>
      </c>
      <c r="M3377">
        <v>15.069224769229599</v>
      </c>
      <c r="N3377">
        <v>52.4532921511694</v>
      </c>
      <c r="O3377">
        <v>51.178711452253502</v>
      </c>
      <c r="P3377">
        <v>-6.9778752094256394E-2</v>
      </c>
      <c r="Q3377">
        <v>5.2152401453277999E-2</v>
      </c>
      <c r="R3377">
        <v>0.99531879347026897</v>
      </c>
      <c r="S3377" t="s">
        <v>8960</v>
      </c>
      <c r="T3377" t="s">
        <v>11164</v>
      </c>
      <c r="U3377" t="s">
        <v>11164</v>
      </c>
      <c r="V3377" t="s">
        <v>11164</v>
      </c>
      <c r="W3377" t="s">
        <v>14499</v>
      </c>
      <c r="X3377">
        <v>12</v>
      </c>
      <c r="Y3377" t="s">
        <v>19981</v>
      </c>
      <c r="Z3377" t="s">
        <v>25527</v>
      </c>
      <c r="AA3377">
        <v>0.54625066520122556</v>
      </c>
      <c r="AB3377" t="str">
        <f>HYPERLINK("Melting_Curves/meltCurve_Q5T6V5_C9orf64.pdf", "Melting_Curves/meltCurve_Q5T6V5_C9orf64.pdf")</f>
        <v>Melting_Curves/meltCurve_Q5T6V5_C9orf64.pdf</v>
      </c>
    </row>
    <row r="3378" spans="1:28" x14ac:dyDescent="0.25">
      <c r="A3378" t="s">
        <v>3382</v>
      </c>
      <c r="B3378">
        <v>0.99796759195183404</v>
      </c>
      <c r="C3378">
        <v>1.0813302206184501</v>
      </c>
      <c r="D3378">
        <v>1.0902686003123401</v>
      </c>
      <c r="E3378">
        <v>1.0932247495623699</v>
      </c>
      <c r="F3378">
        <v>0.83751768636468304</v>
      </c>
      <c r="G3378">
        <v>0.62658695651360996</v>
      </c>
      <c r="H3378">
        <v>0.50746996734316796</v>
      </c>
      <c r="I3378">
        <v>0.36361330450977603</v>
      </c>
      <c r="J3378">
        <v>0.25605178503271903</v>
      </c>
      <c r="K3378">
        <v>0.149894121007139</v>
      </c>
      <c r="L3378">
        <v>849.57129491828096</v>
      </c>
      <c r="M3378">
        <v>15.1878159578878</v>
      </c>
      <c r="N3378">
        <v>57.0637861115231</v>
      </c>
      <c r="O3378">
        <v>54.994815390118802</v>
      </c>
      <c r="P3378">
        <v>-6.0107844076884201E-2</v>
      </c>
      <c r="Q3378">
        <v>0.12948596213979</v>
      </c>
      <c r="R3378">
        <v>0.96338981596076001</v>
      </c>
      <c r="S3378" t="s">
        <v>8961</v>
      </c>
      <c r="T3378" t="s">
        <v>11164</v>
      </c>
      <c r="U3378" t="s">
        <v>11164</v>
      </c>
      <c r="V3378" t="s">
        <v>11164</v>
      </c>
      <c r="W3378" t="s">
        <v>14500</v>
      </c>
      <c r="X3378">
        <v>4</v>
      </c>
      <c r="Y3378" t="s">
        <v>19982</v>
      </c>
      <c r="Z3378" t="s">
        <v>25528</v>
      </c>
      <c r="AA3378">
        <v>0.68915163322642636</v>
      </c>
      <c r="AB3378" t="str">
        <f>HYPERLINK("Melting_Curves/meltCurve_Q5T7M9_FAM69A.pdf", "Melting_Curves/meltCurve_Q5T7M9_FAM69A.pdf")</f>
        <v>Melting_Curves/meltCurve_Q5T7M9_FAM69A.pdf</v>
      </c>
    </row>
    <row r="3379" spans="1:28" x14ac:dyDescent="0.25">
      <c r="A3379" t="s">
        <v>3383</v>
      </c>
      <c r="B3379">
        <v>0.99796759195183404</v>
      </c>
      <c r="C3379">
        <v>1.0530193380854</v>
      </c>
      <c r="D3379">
        <v>1.0431615822388001</v>
      </c>
      <c r="E3379">
        <v>1.0269916597011099</v>
      </c>
      <c r="F3379">
        <v>0.74153598482319405</v>
      </c>
      <c r="G3379">
        <v>0.45622806779511899</v>
      </c>
      <c r="H3379">
        <v>0.30294297872524201</v>
      </c>
      <c r="I3379">
        <v>0.24888413915369401</v>
      </c>
      <c r="J3379">
        <v>0.19641713132962699</v>
      </c>
      <c r="K3379">
        <v>0.163030164460614</v>
      </c>
      <c r="L3379">
        <v>1242.8623050269</v>
      </c>
      <c r="M3379">
        <v>23.822773269513799</v>
      </c>
      <c r="N3379">
        <v>53.278574155197902</v>
      </c>
      <c r="O3379">
        <v>51.807734098672903</v>
      </c>
      <c r="P3379">
        <v>-9.2512692248372705E-2</v>
      </c>
      <c r="Q3379">
        <v>0.195258243691002</v>
      </c>
      <c r="R3379">
        <v>0.98949905553115103</v>
      </c>
      <c r="S3379" t="s">
        <v>8962</v>
      </c>
      <c r="T3379" t="s">
        <v>11164</v>
      </c>
      <c r="U3379" t="s">
        <v>11164</v>
      </c>
      <c r="V3379" t="s">
        <v>11164</v>
      </c>
      <c r="W3379" t="s">
        <v>14501</v>
      </c>
      <c r="X3379">
        <v>2</v>
      </c>
      <c r="Y3379" t="s">
        <v>19983</v>
      </c>
      <c r="Z3379" t="s">
        <v>25529</v>
      </c>
      <c r="AA3379">
        <v>0.60998437851712639</v>
      </c>
      <c r="AB3379" t="str">
        <f>HYPERLINK("Melting_Curves/meltCurve_Q5T7V8_GORAB.pdf", "Melting_Curves/meltCurve_Q5T7V8_GORAB.pdf")</f>
        <v>Melting_Curves/meltCurve_Q5T7V8_GORAB.pdf</v>
      </c>
    </row>
    <row r="3380" spans="1:28" x14ac:dyDescent="0.25">
      <c r="A3380" t="s">
        <v>3384</v>
      </c>
      <c r="B3380">
        <v>0.99796759195183404</v>
      </c>
      <c r="C3380">
        <v>0.87972436012530897</v>
      </c>
      <c r="D3380">
        <v>0.93472320453658997</v>
      </c>
      <c r="E3380">
        <v>0.83509377810630103</v>
      </c>
      <c r="F3380">
        <v>0.43342343384973903</v>
      </c>
      <c r="G3380">
        <v>0.19192195756107</v>
      </c>
      <c r="H3380">
        <v>0.15385781109177599</v>
      </c>
      <c r="I3380">
        <v>0.101096468157873</v>
      </c>
      <c r="J3380">
        <v>0.101994308032037</v>
      </c>
      <c r="K3380">
        <v>7.2202683774275897E-2</v>
      </c>
      <c r="L3380">
        <v>1142.6926246251701</v>
      </c>
      <c r="M3380">
        <v>23.211594127153202</v>
      </c>
      <c r="N3380">
        <v>49.663201213640903</v>
      </c>
      <c r="O3380">
        <v>48.8683601834801</v>
      </c>
      <c r="P3380">
        <v>-0.107851553607024</v>
      </c>
      <c r="Q3380">
        <v>9.1758475304500903E-2</v>
      </c>
      <c r="R3380">
        <v>0.98775443994494105</v>
      </c>
      <c r="S3380" t="s">
        <v>8963</v>
      </c>
      <c r="T3380" t="s">
        <v>11164</v>
      </c>
      <c r="U3380" t="s">
        <v>11164</v>
      </c>
      <c r="V3380" t="s">
        <v>11164</v>
      </c>
      <c r="W3380" t="s">
        <v>14502</v>
      </c>
      <c r="X3380">
        <v>6</v>
      </c>
      <c r="Y3380" t="s">
        <v>19984</v>
      </c>
      <c r="Z3380" t="s">
        <v>25530</v>
      </c>
      <c r="AA3380">
        <v>0.471076640978907</v>
      </c>
      <c r="AB3380" t="str">
        <f>HYPERLINK("Melting_Curves/meltCurve_Q5T8D3_2_ACBD5.pdf", "Melting_Curves/meltCurve_Q5T8D3_2_ACBD5.pdf")</f>
        <v>Melting_Curves/meltCurve_Q5T8D3_2_ACBD5.pdf</v>
      </c>
    </row>
    <row r="3381" spans="1:28" x14ac:dyDescent="0.25">
      <c r="A3381" t="s">
        <v>3385</v>
      </c>
      <c r="B3381">
        <v>0.99796759195183404</v>
      </c>
      <c r="C3381">
        <v>0.937904198540504</v>
      </c>
      <c r="D3381">
        <v>0.93177634420490396</v>
      </c>
      <c r="E3381">
        <v>0.88290034114829596</v>
      </c>
      <c r="F3381">
        <v>0.58603727390448501</v>
      </c>
      <c r="G3381">
        <v>0.28780134180154998</v>
      </c>
      <c r="H3381">
        <v>0.23273399252787999</v>
      </c>
      <c r="I3381">
        <v>0.21409046217281399</v>
      </c>
      <c r="J3381">
        <v>0.19595588301164399</v>
      </c>
      <c r="K3381">
        <v>0.18900193938176099</v>
      </c>
      <c r="L3381">
        <v>1203.4840449711</v>
      </c>
      <c r="M3381">
        <v>24.092500347824899</v>
      </c>
      <c r="N3381">
        <v>50.974691007878903</v>
      </c>
      <c r="O3381">
        <v>49.6123094033996</v>
      </c>
      <c r="P3381">
        <v>-9.8150102464979502E-2</v>
      </c>
      <c r="Q3381">
        <v>0.19155299783547</v>
      </c>
      <c r="R3381">
        <v>0.99347778769095196</v>
      </c>
      <c r="S3381" t="s">
        <v>8964</v>
      </c>
      <c r="T3381" t="s">
        <v>11164</v>
      </c>
      <c r="U3381" t="s">
        <v>11164</v>
      </c>
      <c r="V3381" t="s">
        <v>11164</v>
      </c>
      <c r="W3381" t="s">
        <v>14503</v>
      </c>
      <c r="X3381">
        <v>14</v>
      </c>
      <c r="Y3381" t="s">
        <v>19985</v>
      </c>
      <c r="Z3381" t="s">
        <v>25531</v>
      </c>
      <c r="AA3381">
        <v>0.54818402253112342</v>
      </c>
      <c r="AB3381" t="str">
        <f>HYPERLINK("Melting_Curves/meltCurve_Q5T8P6_2_RBM26.pdf", "Melting_Curves/meltCurve_Q5T8P6_2_RBM26.pdf")</f>
        <v>Melting_Curves/meltCurve_Q5T8P6_2_RBM26.pdf</v>
      </c>
    </row>
    <row r="3382" spans="1:28" x14ac:dyDescent="0.25">
      <c r="A3382" t="s">
        <v>3386</v>
      </c>
      <c r="B3382">
        <v>0.99796759195183404</v>
      </c>
      <c r="C3382">
        <v>0.97471487452208805</v>
      </c>
      <c r="D3382">
        <v>0.99794006164253701</v>
      </c>
      <c r="E3382">
        <v>0.94059691807572499</v>
      </c>
      <c r="F3382">
        <v>0.89671185437091505</v>
      </c>
      <c r="G3382">
        <v>0.71116381154172004</v>
      </c>
      <c r="H3382">
        <v>0.60459833056018997</v>
      </c>
      <c r="I3382">
        <v>0.56379290765386403</v>
      </c>
      <c r="J3382">
        <v>0.70308669662981005</v>
      </c>
      <c r="K3382">
        <v>0.47047382812005301</v>
      </c>
      <c r="L3382">
        <v>1144.6729095723799</v>
      </c>
      <c r="M3382">
        <v>21.887847038773</v>
      </c>
      <c r="O3382">
        <v>51.866535172247801</v>
      </c>
      <c r="P3382">
        <v>-4.5922806475378199E-2</v>
      </c>
      <c r="Q3382">
        <v>0.56472612306857395</v>
      </c>
      <c r="R3382">
        <v>0.91754794401255702</v>
      </c>
      <c r="S3382" t="s">
        <v>8965</v>
      </c>
      <c r="T3382" t="s">
        <v>11164</v>
      </c>
      <c r="U3382" t="s">
        <v>11164</v>
      </c>
      <c r="V3382" t="s">
        <v>11164</v>
      </c>
      <c r="W3382" t="s">
        <v>14504</v>
      </c>
      <c r="X3382">
        <v>3</v>
      </c>
      <c r="Y3382" t="s">
        <v>19986</v>
      </c>
      <c r="Z3382" t="s">
        <v>25532</v>
      </c>
      <c r="AA3382">
        <v>0.79151683412888374</v>
      </c>
      <c r="AB3382" t="str">
        <f>HYPERLINK("Melting_Curves/meltCurve_Q5T8U5_SURF4.pdf", "Melting_Curves/meltCurve_Q5T8U5_SURF4.pdf")</f>
        <v>Melting_Curves/meltCurve_Q5T8U5_SURF4.pdf</v>
      </c>
    </row>
    <row r="3383" spans="1:28" x14ac:dyDescent="0.25">
      <c r="A3383" t="s">
        <v>3387</v>
      </c>
      <c r="B3383">
        <v>0.99796759195183404</v>
      </c>
      <c r="C3383">
        <v>0.99546211408991203</v>
      </c>
      <c r="D3383">
        <v>1.00971836930618</v>
      </c>
      <c r="E3383">
        <v>0.94489382687478096</v>
      </c>
      <c r="F3383">
        <v>0.79372811080975303</v>
      </c>
      <c r="G3383">
        <v>0.54122492608842498</v>
      </c>
      <c r="H3383">
        <v>0.23752451783645301</v>
      </c>
      <c r="I3383">
        <v>0.16353844958295699</v>
      </c>
      <c r="J3383">
        <v>0.139404478778309</v>
      </c>
      <c r="K3383">
        <v>0.100138921317875</v>
      </c>
      <c r="L3383">
        <v>1091.5505404765599</v>
      </c>
      <c r="M3383">
        <v>20.435559091593699</v>
      </c>
      <c r="N3383">
        <v>53.956975245307198</v>
      </c>
      <c r="O3383">
        <v>52.910677763811897</v>
      </c>
      <c r="P3383">
        <v>-8.75898012188875E-2</v>
      </c>
      <c r="Q3383">
        <v>9.2895447823629698E-2</v>
      </c>
      <c r="R3383">
        <v>0.99805834079752598</v>
      </c>
      <c r="S3383" t="s">
        <v>8966</v>
      </c>
      <c r="T3383" t="s">
        <v>11164</v>
      </c>
      <c r="U3383" t="s">
        <v>11164</v>
      </c>
      <c r="V3383" t="s">
        <v>11164</v>
      </c>
      <c r="W3383" t="s">
        <v>14505</v>
      </c>
      <c r="X3383">
        <v>21</v>
      </c>
      <c r="Y3383" t="s">
        <v>19987</v>
      </c>
      <c r="Z3383" t="s">
        <v>25533</v>
      </c>
      <c r="AA3383">
        <v>0.60013689618251431</v>
      </c>
      <c r="AB3383" t="str">
        <f>HYPERLINK("Melting_Curves/meltCurve_Q5T9B7_AK1.pdf", "Melting_Curves/meltCurve_Q5T9B7_AK1.pdf")</f>
        <v>Melting_Curves/meltCurve_Q5T9B7_AK1.pdf</v>
      </c>
    </row>
    <row r="3384" spans="1:28" x14ac:dyDescent="0.25">
      <c r="A3384" t="s">
        <v>3388</v>
      </c>
      <c r="B3384">
        <v>0.99796759195183404</v>
      </c>
      <c r="C3384">
        <v>1.04570138773066</v>
      </c>
      <c r="D3384">
        <v>0.97595437183530198</v>
      </c>
      <c r="E3384">
        <v>0.95267116785480399</v>
      </c>
      <c r="F3384">
        <v>0.82792765962841197</v>
      </c>
      <c r="G3384">
        <v>0.75509083478749095</v>
      </c>
      <c r="H3384">
        <v>0.59039120929136302</v>
      </c>
      <c r="I3384">
        <v>0.35245350797785002</v>
      </c>
      <c r="J3384">
        <v>0.25581655256847502</v>
      </c>
      <c r="K3384">
        <v>0.117534779819401</v>
      </c>
      <c r="L3384">
        <v>739.29614789869504</v>
      </c>
      <c r="M3384">
        <v>12.6782088436773</v>
      </c>
      <c r="N3384">
        <v>58.312349810209703</v>
      </c>
      <c r="O3384">
        <v>56.9186793971963</v>
      </c>
      <c r="P3384">
        <v>-5.5696473808627897E-2</v>
      </c>
      <c r="Q3384">
        <v>0</v>
      </c>
      <c r="R3384">
        <v>0.99033505061412097</v>
      </c>
      <c r="S3384" t="s">
        <v>8967</v>
      </c>
      <c r="T3384" t="s">
        <v>11164</v>
      </c>
      <c r="U3384" t="s">
        <v>11164</v>
      </c>
      <c r="V3384" t="s">
        <v>11164</v>
      </c>
      <c r="W3384" t="s">
        <v>14506</v>
      </c>
      <c r="X3384">
        <v>1</v>
      </c>
      <c r="Y3384" t="s">
        <v>19988</v>
      </c>
      <c r="Z3384" t="s">
        <v>25534</v>
      </c>
      <c r="AA3384">
        <v>0.70884734664950011</v>
      </c>
      <c r="AB3384" t="str">
        <f>HYPERLINK("Melting_Curves/meltCurve_Q5TA45_2_CPSF3L.pdf", "Melting_Curves/meltCurve_Q5TA45_2_CPSF3L.pdf")</f>
        <v>Melting_Curves/meltCurve_Q5TA45_2_CPSF3L.pdf</v>
      </c>
    </row>
    <row r="3385" spans="1:28" x14ac:dyDescent="0.25">
      <c r="A3385" t="s">
        <v>3389</v>
      </c>
      <c r="B3385">
        <v>0.99796759195183404</v>
      </c>
      <c r="C3385">
        <v>0.77533678759665103</v>
      </c>
      <c r="D3385">
        <v>0.665025076287453</v>
      </c>
      <c r="E3385">
        <v>0.71446307808230003</v>
      </c>
      <c r="F3385">
        <v>0.61431932608935202</v>
      </c>
      <c r="G3385">
        <v>0.16591380656379301</v>
      </c>
      <c r="H3385">
        <v>9.1003720528962107E-2</v>
      </c>
      <c r="I3385">
        <v>1.74871038146189E-2</v>
      </c>
      <c r="J3385">
        <v>3.2874559014321597E-2</v>
      </c>
      <c r="K3385">
        <v>2.7299570376233099E-2</v>
      </c>
      <c r="L3385">
        <v>529.75878612313204</v>
      </c>
      <c r="M3385">
        <v>10.8849513664579</v>
      </c>
      <c r="N3385">
        <v>48.6689162396559</v>
      </c>
      <c r="O3385">
        <v>47.112682679846401</v>
      </c>
      <c r="P3385">
        <v>-5.7780489647630801E-2</v>
      </c>
      <c r="Q3385">
        <v>0</v>
      </c>
      <c r="R3385">
        <v>0.91325109118042902</v>
      </c>
      <c r="S3385" t="s">
        <v>8968</v>
      </c>
      <c r="T3385" t="s">
        <v>11164</v>
      </c>
      <c r="U3385" t="s">
        <v>11164</v>
      </c>
      <c r="V3385" t="s">
        <v>11164</v>
      </c>
      <c r="W3385" t="s">
        <v>14507</v>
      </c>
      <c r="X3385">
        <v>2</v>
      </c>
      <c r="Y3385" t="s">
        <v>19989</v>
      </c>
      <c r="Z3385" t="s">
        <v>25535</v>
      </c>
      <c r="AA3385">
        <v>0.42336905973293121</v>
      </c>
      <c r="AB3385" t="str">
        <f>HYPERLINK("Melting_Curves/meltCurve_Q5TA50_GLTPD1.pdf", "Melting_Curves/meltCurve_Q5TA50_GLTPD1.pdf")</f>
        <v>Melting_Curves/meltCurve_Q5TA50_GLTPD1.pdf</v>
      </c>
    </row>
    <row r="3386" spans="1:28" x14ac:dyDescent="0.25">
      <c r="A3386" t="s">
        <v>3390</v>
      </c>
      <c r="B3386">
        <v>0.99796759195183404</v>
      </c>
      <c r="C3386">
        <v>1.0168343412152201</v>
      </c>
      <c r="D3386">
        <v>1.13579056975324</v>
      </c>
      <c r="E3386">
        <v>0.94083885253201305</v>
      </c>
      <c r="F3386">
        <v>0.80053588084579597</v>
      </c>
      <c r="G3386">
        <v>0.44480336789293101</v>
      </c>
      <c r="H3386">
        <v>0.53167665638432005</v>
      </c>
      <c r="I3386">
        <v>0.29954985007012602</v>
      </c>
      <c r="J3386">
        <v>0.14768128714110099</v>
      </c>
      <c r="K3386">
        <v>0.35814323321534602</v>
      </c>
      <c r="L3386">
        <v>1057.3222774267899</v>
      </c>
      <c r="M3386">
        <v>20.223527349385598</v>
      </c>
      <c r="N3386">
        <v>54.434228844346897</v>
      </c>
      <c r="O3386">
        <v>51.778650385612302</v>
      </c>
      <c r="P3386">
        <v>-7.0768516841751297E-2</v>
      </c>
      <c r="Q3386">
        <v>0.27526310101398999</v>
      </c>
      <c r="R3386">
        <v>0.92760976412819096</v>
      </c>
      <c r="S3386" t="s">
        <v>8969</v>
      </c>
      <c r="T3386" t="s">
        <v>11164</v>
      </c>
      <c r="U3386" t="s">
        <v>11164</v>
      </c>
      <c r="V3386" t="s">
        <v>11164</v>
      </c>
      <c r="W3386" t="s">
        <v>14508</v>
      </c>
      <c r="X3386">
        <v>1</v>
      </c>
      <c r="Y3386" t="s">
        <v>19990</v>
      </c>
      <c r="Z3386" t="s">
        <v>25536</v>
      </c>
      <c r="AA3386">
        <v>0.65358717971076152</v>
      </c>
      <c r="AB3386" t="str">
        <f>HYPERLINK("Melting_Curves/meltCurve_Q5TA58_AGO1.pdf", "Melting_Curves/meltCurve_Q5TA58_AGO1.pdf")</f>
        <v>Melting_Curves/meltCurve_Q5TA58_AGO1.pdf</v>
      </c>
    </row>
    <row r="3387" spans="1:28" x14ac:dyDescent="0.25">
      <c r="A3387" t="s">
        <v>3391</v>
      </c>
      <c r="B3387">
        <v>0.99796759195183404</v>
      </c>
      <c r="C3387">
        <v>1.0331148740593501</v>
      </c>
      <c r="D3387">
        <v>1.0007687995904699</v>
      </c>
      <c r="E3387">
        <v>0.94364856519081697</v>
      </c>
      <c r="F3387">
        <v>0.83839935713628699</v>
      </c>
      <c r="G3387">
        <v>0.31422739240513198</v>
      </c>
      <c r="H3387">
        <v>0.204400330453611</v>
      </c>
      <c r="I3387">
        <v>0.15352389505832301</v>
      </c>
      <c r="J3387">
        <v>0.119678635701212</v>
      </c>
      <c r="K3387">
        <v>9.1209899690261206E-2</v>
      </c>
      <c r="L3387">
        <v>1911.1984276267201</v>
      </c>
      <c r="M3387">
        <v>36.711713482286001</v>
      </c>
      <c r="N3387">
        <v>52.492301553910004</v>
      </c>
      <c r="O3387">
        <v>51.905887336453397</v>
      </c>
      <c r="P3387">
        <v>-0.15373415385463499</v>
      </c>
      <c r="Q3387">
        <v>0.13055712825825899</v>
      </c>
      <c r="R3387">
        <v>0.99503688651287403</v>
      </c>
      <c r="S3387" t="s">
        <v>8970</v>
      </c>
      <c r="T3387" t="s">
        <v>11164</v>
      </c>
      <c r="U3387" t="s">
        <v>11164</v>
      </c>
      <c r="V3387" t="s">
        <v>11164</v>
      </c>
      <c r="W3387" t="s">
        <v>14509</v>
      </c>
      <c r="X3387">
        <v>14</v>
      </c>
      <c r="Y3387" t="s">
        <v>19991</v>
      </c>
      <c r="Z3387" t="s">
        <v>25537</v>
      </c>
      <c r="AA3387">
        <v>0.57070802771274098</v>
      </c>
      <c r="AB3387" t="str">
        <f>HYPERLINK("Melting_Curves/meltCurve_Q5TA95_TTC4.pdf", "Melting_Curves/meltCurve_Q5TA95_TTC4.pdf")</f>
        <v>Melting_Curves/meltCurve_Q5TA95_TTC4.pdf</v>
      </c>
    </row>
    <row r="3388" spans="1:28" x14ac:dyDescent="0.25">
      <c r="A3388" t="s">
        <v>3392</v>
      </c>
      <c r="B3388">
        <v>0.99796759195183404</v>
      </c>
      <c r="C3388">
        <v>0.99237173399634004</v>
      </c>
      <c r="D3388">
        <v>0.95125128529675496</v>
      </c>
      <c r="E3388">
        <v>0.83251913103200903</v>
      </c>
      <c r="F3388">
        <v>0.57726146658053501</v>
      </c>
      <c r="G3388">
        <v>0.39908707552206102</v>
      </c>
      <c r="H3388">
        <v>0.38706339006162199</v>
      </c>
      <c r="I3388">
        <v>0.41226950304775201</v>
      </c>
      <c r="J3388">
        <v>0.12312793381401201</v>
      </c>
      <c r="K3388">
        <v>4.0797622927368701E-2</v>
      </c>
      <c r="L3388">
        <v>500.85598391516402</v>
      </c>
      <c r="M3388">
        <v>9.3821472678461006</v>
      </c>
      <c r="N3388">
        <v>53.3839643756708</v>
      </c>
      <c r="O3388">
        <v>51.127136908442701</v>
      </c>
      <c r="P3388">
        <v>-4.5905008070491603E-2</v>
      </c>
      <c r="Q3388">
        <v>0</v>
      </c>
      <c r="R3388">
        <v>0.94824983730318402</v>
      </c>
      <c r="S3388" t="s">
        <v>8971</v>
      </c>
      <c r="T3388" t="s">
        <v>11164</v>
      </c>
      <c r="U3388" t="s">
        <v>11164</v>
      </c>
      <c r="V3388" t="s">
        <v>11164</v>
      </c>
      <c r="W3388" t="s">
        <v>14510</v>
      </c>
      <c r="X3388">
        <v>11</v>
      </c>
      <c r="Y3388" t="s">
        <v>19992</v>
      </c>
      <c r="Z3388" t="s">
        <v>25538</v>
      </c>
      <c r="AA3388">
        <v>0.5665940352689911</v>
      </c>
      <c r="AB3388" t="str">
        <f>HYPERLINK("Melting_Curves/meltCurve_Q5TAX3_ZCCHC11.pdf", "Melting_Curves/meltCurve_Q5TAX3_ZCCHC11.pdf")</f>
        <v>Melting_Curves/meltCurve_Q5TAX3_ZCCHC11.pdf</v>
      </c>
    </row>
    <row r="3389" spans="1:28" x14ac:dyDescent="0.25">
      <c r="A3389" t="s">
        <v>3393</v>
      </c>
      <c r="B3389">
        <v>0.99796759195183404</v>
      </c>
      <c r="C3389">
        <v>1.0083764504819199</v>
      </c>
      <c r="D3389">
        <v>1.02990535232573</v>
      </c>
      <c r="E3389">
        <v>1.0187109688051399</v>
      </c>
      <c r="F3389">
        <v>0.78595578968689195</v>
      </c>
      <c r="G3389">
        <v>0.30338569770316698</v>
      </c>
      <c r="H3389">
        <v>0.26283948619386799</v>
      </c>
      <c r="I3389">
        <v>0.219528966087745</v>
      </c>
      <c r="J3389">
        <v>0.211934067623614</v>
      </c>
      <c r="K3389">
        <v>0.15740909922517199</v>
      </c>
      <c r="L3389">
        <v>2212.7067527662798</v>
      </c>
      <c r="M3389">
        <v>43.076436360519999</v>
      </c>
      <c r="N3389">
        <v>52.022301537516498</v>
      </c>
      <c r="O3389">
        <v>51.256662116614599</v>
      </c>
      <c r="P3389">
        <v>-0.16610922790323701</v>
      </c>
      <c r="Q3389">
        <v>0.209387707909124</v>
      </c>
      <c r="R3389">
        <v>0.99531208118181203</v>
      </c>
      <c r="S3389" t="s">
        <v>8972</v>
      </c>
      <c r="T3389" t="s">
        <v>11164</v>
      </c>
      <c r="U3389" t="s">
        <v>11164</v>
      </c>
      <c r="V3389" t="s">
        <v>11164</v>
      </c>
      <c r="W3389" t="s">
        <v>14511</v>
      </c>
      <c r="X3389">
        <v>6</v>
      </c>
      <c r="Y3389" t="s">
        <v>19993</v>
      </c>
      <c r="Z3389" t="s">
        <v>25539</v>
      </c>
      <c r="AA3389">
        <v>0.59042739618438522</v>
      </c>
      <c r="AB3389" t="str">
        <f>HYPERLINK("Melting_Curves/meltCurve_Q5TBB1_RNASEH2B.pdf", "Melting_Curves/meltCurve_Q5TBB1_RNASEH2B.pdf")</f>
        <v>Melting_Curves/meltCurve_Q5TBB1_RNASEH2B.pdf</v>
      </c>
    </row>
    <row r="3390" spans="1:28" x14ac:dyDescent="0.25">
      <c r="A3390" t="s">
        <v>3394</v>
      </c>
      <c r="B3390">
        <v>0.99796759195183404</v>
      </c>
      <c r="C3390">
        <v>1.0688935473435</v>
      </c>
      <c r="D3390">
        <v>1.0871188812313799</v>
      </c>
      <c r="E3390">
        <v>0.96636460067497798</v>
      </c>
      <c r="F3390">
        <v>0.80583235256100605</v>
      </c>
      <c r="G3390">
        <v>0.62141430794958097</v>
      </c>
      <c r="H3390">
        <v>0.51358145364868701</v>
      </c>
      <c r="I3390">
        <v>0.37632431724657101</v>
      </c>
      <c r="J3390">
        <v>0.364794912410557</v>
      </c>
      <c r="K3390">
        <v>0.242132719868698</v>
      </c>
      <c r="L3390">
        <v>816.22800220734405</v>
      </c>
      <c r="M3390">
        <v>15.0328314499599</v>
      </c>
      <c r="N3390">
        <v>56.964036345643201</v>
      </c>
      <c r="O3390">
        <v>53.362723237994302</v>
      </c>
      <c r="P3390">
        <v>-5.26359175281505E-2</v>
      </c>
      <c r="Q3390">
        <v>0.25269844743431302</v>
      </c>
      <c r="R3390">
        <v>0.97494659677232298</v>
      </c>
      <c r="S3390" t="s">
        <v>8973</v>
      </c>
      <c r="T3390" t="s">
        <v>11164</v>
      </c>
      <c r="U3390" t="s">
        <v>11164</v>
      </c>
      <c r="V3390" t="s">
        <v>11164</v>
      </c>
      <c r="W3390" t="s">
        <v>14512</v>
      </c>
      <c r="X3390">
        <v>1</v>
      </c>
      <c r="Y3390" t="s">
        <v>19994</v>
      </c>
      <c r="Z3390" t="s">
        <v>25540</v>
      </c>
      <c r="AA3390">
        <v>0.69521309844317514</v>
      </c>
      <c r="AB3390" t="str">
        <f>HYPERLINK("Melting_Curves/meltCurve_Q5TCM7_PTP4A1.pdf", "Melting_Curves/meltCurve_Q5TCM7_PTP4A1.pdf")</f>
        <v>Melting_Curves/meltCurve_Q5TCM7_PTP4A1.pdf</v>
      </c>
    </row>
    <row r="3391" spans="1:28" x14ac:dyDescent="0.25">
      <c r="A3391" t="s">
        <v>3395</v>
      </c>
      <c r="B3391">
        <v>0.99796759195183404</v>
      </c>
      <c r="C3391">
        <v>1.02962272403966</v>
      </c>
      <c r="D3391">
        <v>1.0097309843342499</v>
      </c>
      <c r="E3391">
        <v>0.92101200701417896</v>
      </c>
      <c r="F3391">
        <v>0.75960188046597998</v>
      </c>
      <c r="G3391">
        <v>0.32819772637525602</v>
      </c>
      <c r="H3391">
        <v>0.23364543379737099</v>
      </c>
      <c r="I3391">
        <v>0.16211274246288901</v>
      </c>
      <c r="J3391">
        <v>0.17527377673527</v>
      </c>
      <c r="K3391">
        <v>0.12700284268668899</v>
      </c>
      <c r="L3391">
        <v>1467.3195270720501</v>
      </c>
      <c r="M3391">
        <v>28.440379287566099</v>
      </c>
      <c r="N3391">
        <v>52.276033130788598</v>
      </c>
      <c r="O3391">
        <v>51.339769946126196</v>
      </c>
      <c r="P3391">
        <v>-0.11699570957862</v>
      </c>
      <c r="Q3391">
        <v>0.155217415898107</v>
      </c>
      <c r="R3391">
        <v>0.99561693896889203</v>
      </c>
      <c r="S3391" t="s">
        <v>8974</v>
      </c>
      <c r="T3391" t="s">
        <v>11164</v>
      </c>
      <c r="U3391" t="s">
        <v>11164</v>
      </c>
      <c r="V3391" t="s">
        <v>11164</v>
      </c>
      <c r="W3391" t="s">
        <v>14513</v>
      </c>
      <c r="X3391">
        <v>3</v>
      </c>
      <c r="Y3391" t="s">
        <v>19995</v>
      </c>
      <c r="Z3391" t="s">
        <v>25541</v>
      </c>
      <c r="AA3391">
        <v>0.57201985739953087</v>
      </c>
      <c r="AB3391" t="str">
        <f>HYPERLINK("Melting_Curves/meltCurve_Q5TCQ9_3_MAGI3.pdf", "Melting_Curves/meltCurve_Q5TCQ9_3_MAGI3.pdf")</f>
        <v>Melting_Curves/meltCurve_Q5TCQ9_3_MAGI3.pdf</v>
      </c>
    </row>
    <row r="3392" spans="1:28" x14ac:dyDescent="0.25">
      <c r="A3392" t="s">
        <v>3396</v>
      </c>
      <c r="B3392">
        <v>0.99796759195183404</v>
      </c>
      <c r="C3392">
        <v>1.0583911526135299</v>
      </c>
      <c r="D3392">
        <v>0.93689633360952596</v>
      </c>
      <c r="E3392">
        <v>0.84642745026146304</v>
      </c>
      <c r="F3392">
        <v>0.63098853120687204</v>
      </c>
      <c r="G3392">
        <v>0.35540685379827802</v>
      </c>
      <c r="H3392">
        <v>0.33521484796861101</v>
      </c>
      <c r="I3392">
        <v>0.27937526683834402</v>
      </c>
      <c r="J3392">
        <v>0.184150038023043</v>
      </c>
      <c r="K3392">
        <v>0.16329537932435001</v>
      </c>
      <c r="L3392">
        <v>825.06327556655197</v>
      </c>
      <c r="M3392">
        <v>16.2972684023003</v>
      </c>
      <c r="N3392">
        <v>52.075558749456697</v>
      </c>
      <c r="O3392">
        <v>49.882028867451403</v>
      </c>
      <c r="P3392">
        <v>-6.6789138762964606E-2</v>
      </c>
      <c r="Q3392">
        <v>0.18235753736869101</v>
      </c>
      <c r="R3392">
        <v>0.98715873413520605</v>
      </c>
      <c r="S3392" t="s">
        <v>8975</v>
      </c>
      <c r="T3392" t="s">
        <v>11164</v>
      </c>
      <c r="U3392" t="s">
        <v>11164</v>
      </c>
      <c r="V3392" t="s">
        <v>11164</v>
      </c>
      <c r="W3392" t="s">
        <v>14514</v>
      </c>
      <c r="X3392">
        <v>5</v>
      </c>
      <c r="Y3392" t="s">
        <v>19996</v>
      </c>
      <c r="Z3392" t="s">
        <v>25542</v>
      </c>
      <c r="AA3392">
        <v>0.56858969044832941</v>
      </c>
      <c r="AB3392" t="str">
        <f>HYPERLINK("Melting_Curves/meltCurve_Q5TCX8_MLK4.pdf", "Melting_Curves/meltCurve_Q5TCX8_MLK4.pdf")</f>
        <v>Melting_Curves/meltCurve_Q5TCX8_MLK4.pdf</v>
      </c>
    </row>
    <row r="3393" spans="1:28" x14ac:dyDescent="0.25">
      <c r="A3393" t="s">
        <v>3397</v>
      </c>
      <c r="B3393">
        <v>0.99796759195183404</v>
      </c>
      <c r="C3393">
        <v>0.99254467257531098</v>
      </c>
      <c r="D3393">
        <v>1.01511484938103</v>
      </c>
      <c r="E3393">
        <v>0.91984460455144901</v>
      </c>
      <c r="F3393">
        <v>0.67610981914581803</v>
      </c>
      <c r="G3393">
        <v>0.45559595830821198</v>
      </c>
      <c r="H3393">
        <v>0.353299268280998</v>
      </c>
      <c r="I3393">
        <v>0.20507139606501301</v>
      </c>
      <c r="J3393">
        <v>0.143263732471646</v>
      </c>
      <c r="K3393">
        <v>0.115792373734526</v>
      </c>
      <c r="L3393">
        <v>782.21485872187498</v>
      </c>
      <c r="M3393">
        <v>14.8323484367645</v>
      </c>
      <c r="N3393">
        <v>53.480822795320897</v>
      </c>
      <c r="O3393">
        <v>51.806303913761603</v>
      </c>
      <c r="P3393">
        <v>-6.4912514013741596E-2</v>
      </c>
      <c r="Q3393">
        <v>9.31921693581481E-2</v>
      </c>
      <c r="R3393">
        <v>0.99387591679171206</v>
      </c>
      <c r="S3393" t="s">
        <v>8976</v>
      </c>
      <c r="T3393" t="s">
        <v>11164</v>
      </c>
      <c r="U3393" t="s">
        <v>11164</v>
      </c>
      <c r="V3393" t="s">
        <v>11164</v>
      </c>
      <c r="W3393" t="s">
        <v>14515</v>
      </c>
      <c r="X3393">
        <v>5</v>
      </c>
      <c r="Y3393" t="s">
        <v>19997</v>
      </c>
      <c r="Z3393" t="s">
        <v>25543</v>
      </c>
      <c r="AA3393">
        <v>0.58558454128037729</v>
      </c>
      <c r="AB3393" t="str">
        <f>HYPERLINK("Melting_Curves/meltCurve_Q5TD07_NQO2.pdf", "Melting_Curves/meltCurve_Q5TD07_NQO2.pdf")</f>
        <v>Melting_Curves/meltCurve_Q5TD07_NQO2.pdf</v>
      </c>
    </row>
    <row r="3394" spans="1:28" x14ac:dyDescent="0.25">
      <c r="A3394" t="s">
        <v>3398</v>
      </c>
      <c r="B3394">
        <v>0.99796759195183404</v>
      </c>
      <c r="C3394">
        <v>0.90634436590813705</v>
      </c>
      <c r="D3394">
        <v>0.87610076021125405</v>
      </c>
      <c r="E3394">
        <v>0.84209286590778798</v>
      </c>
      <c r="F3394">
        <v>0.69201130032357805</v>
      </c>
      <c r="G3394">
        <v>0.66502238408610403</v>
      </c>
      <c r="H3394">
        <v>0.54969093713485795</v>
      </c>
      <c r="I3394">
        <v>0.40387337504123799</v>
      </c>
      <c r="J3394">
        <v>0.363987660115005</v>
      </c>
      <c r="K3394">
        <v>0.30060252476986499</v>
      </c>
      <c r="L3394">
        <v>355.38839895384899</v>
      </c>
      <c r="M3394">
        <v>6.0997623807986399</v>
      </c>
      <c r="N3394">
        <v>58.262662869091002</v>
      </c>
      <c r="O3394">
        <v>52.931334899498999</v>
      </c>
      <c r="P3394">
        <v>-2.8897757495631799E-2</v>
      </c>
      <c r="Q3394">
        <v>0</v>
      </c>
      <c r="R3394">
        <v>0.98639786463610002</v>
      </c>
      <c r="S3394" t="s">
        <v>8977</v>
      </c>
      <c r="T3394" t="s">
        <v>11164</v>
      </c>
      <c r="U3394" t="s">
        <v>11164</v>
      </c>
      <c r="V3394" t="s">
        <v>11164</v>
      </c>
      <c r="W3394" t="s">
        <v>14516</v>
      </c>
      <c r="X3394">
        <v>4</v>
      </c>
      <c r="Y3394" t="s">
        <v>19998</v>
      </c>
      <c r="Z3394" t="s">
        <v>25544</v>
      </c>
      <c r="AA3394">
        <v>0.66487631492579569</v>
      </c>
      <c r="AB3394" t="str">
        <f>HYPERLINK("Melting_Curves/meltCurve_Q5TDC5_C6orf89.pdf", "Melting_Curves/meltCurve_Q5TDC5_C6orf89.pdf")</f>
        <v>Melting_Curves/meltCurve_Q5TDC5_C6orf89.pdf</v>
      </c>
    </row>
    <row r="3395" spans="1:28" x14ac:dyDescent="0.25">
      <c r="A3395" t="s">
        <v>3399</v>
      </c>
      <c r="B3395">
        <v>0.99796759195183404</v>
      </c>
      <c r="C3395">
        <v>0.98862620891434005</v>
      </c>
      <c r="D3395">
        <v>1.0104479138754101</v>
      </c>
      <c r="E3395">
        <v>0.93485246102641295</v>
      </c>
      <c r="F3395">
        <v>0.81309808673217299</v>
      </c>
      <c r="G3395">
        <v>0.66443536914630597</v>
      </c>
      <c r="H3395">
        <v>0.50734757635416605</v>
      </c>
      <c r="I3395">
        <v>0.27580425856335999</v>
      </c>
      <c r="J3395">
        <v>0.18471853679540201</v>
      </c>
      <c r="K3395">
        <v>0.13949072733826601</v>
      </c>
      <c r="L3395">
        <v>703.37848403306396</v>
      </c>
      <c r="M3395">
        <v>12.3790589753165</v>
      </c>
      <c r="N3395">
        <v>56.820028662909401</v>
      </c>
      <c r="O3395">
        <v>55.398329585547501</v>
      </c>
      <c r="P3395">
        <v>-5.58758016487194E-2</v>
      </c>
      <c r="Q3395">
        <v>0</v>
      </c>
      <c r="R3395">
        <v>0.99667312314928902</v>
      </c>
      <c r="S3395" t="s">
        <v>8978</v>
      </c>
      <c r="T3395" t="s">
        <v>11164</v>
      </c>
      <c r="U3395" t="s">
        <v>11164</v>
      </c>
      <c r="V3395" t="s">
        <v>11164</v>
      </c>
      <c r="W3395" t="s">
        <v>14517</v>
      </c>
      <c r="X3395">
        <v>21</v>
      </c>
      <c r="Y3395" t="s">
        <v>19999</v>
      </c>
      <c r="Z3395" t="s">
        <v>25545</v>
      </c>
      <c r="AA3395">
        <v>0.6669434600636216</v>
      </c>
      <c r="AB3395" t="str">
        <f>HYPERLINK("Melting_Curves/meltCurve_Q5TDH0_DDI2.pdf", "Melting_Curves/meltCurve_Q5TDH0_DDI2.pdf")</f>
        <v>Melting_Curves/meltCurve_Q5TDH0_DDI2.pdf</v>
      </c>
    </row>
    <row r="3396" spans="1:28" x14ac:dyDescent="0.25">
      <c r="A3396" t="s">
        <v>3400</v>
      </c>
      <c r="B3396">
        <v>0.99796759195183404</v>
      </c>
      <c r="C3396">
        <v>0.99272291210727204</v>
      </c>
      <c r="D3396">
        <v>0.93427463561938096</v>
      </c>
      <c r="E3396">
        <v>0.948104277369196</v>
      </c>
      <c r="F3396">
        <v>0.86193476938749303</v>
      </c>
      <c r="G3396">
        <v>0.73260004605616702</v>
      </c>
      <c r="H3396">
        <v>0.527227919626852</v>
      </c>
      <c r="I3396">
        <v>0.27175584081702397</v>
      </c>
      <c r="J3396">
        <v>0.122414258454248</v>
      </c>
      <c r="K3396">
        <v>8.6356679447236601E-2</v>
      </c>
      <c r="L3396">
        <v>886.17492222542705</v>
      </c>
      <c r="M3396">
        <v>15.4882974161617</v>
      </c>
      <c r="N3396">
        <v>57.2157739374898</v>
      </c>
      <c r="O3396">
        <v>56.287429121033703</v>
      </c>
      <c r="P3396">
        <v>-6.8797240832803599E-2</v>
      </c>
      <c r="Q3396">
        <v>0</v>
      </c>
      <c r="R3396">
        <v>0.99305045835198602</v>
      </c>
      <c r="S3396" t="s">
        <v>8979</v>
      </c>
      <c r="T3396" t="s">
        <v>11164</v>
      </c>
      <c r="U3396" t="s">
        <v>11164</v>
      </c>
      <c r="V3396" t="s">
        <v>11164</v>
      </c>
      <c r="W3396" t="s">
        <v>14518</v>
      </c>
      <c r="X3396">
        <v>3</v>
      </c>
      <c r="Y3396" t="s">
        <v>20000</v>
      </c>
      <c r="Z3396" t="s">
        <v>25546</v>
      </c>
      <c r="AA3396">
        <v>0.68155925763737601</v>
      </c>
      <c r="AB3396" t="str">
        <f>HYPERLINK("Melting_Curves/meltCurve_Q5TEU4_2_NDUFAF5.pdf", "Melting_Curves/meltCurve_Q5TEU4_2_NDUFAF5.pdf")</f>
        <v>Melting_Curves/meltCurve_Q5TEU4_2_NDUFAF5.pdf</v>
      </c>
    </row>
    <row r="3397" spans="1:28" x14ac:dyDescent="0.25">
      <c r="A3397" t="s">
        <v>3401</v>
      </c>
      <c r="B3397">
        <v>0.99796759195183404</v>
      </c>
      <c r="C3397">
        <v>0.99683096140418903</v>
      </c>
      <c r="D3397">
        <v>1.0023576441289199</v>
      </c>
      <c r="E3397">
        <v>0.98130851567630695</v>
      </c>
      <c r="F3397">
        <v>0.85566387430516799</v>
      </c>
      <c r="G3397">
        <v>0.62661872543466202</v>
      </c>
      <c r="H3397">
        <v>0.48841074814059299</v>
      </c>
      <c r="I3397">
        <v>0.29179933326878799</v>
      </c>
      <c r="J3397">
        <v>0.127714794049342</v>
      </c>
      <c r="K3397">
        <v>8.3679563904991497E-2</v>
      </c>
      <c r="L3397">
        <v>796.71031939824798</v>
      </c>
      <c r="M3397">
        <v>14.0835471973206</v>
      </c>
      <c r="N3397">
        <v>56.570288231914503</v>
      </c>
      <c r="O3397">
        <v>55.466368359339697</v>
      </c>
      <c r="P3397">
        <v>-6.3486074962054398E-2</v>
      </c>
      <c r="Q3397">
        <v>0</v>
      </c>
      <c r="R3397">
        <v>0.99459260976098296</v>
      </c>
      <c r="S3397" t="s">
        <v>8980</v>
      </c>
      <c r="T3397" t="s">
        <v>11164</v>
      </c>
      <c r="U3397" t="s">
        <v>11164</v>
      </c>
      <c r="V3397" t="s">
        <v>11164</v>
      </c>
      <c r="W3397" t="s">
        <v>14519</v>
      </c>
      <c r="X3397">
        <v>9</v>
      </c>
      <c r="Y3397" t="s">
        <v>20001</v>
      </c>
      <c r="Z3397" t="s">
        <v>25547</v>
      </c>
      <c r="AA3397">
        <v>0.66156460730842492</v>
      </c>
      <c r="AB3397" t="str">
        <f>HYPERLINK("Melting_Curves/meltCurve_Q5TFE4_NT5DC1.pdf", "Melting_Curves/meltCurve_Q5TFE4_NT5DC1.pdf")</f>
        <v>Melting_Curves/meltCurve_Q5TFE4_NT5DC1.pdf</v>
      </c>
    </row>
    <row r="3398" spans="1:28" x14ac:dyDescent="0.25">
      <c r="A3398" t="s">
        <v>3402</v>
      </c>
      <c r="B3398">
        <v>0.99796759195183404</v>
      </c>
      <c r="C3398">
        <v>0.98382369936303005</v>
      </c>
      <c r="D3398">
        <v>1.0161112277726101</v>
      </c>
      <c r="E3398">
        <v>0.95701982037634203</v>
      </c>
      <c r="F3398">
        <v>0.77586091551557701</v>
      </c>
      <c r="G3398">
        <v>0.58883659744371497</v>
      </c>
      <c r="H3398">
        <v>0.23361012966202199</v>
      </c>
      <c r="I3398">
        <v>0.12775007079376599</v>
      </c>
      <c r="J3398">
        <v>0.101040984081814</v>
      </c>
      <c r="K3398">
        <v>5.6206493092770697E-2</v>
      </c>
      <c r="L3398">
        <v>1021.91054206915</v>
      </c>
      <c r="M3398">
        <v>18.911523958307701</v>
      </c>
      <c r="N3398">
        <v>54.2358549340276</v>
      </c>
      <c r="O3398">
        <v>53.443065490891101</v>
      </c>
      <c r="P3398">
        <v>-8.5497344891851706E-2</v>
      </c>
      <c r="Q3398">
        <v>3.3593552244400401E-2</v>
      </c>
      <c r="R3398">
        <v>0.99537266064179797</v>
      </c>
      <c r="S3398" t="s">
        <v>8981</v>
      </c>
      <c r="T3398" t="s">
        <v>11164</v>
      </c>
      <c r="U3398" t="s">
        <v>11164</v>
      </c>
      <c r="V3398" t="s">
        <v>11164</v>
      </c>
      <c r="W3398" t="s">
        <v>14520</v>
      </c>
      <c r="X3398">
        <v>7</v>
      </c>
      <c r="Y3398" t="s">
        <v>20002</v>
      </c>
      <c r="Z3398" t="s">
        <v>25548</v>
      </c>
      <c r="AA3398">
        <v>0.59489362309908123</v>
      </c>
      <c r="AB3398" t="str">
        <f>HYPERLINK("Melting_Curves/meltCurve_Q5TH30_NDRG3.pdf", "Melting_Curves/meltCurve_Q5TH30_NDRG3.pdf")</f>
        <v>Melting_Curves/meltCurve_Q5TH30_NDRG3.pdf</v>
      </c>
    </row>
    <row r="3399" spans="1:28" x14ac:dyDescent="0.25">
      <c r="A3399" t="s">
        <v>3403</v>
      </c>
      <c r="B3399">
        <v>0.99796759195183404</v>
      </c>
      <c r="C3399">
        <v>0.96040325100199897</v>
      </c>
      <c r="D3399">
        <v>0.94545109982901099</v>
      </c>
      <c r="E3399">
        <v>0.79240870581607104</v>
      </c>
      <c r="F3399">
        <v>0.70753193890570398</v>
      </c>
      <c r="G3399">
        <v>0.489263330367191</v>
      </c>
      <c r="H3399">
        <v>0.36750575306771299</v>
      </c>
      <c r="I3399">
        <v>0.32148410804578698</v>
      </c>
      <c r="J3399">
        <v>0.33356613588266099</v>
      </c>
      <c r="K3399">
        <v>0.28751421939448202</v>
      </c>
      <c r="L3399">
        <v>666.52523401630697</v>
      </c>
      <c r="M3399">
        <v>13.1144432352568</v>
      </c>
      <c r="N3399">
        <v>53.815214087486098</v>
      </c>
      <c r="O3399">
        <v>49.685584567504598</v>
      </c>
      <c r="P3399">
        <v>-4.8917722707674999E-2</v>
      </c>
      <c r="Q3399">
        <v>0.25880463300242001</v>
      </c>
      <c r="R3399">
        <v>0.992478781836721</v>
      </c>
      <c r="S3399" t="s">
        <v>8982</v>
      </c>
      <c r="T3399" t="s">
        <v>11164</v>
      </c>
      <c r="U3399" t="s">
        <v>11164</v>
      </c>
      <c r="V3399" t="s">
        <v>11164</v>
      </c>
      <c r="W3399" t="s">
        <v>14521</v>
      </c>
      <c r="X3399">
        <v>9</v>
      </c>
      <c r="Y3399" t="s">
        <v>20003</v>
      </c>
      <c r="Z3399" t="s">
        <v>25549</v>
      </c>
      <c r="AA3399">
        <v>0.61810624678053894</v>
      </c>
      <c r="AB3399" t="str">
        <f>HYPERLINK("Melting_Curves/meltCurve_Q5THK1_3_PRR14L.pdf", "Melting_Curves/meltCurve_Q5THK1_3_PRR14L.pdf")</f>
        <v>Melting_Curves/meltCurve_Q5THK1_3_PRR14L.pdf</v>
      </c>
    </row>
    <row r="3400" spans="1:28" x14ac:dyDescent="0.25">
      <c r="A3400" t="s">
        <v>3404</v>
      </c>
      <c r="B3400">
        <v>0.99796759195183404</v>
      </c>
      <c r="C3400">
        <v>0.85305161070324598</v>
      </c>
      <c r="D3400">
        <v>0.96884067538902396</v>
      </c>
      <c r="E3400">
        <v>0.71919969753917801</v>
      </c>
      <c r="F3400">
        <v>0.71546504677839495</v>
      </c>
      <c r="G3400">
        <v>0.56899234521773101</v>
      </c>
      <c r="H3400">
        <v>0.51138089859722302</v>
      </c>
      <c r="I3400">
        <v>0.67376246006554696</v>
      </c>
      <c r="J3400">
        <v>0.63174250726778303</v>
      </c>
      <c r="K3400">
        <v>0.23776212144693401</v>
      </c>
      <c r="L3400">
        <v>252.88265075348801</v>
      </c>
      <c r="M3400">
        <v>4.0847640161269503</v>
      </c>
      <c r="N3400">
        <v>61.908754322198</v>
      </c>
      <c r="O3400">
        <v>51.1591703230823</v>
      </c>
      <c r="P3400">
        <v>-2.0200886962040601E-2</v>
      </c>
      <c r="Q3400">
        <v>0</v>
      </c>
      <c r="R3400">
        <v>0.73171148650302298</v>
      </c>
      <c r="S3400" t="s">
        <v>8983</v>
      </c>
      <c r="T3400" t="s">
        <v>11164</v>
      </c>
      <c r="U3400" t="s">
        <v>11164</v>
      </c>
      <c r="V3400" t="s">
        <v>11164</v>
      </c>
      <c r="W3400" t="s">
        <v>14522</v>
      </c>
      <c r="X3400">
        <v>1</v>
      </c>
      <c r="Y3400" t="s">
        <v>20004</v>
      </c>
      <c r="Z3400" t="s">
        <v>25550</v>
      </c>
      <c r="AA3400">
        <v>0.68546160596759409</v>
      </c>
      <c r="AB3400" t="str">
        <f>HYPERLINK("Melting_Curves/meltCurve_Q5TIE1_SLC19A2.pdf", "Melting_Curves/meltCurve_Q5TIE1_SLC19A2.pdf")</f>
        <v>Melting_Curves/meltCurve_Q5TIE1_SLC19A2.pdf</v>
      </c>
    </row>
    <row r="3401" spans="1:28" x14ac:dyDescent="0.25">
      <c r="A3401" t="s">
        <v>3405</v>
      </c>
      <c r="B3401">
        <v>0.99796759195183404</v>
      </c>
      <c r="C3401">
        <v>1.0084437979002101</v>
      </c>
      <c r="D3401">
        <v>0.97035961663846004</v>
      </c>
      <c r="E3401">
        <v>0.97300680147706298</v>
      </c>
      <c r="F3401">
        <v>0.865607961757075</v>
      </c>
      <c r="G3401">
        <v>0.64442695726278598</v>
      </c>
      <c r="H3401">
        <v>0.277213958174515</v>
      </c>
      <c r="I3401">
        <v>0.15389026873894501</v>
      </c>
      <c r="J3401">
        <v>0.13781116825869699</v>
      </c>
      <c r="K3401">
        <v>0.10217847722908301</v>
      </c>
      <c r="L3401">
        <v>1294.0080019900499</v>
      </c>
      <c r="M3401">
        <v>23.7561453790989</v>
      </c>
      <c r="N3401">
        <v>54.953988682383503</v>
      </c>
      <c r="O3401">
        <v>54.0888798149279</v>
      </c>
      <c r="P3401">
        <v>-9.9447150582733401E-2</v>
      </c>
      <c r="Q3401">
        <v>9.4314951523798901E-2</v>
      </c>
      <c r="R3401">
        <v>0.99739501535493702</v>
      </c>
      <c r="S3401" t="s">
        <v>8984</v>
      </c>
      <c r="T3401" t="s">
        <v>11164</v>
      </c>
      <c r="U3401" t="s">
        <v>11164</v>
      </c>
      <c r="V3401" t="s">
        <v>11164</v>
      </c>
      <c r="W3401" t="s">
        <v>14523</v>
      </c>
      <c r="X3401">
        <v>13</v>
      </c>
      <c r="Y3401" t="s">
        <v>20005</v>
      </c>
      <c r="Z3401" t="s">
        <v>25551</v>
      </c>
      <c r="AA3401">
        <v>0.63019731507963472</v>
      </c>
      <c r="AB3401" t="str">
        <f>HYPERLINK("Melting_Curves/meltCurve_Q5TZA2_CROCC.pdf", "Melting_Curves/meltCurve_Q5TZA2_CROCC.pdf")</f>
        <v>Melting_Curves/meltCurve_Q5TZA2_CROCC.pdf</v>
      </c>
    </row>
    <row r="3402" spans="1:28" x14ac:dyDescent="0.25">
      <c r="A3402" t="s">
        <v>3406</v>
      </c>
      <c r="B3402">
        <v>0.99796759195183404</v>
      </c>
      <c r="C3402">
        <v>1.0049800415978101</v>
      </c>
      <c r="D3402">
        <v>1.0148285851013299</v>
      </c>
      <c r="E3402">
        <v>0.95085227499563696</v>
      </c>
      <c r="F3402">
        <v>0.797261395520932</v>
      </c>
      <c r="G3402">
        <v>0.56369797193556703</v>
      </c>
      <c r="H3402">
        <v>0.27319321973762001</v>
      </c>
      <c r="I3402">
        <v>0.130878157607726</v>
      </c>
      <c r="J3402">
        <v>0.116722382303018</v>
      </c>
      <c r="K3402">
        <v>9.4762021427105395E-2</v>
      </c>
      <c r="L3402">
        <v>1043.0303083369199</v>
      </c>
      <c r="M3402">
        <v>19.361283620961</v>
      </c>
      <c r="N3402">
        <v>54.262452750242304</v>
      </c>
      <c r="O3402">
        <v>53.307129084865899</v>
      </c>
      <c r="P3402">
        <v>-8.4899014329863395E-2</v>
      </c>
      <c r="Q3402">
        <v>6.5029915193954596E-2</v>
      </c>
      <c r="R3402">
        <v>0.99838079800271795</v>
      </c>
      <c r="S3402" t="s">
        <v>8985</v>
      </c>
      <c r="T3402" t="s">
        <v>11164</v>
      </c>
      <c r="U3402" t="s">
        <v>11164</v>
      </c>
      <c r="V3402" t="s">
        <v>11164</v>
      </c>
      <c r="W3402" t="s">
        <v>14524</v>
      </c>
      <c r="X3402">
        <v>6</v>
      </c>
      <c r="Y3402" t="s">
        <v>20006</v>
      </c>
      <c r="Z3402" t="s">
        <v>25552</v>
      </c>
      <c r="AA3402">
        <v>0.60271761130957324</v>
      </c>
      <c r="AB3402" t="str">
        <f>HYPERLINK("Melting_Curves/meltCurve_Q5U5X0_LYRM7.pdf", "Melting_Curves/meltCurve_Q5U5X0_LYRM7.pdf")</f>
        <v>Melting_Curves/meltCurve_Q5U5X0_LYRM7.pdf</v>
      </c>
    </row>
    <row r="3403" spans="1:28" x14ac:dyDescent="0.25">
      <c r="A3403" t="s">
        <v>3407</v>
      </c>
      <c r="B3403">
        <v>0.99796759195183404</v>
      </c>
      <c r="C3403">
        <v>0.90511243200685698</v>
      </c>
      <c r="D3403">
        <v>0.94924583631958903</v>
      </c>
      <c r="E3403">
        <v>0.87895017809664999</v>
      </c>
      <c r="F3403">
        <v>0.59923712583359101</v>
      </c>
      <c r="G3403">
        <v>0.217179879951583</v>
      </c>
      <c r="H3403">
        <v>0.15972872176241501</v>
      </c>
      <c r="I3403">
        <v>0.14003840194012099</v>
      </c>
      <c r="J3403">
        <v>0.13926687751833999</v>
      </c>
      <c r="K3403">
        <v>0.105229591783408</v>
      </c>
      <c r="L3403">
        <v>1307.2775998649599</v>
      </c>
      <c r="M3403">
        <v>25.993666498164401</v>
      </c>
      <c r="N3403">
        <v>50.822525829191903</v>
      </c>
      <c r="O3403">
        <v>49.997330996018697</v>
      </c>
      <c r="P3403">
        <v>-0.114536656215132</v>
      </c>
      <c r="Q3403">
        <v>0.11879130786608</v>
      </c>
      <c r="R3403">
        <v>0.98988865617936195</v>
      </c>
      <c r="S3403" t="s">
        <v>8986</v>
      </c>
      <c r="T3403" t="s">
        <v>11164</v>
      </c>
      <c r="U3403" t="s">
        <v>11164</v>
      </c>
      <c r="V3403" t="s">
        <v>11164</v>
      </c>
      <c r="W3403" t="s">
        <v>14525</v>
      </c>
      <c r="X3403">
        <v>13</v>
      </c>
      <c r="Y3403" t="s">
        <v>20007</v>
      </c>
      <c r="Z3403" t="s">
        <v>25553</v>
      </c>
      <c r="AA3403">
        <v>0.51640692732714266</v>
      </c>
      <c r="AB3403" t="str">
        <f>HYPERLINK("Melting_Curves/meltCurve_Q5UIP0_2_RIF1.pdf", "Melting_Curves/meltCurve_Q5UIP0_2_RIF1.pdf")</f>
        <v>Melting_Curves/meltCurve_Q5UIP0_2_RIF1.pdf</v>
      </c>
    </row>
    <row r="3404" spans="1:28" x14ac:dyDescent="0.25">
      <c r="A3404" t="s">
        <v>3408</v>
      </c>
      <c r="B3404">
        <v>0.99796759195183404</v>
      </c>
      <c r="C3404">
        <v>0.99728772280491396</v>
      </c>
      <c r="D3404">
        <v>1.0243877714585601</v>
      </c>
      <c r="E3404">
        <v>0.84928946117292703</v>
      </c>
      <c r="F3404">
        <v>0.79643118307865601</v>
      </c>
      <c r="G3404">
        <v>0.456989648652948</v>
      </c>
      <c r="H3404">
        <v>0.28399475288196602</v>
      </c>
      <c r="I3404">
        <v>0.17108668288741599</v>
      </c>
      <c r="J3404">
        <v>0.13498476402501799</v>
      </c>
      <c r="K3404">
        <v>0.121894880311091</v>
      </c>
      <c r="L3404">
        <v>922.13857565782905</v>
      </c>
      <c r="M3404">
        <v>17.431347436724799</v>
      </c>
      <c r="N3404">
        <v>53.542009964628598</v>
      </c>
      <c r="O3404">
        <v>52.219661156457299</v>
      </c>
      <c r="P3404">
        <v>-7.5598590874703997E-2</v>
      </c>
      <c r="Q3404">
        <v>9.4157986017765205E-2</v>
      </c>
      <c r="R3404">
        <v>0.99241696365549004</v>
      </c>
      <c r="S3404" t="s">
        <v>8987</v>
      </c>
      <c r="T3404" t="s">
        <v>11164</v>
      </c>
      <c r="U3404" t="s">
        <v>11164</v>
      </c>
      <c r="V3404" t="s">
        <v>11164</v>
      </c>
      <c r="W3404" t="s">
        <v>14526</v>
      </c>
      <c r="X3404">
        <v>6</v>
      </c>
      <c r="Y3404" t="s">
        <v>20008</v>
      </c>
      <c r="Z3404" t="s">
        <v>25554</v>
      </c>
      <c r="AA3404">
        <v>0.58807279450306593</v>
      </c>
      <c r="AB3404" t="str">
        <f>HYPERLINK("Melting_Curves/meltCurve_Q5VIR6_4_VPS53.pdf", "Melting_Curves/meltCurve_Q5VIR6_4_VPS53.pdf")</f>
        <v>Melting_Curves/meltCurve_Q5VIR6_4_VPS53.pdf</v>
      </c>
    </row>
    <row r="3405" spans="1:28" x14ac:dyDescent="0.25">
      <c r="A3405" t="s">
        <v>3409</v>
      </c>
      <c r="B3405">
        <v>0.99796759195183404</v>
      </c>
      <c r="C3405">
        <v>1.1533991596398501</v>
      </c>
      <c r="D3405">
        <v>1.0284627878633801</v>
      </c>
      <c r="E3405">
        <v>0.65142251680085494</v>
      </c>
      <c r="F3405">
        <v>1.2983285946765399</v>
      </c>
      <c r="G3405">
        <v>0.96735534304592796</v>
      </c>
      <c r="H3405">
        <v>0.59231177002465196</v>
      </c>
      <c r="I3405">
        <v>0.32971613775290298</v>
      </c>
      <c r="J3405">
        <v>0.120715085371545</v>
      </c>
      <c r="K3405">
        <v>0.31327897124799498</v>
      </c>
      <c r="L3405">
        <v>2612.81479186457</v>
      </c>
      <c r="M3405">
        <v>45.595944670723298</v>
      </c>
      <c r="N3405">
        <v>58.111819948983197</v>
      </c>
      <c r="O3405">
        <v>57.1937655332923</v>
      </c>
      <c r="P3405">
        <v>-0.15250956341685201</v>
      </c>
      <c r="Q3405">
        <v>0.234792869439789</v>
      </c>
      <c r="R3405">
        <v>0.82135881384185805</v>
      </c>
      <c r="S3405" t="s">
        <v>8988</v>
      </c>
      <c r="T3405" t="s">
        <v>11164</v>
      </c>
      <c r="U3405" t="s">
        <v>11164</v>
      </c>
      <c r="V3405" t="s">
        <v>11164</v>
      </c>
      <c r="W3405" t="s">
        <v>14527</v>
      </c>
      <c r="X3405">
        <v>1</v>
      </c>
      <c r="Y3405" t="s">
        <v>20009</v>
      </c>
      <c r="Z3405" t="s">
        <v>25555</v>
      </c>
      <c r="AA3405">
        <v>0.75494212501783742</v>
      </c>
      <c r="AB3405" t="str">
        <f>HYPERLINK("Melting_Curves/meltCurve_Q5VSG8_3_MANEAL.pdf", "Melting_Curves/meltCurve_Q5VSG8_3_MANEAL.pdf")</f>
        <v>Melting_Curves/meltCurve_Q5VSG8_3_MANEAL.pdf</v>
      </c>
    </row>
    <row r="3406" spans="1:28" x14ac:dyDescent="0.25">
      <c r="A3406" t="s">
        <v>3410</v>
      </c>
      <c r="B3406">
        <v>0.99796759195183404</v>
      </c>
      <c r="C3406">
        <v>1.0585542268404899</v>
      </c>
      <c r="D3406">
        <v>0.91048026943476101</v>
      </c>
      <c r="E3406">
        <v>0.92537465773674799</v>
      </c>
      <c r="F3406">
        <v>0.65701630572891301</v>
      </c>
      <c r="G3406">
        <v>0.61542103543326698</v>
      </c>
      <c r="H3406">
        <v>0.34989060541619299</v>
      </c>
      <c r="I3406">
        <v>0.22129652834323299</v>
      </c>
      <c r="J3406">
        <v>0.13522006544006801</v>
      </c>
      <c r="K3406">
        <v>5.1159440325773103E-2</v>
      </c>
      <c r="L3406">
        <v>663.55268958336205</v>
      </c>
      <c r="M3406">
        <v>12.163138201311</v>
      </c>
      <c r="N3406">
        <v>54.554413419663199</v>
      </c>
      <c r="O3406">
        <v>53.142576172536103</v>
      </c>
      <c r="P3406">
        <v>-5.7232457631876302E-2</v>
      </c>
      <c r="Q3406">
        <v>0</v>
      </c>
      <c r="R3406">
        <v>0.98190363377172996</v>
      </c>
      <c r="S3406" t="s">
        <v>8989</v>
      </c>
      <c r="T3406" t="s">
        <v>11164</v>
      </c>
      <c r="U3406" t="s">
        <v>11164</v>
      </c>
      <c r="V3406" t="s">
        <v>11164</v>
      </c>
      <c r="W3406" t="s">
        <v>14528</v>
      </c>
      <c r="X3406">
        <v>2</v>
      </c>
      <c r="Y3406" t="s">
        <v>20010</v>
      </c>
      <c r="Z3406" t="s">
        <v>25556</v>
      </c>
      <c r="AA3406">
        <v>0.60108697212214424</v>
      </c>
      <c r="AB3406" t="str">
        <f>HYPERLINK("Melting_Curves/meltCurve_Q5VSL9_STRIP1.pdf", "Melting_Curves/meltCurve_Q5VSL9_STRIP1.pdf")</f>
        <v>Melting_Curves/meltCurve_Q5VSL9_STRIP1.pdf</v>
      </c>
    </row>
    <row r="3407" spans="1:28" x14ac:dyDescent="0.25">
      <c r="A3407" t="s">
        <v>3411</v>
      </c>
      <c r="B3407">
        <v>0.99796759195183404</v>
      </c>
      <c r="C3407">
        <v>0.95134071992592395</v>
      </c>
      <c r="D3407">
        <v>0.87659375634407499</v>
      </c>
      <c r="E3407">
        <v>0.80357262174437905</v>
      </c>
      <c r="F3407">
        <v>0.70783808049526598</v>
      </c>
      <c r="G3407">
        <v>0.587543298204107</v>
      </c>
      <c r="H3407">
        <v>0.40828507151445398</v>
      </c>
      <c r="I3407">
        <v>0.28986704351723702</v>
      </c>
      <c r="J3407">
        <v>0.18441681620886699</v>
      </c>
      <c r="K3407">
        <v>0.181402315864269</v>
      </c>
      <c r="L3407">
        <v>475.49093660823098</v>
      </c>
      <c r="M3407">
        <v>8.6567078530317705</v>
      </c>
      <c r="N3407">
        <v>54.927456206840297</v>
      </c>
      <c r="O3407">
        <v>52.232311783384802</v>
      </c>
      <c r="P3407">
        <v>-4.1468531425991099E-2</v>
      </c>
      <c r="Q3407">
        <v>0</v>
      </c>
      <c r="R3407">
        <v>0.993166809251534</v>
      </c>
      <c r="S3407" t="s">
        <v>8990</v>
      </c>
      <c r="T3407" t="s">
        <v>11164</v>
      </c>
      <c r="U3407" t="s">
        <v>11164</v>
      </c>
      <c r="V3407" t="s">
        <v>11164</v>
      </c>
      <c r="W3407" t="s">
        <v>14529</v>
      </c>
      <c r="X3407">
        <v>2</v>
      </c>
      <c r="Y3407" t="s">
        <v>20011</v>
      </c>
      <c r="Z3407" t="s">
        <v>25557</v>
      </c>
      <c r="AA3407">
        <v>0.60715735644437208</v>
      </c>
      <c r="AB3407" t="str">
        <f>HYPERLINK("Melting_Curves/meltCurve_Q5VST6_ABHD17B.pdf", "Melting_Curves/meltCurve_Q5VST6_ABHD17B.pdf")</f>
        <v>Melting_Curves/meltCurve_Q5VST6_ABHD17B.pdf</v>
      </c>
    </row>
    <row r="3408" spans="1:28" x14ac:dyDescent="0.25">
      <c r="A3408" t="s">
        <v>3412</v>
      </c>
      <c r="B3408">
        <v>0.99796759195183404</v>
      </c>
      <c r="C3408">
        <v>1.0142258576217</v>
      </c>
      <c r="D3408">
        <v>0.97141322643904104</v>
      </c>
      <c r="E3408">
        <v>0.83594137969931903</v>
      </c>
      <c r="F3408">
        <v>0.65515070943026998</v>
      </c>
      <c r="G3408">
        <v>0.33338852462003998</v>
      </c>
      <c r="H3408">
        <v>0.258863349690586</v>
      </c>
      <c r="I3408">
        <v>0.223463300200059</v>
      </c>
      <c r="J3408">
        <v>0.15319388629663599</v>
      </c>
      <c r="K3408">
        <v>0.116255892704252</v>
      </c>
      <c r="L3408">
        <v>885.14585888749298</v>
      </c>
      <c r="M3408">
        <v>17.379793276262902</v>
      </c>
      <c r="N3408">
        <v>51.8608603855876</v>
      </c>
      <c r="O3408">
        <v>50.2696770341093</v>
      </c>
      <c r="P3408">
        <v>-7.48514418599419E-2</v>
      </c>
      <c r="Q3408">
        <v>0.13404156311068799</v>
      </c>
      <c r="R3408">
        <v>0.99425157116031104</v>
      </c>
      <c r="S3408" t="s">
        <v>8991</v>
      </c>
      <c r="T3408" t="s">
        <v>11164</v>
      </c>
      <c r="U3408" t="s">
        <v>11164</v>
      </c>
      <c r="V3408" t="s">
        <v>11164</v>
      </c>
      <c r="W3408" t="s">
        <v>14530</v>
      </c>
      <c r="X3408">
        <v>10</v>
      </c>
      <c r="Y3408" t="s">
        <v>20012</v>
      </c>
      <c r="Z3408" t="s">
        <v>25558</v>
      </c>
      <c r="AA3408">
        <v>0.55031501856352694</v>
      </c>
      <c r="AB3408" t="str">
        <f>HYPERLINK("Melting_Curves/meltCurve_Q5VT52_RPRD2.pdf", "Melting_Curves/meltCurve_Q5VT52_RPRD2.pdf")</f>
        <v>Melting_Curves/meltCurve_Q5VT52_RPRD2.pdf</v>
      </c>
    </row>
    <row r="3409" spans="1:28" x14ac:dyDescent="0.25">
      <c r="A3409" t="s">
        <v>3413</v>
      </c>
      <c r="B3409">
        <v>0.99796759195183404</v>
      </c>
      <c r="C3409">
        <v>0.98616735743192796</v>
      </c>
      <c r="D3409">
        <v>0.97935936728583695</v>
      </c>
      <c r="E3409">
        <v>0.93519285661771101</v>
      </c>
      <c r="F3409">
        <v>0.89349897114188004</v>
      </c>
      <c r="G3409">
        <v>0.66487010608153296</v>
      </c>
      <c r="H3409">
        <v>0.57759852018833602</v>
      </c>
      <c r="I3409">
        <v>0.47814504484321102</v>
      </c>
      <c r="J3409">
        <v>0.37002346018269999</v>
      </c>
      <c r="K3409">
        <v>0.14761391420844699</v>
      </c>
      <c r="L3409">
        <v>594.837706066495</v>
      </c>
      <c r="M3409">
        <v>10.0530474127382</v>
      </c>
      <c r="N3409">
        <v>59.169889666428297</v>
      </c>
      <c r="O3409">
        <v>56.971630733938198</v>
      </c>
      <c r="P3409">
        <v>-4.4135297499043498E-2</v>
      </c>
      <c r="Q3409">
        <v>0</v>
      </c>
      <c r="R3409">
        <v>0.97641987861428403</v>
      </c>
      <c r="S3409" t="s">
        <v>8992</v>
      </c>
      <c r="T3409" t="s">
        <v>11164</v>
      </c>
      <c r="U3409" t="s">
        <v>11164</v>
      </c>
      <c r="V3409" t="s">
        <v>11164</v>
      </c>
      <c r="W3409" t="s">
        <v>14531</v>
      </c>
      <c r="X3409">
        <v>5</v>
      </c>
      <c r="Y3409" t="s">
        <v>20013</v>
      </c>
      <c r="Z3409" t="s">
        <v>25559</v>
      </c>
      <c r="AA3409">
        <v>0.72049230533086372</v>
      </c>
      <c r="AB3409" t="str">
        <f>HYPERLINK("Melting_Curves/meltCurve_Q5VT66_MARC1.pdf", "Melting_Curves/meltCurve_Q5VT66_MARC1.pdf")</f>
        <v>Melting_Curves/meltCurve_Q5VT66_MARC1.pdf</v>
      </c>
    </row>
    <row r="3410" spans="1:28" x14ac:dyDescent="0.25">
      <c r="A3410" t="s">
        <v>3414</v>
      </c>
      <c r="B3410">
        <v>0.99796759195183404</v>
      </c>
      <c r="C3410">
        <v>0.92380497588600796</v>
      </c>
      <c r="D3410">
        <v>1.03345930979005</v>
      </c>
      <c r="E3410">
        <v>0.94373829602598902</v>
      </c>
      <c r="F3410">
        <v>0.77882918131183898</v>
      </c>
      <c r="G3410">
        <v>0.44153809351260498</v>
      </c>
      <c r="H3410">
        <v>0.51146394336565904</v>
      </c>
      <c r="I3410">
        <v>0.47009944896550099</v>
      </c>
      <c r="J3410">
        <v>0.54072014760422904</v>
      </c>
      <c r="K3410">
        <v>0.42534022888962397</v>
      </c>
      <c r="L3410">
        <v>12565.469845875899</v>
      </c>
      <c r="M3410">
        <v>250</v>
      </c>
      <c r="N3410">
        <v>50.896252588197598</v>
      </c>
      <c r="O3410">
        <v>50.2586629706785</v>
      </c>
      <c r="P3410">
        <v>-0.64935028555874497</v>
      </c>
      <c r="Q3410">
        <v>0.47783236632932202</v>
      </c>
      <c r="R3410">
        <v>0.96619157282302104</v>
      </c>
      <c r="S3410" t="s">
        <v>8993</v>
      </c>
      <c r="T3410" t="s">
        <v>11164</v>
      </c>
      <c r="U3410" t="s">
        <v>11164</v>
      </c>
      <c r="V3410" t="s">
        <v>11164</v>
      </c>
      <c r="W3410" t="s">
        <v>14532</v>
      </c>
      <c r="X3410">
        <v>2</v>
      </c>
      <c r="Y3410" t="s">
        <v>20014</v>
      </c>
      <c r="Z3410" t="s">
        <v>25560</v>
      </c>
      <c r="AA3410">
        <v>0.70870923197507962</v>
      </c>
      <c r="AB3410" t="str">
        <f>HYPERLINK("Melting_Curves/meltCurve_Q5VT94_GHITM.pdf", "Melting_Curves/meltCurve_Q5VT94_GHITM.pdf")</f>
        <v>Melting_Curves/meltCurve_Q5VT94_GHITM.pdf</v>
      </c>
    </row>
    <row r="3411" spans="1:28" x14ac:dyDescent="0.25">
      <c r="A3411" t="s">
        <v>3415</v>
      </c>
      <c r="B3411">
        <v>0.99796759195183404</v>
      </c>
      <c r="C3411">
        <v>0.98080048472897896</v>
      </c>
      <c r="D3411">
        <v>0.97577432231288797</v>
      </c>
      <c r="E3411">
        <v>0.91972562581936201</v>
      </c>
      <c r="F3411">
        <v>0.77269145054457899</v>
      </c>
      <c r="G3411">
        <v>0.35156234189784602</v>
      </c>
      <c r="H3411">
        <v>0.25206536240001498</v>
      </c>
      <c r="I3411">
        <v>0.19962204691015201</v>
      </c>
      <c r="J3411">
        <v>0.157158621388652</v>
      </c>
      <c r="K3411">
        <v>0.11321849810203601</v>
      </c>
      <c r="L3411">
        <v>1305.69030397392</v>
      </c>
      <c r="M3411">
        <v>25.193574683670001</v>
      </c>
      <c r="N3411">
        <v>52.573758066132498</v>
      </c>
      <c r="O3411">
        <v>51.5031004103963</v>
      </c>
      <c r="P3411">
        <v>-0.103885015094776</v>
      </c>
      <c r="Q3411">
        <v>0.15052458723993301</v>
      </c>
      <c r="R3411">
        <v>0.99390477711605196</v>
      </c>
      <c r="S3411" t="s">
        <v>8994</v>
      </c>
      <c r="T3411" t="s">
        <v>11164</v>
      </c>
      <c r="U3411" t="s">
        <v>11164</v>
      </c>
      <c r="V3411" t="s">
        <v>11164</v>
      </c>
      <c r="W3411" t="s">
        <v>14533</v>
      </c>
      <c r="X3411">
        <v>19</v>
      </c>
      <c r="Y3411" t="s">
        <v>20015</v>
      </c>
      <c r="Z3411" t="s">
        <v>25561</v>
      </c>
      <c r="AA3411">
        <v>0.57776345087821923</v>
      </c>
      <c r="AB3411" t="str">
        <f>HYPERLINK("Melting_Curves/meltCurve_Q5VTR2_RNF20.pdf", "Melting_Curves/meltCurve_Q5VTR2_RNF20.pdf")</f>
        <v>Melting_Curves/meltCurve_Q5VTR2_RNF20.pdf</v>
      </c>
    </row>
    <row r="3412" spans="1:28" x14ac:dyDescent="0.25">
      <c r="A3412" t="s">
        <v>3416</v>
      </c>
      <c r="B3412">
        <v>0.99796759195183404</v>
      </c>
      <c r="C3412">
        <v>0.90282529759983199</v>
      </c>
      <c r="D3412">
        <v>0.97498765133117204</v>
      </c>
      <c r="E3412">
        <v>0.84151571475267195</v>
      </c>
      <c r="F3412">
        <v>0.84525288533251597</v>
      </c>
      <c r="G3412">
        <v>0.68527719014955102</v>
      </c>
      <c r="H3412">
        <v>0.57474054087767001</v>
      </c>
      <c r="I3412">
        <v>0.64472415777422798</v>
      </c>
      <c r="J3412">
        <v>0.64925206342150898</v>
      </c>
      <c r="K3412">
        <v>0.50066775553321896</v>
      </c>
      <c r="L3412">
        <v>470.29261523620499</v>
      </c>
      <c r="M3412">
        <v>9.0731030293624109</v>
      </c>
      <c r="O3412">
        <v>49.501761853500803</v>
      </c>
      <c r="P3412">
        <v>-2.28850820991796E-2</v>
      </c>
      <c r="Q3412">
        <v>0.50091845994168605</v>
      </c>
      <c r="R3412">
        <v>0.90140507772586698</v>
      </c>
      <c r="S3412" t="s">
        <v>8995</v>
      </c>
      <c r="T3412" t="s">
        <v>11164</v>
      </c>
      <c r="U3412" t="s">
        <v>11164</v>
      </c>
      <c r="V3412" t="s">
        <v>11164</v>
      </c>
      <c r="W3412" t="s">
        <v>14534</v>
      </c>
      <c r="X3412">
        <v>55</v>
      </c>
      <c r="Y3412" t="s">
        <v>18401</v>
      </c>
      <c r="Z3412" t="s">
        <v>25562</v>
      </c>
      <c r="AA3412">
        <v>0.76194785197112236</v>
      </c>
      <c r="AB3412" t="str">
        <f>HYPERLINK("Melting_Curves/meltCurve_Q5VU58_TPM3.pdf", "Melting_Curves/meltCurve_Q5VU58_TPM3.pdf")</f>
        <v>Melting_Curves/meltCurve_Q5VU58_TPM3.pdf</v>
      </c>
    </row>
    <row r="3413" spans="1:28" x14ac:dyDescent="0.25">
      <c r="A3413" t="s">
        <v>3417</v>
      </c>
      <c r="B3413">
        <v>0.99796759195183404</v>
      </c>
      <c r="C3413">
        <v>0.994765575015915</v>
      </c>
      <c r="D3413">
        <v>0.94330700757164399</v>
      </c>
      <c r="E3413">
        <v>0.80033045805305603</v>
      </c>
      <c r="F3413">
        <v>0.50825815871022095</v>
      </c>
      <c r="G3413">
        <v>0.32972578021479898</v>
      </c>
      <c r="H3413">
        <v>0.218017246696944</v>
      </c>
      <c r="I3413">
        <v>0.18549250332283401</v>
      </c>
      <c r="J3413">
        <v>0.148385935121923</v>
      </c>
      <c r="K3413">
        <v>0.119182665455851</v>
      </c>
      <c r="L3413">
        <v>838.40240982841203</v>
      </c>
      <c r="M3413">
        <v>16.863799393234999</v>
      </c>
      <c r="N3413">
        <v>50.620787196560002</v>
      </c>
      <c r="O3413">
        <v>49.032778931158703</v>
      </c>
      <c r="P3413">
        <v>-7.4800492278248407E-2</v>
      </c>
      <c r="Q3413">
        <v>0.130102740040065</v>
      </c>
      <c r="R3413">
        <v>0.99865937510219005</v>
      </c>
      <c r="S3413" t="s">
        <v>8996</v>
      </c>
      <c r="T3413" t="s">
        <v>11164</v>
      </c>
      <c r="U3413" t="s">
        <v>11164</v>
      </c>
      <c r="V3413" t="s">
        <v>11164</v>
      </c>
      <c r="W3413" t="s">
        <v>14535</v>
      </c>
      <c r="X3413">
        <v>6</v>
      </c>
      <c r="Y3413" t="s">
        <v>20016</v>
      </c>
      <c r="Z3413" t="s">
        <v>25563</v>
      </c>
      <c r="AA3413">
        <v>0.51413037629086167</v>
      </c>
      <c r="AB3413" t="str">
        <f>HYPERLINK("Melting_Curves/meltCurve_Q5VUA4_ZNF318.pdf", "Melting_Curves/meltCurve_Q5VUA4_ZNF318.pdf")</f>
        <v>Melting_Curves/meltCurve_Q5VUA4_ZNF318.pdf</v>
      </c>
    </row>
    <row r="3414" spans="1:28" x14ac:dyDescent="0.25">
      <c r="A3414" t="s">
        <v>3418</v>
      </c>
      <c r="B3414">
        <v>0.99796759195183404</v>
      </c>
      <c r="C3414">
        <v>1.12839284182608</v>
      </c>
      <c r="D3414">
        <v>0.933917686414522</v>
      </c>
      <c r="E3414">
        <v>0.74964017410836903</v>
      </c>
      <c r="F3414">
        <v>0.72336696276555601</v>
      </c>
      <c r="G3414">
        <v>0.20295439006448601</v>
      </c>
      <c r="H3414">
        <v>0.42227279495749498</v>
      </c>
      <c r="I3414">
        <v>0.54514949340996999</v>
      </c>
      <c r="J3414">
        <v>0.14094151333986801</v>
      </c>
      <c r="K3414">
        <v>0.115587059607085</v>
      </c>
      <c r="L3414">
        <v>749.81797240729497</v>
      </c>
      <c r="M3414">
        <v>14.9792652899951</v>
      </c>
      <c r="N3414">
        <v>52.1092895360432</v>
      </c>
      <c r="O3414">
        <v>49.190328347769999</v>
      </c>
      <c r="P3414">
        <v>-5.9172242048245297E-2</v>
      </c>
      <c r="Q3414">
        <v>0.22281730964494101</v>
      </c>
      <c r="R3414">
        <v>0.836310678891377</v>
      </c>
      <c r="S3414" t="s">
        <v>8997</v>
      </c>
      <c r="T3414" t="s">
        <v>11164</v>
      </c>
      <c r="U3414" t="s">
        <v>11164</v>
      </c>
      <c r="V3414" t="s">
        <v>11164</v>
      </c>
      <c r="W3414" t="s">
        <v>14536</v>
      </c>
      <c r="X3414">
        <v>1</v>
      </c>
      <c r="Y3414" t="s">
        <v>20017</v>
      </c>
      <c r="Z3414" t="s">
        <v>25564</v>
      </c>
      <c r="AA3414">
        <v>0.57732198537304213</v>
      </c>
      <c r="AB3414" t="str">
        <f>HYPERLINK("Melting_Curves/meltCurve_Q5VV17_OTUD1.pdf", "Melting_Curves/meltCurve_Q5VV17_OTUD1.pdf")</f>
        <v>Melting_Curves/meltCurve_Q5VV17_OTUD1.pdf</v>
      </c>
    </row>
    <row r="3415" spans="1:28" x14ac:dyDescent="0.25">
      <c r="A3415" t="s">
        <v>3419</v>
      </c>
      <c r="B3415">
        <v>0.99796759195183404</v>
      </c>
      <c r="C3415">
        <v>0.94977066499837304</v>
      </c>
      <c r="D3415">
        <v>0.97822154268393002</v>
      </c>
      <c r="E3415">
        <v>0.94292989023496798</v>
      </c>
      <c r="F3415">
        <v>0.817207254901402</v>
      </c>
      <c r="G3415">
        <v>0.37367641473242902</v>
      </c>
      <c r="H3415">
        <v>0.33579455311671602</v>
      </c>
      <c r="I3415">
        <v>0.250327244007856</v>
      </c>
      <c r="J3415">
        <v>0.20538277998341201</v>
      </c>
      <c r="K3415">
        <v>0.15282639923491501</v>
      </c>
      <c r="L3415">
        <v>1475.6923994600199</v>
      </c>
      <c r="M3415">
        <v>28.418360144197901</v>
      </c>
      <c r="N3415">
        <v>52.949457819386097</v>
      </c>
      <c r="O3415">
        <v>51.672339902054802</v>
      </c>
      <c r="P3415">
        <v>-0.108469531666045</v>
      </c>
      <c r="Q3415">
        <v>0.21109744489888599</v>
      </c>
      <c r="R3415">
        <v>0.98528676994370601</v>
      </c>
      <c r="S3415" t="s">
        <v>8998</v>
      </c>
      <c r="T3415" t="s">
        <v>11164</v>
      </c>
      <c r="U3415" t="s">
        <v>11164</v>
      </c>
      <c r="V3415" t="s">
        <v>11164</v>
      </c>
      <c r="W3415" t="s">
        <v>14537</v>
      </c>
      <c r="X3415">
        <v>4</v>
      </c>
      <c r="Y3415" t="s">
        <v>20018</v>
      </c>
      <c r="Z3415" t="s">
        <v>25565</v>
      </c>
      <c r="AA3415">
        <v>0.60915444578587963</v>
      </c>
      <c r="AB3415" t="str">
        <f>HYPERLINK("Melting_Curves/meltCurve_Q5VV41_ARHGEF16.pdf", "Melting_Curves/meltCurve_Q5VV41_ARHGEF16.pdf")</f>
        <v>Melting_Curves/meltCurve_Q5VV41_ARHGEF16.pdf</v>
      </c>
    </row>
    <row r="3416" spans="1:28" x14ac:dyDescent="0.25">
      <c r="A3416" t="s">
        <v>3420</v>
      </c>
      <c r="B3416">
        <v>0.99796759195183404</v>
      </c>
      <c r="C3416">
        <v>0.99638902731554502</v>
      </c>
      <c r="D3416">
        <v>0.942241535806009</v>
      </c>
      <c r="E3416">
        <v>0.91364973373839997</v>
      </c>
      <c r="F3416">
        <v>0.63637276614222005</v>
      </c>
      <c r="G3416">
        <v>0.49243229132120098</v>
      </c>
      <c r="H3416">
        <v>0.38671253464676197</v>
      </c>
      <c r="I3416">
        <v>0.24823614080119899</v>
      </c>
      <c r="J3416">
        <v>0.137228225621499</v>
      </c>
      <c r="K3416">
        <v>0.108570962279776</v>
      </c>
      <c r="L3416">
        <v>597.26433856999995</v>
      </c>
      <c r="M3416">
        <v>11.089633019298599</v>
      </c>
      <c r="N3416">
        <v>54.016634375013801</v>
      </c>
      <c r="O3416">
        <v>52.195539026692202</v>
      </c>
      <c r="P3416">
        <v>-5.2281370110958902E-2</v>
      </c>
      <c r="Q3416">
        <v>1.6031542152063798E-2</v>
      </c>
      <c r="R3416">
        <v>0.99076708419609905</v>
      </c>
      <c r="S3416" t="s">
        <v>8999</v>
      </c>
      <c r="T3416" t="s">
        <v>11164</v>
      </c>
      <c r="U3416" t="s">
        <v>11164</v>
      </c>
      <c r="V3416" t="s">
        <v>11164</v>
      </c>
      <c r="W3416" t="s">
        <v>14538</v>
      </c>
      <c r="X3416">
        <v>3</v>
      </c>
      <c r="Y3416" t="s">
        <v>20019</v>
      </c>
      <c r="Z3416" t="s">
        <v>25566</v>
      </c>
      <c r="AA3416">
        <v>0.58722894127092706</v>
      </c>
      <c r="AB3416" t="str">
        <f>HYPERLINK("Melting_Curves/meltCurve_Q5VV42_CDKAL1.pdf", "Melting_Curves/meltCurve_Q5VV42_CDKAL1.pdf")</f>
        <v>Melting_Curves/meltCurve_Q5VV42_CDKAL1.pdf</v>
      </c>
    </row>
    <row r="3417" spans="1:28" x14ac:dyDescent="0.25">
      <c r="A3417" t="s">
        <v>3421</v>
      </c>
      <c r="B3417">
        <v>0.99796759195183404</v>
      </c>
      <c r="C3417">
        <v>0.99182716813434302</v>
      </c>
      <c r="D3417">
        <v>0.97866495268408904</v>
      </c>
      <c r="E3417">
        <v>0.90459519520390597</v>
      </c>
      <c r="F3417">
        <v>0.805229043414326</v>
      </c>
      <c r="G3417">
        <v>0.60628926908311598</v>
      </c>
      <c r="H3417">
        <v>0.55662587776858297</v>
      </c>
      <c r="I3417">
        <v>0.39054996535203501</v>
      </c>
      <c r="J3417">
        <v>0.40769509020344702</v>
      </c>
      <c r="K3417">
        <v>0.288316337905968</v>
      </c>
      <c r="L3417">
        <v>608.947067489407</v>
      </c>
      <c r="M3417">
        <v>11.143156897303401</v>
      </c>
      <c r="N3417">
        <v>57.9432070680664</v>
      </c>
      <c r="O3417">
        <v>52.976244018486703</v>
      </c>
      <c r="P3417">
        <v>-4.0256254026612197E-2</v>
      </c>
      <c r="Q3417">
        <v>0.23470850015995401</v>
      </c>
      <c r="R3417">
        <v>0.98809737773953599</v>
      </c>
      <c r="S3417" t="s">
        <v>9000</v>
      </c>
      <c r="T3417" t="s">
        <v>11164</v>
      </c>
      <c r="U3417" t="s">
        <v>11164</v>
      </c>
      <c r="V3417" t="s">
        <v>11164</v>
      </c>
      <c r="W3417" t="s">
        <v>14539</v>
      </c>
      <c r="X3417">
        <v>4</v>
      </c>
      <c r="Y3417" t="s">
        <v>20020</v>
      </c>
      <c r="Z3417" t="s">
        <v>25567</v>
      </c>
      <c r="AA3417">
        <v>0.6965532301672771</v>
      </c>
      <c r="AB3417" t="str">
        <f>HYPERLINK("Melting_Curves/meltCurve_Q5VV50_ZNF691.pdf", "Melting_Curves/meltCurve_Q5VV50_ZNF691.pdf")</f>
        <v>Melting_Curves/meltCurve_Q5VV50_ZNF691.pdf</v>
      </c>
    </row>
    <row r="3418" spans="1:28" x14ac:dyDescent="0.25">
      <c r="A3418" t="s">
        <v>3422</v>
      </c>
      <c r="B3418">
        <v>0.99796759195183404</v>
      </c>
      <c r="C3418">
        <v>0.983952651122873</v>
      </c>
      <c r="D3418">
        <v>0.97229996093050597</v>
      </c>
      <c r="E3418">
        <v>1.0029108217949001</v>
      </c>
      <c r="F3418">
        <v>0.83984669655997202</v>
      </c>
      <c r="G3418">
        <v>0.51875463469105698</v>
      </c>
      <c r="H3418">
        <v>0.245995702677306</v>
      </c>
      <c r="I3418">
        <v>0.15334218747384101</v>
      </c>
      <c r="J3418">
        <v>9.5052189798109796E-2</v>
      </c>
      <c r="K3418">
        <v>7.0454495655809302E-2</v>
      </c>
      <c r="L3418">
        <v>1224.78169086003</v>
      </c>
      <c r="M3418">
        <v>22.821955911592699</v>
      </c>
      <c r="N3418">
        <v>54.055788615754402</v>
      </c>
      <c r="O3418">
        <v>53.259862375171203</v>
      </c>
      <c r="P3418">
        <v>-9.9015534941060093E-2</v>
      </c>
      <c r="Q3418">
        <v>7.5723095810473401E-2</v>
      </c>
      <c r="R3418">
        <v>0.99832640618490798</v>
      </c>
      <c r="S3418" t="s">
        <v>9001</v>
      </c>
      <c r="T3418" t="s">
        <v>11164</v>
      </c>
      <c r="U3418" t="s">
        <v>11164</v>
      </c>
      <c r="V3418" t="s">
        <v>11164</v>
      </c>
      <c r="W3418" t="s">
        <v>14540</v>
      </c>
      <c r="X3418">
        <v>2</v>
      </c>
      <c r="Y3418" t="s">
        <v>20021</v>
      </c>
      <c r="Z3418" t="s">
        <v>25568</v>
      </c>
      <c r="AA3418">
        <v>0.59859915132518049</v>
      </c>
      <c r="AB3418" t="str">
        <f>HYPERLINK("Melting_Curves/meltCurve_Q5VVD7_PLEKHM2.pdf", "Melting_Curves/meltCurve_Q5VVD7_PLEKHM2.pdf")</f>
        <v>Melting_Curves/meltCurve_Q5VVD7_PLEKHM2.pdf</v>
      </c>
    </row>
    <row r="3419" spans="1:28" x14ac:dyDescent="0.25">
      <c r="A3419" t="s">
        <v>3423</v>
      </c>
      <c r="B3419">
        <v>0.99796759195183404</v>
      </c>
      <c r="C3419">
        <v>0.98926523400723398</v>
      </c>
      <c r="D3419">
        <v>0.941799515323131</v>
      </c>
      <c r="E3419">
        <v>0.88771573758521305</v>
      </c>
      <c r="F3419">
        <v>0.75846177646195001</v>
      </c>
      <c r="G3419">
        <v>0.378327693437429</v>
      </c>
      <c r="H3419">
        <v>0.25651024796946298</v>
      </c>
      <c r="I3419">
        <v>0.20990210633091499</v>
      </c>
      <c r="J3419">
        <v>0.13785836267457899</v>
      </c>
      <c r="K3419">
        <v>0.103281616052458</v>
      </c>
      <c r="L3419">
        <v>983.80557484321605</v>
      </c>
      <c r="M3419">
        <v>18.893955274767201</v>
      </c>
      <c r="N3419">
        <v>52.809970164701298</v>
      </c>
      <c r="O3419">
        <v>51.497066899177199</v>
      </c>
      <c r="P3419">
        <v>-8.1057960089443104E-2</v>
      </c>
      <c r="Q3419">
        <v>0.116314605430087</v>
      </c>
      <c r="R3419">
        <v>0.99230284290528903</v>
      </c>
      <c r="S3419" t="s">
        <v>9002</v>
      </c>
      <c r="T3419" t="s">
        <v>11164</v>
      </c>
      <c r="U3419" t="s">
        <v>11164</v>
      </c>
      <c r="V3419" t="s">
        <v>11164</v>
      </c>
      <c r="W3419" t="s">
        <v>14541</v>
      </c>
      <c r="X3419">
        <v>14</v>
      </c>
      <c r="Y3419" t="s">
        <v>20022</v>
      </c>
      <c r="Z3419" t="s">
        <v>25569</v>
      </c>
      <c r="AA3419">
        <v>0.57264206559886266</v>
      </c>
      <c r="AB3419" t="str">
        <f>HYPERLINK("Melting_Curves/meltCurve_Q5VVQ6_YOD1.pdf", "Melting_Curves/meltCurve_Q5VVQ6_YOD1.pdf")</f>
        <v>Melting_Curves/meltCurve_Q5VVQ6_YOD1.pdf</v>
      </c>
    </row>
    <row r="3420" spans="1:28" x14ac:dyDescent="0.25">
      <c r="A3420" t="s">
        <v>3424</v>
      </c>
      <c r="B3420">
        <v>0.99796759195183404</v>
      </c>
      <c r="C3420">
        <v>1.1229782564911399</v>
      </c>
      <c r="D3420">
        <v>1.0042368759720599</v>
      </c>
      <c r="E3420">
        <v>1.0499000485119501</v>
      </c>
      <c r="F3420">
        <v>0.98246381254201198</v>
      </c>
      <c r="G3420">
        <v>0.42733622839640301</v>
      </c>
      <c r="H3420">
        <v>0.49506977661650098</v>
      </c>
      <c r="I3420">
        <v>0.767740990548334</v>
      </c>
      <c r="J3420">
        <v>1.3026165581367799</v>
      </c>
      <c r="K3420">
        <v>2.8664494670652299</v>
      </c>
      <c r="L3420">
        <v>15000</v>
      </c>
      <c r="M3420">
        <v>234.43783851336099</v>
      </c>
      <c r="O3420">
        <v>63.978189592587697</v>
      </c>
      <c r="P3420">
        <v>0.45804250024819998</v>
      </c>
      <c r="Q3420">
        <v>1.5</v>
      </c>
      <c r="R3420">
        <v>0.38884358509053701</v>
      </c>
      <c r="S3420" t="s">
        <v>9003</v>
      </c>
      <c r="T3420" t="s">
        <v>11164</v>
      </c>
      <c r="U3420" t="s">
        <v>11164</v>
      </c>
      <c r="V3420" t="s">
        <v>11164</v>
      </c>
      <c r="W3420" t="s">
        <v>14542</v>
      </c>
      <c r="X3420">
        <v>2</v>
      </c>
      <c r="Y3420" t="s">
        <v>20023</v>
      </c>
      <c r="Z3420" t="s">
        <v>25570</v>
      </c>
      <c r="AA3420">
        <v>1.050222191674419</v>
      </c>
      <c r="AB3420" t="str">
        <f>HYPERLINK("Melting_Curves/meltCurve_Q5VW27_NFIB.pdf", "Melting_Curves/meltCurve_Q5VW27_NFIB.pdf")</f>
        <v>Melting_Curves/meltCurve_Q5VW27_NFIB.pdf</v>
      </c>
    </row>
    <row r="3421" spans="1:28" x14ac:dyDescent="0.25">
      <c r="A3421" t="s">
        <v>3425</v>
      </c>
      <c r="B3421">
        <v>0.99796759195183404</v>
      </c>
      <c r="C3421">
        <v>1.0279590022837699</v>
      </c>
      <c r="D3421">
        <v>1.0136325133508399</v>
      </c>
      <c r="E3421">
        <v>0.91881723664207404</v>
      </c>
      <c r="F3421">
        <v>0.74865188057001697</v>
      </c>
      <c r="G3421">
        <v>0.29279199678439999</v>
      </c>
      <c r="H3421">
        <v>0.17118081958735601</v>
      </c>
      <c r="I3421">
        <v>0.134737895530956</v>
      </c>
      <c r="J3421">
        <v>9.4231066989180795E-2</v>
      </c>
      <c r="K3421">
        <v>7.3487770280836598E-2</v>
      </c>
      <c r="L3421">
        <v>1465.45802982175</v>
      </c>
      <c r="M3421">
        <v>28.366787537198</v>
      </c>
      <c r="N3421">
        <v>52.060813732742403</v>
      </c>
      <c r="O3421">
        <v>51.406353031870502</v>
      </c>
      <c r="P3421">
        <v>-0.12445372282224799</v>
      </c>
      <c r="Q3421">
        <v>9.7866135585815806E-2</v>
      </c>
      <c r="R3421">
        <v>0.99638772247757601</v>
      </c>
      <c r="S3421" t="s">
        <v>9004</v>
      </c>
      <c r="T3421" t="s">
        <v>11164</v>
      </c>
      <c r="U3421" t="s">
        <v>11164</v>
      </c>
      <c r="V3421" t="s">
        <v>11164</v>
      </c>
      <c r="W3421" t="s">
        <v>14543</v>
      </c>
      <c r="X3421">
        <v>11</v>
      </c>
      <c r="Y3421" t="s">
        <v>20024</v>
      </c>
      <c r="Z3421" t="s">
        <v>25571</v>
      </c>
      <c r="AA3421">
        <v>0.54505179068666554</v>
      </c>
      <c r="AB3421" t="str">
        <f>HYPERLINK("Melting_Curves/meltCurve_Q5VW32_BROX.pdf", "Melting_Curves/meltCurve_Q5VW32_BROX.pdf")</f>
        <v>Melting_Curves/meltCurve_Q5VW32_BROX.pdf</v>
      </c>
    </row>
    <row r="3422" spans="1:28" x14ac:dyDescent="0.25">
      <c r="A3422" t="s">
        <v>3426</v>
      </c>
      <c r="B3422">
        <v>0.99796759195183404</v>
      </c>
      <c r="C3422">
        <v>1.1679228626043501</v>
      </c>
      <c r="D3422">
        <v>1.0254631860994601</v>
      </c>
      <c r="E3422">
        <v>0.92185417529052804</v>
      </c>
      <c r="F3422">
        <v>0.822725196377602</v>
      </c>
      <c r="G3422">
        <v>0.40541439766094101</v>
      </c>
      <c r="H3422">
        <v>0.176963995846003</v>
      </c>
      <c r="I3422">
        <v>0.164937135948551</v>
      </c>
      <c r="J3422">
        <v>0</v>
      </c>
      <c r="K3422">
        <v>0</v>
      </c>
      <c r="L3422">
        <v>1164.0411771372301</v>
      </c>
      <c r="M3422">
        <v>21.921768996426099</v>
      </c>
      <c r="N3422">
        <v>53.198856582838403</v>
      </c>
      <c r="O3422">
        <v>52.663854551436103</v>
      </c>
      <c r="P3422">
        <v>-0.101985459021689</v>
      </c>
      <c r="Q3422">
        <v>2.0001677640273999E-2</v>
      </c>
      <c r="R3422">
        <v>0.97710425615248597</v>
      </c>
      <c r="S3422" t="s">
        <v>9005</v>
      </c>
      <c r="T3422" t="s">
        <v>11164</v>
      </c>
      <c r="U3422" t="s">
        <v>11164</v>
      </c>
      <c r="V3422" t="s">
        <v>11164</v>
      </c>
      <c r="W3422" t="s">
        <v>14544</v>
      </c>
      <c r="X3422">
        <v>1</v>
      </c>
      <c r="Y3422" t="s">
        <v>20025</v>
      </c>
      <c r="Z3422" t="s">
        <v>25572</v>
      </c>
      <c r="AA3422">
        <v>0.55665588651530729</v>
      </c>
      <c r="AB3422" t="str">
        <f>HYPERLINK("Melting_Curves/meltCurve_Q5VW52_GPAM.pdf", "Melting_Curves/meltCurve_Q5VW52_GPAM.pdf")</f>
        <v>Melting_Curves/meltCurve_Q5VW52_GPAM.pdf</v>
      </c>
    </row>
    <row r="3423" spans="1:28" x14ac:dyDescent="0.25">
      <c r="A3423" t="s">
        <v>3427</v>
      </c>
      <c r="B3423">
        <v>0.99796759195183404</v>
      </c>
      <c r="C3423">
        <v>0.98786737188553997</v>
      </c>
      <c r="D3423">
        <v>0.96673181778418504</v>
      </c>
      <c r="E3423">
        <v>0.89836742192730901</v>
      </c>
      <c r="F3423">
        <v>0.78113728802829296</v>
      </c>
      <c r="G3423">
        <v>0.39726307003073102</v>
      </c>
      <c r="H3423">
        <v>0.32100038457837299</v>
      </c>
      <c r="I3423">
        <v>0.26049563393032799</v>
      </c>
      <c r="J3423">
        <v>0.23284938404266001</v>
      </c>
      <c r="K3423">
        <v>0.16855038756056401</v>
      </c>
      <c r="L3423">
        <v>1119.6124077070101</v>
      </c>
      <c r="M3423">
        <v>21.619348799213601</v>
      </c>
      <c r="N3423">
        <v>53.086997907569099</v>
      </c>
      <c r="O3423">
        <v>51.350540111897097</v>
      </c>
      <c r="P3423">
        <v>-8.3630101490640402E-2</v>
      </c>
      <c r="Q3423">
        <v>0.205462119309651</v>
      </c>
      <c r="R3423">
        <v>0.99046568541037605</v>
      </c>
      <c r="S3423" t="s">
        <v>9006</v>
      </c>
      <c r="T3423" t="s">
        <v>11164</v>
      </c>
      <c r="U3423" t="s">
        <v>11164</v>
      </c>
      <c r="V3423" t="s">
        <v>11164</v>
      </c>
      <c r="W3423" t="s">
        <v>14545</v>
      </c>
      <c r="X3423">
        <v>9</v>
      </c>
      <c r="Y3423" t="s">
        <v>20026</v>
      </c>
      <c r="Z3423" t="s">
        <v>25573</v>
      </c>
      <c r="AA3423">
        <v>0.60617293477263456</v>
      </c>
      <c r="AB3423" t="str">
        <f>HYPERLINK("Melting_Curves/meltCurve_Q5VWJ9_SNX30.pdf", "Melting_Curves/meltCurve_Q5VWJ9_SNX30.pdf")</f>
        <v>Melting_Curves/meltCurve_Q5VWJ9_SNX30.pdf</v>
      </c>
    </row>
    <row r="3424" spans="1:28" x14ac:dyDescent="0.25">
      <c r="A3424" t="s">
        <v>3428</v>
      </c>
      <c r="B3424">
        <v>0.99796759195183404</v>
      </c>
      <c r="C3424">
        <v>0.86595575054558804</v>
      </c>
      <c r="D3424">
        <v>0.901760608918309</v>
      </c>
      <c r="E3424">
        <v>0.82355002468359595</v>
      </c>
      <c r="F3424">
        <v>0.68172399843612896</v>
      </c>
      <c r="G3424">
        <v>0.55895569423696101</v>
      </c>
      <c r="H3424">
        <v>0.145808863815753</v>
      </c>
      <c r="I3424">
        <v>0.14578615248382201</v>
      </c>
      <c r="J3424">
        <v>0.13881147031614799</v>
      </c>
      <c r="K3424">
        <v>0</v>
      </c>
      <c r="L3424">
        <v>692.12757200947794</v>
      </c>
      <c r="M3424">
        <v>13.082825318601</v>
      </c>
      <c r="N3424">
        <v>52.903524691179399</v>
      </c>
      <c r="O3424">
        <v>51.713268140158199</v>
      </c>
      <c r="P3424">
        <v>-6.3257847883948101E-2</v>
      </c>
      <c r="Q3424">
        <v>0</v>
      </c>
      <c r="R3424">
        <v>0.96121373137507304</v>
      </c>
      <c r="S3424" t="s">
        <v>9007</v>
      </c>
      <c r="T3424" t="s">
        <v>11164</v>
      </c>
      <c r="U3424" t="s">
        <v>11164</v>
      </c>
      <c r="V3424" t="s">
        <v>11164</v>
      </c>
      <c r="W3424" t="s">
        <v>14546</v>
      </c>
      <c r="X3424">
        <v>1</v>
      </c>
      <c r="Y3424" t="s">
        <v>20027</v>
      </c>
      <c r="Z3424" t="s">
        <v>25574</v>
      </c>
      <c r="AA3424">
        <v>0.55033006267630169</v>
      </c>
      <c r="AB3424" t="str">
        <f>HYPERLINK("Melting_Curves/meltCurve_Q5VWP2_FAM46C.pdf", "Melting_Curves/meltCurve_Q5VWP2_FAM46C.pdf")</f>
        <v>Melting_Curves/meltCurve_Q5VWP2_FAM46C.pdf</v>
      </c>
    </row>
    <row r="3425" spans="1:28" x14ac:dyDescent="0.25">
      <c r="A3425" t="s">
        <v>3429</v>
      </c>
      <c r="B3425">
        <v>0.99796759195183404</v>
      </c>
      <c r="C3425">
        <v>0.97638519493606402</v>
      </c>
      <c r="D3425">
        <v>0.92318366816894704</v>
      </c>
      <c r="E3425">
        <v>0.89231236144666204</v>
      </c>
      <c r="F3425">
        <v>0.68364544219891799</v>
      </c>
      <c r="G3425">
        <v>0.482150900175775</v>
      </c>
      <c r="H3425">
        <v>0.32380973128914198</v>
      </c>
      <c r="I3425">
        <v>0.14302303337338099</v>
      </c>
      <c r="J3425">
        <v>0.119933790196146</v>
      </c>
      <c r="K3425">
        <v>0.104960455291553</v>
      </c>
      <c r="L3425">
        <v>685.76919169320297</v>
      </c>
      <c r="M3425">
        <v>12.8679132115622</v>
      </c>
      <c r="N3425">
        <v>53.469687657528702</v>
      </c>
      <c r="O3425">
        <v>52.055117382951202</v>
      </c>
      <c r="P3425">
        <v>-6.0523968603294898E-2</v>
      </c>
      <c r="Q3425">
        <v>2.0819526753281501E-2</v>
      </c>
      <c r="R3425">
        <v>0.99644928067954297</v>
      </c>
      <c r="S3425" t="s">
        <v>9008</v>
      </c>
      <c r="T3425" t="s">
        <v>11164</v>
      </c>
      <c r="U3425" t="s">
        <v>11164</v>
      </c>
      <c r="V3425" t="s">
        <v>11164</v>
      </c>
      <c r="W3425" t="s">
        <v>14547</v>
      </c>
      <c r="X3425">
        <v>4</v>
      </c>
      <c r="Y3425" t="s">
        <v>20028</v>
      </c>
      <c r="Z3425" t="s">
        <v>25575</v>
      </c>
      <c r="AA3425">
        <v>0.57170754714071204</v>
      </c>
      <c r="AB3425" t="str">
        <f>HYPERLINK("Melting_Curves/meltCurve_Q5VWZ2_LYPLAL1.pdf", "Melting_Curves/meltCurve_Q5VWZ2_LYPLAL1.pdf")</f>
        <v>Melting_Curves/meltCurve_Q5VWZ2_LYPLAL1.pdf</v>
      </c>
    </row>
    <row r="3426" spans="1:28" x14ac:dyDescent="0.25">
      <c r="A3426" t="s">
        <v>3430</v>
      </c>
      <c r="B3426">
        <v>0.99796759195183404</v>
      </c>
      <c r="C3426">
        <v>0.89225912445201505</v>
      </c>
      <c r="D3426">
        <v>0.84706152062488704</v>
      </c>
      <c r="E3426">
        <v>0.79865949282444604</v>
      </c>
      <c r="F3426">
        <v>0.69028825296677498</v>
      </c>
      <c r="G3426">
        <v>0.59292550314634895</v>
      </c>
      <c r="H3426">
        <v>0.29798162802185202</v>
      </c>
      <c r="I3426">
        <v>0.170558847462527</v>
      </c>
      <c r="J3426">
        <v>0.17373470993746301</v>
      </c>
      <c r="K3426">
        <v>0.123622838077887</v>
      </c>
      <c r="L3426">
        <v>522.58816915979605</v>
      </c>
      <c r="M3426">
        <v>9.7439489038583407</v>
      </c>
      <c r="N3426">
        <v>53.632076263804301</v>
      </c>
      <c r="O3426">
        <v>51.519400258632402</v>
      </c>
      <c r="P3426">
        <v>-4.7308303347037201E-2</v>
      </c>
      <c r="Q3426">
        <v>0</v>
      </c>
      <c r="R3426">
        <v>0.97230904078881797</v>
      </c>
      <c r="S3426" t="s">
        <v>9009</v>
      </c>
      <c r="T3426" t="s">
        <v>11164</v>
      </c>
      <c r="U3426" t="s">
        <v>11164</v>
      </c>
      <c r="V3426" t="s">
        <v>11164</v>
      </c>
      <c r="W3426" t="s">
        <v>14548</v>
      </c>
      <c r="X3426">
        <v>3</v>
      </c>
      <c r="Y3426" t="s">
        <v>20029</v>
      </c>
      <c r="Z3426" t="s">
        <v>25576</v>
      </c>
      <c r="AA3426">
        <v>0.57372555473987474</v>
      </c>
      <c r="AB3426" t="str">
        <f>HYPERLINK("Melting_Curves/meltCurve_Q5VZR0_GLIPR2.pdf", "Melting_Curves/meltCurve_Q5VZR0_GLIPR2.pdf")</f>
        <v>Melting_Curves/meltCurve_Q5VZR0_GLIPR2.pdf</v>
      </c>
    </row>
    <row r="3427" spans="1:28" x14ac:dyDescent="0.25">
      <c r="A3427" t="s">
        <v>3431</v>
      </c>
      <c r="B3427">
        <v>0.99796759195183404</v>
      </c>
      <c r="C3427">
        <v>0.960724051966239</v>
      </c>
      <c r="D3427">
        <v>0.89663720973244398</v>
      </c>
      <c r="E3427">
        <v>0.80178902496139004</v>
      </c>
      <c r="F3427">
        <v>0.71641217370455701</v>
      </c>
      <c r="G3427">
        <v>1.0077912210822899</v>
      </c>
      <c r="H3427">
        <v>0.82757484228370404</v>
      </c>
      <c r="I3427">
        <v>0.25571802959103401</v>
      </c>
      <c r="J3427">
        <v>0.121509737277239</v>
      </c>
      <c r="K3427">
        <v>0.11770557824013</v>
      </c>
      <c r="L3427">
        <v>2995.5037998553098</v>
      </c>
      <c r="M3427">
        <v>50.7557074703941</v>
      </c>
      <c r="N3427">
        <v>59.312124762412701</v>
      </c>
      <c r="O3427">
        <v>58.926666659491502</v>
      </c>
      <c r="P3427">
        <v>-0.19138162297295699</v>
      </c>
      <c r="Q3427">
        <v>0.111235159384087</v>
      </c>
      <c r="R3427">
        <v>0.88797369814099303</v>
      </c>
      <c r="S3427" t="s">
        <v>9010</v>
      </c>
      <c r="T3427" t="s">
        <v>11164</v>
      </c>
      <c r="U3427" t="s">
        <v>11164</v>
      </c>
      <c r="V3427" t="s">
        <v>11164</v>
      </c>
      <c r="W3427" t="s">
        <v>14549</v>
      </c>
      <c r="X3427">
        <v>12</v>
      </c>
      <c r="Y3427" t="s">
        <v>20030</v>
      </c>
      <c r="Z3427" t="s">
        <v>25577</v>
      </c>
      <c r="AA3427">
        <v>0.76566634734472083</v>
      </c>
      <c r="AB3427" t="str">
        <f>HYPERLINK("Melting_Curves/meltCurve_Q5VZU9_TPP2.pdf", "Melting_Curves/meltCurve_Q5VZU9_TPP2.pdf")</f>
        <v>Melting_Curves/meltCurve_Q5VZU9_TPP2.pdf</v>
      </c>
    </row>
    <row r="3428" spans="1:28" x14ac:dyDescent="0.25">
      <c r="A3428" t="s">
        <v>3432</v>
      </c>
      <c r="B3428">
        <v>0.99796759195183404</v>
      </c>
      <c r="C3428">
        <v>0.98658358162663196</v>
      </c>
      <c r="D3428">
        <v>0.98683940813667703</v>
      </c>
      <c r="E3428">
        <v>0.88835755346477696</v>
      </c>
      <c r="F3428">
        <v>0.92936975480830397</v>
      </c>
      <c r="G3428">
        <v>0.79339702565665304</v>
      </c>
      <c r="H3428">
        <v>0.59847805985791902</v>
      </c>
      <c r="I3428">
        <v>0.52621523501205003</v>
      </c>
      <c r="J3428">
        <v>0.39589987135611898</v>
      </c>
      <c r="K3428">
        <v>0.235691789536807</v>
      </c>
      <c r="L3428">
        <v>610.72329222288101</v>
      </c>
      <c r="M3428">
        <v>10.063202723601799</v>
      </c>
      <c r="N3428">
        <v>60.688773475812802</v>
      </c>
      <c r="O3428">
        <v>58.438334706404802</v>
      </c>
      <c r="P3428">
        <v>-4.3070954465197202E-2</v>
      </c>
      <c r="Q3428">
        <v>0</v>
      </c>
      <c r="R3428">
        <v>0.98271263341207404</v>
      </c>
      <c r="S3428" t="s">
        <v>9011</v>
      </c>
      <c r="T3428" t="s">
        <v>11164</v>
      </c>
      <c r="U3428" t="s">
        <v>11164</v>
      </c>
      <c r="V3428" t="s">
        <v>11164</v>
      </c>
      <c r="W3428" t="s">
        <v>14550</v>
      </c>
      <c r="X3428">
        <v>6</v>
      </c>
      <c r="Y3428" t="s">
        <v>20031</v>
      </c>
      <c r="Z3428" t="s">
        <v>25578</v>
      </c>
      <c r="AA3428">
        <v>0.7559129782550893</v>
      </c>
      <c r="AB3428" t="str">
        <f>HYPERLINK("Melting_Curves/meltCurve_Q5W015_PFKFB3.pdf", "Melting_Curves/meltCurve_Q5W015_PFKFB3.pdf")</f>
        <v>Melting_Curves/meltCurve_Q5W015_PFKFB3.pdf</v>
      </c>
    </row>
    <row r="3429" spans="1:28" x14ac:dyDescent="0.25">
      <c r="A3429" t="s">
        <v>3433</v>
      </c>
      <c r="B3429">
        <v>0.99796759195183404</v>
      </c>
      <c r="C3429">
        <v>1.1341078015530801</v>
      </c>
      <c r="D3429">
        <v>1.21069730512119</v>
      </c>
      <c r="E3429">
        <v>1.1010176077312599</v>
      </c>
      <c r="F3429">
        <v>0.96244316891197201</v>
      </c>
      <c r="G3429">
        <v>0.72790618268990104</v>
      </c>
      <c r="H3429">
        <v>0.42815744166446901</v>
      </c>
      <c r="I3429">
        <v>0.20409988987681199</v>
      </c>
      <c r="J3429">
        <v>3.2918831408196902E-2</v>
      </c>
      <c r="K3429">
        <v>0</v>
      </c>
      <c r="L3429">
        <v>1270.9703593960401</v>
      </c>
      <c r="M3429">
        <v>22.461301760351802</v>
      </c>
      <c r="N3429">
        <v>56.584902709358303</v>
      </c>
      <c r="O3429">
        <v>56.142095012181002</v>
      </c>
      <c r="P3429">
        <v>-0.10002192440775801</v>
      </c>
      <c r="Q3429">
        <v>0</v>
      </c>
      <c r="R3429">
        <v>0.96050771814823599</v>
      </c>
      <c r="S3429" t="s">
        <v>9012</v>
      </c>
      <c r="T3429" t="s">
        <v>11164</v>
      </c>
      <c r="U3429" t="s">
        <v>11164</v>
      </c>
      <c r="V3429" t="s">
        <v>11164</v>
      </c>
      <c r="W3429" t="s">
        <v>14551</v>
      </c>
      <c r="X3429">
        <v>2</v>
      </c>
      <c r="Y3429" t="s">
        <v>20032</v>
      </c>
      <c r="Z3429" t="s">
        <v>25579</v>
      </c>
      <c r="AA3429">
        <v>0.66150607861821387</v>
      </c>
      <c r="AB3429" t="str">
        <f>HYPERLINK("Melting_Curves/meltCurve_Q5W0V3_2_FAM160B1.pdf", "Melting_Curves/meltCurve_Q5W0V3_2_FAM160B1.pdf")</f>
        <v>Melting_Curves/meltCurve_Q5W0V3_2_FAM160B1.pdf</v>
      </c>
    </row>
    <row r="3430" spans="1:28" x14ac:dyDescent="0.25">
      <c r="A3430" t="s">
        <v>3434</v>
      </c>
      <c r="B3430">
        <v>0.99796759195183404</v>
      </c>
      <c r="C3430">
        <v>1.0529022122751399</v>
      </c>
      <c r="D3430">
        <v>1.0614602819693899</v>
      </c>
      <c r="E3430">
        <v>1.05599070327891</v>
      </c>
      <c r="F3430">
        <v>0.82891378681375105</v>
      </c>
      <c r="G3430">
        <v>0.576054816084696</v>
      </c>
      <c r="H3430">
        <v>0.647812388195108</v>
      </c>
      <c r="I3430">
        <v>0.50886642410629501</v>
      </c>
      <c r="J3430">
        <v>0.626678288440774</v>
      </c>
      <c r="K3430">
        <v>0.43477469170097</v>
      </c>
      <c r="L3430">
        <v>3200.8891035848101</v>
      </c>
      <c r="M3430">
        <v>63.277325863479298</v>
      </c>
      <c r="O3430">
        <v>50.534640527078402</v>
      </c>
      <c r="P3430">
        <v>-0.13878782356986399</v>
      </c>
      <c r="Q3430">
        <v>0.55664434495303805</v>
      </c>
      <c r="R3430">
        <v>0.92731190549876696</v>
      </c>
      <c r="S3430" t="s">
        <v>9013</v>
      </c>
      <c r="T3430" t="s">
        <v>11164</v>
      </c>
      <c r="U3430" t="s">
        <v>11164</v>
      </c>
      <c r="V3430" t="s">
        <v>11164</v>
      </c>
      <c r="W3430" t="s">
        <v>14552</v>
      </c>
      <c r="X3430">
        <v>4</v>
      </c>
      <c r="Y3430" t="s">
        <v>20033</v>
      </c>
      <c r="Z3430" t="s">
        <v>25580</v>
      </c>
      <c r="AA3430">
        <v>0.7580282352095884</v>
      </c>
      <c r="AB3430" t="str">
        <f>HYPERLINK("Melting_Curves/meltCurve_Q5W0Z9_3_ZDHHC20.pdf", "Melting_Curves/meltCurve_Q5W0Z9_3_ZDHHC20.pdf")</f>
        <v>Melting_Curves/meltCurve_Q5W0Z9_3_ZDHHC20.pdf</v>
      </c>
    </row>
    <row r="3431" spans="1:28" x14ac:dyDescent="0.25">
      <c r="A3431" t="s">
        <v>3435</v>
      </c>
      <c r="B3431">
        <v>0.99796759195183404</v>
      </c>
      <c r="C3431">
        <v>1.16669885753824</v>
      </c>
      <c r="D3431">
        <v>0.69738215523298597</v>
      </c>
      <c r="E3431">
        <v>0.91022237023896801</v>
      </c>
      <c r="F3431">
        <v>1.0106625015891599</v>
      </c>
      <c r="G3431">
        <v>0.676723739360791</v>
      </c>
      <c r="H3431">
        <v>0.53572635246787403</v>
      </c>
      <c r="I3431">
        <v>0.584000058658109</v>
      </c>
      <c r="J3431">
        <v>0.47419235770502799</v>
      </c>
      <c r="K3431">
        <v>0.30286243231258397</v>
      </c>
      <c r="L3431">
        <v>449.67255042051698</v>
      </c>
      <c r="M3431">
        <v>7.3123697804987904</v>
      </c>
      <c r="N3431">
        <v>61.4947762955752</v>
      </c>
      <c r="O3431">
        <v>57.3966082110664</v>
      </c>
      <c r="P3431">
        <v>-3.1900471413093198E-2</v>
      </c>
      <c r="Q3431">
        <v>0</v>
      </c>
      <c r="R3431">
        <v>0.77407974965714499</v>
      </c>
      <c r="S3431" t="s">
        <v>9014</v>
      </c>
      <c r="T3431" t="s">
        <v>11164</v>
      </c>
      <c r="U3431" t="s">
        <v>11164</v>
      </c>
      <c r="V3431" t="s">
        <v>11164</v>
      </c>
      <c r="W3431" t="s">
        <v>14553</v>
      </c>
      <c r="X3431">
        <v>4</v>
      </c>
      <c r="Y3431" t="s">
        <v>20034</v>
      </c>
      <c r="Z3431" t="s">
        <v>25581</v>
      </c>
      <c r="AA3431">
        <v>0.74522812074076328</v>
      </c>
      <c r="AB3431" t="str">
        <f>HYPERLINK("Melting_Curves/meltCurve_Q5W111_SPRYD7.pdf", "Melting_Curves/meltCurve_Q5W111_SPRYD7.pdf")</f>
        <v>Melting_Curves/meltCurve_Q5W111_SPRYD7.pdf</v>
      </c>
    </row>
    <row r="3432" spans="1:28" x14ac:dyDescent="0.25">
      <c r="A3432" t="s">
        <v>3436</v>
      </c>
      <c r="B3432">
        <v>0.99796759195183404</v>
      </c>
      <c r="C3432">
        <v>0.99176920970959104</v>
      </c>
      <c r="D3432">
        <v>0.94869569000013099</v>
      </c>
      <c r="E3432">
        <v>0.87318868850323805</v>
      </c>
      <c r="F3432">
        <v>0.40701578964864399</v>
      </c>
      <c r="G3432">
        <v>0.48579957137459701</v>
      </c>
      <c r="H3432">
        <v>1.5092952154391801</v>
      </c>
      <c r="I3432">
        <v>1.9194304496363099</v>
      </c>
      <c r="J3432">
        <v>2.50223194268523</v>
      </c>
      <c r="K3432">
        <v>1.68963631188187</v>
      </c>
      <c r="L3432">
        <v>13995.837107146799</v>
      </c>
      <c r="M3432">
        <v>250</v>
      </c>
      <c r="O3432">
        <v>55.979765877926802</v>
      </c>
      <c r="P3432">
        <v>0.55823741942127403</v>
      </c>
      <c r="Q3432">
        <v>1.5</v>
      </c>
      <c r="R3432">
        <v>0.52908463799271599</v>
      </c>
      <c r="S3432" t="s">
        <v>9015</v>
      </c>
      <c r="T3432" t="s">
        <v>11164</v>
      </c>
      <c r="U3432" t="s">
        <v>11164</v>
      </c>
      <c r="V3432" t="s">
        <v>11164</v>
      </c>
      <c r="W3432" t="s">
        <v>14554</v>
      </c>
      <c r="X3432">
        <v>2</v>
      </c>
      <c r="Y3432" t="s">
        <v>20035</v>
      </c>
      <c r="Z3432" t="s">
        <v>25582</v>
      </c>
      <c r="AA3432">
        <v>1.1835617345709479</v>
      </c>
      <c r="AB3432" t="str">
        <f>HYPERLINK("Melting_Curves/meltCurve_Q5W145_NDUFB8.pdf", "Melting_Curves/meltCurve_Q5W145_NDUFB8.pdf")</f>
        <v>Melting_Curves/meltCurve_Q5W145_NDUFB8.pdf</v>
      </c>
    </row>
    <row r="3433" spans="1:28" x14ac:dyDescent="0.25">
      <c r="A3433" t="s">
        <v>3437</v>
      </c>
      <c r="B3433">
        <v>0.99796759195183404</v>
      </c>
      <c r="C3433">
        <v>1.21242624597855</v>
      </c>
      <c r="D3433">
        <v>1.26539793730932</v>
      </c>
      <c r="E3433">
        <v>1.24286597399295</v>
      </c>
      <c r="F3433">
        <v>0.98286329794970495</v>
      </c>
      <c r="G3433">
        <v>0.76537244334115195</v>
      </c>
      <c r="H3433">
        <v>0.64436492008643798</v>
      </c>
      <c r="I3433">
        <v>0.43312485180990301</v>
      </c>
      <c r="J3433">
        <v>0.42228398695327302</v>
      </c>
      <c r="K3433">
        <v>0.28603640966461102</v>
      </c>
      <c r="L3433">
        <v>1179.38842769145</v>
      </c>
      <c r="M3433">
        <v>20.7654588340753</v>
      </c>
      <c r="N3433">
        <v>59.534458510904798</v>
      </c>
      <c r="O3433">
        <v>56.276841019312599</v>
      </c>
      <c r="P3433">
        <v>-6.3869203095869104E-2</v>
      </c>
      <c r="Q3433">
        <v>0.30764728465423202</v>
      </c>
      <c r="R3433">
        <v>0.84338238735970505</v>
      </c>
      <c r="S3433" t="s">
        <v>9016</v>
      </c>
      <c r="T3433" t="s">
        <v>11164</v>
      </c>
      <c r="U3433" t="s">
        <v>11164</v>
      </c>
      <c r="V3433" t="s">
        <v>11164</v>
      </c>
      <c r="W3433" t="s">
        <v>14555</v>
      </c>
      <c r="X3433">
        <v>3</v>
      </c>
      <c r="Y3433" t="s">
        <v>20036</v>
      </c>
      <c r="Z3433" t="s">
        <v>25583</v>
      </c>
      <c r="AA3433">
        <v>0.77069516675709904</v>
      </c>
      <c r="AB3433" t="str">
        <f>HYPERLINK("Melting_Curves/meltCurve_Q5XKP0_QIL1.pdf", "Melting_Curves/meltCurve_Q5XKP0_QIL1.pdf")</f>
        <v>Melting_Curves/meltCurve_Q5XKP0_QIL1.pdf</v>
      </c>
    </row>
    <row r="3434" spans="1:28" x14ac:dyDescent="0.25">
      <c r="A3434" t="s">
        <v>3438</v>
      </c>
      <c r="B3434">
        <v>0.99796759195183404</v>
      </c>
      <c r="C3434">
        <v>0.94320584687405995</v>
      </c>
      <c r="D3434">
        <v>0.96251036971804504</v>
      </c>
      <c r="E3434">
        <v>0.86208333046416596</v>
      </c>
      <c r="F3434">
        <v>0.67441691763203904</v>
      </c>
      <c r="G3434">
        <v>0.62530820555206001</v>
      </c>
      <c r="H3434">
        <v>0.42515139176921701</v>
      </c>
      <c r="I3434">
        <v>0.146438469227165</v>
      </c>
      <c r="J3434">
        <v>5.7382814828388001E-2</v>
      </c>
      <c r="K3434">
        <v>4.1039131690143997E-2</v>
      </c>
      <c r="L3434">
        <v>704.877470850789</v>
      </c>
      <c r="M3434">
        <v>12.926292618716801</v>
      </c>
      <c r="N3434">
        <v>54.5305210051283</v>
      </c>
      <c r="O3434">
        <v>53.274922317906899</v>
      </c>
      <c r="P3434">
        <v>-6.0669412047036402E-2</v>
      </c>
      <c r="Q3434">
        <v>0</v>
      </c>
      <c r="R3434">
        <v>0.97500075469681802</v>
      </c>
      <c r="S3434" t="s">
        <v>9017</v>
      </c>
      <c r="T3434" t="s">
        <v>11164</v>
      </c>
      <c r="U3434" t="s">
        <v>11164</v>
      </c>
      <c r="V3434" t="s">
        <v>11164</v>
      </c>
      <c r="W3434" t="s">
        <v>14556</v>
      </c>
      <c r="X3434">
        <v>1</v>
      </c>
      <c r="Y3434" t="s">
        <v>20037</v>
      </c>
      <c r="Z3434" t="s">
        <v>25584</v>
      </c>
      <c r="AA3434">
        <v>0.60032689480411561</v>
      </c>
      <c r="AB3434" t="str">
        <f>HYPERLINK("Melting_Curves/meltCurve_Q5XUX1_3_FBXW9.pdf", "Melting_Curves/meltCurve_Q5XUX1_3_FBXW9.pdf")</f>
        <v>Melting_Curves/meltCurve_Q5XUX1_3_FBXW9.pdf</v>
      </c>
    </row>
    <row r="3435" spans="1:28" x14ac:dyDescent="0.25">
      <c r="A3435" t="s">
        <v>3439</v>
      </c>
      <c r="B3435">
        <v>0.99796759195183404</v>
      </c>
      <c r="C3435">
        <v>1.07649989052839</v>
      </c>
      <c r="D3435">
        <v>1.0329799889837901</v>
      </c>
      <c r="E3435">
        <v>1.04962270400652</v>
      </c>
      <c r="F3435">
        <v>0.94212105324365403</v>
      </c>
      <c r="G3435">
        <v>0.61263915616715003</v>
      </c>
      <c r="H3435">
        <v>0.59542437151953098</v>
      </c>
      <c r="I3435">
        <v>0.47265245241357001</v>
      </c>
      <c r="J3435">
        <v>0.44710999528967499</v>
      </c>
      <c r="K3435">
        <v>0.33405450550090598</v>
      </c>
      <c r="L3435">
        <v>1171.48365263244</v>
      </c>
      <c r="M3435">
        <v>21.773962610304501</v>
      </c>
      <c r="N3435">
        <v>58.164282751561402</v>
      </c>
      <c r="O3435">
        <v>53.354400598330301</v>
      </c>
      <c r="P3435">
        <v>-6.0978756843157803E-2</v>
      </c>
      <c r="Q3435">
        <v>0.40233033389686201</v>
      </c>
      <c r="R3435">
        <v>0.95466041575000504</v>
      </c>
      <c r="S3435" t="s">
        <v>9018</v>
      </c>
      <c r="T3435" t="s">
        <v>11164</v>
      </c>
      <c r="U3435" t="s">
        <v>11164</v>
      </c>
      <c r="V3435" t="s">
        <v>11164</v>
      </c>
      <c r="W3435" t="s">
        <v>14557</v>
      </c>
      <c r="X3435">
        <v>5</v>
      </c>
      <c r="Y3435" t="s">
        <v>20038</v>
      </c>
      <c r="Z3435" t="s">
        <v>25585</v>
      </c>
      <c r="AA3435">
        <v>0.74355133353938518</v>
      </c>
      <c r="AB3435" t="str">
        <f>HYPERLINK("Melting_Curves/meltCurve_Q5ZPR3_CD276.pdf", "Melting_Curves/meltCurve_Q5ZPR3_CD276.pdf")</f>
        <v>Melting_Curves/meltCurve_Q5ZPR3_CD276.pdf</v>
      </c>
    </row>
    <row r="3436" spans="1:28" x14ac:dyDescent="0.25">
      <c r="A3436" t="s">
        <v>3440</v>
      </c>
      <c r="B3436">
        <v>0.99796759195183404</v>
      </c>
      <c r="C3436">
        <v>1.0083964084522401</v>
      </c>
      <c r="D3436">
        <v>0.96939381393067603</v>
      </c>
      <c r="E3436">
        <v>0.82961305781996497</v>
      </c>
      <c r="F3436">
        <v>0.68441546432232003</v>
      </c>
      <c r="G3436">
        <v>0.75783027134782499</v>
      </c>
      <c r="H3436">
        <v>0.66677894306619201</v>
      </c>
      <c r="I3436">
        <v>0.63196952760237901</v>
      </c>
      <c r="J3436">
        <v>0.66839148441286</v>
      </c>
      <c r="K3436">
        <v>0.58045001480141301</v>
      </c>
      <c r="L3436">
        <v>875.30315236611398</v>
      </c>
      <c r="M3436">
        <v>18.5848985939211</v>
      </c>
      <c r="O3436">
        <v>46.562399440621697</v>
      </c>
      <c r="P3436">
        <v>-3.57122630155308E-2</v>
      </c>
      <c r="Q3436">
        <v>0.64212298576553695</v>
      </c>
      <c r="R3436">
        <v>0.93693959781333702</v>
      </c>
      <c r="S3436" t="s">
        <v>9019</v>
      </c>
      <c r="T3436" t="s">
        <v>11164</v>
      </c>
      <c r="U3436" t="s">
        <v>11164</v>
      </c>
      <c r="V3436" t="s">
        <v>11164</v>
      </c>
      <c r="W3436" t="s">
        <v>14558</v>
      </c>
      <c r="X3436">
        <v>27</v>
      </c>
      <c r="Y3436" t="s">
        <v>20039</v>
      </c>
      <c r="Z3436" t="s">
        <v>25586</v>
      </c>
      <c r="AA3436">
        <v>0.76798102116729183</v>
      </c>
      <c r="AB3436" t="str">
        <f>HYPERLINK("Melting_Curves/meltCurve_Q641Q2_2_FAM21A.pdf", "Melting_Curves/meltCurve_Q641Q2_2_FAM21A.pdf")</f>
        <v>Melting_Curves/meltCurve_Q641Q2_2_FAM21A.pdf</v>
      </c>
    </row>
    <row r="3437" spans="1:28" x14ac:dyDescent="0.25">
      <c r="A3437" t="s">
        <v>3441</v>
      </c>
      <c r="B3437">
        <v>0.99796759195183404</v>
      </c>
      <c r="C3437">
        <v>0.80038056806246405</v>
      </c>
      <c r="D3437">
        <v>0.96864475970245101</v>
      </c>
      <c r="E3437">
        <v>0.81422957750537805</v>
      </c>
      <c r="F3437">
        <v>0.73026198599523795</v>
      </c>
      <c r="G3437">
        <v>0.46038163376737101</v>
      </c>
      <c r="H3437">
        <v>0.290062281525581</v>
      </c>
      <c r="I3437">
        <v>0.224277826770786</v>
      </c>
      <c r="J3437">
        <v>0.186472262649785</v>
      </c>
      <c r="K3437">
        <v>0.17955544777353</v>
      </c>
      <c r="L3437">
        <v>631.90206174607101</v>
      </c>
      <c r="M3437">
        <v>12.0604033862954</v>
      </c>
      <c r="N3437">
        <v>53.309567178966297</v>
      </c>
      <c r="O3437">
        <v>51.016641196821602</v>
      </c>
      <c r="P3437">
        <v>-5.3588721280918399E-2</v>
      </c>
      <c r="Q3437">
        <v>9.3472991510203399E-2</v>
      </c>
      <c r="R3437">
        <v>0.95926835903715701</v>
      </c>
      <c r="S3437" t="s">
        <v>9020</v>
      </c>
      <c r="T3437" t="s">
        <v>11164</v>
      </c>
      <c r="U3437" t="s">
        <v>11164</v>
      </c>
      <c r="V3437" t="s">
        <v>11164</v>
      </c>
      <c r="W3437" t="s">
        <v>14559</v>
      </c>
      <c r="X3437">
        <v>2</v>
      </c>
      <c r="Y3437" t="s">
        <v>20040</v>
      </c>
      <c r="Z3437" t="s">
        <v>25587</v>
      </c>
      <c r="AA3437">
        <v>0.57921859404872078</v>
      </c>
      <c r="AB3437" t="str">
        <f>HYPERLINK("Melting_Curves/meltCurve_Q643R3_LPCAT4.pdf", "Melting_Curves/meltCurve_Q643R3_LPCAT4.pdf")</f>
        <v>Melting_Curves/meltCurve_Q643R3_LPCAT4.pdf</v>
      </c>
    </row>
    <row r="3438" spans="1:28" x14ac:dyDescent="0.25">
      <c r="A3438" t="s">
        <v>3442</v>
      </c>
      <c r="B3438">
        <v>0.99796759195183404</v>
      </c>
      <c r="C3438">
        <v>0.90462231197426202</v>
      </c>
      <c r="D3438">
        <v>1.0498868824315499</v>
      </c>
      <c r="E3438">
        <v>0.87754343793701595</v>
      </c>
      <c r="F3438">
        <v>0.84554931485381402</v>
      </c>
      <c r="G3438">
        <v>0.69263807027868995</v>
      </c>
      <c r="H3438">
        <v>0.28268222840339002</v>
      </c>
      <c r="I3438">
        <v>0.16207669277942999</v>
      </c>
      <c r="J3438">
        <v>6.8085942315191494E-2</v>
      </c>
      <c r="K3438">
        <v>5.2197897904139597E-2</v>
      </c>
      <c r="L3438">
        <v>1024.9725158978099</v>
      </c>
      <c r="M3438">
        <v>18.539456547750898</v>
      </c>
      <c r="N3438">
        <v>55.295552564270601</v>
      </c>
      <c r="O3438">
        <v>54.654816266519198</v>
      </c>
      <c r="P3438">
        <v>-8.46707534643555E-2</v>
      </c>
      <c r="Q3438">
        <v>1.597269235777E-3</v>
      </c>
      <c r="R3438">
        <v>0.98060864388489999</v>
      </c>
      <c r="S3438" t="s">
        <v>9021</v>
      </c>
      <c r="T3438" t="s">
        <v>11164</v>
      </c>
      <c r="U3438" t="s">
        <v>11164</v>
      </c>
      <c r="V3438" t="s">
        <v>11164</v>
      </c>
      <c r="W3438" t="s">
        <v>14560</v>
      </c>
      <c r="X3438">
        <v>5</v>
      </c>
      <c r="Y3438" t="s">
        <v>20041</v>
      </c>
      <c r="Z3438" t="s">
        <v>25588</v>
      </c>
      <c r="AA3438">
        <v>0.6220239281782054</v>
      </c>
      <c r="AB3438" t="str">
        <f>HYPERLINK("Melting_Curves/meltCurve_Q658P3_3_STEAP3.pdf", "Melting_Curves/meltCurve_Q658P3_3_STEAP3.pdf")</f>
        <v>Melting_Curves/meltCurve_Q658P3_3_STEAP3.pdf</v>
      </c>
    </row>
    <row r="3439" spans="1:28" x14ac:dyDescent="0.25">
      <c r="A3439" t="s">
        <v>3443</v>
      </c>
      <c r="B3439">
        <v>0.99796759195183404</v>
      </c>
      <c r="C3439">
        <v>1.02041027808016</v>
      </c>
      <c r="D3439">
        <v>0.94863523373501502</v>
      </c>
      <c r="E3439">
        <v>0.90145044670517804</v>
      </c>
      <c r="F3439">
        <v>0.83167714654249003</v>
      </c>
      <c r="G3439">
        <v>0.70182968341031005</v>
      </c>
      <c r="H3439">
        <v>7.1371210082079001E-2</v>
      </c>
      <c r="I3439">
        <v>0.12478711559193099</v>
      </c>
      <c r="J3439">
        <v>5.00504687429352E-2</v>
      </c>
      <c r="K3439">
        <v>2.5993767359242699E-2</v>
      </c>
      <c r="L3439">
        <v>3060.69784390429</v>
      </c>
      <c r="M3439">
        <v>56.182609415811797</v>
      </c>
      <c r="N3439">
        <v>54.592778140867701</v>
      </c>
      <c r="O3439">
        <v>54.408783758062697</v>
      </c>
      <c r="P3439">
        <v>-0.24373165701503399</v>
      </c>
      <c r="Q3439">
        <v>5.5854764663578797E-2</v>
      </c>
      <c r="R3439">
        <v>0.97391468705842599</v>
      </c>
      <c r="S3439" t="s">
        <v>9022</v>
      </c>
      <c r="T3439" t="s">
        <v>11164</v>
      </c>
      <c r="U3439" t="s">
        <v>11164</v>
      </c>
      <c r="V3439" t="s">
        <v>11164</v>
      </c>
      <c r="W3439" t="s">
        <v>14561</v>
      </c>
      <c r="X3439">
        <v>2</v>
      </c>
      <c r="Y3439" t="s">
        <v>20042</v>
      </c>
      <c r="Z3439" t="s">
        <v>25589</v>
      </c>
      <c r="AA3439">
        <v>0.60769701321441894</v>
      </c>
      <c r="AB3439" t="str">
        <f>HYPERLINK("Melting_Curves/meltCurve_Q66GS9_CEP135.pdf", "Melting_Curves/meltCurve_Q66GS9_CEP135.pdf")</f>
        <v>Melting_Curves/meltCurve_Q66GS9_CEP135.pdf</v>
      </c>
    </row>
    <row r="3440" spans="1:28" x14ac:dyDescent="0.25">
      <c r="A3440" t="s">
        <v>3444</v>
      </c>
      <c r="B3440">
        <v>0.99796759195183404</v>
      </c>
      <c r="C3440">
        <v>0.99945796224917605</v>
      </c>
      <c r="D3440">
        <v>0.95912099124819705</v>
      </c>
      <c r="E3440">
        <v>0.905932808172493</v>
      </c>
      <c r="F3440">
        <v>0.79662904568708304</v>
      </c>
      <c r="G3440">
        <v>0.30518276459767502</v>
      </c>
      <c r="H3440">
        <v>0.18571301118245501</v>
      </c>
      <c r="I3440">
        <v>0.153274816053594</v>
      </c>
      <c r="J3440">
        <v>0.12232362028209</v>
      </c>
      <c r="K3440">
        <v>8.5036863510351904E-2</v>
      </c>
      <c r="L3440">
        <v>1629.7406229276</v>
      </c>
      <c r="M3440">
        <v>31.438503929773798</v>
      </c>
      <c r="N3440">
        <v>52.294917097095301</v>
      </c>
      <c r="O3440">
        <v>51.6306113517673</v>
      </c>
      <c r="P3440">
        <v>-0.13398147436547</v>
      </c>
      <c r="Q3440">
        <v>0.119868048011674</v>
      </c>
      <c r="R3440">
        <v>0.99303680542996198</v>
      </c>
      <c r="S3440" t="s">
        <v>9023</v>
      </c>
      <c r="T3440" t="s">
        <v>11164</v>
      </c>
      <c r="U3440" t="s">
        <v>11164</v>
      </c>
      <c r="V3440" t="s">
        <v>11164</v>
      </c>
      <c r="W3440" t="s">
        <v>14562</v>
      </c>
      <c r="X3440">
        <v>12</v>
      </c>
      <c r="Y3440" t="s">
        <v>20043</v>
      </c>
      <c r="Z3440" t="s">
        <v>25590</v>
      </c>
      <c r="AA3440">
        <v>0.56027414179399926</v>
      </c>
      <c r="AB3440" t="str">
        <f>HYPERLINK("Melting_Curves/meltCurve_Q66K14_2_TBC1D9B.pdf", "Melting_Curves/meltCurve_Q66K14_2_TBC1D9B.pdf")</f>
        <v>Melting_Curves/meltCurve_Q66K14_2_TBC1D9B.pdf</v>
      </c>
    </row>
    <row r="3441" spans="1:28" x14ac:dyDescent="0.25">
      <c r="A3441" t="s">
        <v>3445</v>
      </c>
      <c r="B3441">
        <v>0.99796759195183404</v>
      </c>
      <c r="C3441">
        <v>1.29606666045746</v>
      </c>
      <c r="D3441">
        <v>1.1800331817006</v>
      </c>
      <c r="E3441">
        <v>1.0594868419989301</v>
      </c>
      <c r="F3441">
        <v>0.84292211116975202</v>
      </c>
      <c r="G3441">
        <v>1.0580402762846099</v>
      </c>
      <c r="H3441">
        <v>0.56725270971564901</v>
      </c>
      <c r="I3441">
        <v>0.43049952398105801</v>
      </c>
      <c r="J3441">
        <v>0.29166309117360101</v>
      </c>
      <c r="K3441">
        <v>0.119033456333483</v>
      </c>
      <c r="L3441">
        <v>1280.9682452571501</v>
      </c>
      <c r="M3441">
        <v>21.764300095641001</v>
      </c>
      <c r="N3441">
        <v>59.538998328507198</v>
      </c>
      <c r="O3441">
        <v>58.366270254000902</v>
      </c>
      <c r="P3441">
        <v>-8.2931739625814696E-2</v>
      </c>
      <c r="Q3441">
        <v>0.11041412126856601</v>
      </c>
      <c r="R3441">
        <v>0.87349898362092304</v>
      </c>
      <c r="S3441" t="s">
        <v>9024</v>
      </c>
      <c r="T3441" t="s">
        <v>11164</v>
      </c>
      <c r="U3441" t="s">
        <v>11164</v>
      </c>
      <c r="V3441" t="s">
        <v>11164</v>
      </c>
      <c r="W3441" t="s">
        <v>14563</v>
      </c>
      <c r="X3441">
        <v>2</v>
      </c>
      <c r="Y3441" t="s">
        <v>20044</v>
      </c>
      <c r="Z3441" t="s">
        <v>25591</v>
      </c>
      <c r="AA3441">
        <v>0.76298121177347988</v>
      </c>
      <c r="AB3441" t="str">
        <f>HYPERLINK("Melting_Curves/meltCurve_Q66K64_DCAF15.pdf", "Melting_Curves/meltCurve_Q66K64_DCAF15.pdf")</f>
        <v>Melting_Curves/meltCurve_Q66K64_DCAF15.pdf</v>
      </c>
    </row>
    <row r="3442" spans="1:28" x14ac:dyDescent="0.25">
      <c r="A3442" t="s">
        <v>3446</v>
      </c>
      <c r="B3442">
        <v>0.99796759195183404</v>
      </c>
      <c r="C3442">
        <v>1.03672824155538</v>
      </c>
      <c r="D3442">
        <v>0.998154871659511</v>
      </c>
      <c r="E3442">
        <v>1.0160170307020999</v>
      </c>
      <c r="F3442">
        <v>0.89736645500548196</v>
      </c>
      <c r="G3442">
        <v>0.79752062373853105</v>
      </c>
      <c r="H3442">
        <v>0.61279610631682302</v>
      </c>
      <c r="I3442">
        <v>0.35353412795369199</v>
      </c>
      <c r="J3442">
        <v>0.30709095942209302</v>
      </c>
      <c r="K3442">
        <v>0.26619776734203299</v>
      </c>
      <c r="L3442">
        <v>1014.5930365967</v>
      </c>
      <c r="M3442">
        <v>17.781850165015001</v>
      </c>
      <c r="N3442">
        <v>58.766662681321101</v>
      </c>
      <c r="O3442">
        <v>56.350842037175802</v>
      </c>
      <c r="P3442">
        <v>-6.2967023000140898E-2</v>
      </c>
      <c r="Q3442">
        <v>0.20186912259763001</v>
      </c>
      <c r="R3442">
        <v>0.99263767519724899</v>
      </c>
      <c r="S3442" t="s">
        <v>9025</v>
      </c>
      <c r="T3442" t="s">
        <v>11164</v>
      </c>
      <c r="U3442" t="s">
        <v>11164</v>
      </c>
      <c r="V3442" t="s">
        <v>11164</v>
      </c>
      <c r="W3442" t="s">
        <v>14564</v>
      </c>
      <c r="X3442">
        <v>9</v>
      </c>
      <c r="Y3442" t="s">
        <v>20045</v>
      </c>
      <c r="Z3442" t="s">
        <v>25592</v>
      </c>
      <c r="AA3442">
        <v>0.74253958554079935</v>
      </c>
      <c r="AB3442" t="str">
        <f>HYPERLINK("Melting_Curves/meltCurve_Q66LE6_PPP2R2D.pdf", "Melting_Curves/meltCurve_Q66LE6_PPP2R2D.pdf")</f>
        <v>Melting_Curves/meltCurve_Q66LE6_PPP2R2D.pdf</v>
      </c>
    </row>
    <row r="3443" spans="1:28" x14ac:dyDescent="0.25">
      <c r="A3443" t="s">
        <v>3447</v>
      </c>
      <c r="B3443">
        <v>0.99796759195183404</v>
      </c>
      <c r="C3443">
        <v>1.2559278086786101</v>
      </c>
      <c r="D3443">
        <v>1.14173726651098</v>
      </c>
      <c r="E3443">
        <v>0.94845807109484104</v>
      </c>
      <c r="F3443">
        <v>0.90099405588163595</v>
      </c>
      <c r="G3443">
        <v>0.54846884012294395</v>
      </c>
      <c r="H3443">
        <v>0.400419935138146</v>
      </c>
      <c r="I3443">
        <v>0.34663105344272299</v>
      </c>
      <c r="J3443">
        <v>0.378277436648504</v>
      </c>
      <c r="K3443">
        <v>0.45397419457279098</v>
      </c>
      <c r="L3443">
        <v>2022.14729592659</v>
      </c>
      <c r="M3443">
        <v>38.659629729056398</v>
      </c>
      <c r="N3443">
        <v>54.437708664079899</v>
      </c>
      <c r="O3443">
        <v>52.167069702874898</v>
      </c>
      <c r="P3443">
        <v>-0.11302569419257499</v>
      </c>
      <c r="Q3443">
        <v>0.38993678935270798</v>
      </c>
      <c r="R3443">
        <v>0.91301812810028804</v>
      </c>
      <c r="S3443" t="s">
        <v>9026</v>
      </c>
      <c r="T3443" t="s">
        <v>11164</v>
      </c>
      <c r="U3443" t="s">
        <v>11164</v>
      </c>
      <c r="V3443" t="s">
        <v>11164</v>
      </c>
      <c r="W3443" t="s">
        <v>14565</v>
      </c>
      <c r="X3443">
        <v>8</v>
      </c>
      <c r="Y3443" t="s">
        <v>20046</v>
      </c>
      <c r="Z3443" t="s">
        <v>25593</v>
      </c>
      <c r="AA3443">
        <v>0.70355324407648245</v>
      </c>
      <c r="AB3443" t="str">
        <f>HYPERLINK("Melting_Curves/meltCurve_Q66PJ3_ARL6IP4.pdf", "Melting_Curves/meltCurve_Q66PJ3_ARL6IP4.pdf")</f>
        <v>Melting_Curves/meltCurve_Q66PJ3_ARL6IP4.pdf</v>
      </c>
    </row>
    <row r="3444" spans="1:28" x14ac:dyDescent="0.25">
      <c r="A3444" t="s">
        <v>3448</v>
      </c>
      <c r="B3444">
        <v>0.99796759195183404</v>
      </c>
      <c r="C3444">
        <v>0.93568514968210803</v>
      </c>
      <c r="D3444">
        <v>1.01102287099699</v>
      </c>
      <c r="E3444">
        <v>1.0050707190202</v>
      </c>
      <c r="F3444">
        <v>0.50740006602388399</v>
      </c>
      <c r="G3444">
        <v>0.160007666448025</v>
      </c>
      <c r="H3444">
        <v>0.13749565537386199</v>
      </c>
      <c r="I3444">
        <v>9.96720719197179E-2</v>
      </c>
      <c r="J3444">
        <v>0.108198354770891</v>
      </c>
      <c r="K3444">
        <v>3.84701958427595E-2</v>
      </c>
      <c r="L3444">
        <v>2367.1886200806398</v>
      </c>
      <c r="M3444">
        <v>47.313113591011202</v>
      </c>
      <c r="N3444">
        <v>50.272548619334003</v>
      </c>
      <c r="O3444">
        <v>49.943260664154998</v>
      </c>
      <c r="P3444">
        <v>-0.21287967640081501</v>
      </c>
      <c r="Q3444">
        <v>0.101146079847331</v>
      </c>
      <c r="R3444">
        <v>0.993492971157522</v>
      </c>
      <c r="S3444" t="s">
        <v>9027</v>
      </c>
      <c r="T3444" t="s">
        <v>11164</v>
      </c>
      <c r="U3444" t="s">
        <v>11164</v>
      </c>
      <c r="V3444" t="s">
        <v>11164</v>
      </c>
      <c r="W3444" t="s">
        <v>14566</v>
      </c>
      <c r="X3444">
        <v>6</v>
      </c>
      <c r="Y3444" t="s">
        <v>20047</v>
      </c>
      <c r="Z3444" t="s">
        <v>25594</v>
      </c>
      <c r="AA3444">
        <v>0.49383672372830129</v>
      </c>
      <c r="AB3444" t="str">
        <f>HYPERLINK("Melting_Curves/meltCurve_Q68CQ4_DIEXF.pdf", "Melting_Curves/meltCurve_Q68CQ4_DIEXF.pdf")</f>
        <v>Melting_Curves/meltCurve_Q68CQ4_DIEXF.pdf</v>
      </c>
    </row>
    <row r="3445" spans="1:28" x14ac:dyDescent="0.25">
      <c r="A3445" t="s">
        <v>3449</v>
      </c>
      <c r="B3445">
        <v>0.99796759195183404</v>
      </c>
      <c r="C3445">
        <v>0.94373812575251703</v>
      </c>
      <c r="D3445">
        <v>0.97407302801972095</v>
      </c>
      <c r="E3445">
        <v>0.798830158329488</v>
      </c>
      <c r="F3445">
        <v>0.58940551295513399</v>
      </c>
      <c r="G3445">
        <v>0.38590358237018102</v>
      </c>
      <c r="H3445">
        <v>0.26254442751527901</v>
      </c>
      <c r="I3445">
        <v>0.25652013201815299</v>
      </c>
      <c r="J3445">
        <v>0.17596536295030801</v>
      </c>
      <c r="K3445">
        <v>0.14295118923117001</v>
      </c>
      <c r="L3445">
        <v>738.29357421903103</v>
      </c>
      <c r="M3445">
        <v>14.622863602485801</v>
      </c>
      <c r="N3445">
        <v>51.708203465291298</v>
      </c>
      <c r="O3445">
        <v>49.572937498956101</v>
      </c>
      <c r="P3445">
        <v>-6.2998213238219594E-2</v>
      </c>
      <c r="Q3445">
        <v>0.14581493388037101</v>
      </c>
      <c r="R3445">
        <v>0.99463401769723503</v>
      </c>
      <c r="S3445" t="s">
        <v>9028</v>
      </c>
      <c r="T3445" t="s">
        <v>11164</v>
      </c>
      <c r="U3445" t="s">
        <v>11164</v>
      </c>
      <c r="V3445" t="s">
        <v>11164</v>
      </c>
      <c r="W3445" t="s">
        <v>14567</v>
      </c>
      <c r="X3445">
        <v>1</v>
      </c>
      <c r="Y3445" t="s">
        <v>20048</v>
      </c>
      <c r="Z3445" t="s">
        <v>25595</v>
      </c>
      <c r="AA3445">
        <v>0.54805897688267047</v>
      </c>
      <c r="AB3445" t="str">
        <f>HYPERLINK("Melting_Curves/meltCurve_Q68CQ7_GLT8D1.pdf", "Melting_Curves/meltCurve_Q68CQ7_GLT8D1.pdf")</f>
        <v>Melting_Curves/meltCurve_Q68CQ7_GLT8D1.pdf</v>
      </c>
    </row>
    <row r="3446" spans="1:28" x14ac:dyDescent="0.25">
      <c r="A3446" t="s">
        <v>3450</v>
      </c>
      <c r="B3446">
        <v>0.99796759195183404</v>
      </c>
      <c r="C3446">
        <v>0.93774240371156503</v>
      </c>
      <c r="D3446">
        <v>0.98209505650715001</v>
      </c>
      <c r="E3446">
        <v>0.86691601510490102</v>
      </c>
      <c r="F3446">
        <v>0.87599097262762404</v>
      </c>
      <c r="G3446">
        <v>0.57555065708678299</v>
      </c>
      <c r="H3446">
        <v>0.43015103555630002</v>
      </c>
      <c r="I3446">
        <v>0.39710721865063198</v>
      </c>
      <c r="J3446">
        <v>0.32509862926122601</v>
      </c>
      <c r="K3446">
        <v>0.17340132168368899</v>
      </c>
      <c r="L3446">
        <v>616.71823746445205</v>
      </c>
      <c r="M3446">
        <v>11.1281518991987</v>
      </c>
      <c r="N3446">
        <v>56.730330212089903</v>
      </c>
      <c r="O3446">
        <v>53.7203057929596</v>
      </c>
      <c r="P3446">
        <v>-4.5931877431195103E-2</v>
      </c>
      <c r="Q3446">
        <v>0.113355481441566</v>
      </c>
      <c r="R3446">
        <v>0.97159404795363302</v>
      </c>
      <c r="S3446" t="s">
        <v>9029</v>
      </c>
      <c r="T3446" t="s">
        <v>11164</v>
      </c>
      <c r="U3446" t="s">
        <v>11164</v>
      </c>
      <c r="V3446" t="s">
        <v>11164</v>
      </c>
      <c r="W3446" t="s">
        <v>14568</v>
      </c>
      <c r="X3446">
        <v>6</v>
      </c>
      <c r="Y3446" t="s">
        <v>20049</v>
      </c>
      <c r="Z3446" t="s">
        <v>25596</v>
      </c>
      <c r="AA3446">
        <v>0.66799484058451908</v>
      </c>
      <c r="AB3446" t="str">
        <f>HYPERLINK("Melting_Curves/meltCurve_Q68D85_NCR3LG1.pdf", "Melting_Curves/meltCurve_Q68D85_NCR3LG1.pdf")</f>
        <v>Melting_Curves/meltCurve_Q68D85_NCR3LG1.pdf</v>
      </c>
    </row>
    <row r="3447" spans="1:28" x14ac:dyDescent="0.25">
      <c r="A3447" t="s">
        <v>3451</v>
      </c>
      <c r="B3447">
        <v>0.99796759195183404</v>
      </c>
      <c r="C3447">
        <v>0.88837876481294897</v>
      </c>
      <c r="D3447">
        <v>0.85371374146498402</v>
      </c>
      <c r="E3447">
        <v>0.91397212308720099</v>
      </c>
      <c r="F3447">
        <v>0.77201280306241704</v>
      </c>
      <c r="G3447">
        <v>0.50813972850557598</v>
      </c>
      <c r="H3447">
        <v>0.44142036102845</v>
      </c>
      <c r="I3447">
        <v>0.400754058549042</v>
      </c>
      <c r="J3447">
        <v>0.428063322571067</v>
      </c>
      <c r="K3447">
        <v>0.33061311702863699</v>
      </c>
      <c r="L3447">
        <v>614.48606296877006</v>
      </c>
      <c r="M3447">
        <v>11.9121304911697</v>
      </c>
      <c r="N3447">
        <v>56.123472637463998</v>
      </c>
      <c r="O3447">
        <v>50.195590692424503</v>
      </c>
      <c r="P3447">
        <v>-4.0995208271259097E-2</v>
      </c>
      <c r="Q3447">
        <v>0.30918539465654998</v>
      </c>
      <c r="R3447">
        <v>0.94416541944556498</v>
      </c>
      <c r="S3447" t="s">
        <v>9030</v>
      </c>
      <c r="T3447" t="s">
        <v>11164</v>
      </c>
      <c r="U3447" t="s">
        <v>11164</v>
      </c>
      <c r="V3447" t="s">
        <v>11164</v>
      </c>
      <c r="W3447" t="s">
        <v>14569</v>
      </c>
      <c r="X3447">
        <v>3</v>
      </c>
      <c r="Y3447" t="s">
        <v>20050</v>
      </c>
      <c r="Z3447" t="s">
        <v>25597</v>
      </c>
      <c r="AA3447">
        <v>0.66223809307115122</v>
      </c>
      <c r="AB3447" t="str">
        <f>HYPERLINK("Melting_Curves/meltCurve_Q68D91_MBLAC2.pdf", "Melting_Curves/meltCurve_Q68D91_MBLAC2.pdf")</f>
        <v>Melting_Curves/meltCurve_Q68D91_MBLAC2.pdf</v>
      </c>
    </row>
    <row r="3448" spans="1:28" x14ac:dyDescent="0.25">
      <c r="A3448" t="s">
        <v>3452</v>
      </c>
      <c r="B3448">
        <v>0.99796759195183404</v>
      </c>
      <c r="C3448">
        <v>0.95229912123182403</v>
      </c>
      <c r="D3448">
        <v>0.97108563407514104</v>
      </c>
      <c r="E3448">
        <v>0.96340307300483397</v>
      </c>
      <c r="F3448">
        <v>0.98055799535991806</v>
      </c>
      <c r="G3448">
        <v>0.91134866735394704</v>
      </c>
      <c r="H3448">
        <v>0.86516331875444596</v>
      </c>
      <c r="I3448">
        <v>0.76869722654636596</v>
      </c>
      <c r="J3448">
        <v>0.36105795440022498</v>
      </c>
      <c r="K3448">
        <v>0.21827610127980501</v>
      </c>
      <c r="L3448">
        <v>1489.6418487590699</v>
      </c>
      <c r="M3448">
        <v>23.591578960580801</v>
      </c>
      <c r="N3448">
        <v>63.142947857560401</v>
      </c>
      <c r="O3448">
        <v>62.694504206452699</v>
      </c>
      <c r="P3448">
        <v>-9.4075145889883499E-2</v>
      </c>
      <c r="Q3448">
        <v>0</v>
      </c>
      <c r="R3448">
        <v>0.97075549829913399</v>
      </c>
      <c r="S3448" t="s">
        <v>9031</v>
      </c>
      <c r="T3448" t="s">
        <v>11164</v>
      </c>
      <c r="U3448" t="s">
        <v>11164</v>
      </c>
      <c r="V3448" t="s">
        <v>11164</v>
      </c>
      <c r="W3448" t="s">
        <v>14570</v>
      </c>
      <c r="X3448">
        <v>3</v>
      </c>
      <c r="Y3448" t="s">
        <v>20051</v>
      </c>
      <c r="Z3448" t="s">
        <v>25598</v>
      </c>
      <c r="AA3448">
        <v>0.85864773590507426</v>
      </c>
      <c r="AB3448" t="str">
        <f>HYPERLINK("Melting_Curves/meltCurve_Q68DH5_LMBRD2.pdf", "Melting_Curves/meltCurve_Q68DH5_LMBRD2.pdf")</f>
        <v>Melting_Curves/meltCurve_Q68DH5_LMBRD2.pdf</v>
      </c>
    </row>
    <row r="3449" spans="1:28" x14ac:dyDescent="0.25">
      <c r="A3449" t="s">
        <v>3453</v>
      </c>
      <c r="B3449">
        <v>0.99796759195183404</v>
      </c>
      <c r="C3449">
        <v>1.0191252010973</v>
      </c>
      <c r="D3449">
        <v>1.0296947253550499</v>
      </c>
      <c r="E3449">
        <v>0.76048272332046496</v>
      </c>
      <c r="F3449">
        <v>0.50672061816205105</v>
      </c>
      <c r="G3449">
        <v>0.27089948501779998</v>
      </c>
      <c r="H3449">
        <v>0.180092601727358</v>
      </c>
      <c r="I3449">
        <v>0.15145098262411899</v>
      </c>
      <c r="J3449">
        <v>0.110662213710453</v>
      </c>
      <c r="K3449">
        <v>4.9543012797075202E-2</v>
      </c>
      <c r="L3449">
        <v>918.51474369811899</v>
      </c>
      <c r="M3449">
        <v>18.470569891837599</v>
      </c>
      <c r="N3449">
        <v>50.275748064273103</v>
      </c>
      <c r="O3449">
        <v>49.156648610245902</v>
      </c>
      <c r="P3449">
        <v>-8.5387518919439007E-2</v>
      </c>
      <c r="Q3449">
        <v>9.1056267319903697E-2</v>
      </c>
      <c r="R3449">
        <v>0.99207382627788998</v>
      </c>
      <c r="S3449" t="s">
        <v>9032</v>
      </c>
      <c r="T3449" t="s">
        <v>11164</v>
      </c>
      <c r="U3449" t="s">
        <v>11164</v>
      </c>
      <c r="V3449" t="s">
        <v>11164</v>
      </c>
      <c r="W3449" t="s">
        <v>14571</v>
      </c>
      <c r="X3449">
        <v>7</v>
      </c>
      <c r="Y3449" t="s">
        <v>20052</v>
      </c>
      <c r="Z3449" t="s">
        <v>25599</v>
      </c>
      <c r="AA3449">
        <v>0.49045840767801641</v>
      </c>
      <c r="AB3449" t="str">
        <f>HYPERLINK("Melting_Curves/meltCurve_Q68E01_2_INTS3.pdf", "Melting_Curves/meltCurve_Q68E01_2_INTS3.pdf")</f>
        <v>Melting_Curves/meltCurve_Q68E01_2_INTS3.pdf</v>
      </c>
    </row>
    <row r="3450" spans="1:28" x14ac:dyDescent="0.25">
      <c r="A3450" t="s">
        <v>3454</v>
      </c>
      <c r="B3450">
        <v>0.99796759195183404</v>
      </c>
      <c r="C3450">
        <v>0.95007238985095499</v>
      </c>
      <c r="D3450">
        <v>0.90662560652886603</v>
      </c>
      <c r="E3450">
        <v>0.84194788262237796</v>
      </c>
      <c r="F3450">
        <v>0.67802144831815403</v>
      </c>
      <c r="G3450">
        <v>0.34140076292591298</v>
      </c>
      <c r="H3450">
        <v>0.237072778870874</v>
      </c>
      <c r="I3450">
        <v>0.20245119170237399</v>
      </c>
      <c r="J3450">
        <v>0.153525053395759</v>
      </c>
      <c r="K3450">
        <v>9.7237099799875507E-2</v>
      </c>
      <c r="L3450">
        <v>785.26362956417495</v>
      </c>
      <c r="M3450">
        <v>15.3033376964342</v>
      </c>
      <c r="N3450">
        <v>52.041431667912697</v>
      </c>
      <c r="O3450">
        <v>50.460955263599999</v>
      </c>
      <c r="P3450">
        <v>-6.8516592714211302E-2</v>
      </c>
      <c r="Q3450">
        <v>9.6382793873165104E-2</v>
      </c>
      <c r="R3450">
        <v>0.99042930024499398</v>
      </c>
      <c r="S3450" t="s">
        <v>9033</v>
      </c>
      <c r="T3450" t="s">
        <v>11164</v>
      </c>
      <c r="U3450" t="s">
        <v>11164</v>
      </c>
      <c r="V3450" t="s">
        <v>11164</v>
      </c>
      <c r="W3450" t="s">
        <v>14572</v>
      </c>
      <c r="X3450">
        <v>10</v>
      </c>
      <c r="Y3450" t="s">
        <v>20053</v>
      </c>
      <c r="Z3450" t="s">
        <v>25600</v>
      </c>
      <c r="AA3450">
        <v>0.54498664933742746</v>
      </c>
      <c r="AB3450" t="str">
        <f>HYPERLINK("Melting_Curves/meltCurve_Q68EM7_ARHGAP17.pdf", "Melting_Curves/meltCurve_Q68EM7_ARHGAP17.pdf")</f>
        <v>Melting_Curves/meltCurve_Q68EM7_ARHGAP17.pdf</v>
      </c>
    </row>
    <row r="3451" spans="1:28" x14ac:dyDescent="0.25">
      <c r="A3451" t="s">
        <v>3455</v>
      </c>
      <c r="B3451">
        <v>0.99796759195183404</v>
      </c>
      <c r="C3451">
        <v>1.05035275883127</v>
      </c>
      <c r="D3451">
        <v>1.0678604692853899</v>
      </c>
      <c r="E3451">
        <v>0.95858445542516502</v>
      </c>
      <c r="F3451">
        <v>0.92353357715782503</v>
      </c>
      <c r="G3451">
        <v>0.65915658546105205</v>
      </c>
      <c r="H3451">
        <v>0.46446697675394299</v>
      </c>
      <c r="I3451">
        <v>0.35192186522769597</v>
      </c>
      <c r="J3451">
        <v>0.35812144330249901</v>
      </c>
      <c r="K3451">
        <v>0.32460843624935998</v>
      </c>
      <c r="L3451">
        <v>1341.57888301919</v>
      </c>
      <c r="M3451">
        <v>24.894880921807601</v>
      </c>
      <c r="N3451">
        <v>56.3311509678622</v>
      </c>
      <c r="O3451">
        <v>53.545631537400098</v>
      </c>
      <c r="P3451">
        <v>-7.7873835751820303E-2</v>
      </c>
      <c r="Q3451">
        <v>0.33002343670519202</v>
      </c>
      <c r="R3451">
        <v>0.98967253758454299</v>
      </c>
      <c r="S3451" t="s">
        <v>9034</v>
      </c>
      <c r="T3451" t="s">
        <v>11164</v>
      </c>
      <c r="U3451" t="s">
        <v>11164</v>
      </c>
      <c r="V3451" t="s">
        <v>11164</v>
      </c>
      <c r="W3451" t="s">
        <v>14573</v>
      </c>
      <c r="X3451">
        <v>5</v>
      </c>
      <c r="Z3451" t="s">
        <v>25601</v>
      </c>
      <c r="AA3451">
        <v>0.71311537503583167</v>
      </c>
      <c r="AB3451" t="str">
        <f>HYPERLINK("Melting_Curves/meltCurve_Q69YL0_.pdf", "Melting_Curves/meltCurve_Q69YL0_.pdf")</f>
        <v>Melting_Curves/meltCurve_Q69YL0_.pdf</v>
      </c>
    </row>
    <row r="3452" spans="1:28" x14ac:dyDescent="0.25">
      <c r="A3452" t="s">
        <v>3456</v>
      </c>
      <c r="B3452">
        <v>0.99796759195183404</v>
      </c>
      <c r="C3452">
        <v>1.02674822491377</v>
      </c>
      <c r="D3452">
        <v>1.0417837051333001</v>
      </c>
      <c r="E3452">
        <v>1.00354884720032</v>
      </c>
      <c r="F3452">
        <v>0.857127410601221</v>
      </c>
      <c r="G3452">
        <v>0.37193723891668101</v>
      </c>
      <c r="H3452">
        <v>0.144553205254943</v>
      </c>
      <c r="I3452">
        <v>0.10366507912737399</v>
      </c>
      <c r="J3452">
        <v>7.8202407758468304E-2</v>
      </c>
      <c r="K3452">
        <v>6.8718988208857801E-2</v>
      </c>
      <c r="L3452">
        <v>1817.09714337421</v>
      </c>
      <c r="M3452">
        <v>34.5241578076472</v>
      </c>
      <c r="N3452">
        <v>52.910329883717203</v>
      </c>
      <c r="O3452">
        <v>52.456977575943597</v>
      </c>
      <c r="P3452">
        <v>-0.150900724817573</v>
      </c>
      <c r="Q3452">
        <v>8.2872174128285306E-2</v>
      </c>
      <c r="R3452">
        <v>0.99818060014876997</v>
      </c>
      <c r="S3452" t="s">
        <v>9035</v>
      </c>
      <c r="T3452" t="s">
        <v>11164</v>
      </c>
      <c r="U3452" t="s">
        <v>11164</v>
      </c>
      <c r="V3452" t="s">
        <v>11164</v>
      </c>
      <c r="W3452" t="s">
        <v>14574</v>
      </c>
      <c r="X3452">
        <v>14</v>
      </c>
      <c r="Y3452" t="s">
        <v>20054</v>
      </c>
      <c r="Z3452" t="s">
        <v>25602</v>
      </c>
      <c r="AA3452">
        <v>0.56522033606226529</v>
      </c>
      <c r="AB3452" t="str">
        <f>HYPERLINK("Melting_Curves/meltCurve_Q69YN2_CWF19L1.pdf", "Melting_Curves/meltCurve_Q69YN2_CWF19L1.pdf")</f>
        <v>Melting_Curves/meltCurve_Q69YN2_CWF19L1.pdf</v>
      </c>
    </row>
    <row r="3453" spans="1:28" x14ac:dyDescent="0.25">
      <c r="A3453" t="s">
        <v>3457</v>
      </c>
      <c r="B3453">
        <v>0.99796759195183404</v>
      </c>
      <c r="C3453">
        <v>1.11880591490031</v>
      </c>
      <c r="D3453">
        <v>1.0171810124888201</v>
      </c>
      <c r="E3453">
        <v>0.976836429523393</v>
      </c>
      <c r="F3453">
        <v>0.91851767004934004</v>
      </c>
      <c r="G3453">
        <v>0.700057394645348</v>
      </c>
      <c r="H3453">
        <v>0.71237618292858196</v>
      </c>
      <c r="I3453">
        <v>0.55482111648603905</v>
      </c>
      <c r="J3453">
        <v>0.73579312161107702</v>
      </c>
      <c r="K3453">
        <v>0.94017206489326699</v>
      </c>
      <c r="L3453">
        <v>12592.467827131701</v>
      </c>
      <c r="M3453">
        <v>250</v>
      </c>
      <c r="O3453">
        <v>50.3666481176217</v>
      </c>
      <c r="P3453">
        <v>-0.33672583942302597</v>
      </c>
      <c r="Q3453">
        <v>0.72864397124745095</v>
      </c>
      <c r="R3453">
        <v>0.68566468172091199</v>
      </c>
      <c r="S3453" t="s">
        <v>9036</v>
      </c>
      <c r="T3453" t="s">
        <v>11164</v>
      </c>
      <c r="U3453" t="s">
        <v>11164</v>
      </c>
      <c r="V3453" t="s">
        <v>11164</v>
      </c>
      <c r="W3453" t="s">
        <v>14575</v>
      </c>
      <c r="X3453">
        <v>4</v>
      </c>
      <c r="Y3453" t="s">
        <v>20055</v>
      </c>
      <c r="Z3453" t="s">
        <v>25603</v>
      </c>
      <c r="AA3453">
        <v>0.84960113144381555</v>
      </c>
      <c r="AB3453" t="str">
        <f>HYPERLINK("Melting_Curves/meltCurve_Q69YU5_C12orf73.pdf", "Melting_Curves/meltCurve_Q69YU5_C12orf73.pdf")</f>
        <v>Melting_Curves/meltCurve_Q69YU5_C12orf73.pdf</v>
      </c>
    </row>
    <row r="3454" spans="1:28" x14ac:dyDescent="0.25">
      <c r="A3454" t="s">
        <v>3458</v>
      </c>
      <c r="B3454">
        <v>0.99796759195183404</v>
      </c>
      <c r="C3454">
        <v>1.01913934320275</v>
      </c>
      <c r="D3454">
        <v>1.1831298416509699</v>
      </c>
      <c r="E3454">
        <v>0.97497187879984504</v>
      </c>
      <c r="F3454">
        <v>0.90768336301352903</v>
      </c>
      <c r="G3454">
        <v>0.406158799599461</v>
      </c>
      <c r="H3454">
        <v>0.248241834145075</v>
      </c>
      <c r="I3454">
        <v>0.20347609680672599</v>
      </c>
      <c r="J3454">
        <v>0.17984951125627599</v>
      </c>
      <c r="K3454">
        <v>0.12861425467844101</v>
      </c>
      <c r="L3454">
        <v>2099.5795540746199</v>
      </c>
      <c r="M3454">
        <v>39.908657751932601</v>
      </c>
      <c r="N3454">
        <v>53.202788422079898</v>
      </c>
      <c r="O3454">
        <v>52.478054446092798</v>
      </c>
      <c r="P3454">
        <v>-0.15598101915771401</v>
      </c>
      <c r="Q3454">
        <v>0.179570249195212</v>
      </c>
      <c r="R3454">
        <v>0.97570469830823903</v>
      </c>
      <c r="S3454" t="s">
        <v>9037</v>
      </c>
      <c r="T3454" t="s">
        <v>11164</v>
      </c>
      <c r="U3454" t="s">
        <v>11164</v>
      </c>
      <c r="V3454" t="s">
        <v>11164</v>
      </c>
      <c r="W3454" t="s">
        <v>14576</v>
      </c>
      <c r="X3454">
        <v>10</v>
      </c>
      <c r="Y3454" t="s">
        <v>20056</v>
      </c>
      <c r="Z3454" t="s">
        <v>25604</v>
      </c>
      <c r="AA3454">
        <v>0.60944328340971055</v>
      </c>
      <c r="AB3454" t="str">
        <f>HYPERLINK("Melting_Curves/meltCurve_Q6AI08_HEATR6.pdf", "Melting_Curves/meltCurve_Q6AI08_HEATR6.pdf")</f>
        <v>Melting_Curves/meltCurve_Q6AI08_HEATR6.pdf</v>
      </c>
    </row>
    <row r="3455" spans="1:28" x14ac:dyDescent="0.25">
      <c r="A3455" t="s">
        <v>3459</v>
      </c>
      <c r="B3455">
        <v>0.99796759195183404</v>
      </c>
      <c r="C3455">
        <v>0.96147415165947303</v>
      </c>
      <c r="D3455">
        <v>0.87758537227554301</v>
      </c>
      <c r="E3455">
        <v>0.99336897780323197</v>
      </c>
      <c r="F3455">
        <v>0.94085432164382998</v>
      </c>
      <c r="G3455">
        <v>0.65954858092693502</v>
      </c>
      <c r="H3455">
        <v>0.57359969985303705</v>
      </c>
      <c r="I3455">
        <v>0.38823616666194699</v>
      </c>
      <c r="J3455">
        <v>0.36247429874098003</v>
      </c>
      <c r="K3455">
        <v>0.235563888406984</v>
      </c>
      <c r="L3455">
        <v>763.94280190563495</v>
      </c>
      <c r="M3455">
        <v>13.496122360593301</v>
      </c>
      <c r="N3455">
        <v>58.4914752074666</v>
      </c>
      <c r="O3455">
        <v>55.405210920837398</v>
      </c>
      <c r="P3455">
        <v>-5.0157437584704499E-2</v>
      </c>
      <c r="Q3455">
        <v>0.17648666920145401</v>
      </c>
      <c r="R3455">
        <v>0.96444394982959802</v>
      </c>
      <c r="S3455" t="s">
        <v>9038</v>
      </c>
      <c r="T3455" t="s">
        <v>11164</v>
      </c>
      <c r="U3455" t="s">
        <v>11164</v>
      </c>
      <c r="V3455" t="s">
        <v>11164</v>
      </c>
      <c r="W3455" t="s">
        <v>14577</v>
      </c>
      <c r="X3455">
        <v>3</v>
      </c>
      <c r="Y3455" t="s">
        <v>20057</v>
      </c>
      <c r="Z3455" t="s">
        <v>25605</v>
      </c>
      <c r="AA3455">
        <v>0.72175281563312244</v>
      </c>
      <c r="AB3455" t="str">
        <f>HYPERLINK("Melting_Curves/meltCurve_Q6DD87_ZNF787.pdf", "Melting_Curves/meltCurve_Q6DD87_ZNF787.pdf")</f>
        <v>Melting_Curves/meltCurve_Q6DD87_ZNF787.pdf</v>
      </c>
    </row>
    <row r="3456" spans="1:28" x14ac:dyDescent="0.25">
      <c r="A3456" t="s">
        <v>3460</v>
      </c>
      <c r="B3456">
        <v>0.99796759195183404</v>
      </c>
      <c r="C3456">
        <v>1.0021603022630301</v>
      </c>
      <c r="D3456">
        <v>0.87141589719865098</v>
      </c>
      <c r="E3456">
        <v>0.82866041182674999</v>
      </c>
      <c r="F3456">
        <v>0.72014691800564001</v>
      </c>
      <c r="G3456">
        <v>0.86832684634527302</v>
      </c>
      <c r="H3456">
        <v>0.53427319408205398</v>
      </c>
      <c r="I3456">
        <v>0.53439320550297098</v>
      </c>
      <c r="J3456">
        <v>0.49146924022969002</v>
      </c>
      <c r="K3456">
        <v>0.22558672221277901</v>
      </c>
      <c r="L3456">
        <v>400.718078254727</v>
      </c>
      <c r="M3456">
        <v>6.5966920812916801</v>
      </c>
      <c r="N3456">
        <v>60.745305737680802</v>
      </c>
      <c r="O3456">
        <v>55.889898002043999</v>
      </c>
      <c r="P3456">
        <v>-2.9575457719899501E-2</v>
      </c>
      <c r="Q3456">
        <v>0</v>
      </c>
      <c r="R3456">
        <v>0.87912708093880798</v>
      </c>
      <c r="S3456" t="s">
        <v>9039</v>
      </c>
      <c r="T3456" t="s">
        <v>11164</v>
      </c>
      <c r="U3456" t="s">
        <v>11164</v>
      </c>
      <c r="V3456" t="s">
        <v>11164</v>
      </c>
      <c r="W3456" t="s">
        <v>14578</v>
      </c>
      <c r="X3456">
        <v>2</v>
      </c>
      <c r="Y3456" t="s">
        <v>20058</v>
      </c>
      <c r="Z3456" t="s">
        <v>25606</v>
      </c>
      <c r="AA3456">
        <v>0.72059014810123045</v>
      </c>
      <c r="AB3456" t="str">
        <f>HYPERLINK("Melting_Curves/meltCurve_Q6DKI1_RPL7L1.pdf", "Melting_Curves/meltCurve_Q6DKI1_RPL7L1.pdf")</f>
        <v>Melting_Curves/meltCurve_Q6DKI1_RPL7L1.pdf</v>
      </c>
    </row>
    <row r="3457" spans="1:28" x14ac:dyDescent="0.25">
      <c r="A3457" t="s">
        <v>3461</v>
      </c>
      <c r="B3457">
        <v>0.99796759195183404</v>
      </c>
      <c r="C3457">
        <v>0.99256899505413099</v>
      </c>
      <c r="D3457">
        <v>1.0149320830600199</v>
      </c>
      <c r="E3457">
        <v>1.00355216901693</v>
      </c>
      <c r="F3457">
        <v>0.89736552627120703</v>
      </c>
      <c r="G3457">
        <v>0.42770752132079298</v>
      </c>
      <c r="H3457">
        <v>0.18194714843557899</v>
      </c>
      <c r="I3457">
        <v>0.134898555531723</v>
      </c>
      <c r="J3457">
        <v>9.6358744027281104E-2</v>
      </c>
      <c r="K3457">
        <v>6.8360454000516893E-2</v>
      </c>
      <c r="L3457">
        <v>1820.6187756316001</v>
      </c>
      <c r="M3457">
        <v>34.338134952454602</v>
      </c>
      <c r="N3457">
        <v>53.36669998619</v>
      </c>
      <c r="O3457">
        <v>52.841463467002903</v>
      </c>
      <c r="P3457">
        <v>-0.146230398072073</v>
      </c>
      <c r="Q3457">
        <v>9.9893055153565696E-2</v>
      </c>
      <c r="R3457">
        <v>0.99831227428017399</v>
      </c>
      <c r="S3457" t="s">
        <v>9040</v>
      </c>
      <c r="T3457" t="s">
        <v>11164</v>
      </c>
      <c r="U3457" t="s">
        <v>11164</v>
      </c>
      <c r="V3457" t="s">
        <v>11164</v>
      </c>
      <c r="W3457" t="s">
        <v>14579</v>
      </c>
      <c r="X3457">
        <v>8</v>
      </c>
      <c r="Y3457" t="s">
        <v>20059</v>
      </c>
      <c r="Z3457" t="s">
        <v>25607</v>
      </c>
      <c r="AA3457">
        <v>0.5849897122036688</v>
      </c>
      <c r="AB3457" t="str">
        <f>HYPERLINK("Melting_Curves/meltCurve_Q6DKJ4_NXN.pdf", "Melting_Curves/meltCurve_Q6DKJ4_NXN.pdf")</f>
        <v>Melting_Curves/meltCurve_Q6DKJ4_NXN.pdf</v>
      </c>
    </row>
    <row r="3458" spans="1:28" x14ac:dyDescent="0.25">
      <c r="A3458" t="s">
        <v>3462</v>
      </c>
      <c r="B3458">
        <v>0.99796759195183404</v>
      </c>
      <c r="C3458">
        <v>0.93263372424272395</v>
      </c>
      <c r="D3458">
        <v>0.956736773837495</v>
      </c>
      <c r="E3458">
        <v>0.96389462431112605</v>
      </c>
      <c r="F3458">
        <v>0.753581264817624</v>
      </c>
      <c r="G3458">
        <v>0.45305392922075</v>
      </c>
      <c r="H3458">
        <v>0.26602067128437001</v>
      </c>
      <c r="I3458">
        <v>0.26177442045920502</v>
      </c>
      <c r="J3458">
        <v>0.22203534250654999</v>
      </c>
      <c r="K3458">
        <v>0.16284532130698501</v>
      </c>
      <c r="L3458">
        <v>1182.40008515255</v>
      </c>
      <c r="M3458">
        <v>22.728901902347101</v>
      </c>
      <c r="N3458">
        <v>53.186590885316903</v>
      </c>
      <c r="O3458">
        <v>51.624182719399997</v>
      </c>
      <c r="P3458">
        <v>-8.84921417085274E-2</v>
      </c>
      <c r="Q3458">
        <v>0.196046311750603</v>
      </c>
      <c r="R3458">
        <v>0.99165773248754197</v>
      </c>
      <c r="S3458" t="s">
        <v>9041</v>
      </c>
      <c r="T3458" t="s">
        <v>11164</v>
      </c>
      <c r="U3458" t="s">
        <v>11164</v>
      </c>
      <c r="V3458" t="s">
        <v>11164</v>
      </c>
      <c r="W3458" t="s">
        <v>14580</v>
      </c>
      <c r="X3458">
        <v>4</v>
      </c>
      <c r="Y3458" t="s">
        <v>20060</v>
      </c>
      <c r="Z3458" t="s">
        <v>25608</v>
      </c>
      <c r="AA3458">
        <v>0.6070261973435841</v>
      </c>
      <c r="AB3458" t="str">
        <f>HYPERLINK("Melting_Curves/meltCurve_Q6DKK2_TTC19.pdf", "Melting_Curves/meltCurve_Q6DKK2_TTC19.pdf")</f>
        <v>Melting_Curves/meltCurve_Q6DKK2_TTC19.pdf</v>
      </c>
    </row>
    <row r="3459" spans="1:28" x14ac:dyDescent="0.25">
      <c r="A3459" t="s">
        <v>3463</v>
      </c>
      <c r="B3459">
        <v>0.99796759195183404</v>
      </c>
      <c r="C3459">
        <v>1.04950216660635</v>
      </c>
      <c r="D3459">
        <v>1.0992207257419599</v>
      </c>
      <c r="E3459">
        <v>0.91030044265124999</v>
      </c>
      <c r="F3459">
        <v>0.97930691427785599</v>
      </c>
      <c r="G3459">
        <v>0.748893092050265</v>
      </c>
      <c r="H3459">
        <v>0.69176196015551294</v>
      </c>
      <c r="I3459">
        <v>0.83571245090174695</v>
      </c>
      <c r="J3459">
        <v>1.00257911236033</v>
      </c>
      <c r="K3459">
        <v>0.88200834484299995</v>
      </c>
      <c r="L3459">
        <v>12648.4626717335</v>
      </c>
      <c r="M3459">
        <v>250</v>
      </c>
      <c r="O3459">
        <v>50.590592400236197</v>
      </c>
      <c r="P3459">
        <v>-0.20731243082849601</v>
      </c>
      <c r="Q3459">
        <v>0.83219099237736804</v>
      </c>
      <c r="R3459">
        <v>0.49438796103435501</v>
      </c>
      <c r="S3459" t="s">
        <v>9042</v>
      </c>
      <c r="T3459" t="s">
        <v>11164</v>
      </c>
      <c r="U3459" t="s">
        <v>11164</v>
      </c>
      <c r="V3459" t="s">
        <v>11164</v>
      </c>
      <c r="W3459" t="s">
        <v>14581</v>
      </c>
      <c r="X3459">
        <v>3</v>
      </c>
      <c r="Y3459" t="s">
        <v>18463</v>
      </c>
      <c r="Z3459" t="s">
        <v>25609</v>
      </c>
      <c r="AA3459">
        <v>0.90824491216235537</v>
      </c>
      <c r="AB3459" t="str">
        <f>HYPERLINK("Melting_Curves/meltCurve_Q6EEV4_2_POLR2M.pdf", "Melting_Curves/meltCurve_Q6EEV4_2_POLR2M.pdf")</f>
        <v>Melting_Curves/meltCurve_Q6EEV4_2_POLR2M.pdf</v>
      </c>
    </row>
    <row r="3460" spans="1:28" x14ac:dyDescent="0.25">
      <c r="A3460" t="s">
        <v>3464</v>
      </c>
      <c r="B3460">
        <v>0.99796759195183404</v>
      </c>
      <c r="C3460">
        <v>2.1774736495867302</v>
      </c>
      <c r="D3460">
        <v>1.5267261082212999</v>
      </c>
      <c r="E3460">
        <v>1.3622726877926501</v>
      </c>
      <c r="F3460">
        <v>0.79469609089135296</v>
      </c>
      <c r="G3460">
        <v>1.11146563590435</v>
      </c>
      <c r="H3460">
        <v>0.88741522004670803</v>
      </c>
      <c r="I3460">
        <v>0.51716495538849105</v>
      </c>
      <c r="J3460">
        <v>0</v>
      </c>
      <c r="K3460">
        <v>0</v>
      </c>
      <c r="L3460">
        <v>3723.2942190672102</v>
      </c>
      <c r="M3460">
        <v>61.036688960688998</v>
      </c>
      <c r="N3460">
        <v>61.000922595707998</v>
      </c>
      <c r="O3460">
        <v>60.9355416645923</v>
      </c>
      <c r="P3460">
        <v>-0.25041507265546398</v>
      </c>
      <c r="Q3460">
        <v>0</v>
      </c>
      <c r="R3460">
        <v>0.54125644672178896</v>
      </c>
      <c r="S3460" t="s">
        <v>9043</v>
      </c>
      <c r="T3460" t="s">
        <v>11164</v>
      </c>
      <c r="U3460" t="s">
        <v>11164</v>
      </c>
      <c r="V3460" t="s">
        <v>11164</v>
      </c>
      <c r="W3460" t="s">
        <v>14582</v>
      </c>
      <c r="X3460">
        <v>1</v>
      </c>
      <c r="Y3460" t="s">
        <v>20061</v>
      </c>
      <c r="Z3460" t="s">
        <v>25610</v>
      </c>
      <c r="AA3460">
        <v>0.80165683263514742</v>
      </c>
      <c r="AB3460" t="str">
        <f>HYPERLINK("Melting_Curves/meltCurve_Q6EMK4_VASN.pdf", "Melting_Curves/meltCurve_Q6EMK4_VASN.pdf")</f>
        <v>Melting_Curves/meltCurve_Q6EMK4_VASN.pdf</v>
      </c>
    </row>
    <row r="3461" spans="1:28" x14ac:dyDescent="0.25">
      <c r="A3461" t="s">
        <v>3465</v>
      </c>
      <c r="B3461">
        <v>0.99796759195183404</v>
      </c>
      <c r="C3461">
        <v>0.98113186764764804</v>
      </c>
      <c r="D3461">
        <v>1.0659065675296</v>
      </c>
      <c r="E3461">
        <v>0.99945224416021405</v>
      </c>
      <c r="F3461">
        <v>0.75820004820222997</v>
      </c>
      <c r="G3461">
        <v>0.463194008339123</v>
      </c>
      <c r="H3461">
        <v>0.285518195564963</v>
      </c>
      <c r="I3461">
        <v>0.19710238265563401</v>
      </c>
      <c r="J3461">
        <v>0.156479424424282</v>
      </c>
      <c r="K3461">
        <v>0.139359025167865</v>
      </c>
      <c r="L3461">
        <v>1171.7728606542901</v>
      </c>
      <c r="M3461">
        <v>22.285153005532798</v>
      </c>
      <c r="N3461">
        <v>53.4279585349502</v>
      </c>
      <c r="O3461">
        <v>52.162971766127498</v>
      </c>
      <c r="P3461">
        <v>-9.0911944552596394E-2</v>
      </c>
      <c r="Q3461">
        <v>0.14882584867283399</v>
      </c>
      <c r="R3461">
        <v>0.99349052902744295</v>
      </c>
      <c r="S3461" t="s">
        <v>9044</v>
      </c>
      <c r="T3461" t="s">
        <v>11164</v>
      </c>
      <c r="U3461" t="s">
        <v>11164</v>
      </c>
      <c r="V3461" t="s">
        <v>11164</v>
      </c>
      <c r="W3461" t="s">
        <v>14583</v>
      </c>
      <c r="X3461">
        <v>13</v>
      </c>
      <c r="Y3461" t="s">
        <v>20062</v>
      </c>
      <c r="Z3461" t="s">
        <v>25611</v>
      </c>
      <c r="AA3461">
        <v>0.6000533831893361</v>
      </c>
      <c r="AB3461" t="str">
        <f>HYPERLINK("Melting_Curves/meltCurve_Q6FI81_3_CIAPIN1.pdf", "Melting_Curves/meltCurve_Q6FI81_3_CIAPIN1.pdf")</f>
        <v>Melting_Curves/meltCurve_Q6FI81_3_CIAPIN1.pdf</v>
      </c>
    </row>
    <row r="3462" spans="1:28" x14ac:dyDescent="0.25">
      <c r="A3462" t="s">
        <v>3466</v>
      </c>
      <c r="B3462">
        <v>0.99796759195183404</v>
      </c>
      <c r="C3462">
        <v>1.05564025363481</v>
      </c>
      <c r="D3462">
        <v>1.0669450294103</v>
      </c>
      <c r="E3462">
        <v>1.02470414922907</v>
      </c>
      <c r="F3462">
        <v>0.93043763981061101</v>
      </c>
      <c r="G3462">
        <v>0.73491113229558203</v>
      </c>
      <c r="H3462">
        <v>0.67978374854746504</v>
      </c>
      <c r="I3462">
        <v>0.61020211522812096</v>
      </c>
      <c r="J3462">
        <v>0.72030252619856205</v>
      </c>
      <c r="K3462">
        <v>0.68592723758054397</v>
      </c>
      <c r="L3462">
        <v>2186.1623612944099</v>
      </c>
      <c r="M3462">
        <v>42.161738821048601</v>
      </c>
      <c r="O3462">
        <v>51.735569407330097</v>
      </c>
      <c r="P3462">
        <v>-6.6602924868096394E-2</v>
      </c>
      <c r="Q3462">
        <v>0.67309372853785798</v>
      </c>
      <c r="R3462">
        <v>0.94929863996760699</v>
      </c>
      <c r="S3462" t="s">
        <v>9045</v>
      </c>
      <c r="T3462" t="s">
        <v>11164</v>
      </c>
      <c r="U3462" t="s">
        <v>11164</v>
      </c>
      <c r="V3462" t="s">
        <v>11164</v>
      </c>
      <c r="W3462" t="s">
        <v>14584</v>
      </c>
      <c r="X3462">
        <v>7</v>
      </c>
      <c r="Y3462" t="s">
        <v>20063</v>
      </c>
      <c r="Z3462" t="s">
        <v>25612</v>
      </c>
      <c r="AA3462">
        <v>0.83598427357918748</v>
      </c>
      <c r="AB3462" t="str">
        <f>HYPERLINK("Melting_Curves/meltCurve_Q6FIF0_2_ZFAND6.pdf", "Melting_Curves/meltCurve_Q6FIF0_2_ZFAND6.pdf")</f>
        <v>Melting_Curves/meltCurve_Q6FIF0_2_ZFAND6.pdf</v>
      </c>
    </row>
    <row r="3463" spans="1:28" x14ac:dyDescent="0.25">
      <c r="A3463" t="s">
        <v>3467</v>
      </c>
      <c r="B3463">
        <v>0.99796759195183404</v>
      </c>
      <c r="C3463">
        <v>0.99030367396140195</v>
      </c>
      <c r="D3463">
        <v>1.00728890937905</v>
      </c>
      <c r="E3463">
        <v>0.90842011264727196</v>
      </c>
      <c r="F3463">
        <v>0.779405629330434</v>
      </c>
      <c r="G3463">
        <v>0.57804029288450898</v>
      </c>
      <c r="H3463">
        <v>0.394067193272579</v>
      </c>
      <c r="I3463">
        <v>0.13402008362888601</v>
      </c>
      <c r="J3463">
        <v>0.106201549875528</v>
      </c>
      <c r="K3463">
        <v>7.7673930835742505E-2</v>
      </c>
      <c r="L3463">
        <v>795.65643499289797</v>
      </c>
      <c r="M3463">
        <v>14.4947400145403</v>
      </c>
      <c r="N3463">
        <v>54.892770619895501</v>
      </c>
      <c r="O3463">
        <v>53.879674341536202</v>
      </c>
      <c r="P3463">
        <v>-6.7262909423777995E-2</v>
      </c>
      <c r="Q3463">
        <v>0</v>
      </c>
      <c r="R3463">
        <v>0.995047164608308</v>
      </c>
      <c r="S3463" t="s">
        <v>9046</v>
      </c>
      <c r="T3463" t="s">
        <v>11164</v>
      </c>
      <c r="U3463" t="s">
        <v>11164</v>
      </c>
      <c r="V3463" t="s">
        <v>11164</v>
      </c>
      <c r="W3463" t="s">
        <v>14585</v>
      </c>
      <c r="X3463">
        <v>7</v>
      </c>
      <c r="Y3463" t="s">
        <v>20064</v>
      </c>
      <c r="Z3463" t="s">
        <v>25613</v>
      </c>
      <c r="AA3463">
        <v>0.61096413825393581</v>
      </c>
      <c r="AB3463" t="str">
        <f>HYPERLINK("Melting_Curves/meltCurve_Q6GMV2_SMYD5.pdf", "Melting_Curves/meltCurve_Q6GMV2_SMYD5.pdf")</f>
        <v>Melting_Curves/meltCurve_Q6GMV2_SMYD5.pdf</v>
      </c>
    </row>
    <row r="3464" spans="1:28" x14ac:dyDescent="0.25">
      <c r="A3464" t="s">
        <v>3468</v>
      </c>
      <c r="B3464">
        <v>0.99796759195183404</v>
      </c>
      <c r="C3464">
        <v>0.98553911272982198</v>
      </c>
      <c r="D3464">
        <v>0.97884028989290295</v>
      </c>
      <c r="E3464">
        <v>0.89967359502491095</v>
      </c>
      <c r="F3464">
        <v>0.83493690633517004</v>
      </c>
      <c r="G3464">
        <v>0.53947651156828402</v>
      </c>
      <c r="H3464">
        <v>0.50332791197577598</v>
      </c>
      <c r="I3464">
        <v>0.469515792755479</v>
      </c>
      <c r="J3464">
        <v>0.43495395252940799</v>
      </c>
      <c r="K3464">
        <v>0.42464267672831502</v>
      </c>
      <c r="L3464">
        <v>1123.8873548960801</v>
      </c>
      <c r="M3464">
        <v>21.881867875678399</v>
      </c>
      <c r="N3464">
        <v>56.537391579593802</v>
      </c>
      <c r="O3464">
        <v>50.938390603637203</v>
      </c>
      <c r="P3464">
        <v>-6.0942099654965803E-2</v>
      </c>
      <c r="Q3464">
        <v>0.43254904905311098</v>
      </c>
      <c r="R3464">
        <v>0.98622454684695604</v>
      </c>
      <c r="S3464" t="s">
        <v>9047</v>
      </c>
      <c r="T3464" t="s">
        <v>11164</v>
      </c>
      <c r="U3464" t="s">
        <v>11164</v>
      </c>
      <c r="V3464" t="s">
        <v>11164</v>
      </c>
      <c r="W3464" t="s">
        <v>14586</v>
      </c>
      <c r="X3464">
        <v>5</v>
      </c>
      <c r="Y3464" t="s">
        <v>20065</v>
      </c>
      <c r="Z3464" t="s">
        <v>25614</v>
      </c>
      <c r="AA3464">
        <v>0.71056192834521814</v>
      </c>
      <c r="AB3464" t="str">
        <f>HYPERLINK("Melting_Curves/meltCurve_Q6GMV3_PTRHD1.pdf", "Melting_Curves/meltCurve_Q6GMV3_PTRHD1.pdf")</f>
        <v>Melting_Curves/meltCurve_Q6GMV3_PTRHD1.pdf</v>
      </c>
    </row>
    <row r="3465" spans="1:28" x14ac:dyDescent="0.25">
      <c r="A3465" t="s">
        <v>3469</v>
      </c>
      <c r="B3465">
        <v>0.99796759195183404</v>
      </c>
      <c r="C3465">
        <v>0.92883408723539895</v>
      </c>
      <c r="D3465">
        <v>0.86332618679071704</v>
      </c>
      <c r="E3465">
        <v>0.88347242713013996</v>
      </c>
      <c r="F3465">
        <v>0.81540574542848399</v>
      </c>
      <c r="G3465">
        <v>0.274853611911759</v>
      </c>
      <c r="H3465">
        <v>0.20921665986680699</v>
      </c>
      <c r="I3465">
        <v>0.18094558170310701</v>
      </c>
      <c r="J3465">
        <v>0.14444484666455501</v>
      </c>
      <c r="K3465">
        <v>0.10414838153637999</v>
      </c>
      <c r="L3465">
        <v>2010.06443215987</v>
      </c>
      <c r="M3465">
        <v>38.910660634037797</v>
      </c>
      <c r="N3465">
        <v>52.1382120442901</v>
      </c>
      <c r="O3465">
        <v>51.522570465530102</v>
      </c>
      <c r="P3465">
        <v>-0.16039364252711699</v>
      </c>
      <c r="Q3465">
        <v>0.150477179483858</v>
      </c>
      <c r="R3465">
        <v>0.96927221778047801</v>
      </c>
      <c r="S3465" t="s">
        <v>9048</v>
      </c>
      <c r="T3465" t="s">
        <v>11164</v>
      </c>
      <c r="U3465" t="s">
        <v>11164</v>
      </c>
      <c r="V3465" t="s">
        <v>11164</v>
      </c>
      <c r="W3465" t="s">
        <v>14587</v>
      </c>
      <c r="X3465">
        <v>8</v>
      </c>
      <c r="Y3465" t="s">
        <v>20066</v>
      </c>
      <c r="Z3465" t="s">
        <v>25615</v>
      </c>
      <c r="AA3465">
        <v>0.56876584514805684</v>
      </c>
      <c r="AB3465" t="str">
        <f>HYPERLINK("Melting_Curves/meltCurve_Q6GQQ9_OTUD7B.pdf", "Melting_Curves/meltCurve_Q6GQQ9_OTUD7B.pdf")</f>
        <v>Melting_Curves/meltCurve_Q6GQQ9_OTUD7B.pdf</v>
      </c>
    </row>
    <row r="3466" spans="1:28" x14ac:dyDescent="0.25">
      <c r="A3466" t="s">
        <v>3470</v>
      </c>
      <c r="B3466">
        <v>0.99796759195183404</v>
      </c>
      <c r="C3466">
        <v>0.909957576868753</v>
      </c>
      <c r="D3466">
        <v>0.80460631540344396</v>
      </c>
      <c r="E3466">
        <v>0.68297662070276599</v>
      </c>
      <c r="F3466">
        <v>0.56814865241972801</v>
      </c>
      <c r="G3466">
        <v>0.51014170282827598</v>
      </c>
      <c r="H3466">
        <v>0.294004979558804</v>
      </c>
      <c r="I3466">
        <v>0.22981132637606</v>
      </c>
      <c r="J3466">
        <v>0.18731629568105801</v>
      </c>
      <c r="K3466">
        <v>0.118835704527932</v>
      </c>
      <c r="L3466">
        <v>405.000731615853</v>
      </c>
      <c r="M3466">
        <v>7.7990924346454902</v>
      </c>
      <c r="N3466">
        <v>51.929212870894801</v>
      </c>
      <c r="O3466">
        <v>48.846889662530202</v>
      </c>
      <c r="P3466">
        <v>-3.9965645263268498E-2</v>
      </c>
      <c r="Q3466">
        <v>0</v>
      </c>
      <c r="R3466">
        <v>0.98788214549900699</v>
      </c>
      <c r="S3466" t="s">
        <v>9049</v>
      </c>
      <c r="T3466" t="s">
        <v>11164</v>
      </c>
      <c r="U3466" t="s">
        <v>11164</v>
      </c>
      <c r="V3466" t="s">
        <v>11164</v>
      </c>
      <c r="W3466" t="s">
        <v>14588</v>
      </c>
      <c r="X3466">
        <v>1</v>
      </c>
      <c r="Y3466" t="s">
        <v>20067</v>
      </c>
      <c r="Z3466" t="s">
        <v>25616</v>
      </c>
      <c r="AA3466">
        <v>0.52676142230138034</v>
      </c>
      <c r="AB3466" t="str">
        <f>HYPERLINK("Melting_Curves/meltCurve_Q6I9Y2_THOC7.pdf", "Melting_Curves/meltCurve_Q6I9Y2_THOC7.pdf")</f>
        <v>Melting_Curves/meltCurve_Q6I9Y2_THOC7.pdf</v>
      </c>
    </row>
    <row r="3467" spans="1:28" x14ac:dyDescent="0.25">
      <c r="A3467" t="s">
        <v>3471</v>
      </c>
      <c r="B3467">
        <v>0.99796759195183404</v>
      </c>
      <c r="C3467">
        <v>1.2039120443978999</v>
      </c>
      <c r="D3467">
        <v>1.3318897558559799</v>
      </c>
      <c r="E3467">
        <v>1.0331624940706501</v>
      </c>
      <c r="F3467">
        <v>1.16201397181558</v>
      </c>
      <c r="G3467">
        <v>1.1921940137401099</v>
      </c>
      <c r="H3467">
        <v>0.92389369206315497</v>
      </c>
      <c r="I3467">
        <v>1.07418127067979</v>
      </c>
      <c r="J3467">
        <v>0.19072704435920801</v>
      </c>
      <c r="K3467">
        <v>0</v>
      </c>
      <c r="L3467">
        <v>15000</v>
      </c>
      <c r="M3467">
        <v>235.45456289551899</v>
      </c>
      <c r="N3467">
        <v>63.706558851033698</v>
      </c>
      <c r="O3467">
        <v>63.701961413828599</v>
      </c>
      <c r="P3467">
        <v>-0.92404751819403597</v>
      </c>
      <c r="Q3467">
        <v>0</v>
      </c>
      <c r="R3467">
        <v>0.87392191456260404</v>
      </c>
      <c r="S3467" t="s">
        <v>9050</v>
      </c>
      <c r="T3467" t="s">
        <v>11164</v>
      </c>
      <c r="U3467" t="s">
        <v>11164</v>
      </c>
      <c r="V3467" t="s">
        <v>11164</v>
      </c>
      <c r="W3467" t="s">
        <v>14589</v>
      </c>
      <c r="X3467">
        <v>2</v>
      </c>
      <c r="Y3467" t="s">
        <v>20068</v>
      </c>
      <c r="Z3467" t="s">
        <v>25617</v>
      </c>
      <c r="AA3467">
        <v>0.89034458607439526</v>
      </c>
      <c r="AB3467" t="str">
        <f>HYPERLINK("Melting_Curves/meltCurve_Q6IA69_NADSYN1.pdf", "Melting_Curves/meltCurve_Q6IA69_NADSYN1.pdf")</f>
        <v>Melting_Curves/meltCurve_Q6IA69_NADSYN1.pdf</v>
      </c>
    </row>
    <row r="3468" spans="1:28" x14ac:dyDescent="0.25">
      <c r="A3468" t="s">
        <v>3472</v>
      </c>
      <c r="B3468">
        <v>0.99796759195183404</v>
      </c>
      <c r="C3468">
        <v>0.99679507584789195</v>
      </c>
      <c r="D3468">
        <v>1.0081965651014499</v>
      </c>
      <c r="E3468">
        <v>0.91198144414069704</v>
      </c>
      <c r="F3468">
        <v>0.87774018215016203</v>
      </c>
      <c r="G3468">
        <v>0.76264833660553599</v>
      </c>
      <c r="H3468">
        <v>0.66916372943082503</v>
      </c>
      <c r="I3468">
        <v>0.52988861677737298</v>
      </c>
      <c r="J3468">
        <v>0.47663039372934601</v>
      </c>
      <c r="K3468">
        <v>0.26075540826699301</v>
      </c>
      <c r="L3468">
        <v>544.88765347311505</v>
      </c>
      <c r="M3468">
        <v>8.84556614974246</v>
      </c>
      <c r="N3468">
        <v>61.600079918974899</v>
      </c>
      <c r="O3468">
        <v>58.695432004138901</v>
      </c>
      <c r="P3468">
        <v>-3.7704911250867001E-2</v>
      </c>
      <c r="Q3468">
        <v>0</v>
      </c>
      <c r="R3468">
        <v>0.98144103560517004</v>
      </c>
      <c r="S3468" t="s">
        <v>9051</v>
      </c>
      <c r="T3468" t="s">
        <v>11164</v>
      </c>
      <c r="U3468" t="s">
        <v>11164</v>
      </c>
      <c r="V3468" t="s">
        <v>11164</v>
      </c>
      <c r="W3468" t="s">
        <v>14590</v>
      </c>
      <c r="X3468">
        <v>6</v>
      </c>
      <c r="Y3468" t="s">
        <v>20069</v>
      </c>
      <c r="Z3468" t="s">
        <v>25618</v>
      </c>
      <c r="AA3468">
        <v>0.76521907256742205</v>
      </c>
      <c r="AB3468" t="str">
        <f>HYPERLINK("Melting_Curves/meltCurve_Q6IAA8_LAMTOR1.pdf", "Melting_Curves/meltCurve_Q6IAA8_LAMTOR1.pdf")</f>
        <v>Melting_Curves/meltCurve_Q6IAA8_LAMTOR1.pdf</v>
      </c>
    </row>
    <row r="3469" spans="1:28" x14ac:dyDescent="0.25">
      <c r="A3469" t="s">
        <v>3473</v>
      </c>
      <c r="B3469">
        <v>0.99796759195183404</v>
      </c>
      <c r="C3469">
        <v>0.975637970947972</v>
      </c>
      <c r="D3469">
        <v>0.99676429192633398</v>
      </c>
      <c r="E3469">
        <v>0.90320278284761801</v>
      </c>
      <c r="F3469">
        <v>0.78227379653574103</v>
      </c>
      <c r="G3469">
        <v>0.44452680912783499</v>
      </c>
      <c r="H3469">
        <v>0.179785121744547</v>
      </c>
      <c r="I3469">
        <v>0.14432868008895999</v>
      </c>
      <c r="J3469">
        <v>0.140019306827673</v>
      </c>
      <c r="K3469">
        <v>0.10048144573421</v>
      </c>
      <c r="L3469">
        <v>1191.14619635965</v>
      </c>
      <c r="M3469">
        <v>22.6801815721327</v>
      </c>
      <c r="N3469">
        <v>53.0493423953194</v>
      </c>
      <c r="O3469">
        <v>52.1160726913755</v>
      </c>
      <c r="P3469">
        <v>-9.7767378754787498E-2</v>
      </c>
      <c r="Q3469">
        <v>0.10139156860817999</v>
      </c>
      <c r="R3469">
        <v>0.99631193030104104</v>
      </c>
      <c r="S3469" t="s">
        <v>9052</v>
      </c>
      <c r="T3469" t="s">
        <v>11164</v>
      </c>
      <c r="U3469" t="s">
        <v>11164</v>
      </c>
      <c r="V3469" t="s">
        <v>11164</v>
      </c>
      <c r="W3469" t="s">
        <v>14591</v>
      </c>
      <c r="X3469">
        <v>2</v>
      </c>
      <c r="Y3469" t="s">
        <v>20070</v>
      </c>
      <c r="Z3469" t="s">
        <v>25619</v>
      </c>
      <c r="AA3469">
        <v>0.57565064535688459</v>
      </c>
      <c r="AB3469" t="str">
        <f>HYPERLINK("Melting_Curves/meltCurve_Q6IAN0_DHRS7B.pdf", "Melting_Curves/meltCurve_Q6IAN0_DHRS7B.pdf")</f>
        <v>Melting_Curves/meltCurve_Q6IAN0_DHRS7B.pdf</v>
      </c>
    </row>
    <row r="3470" spans="1:28" x14ac:dyDescent="0.25">
      <c r="A3470" t="s">
        <v>3474</v>
      </c>
      <c r="B3470">
        <v>0.99796759195183404</v>
      </c>
      <c r="C3470">
        <v>0.97493409821353205</v>
      </c>
      <c r="D3470">
        <v>0.98997859532862498</v>
      </c>
      <c r="E3470">
        <v>0.87716631542835999</v>
      </c>
      <c r="F3470">
        <v>0.75544339065699695</v>
      </c>
      <c r="G3470">
        <v>0.84610272262594</v>
      </c>
      <c r="H3470">
        <v>0.47472766054180199</v>
      </c>
      <c r="I3470">
        <v>0.18838733981248301</v>
      </c>
      <c r="J3470">
        <v>9.6423286303456507E-2</v>
      </c>
      <c r="K3470">
        <v>6.3227554008948902E-2</v>
      </c>
      <c r="L3470">
        <v>997.99435705415101</v>
      </c>
      <c r="M3470">
        <v>17.544161585487799</v>
      </c>
      <c r="N3470">
        <v>56.884699365263202</v>
      </c>
      <c r="O3470">
        <v>56.161072506047397</v>
      </c>
      <c r="P3470">
        <v>-7.8101780126323198E-2</v>
      </c>
      <c r="Q3470">
        <v>0</v>
      </c>
      <c r="R3470">
        <v>0.96132062203525404</v>
      </c>
      <c r="S3470" t="s">
        <v>9053</v>
      </c>
      <c r="T3470" t="s">
        <v>11164</v>
      </c>
      <c r="U3470" t="s">
        <v>11164</v>
      </c>
      <c r="V3470" t="s">
        <v>11164</v>
      </c>
      <c r="W3470" t="s">
        <v>14592</v>
      </c>
      <c r="X3470">
        <v>6</v>
      </c>
      <c r="Y3470" t="s">
        <v>20071</v>
      </c>
      <c r="Z3470" t="s">
        <v>25620</v>
      </c>
      <c r="AA3470">
        <v>0.6720643523120674</v>
      </c>
      <c r="AB3470" t="str">
        <f>HYPERLINK("Melting_Curves/meltCurve_Q6IBS0_TWF2.pdf", "Melting_Curves/meltCurve_Q6IBS0_TWF2.pdf")</f>
        <v>Melting_Curves/meltCurve_Q6IBS0_TWF2.pdf</v>
      </c>
    </row>
    <row r="3471" spans="1:28" x14ac:dyDescent="0.25">
      <c r="A3471" t="s">
        <v>3475</v>
      </c>
      <c r="B3471">
        <v>0.99796759195183404</v>
      </c>
      <c r="C3471">
        <v>1.0758153903840699</v>
      </c>
      <c r="D3471">
        <v>0.96804244943681295</v>
      </c>
      <c r="E3471">
        <v>0.91268399340968398</v>
      </c>
      <c r="F3471">
        <v>0.87465070062706296</v>
      </c>
      <c r="G3471">
        <v>0.49426048804826</v>
      </c>
      <c r="H3471">
        <v>0.442175763412266</v>
      </c>
      <c r="I3471">
        <v>0.524326079542762</v>
      </c>
      <c r="J3471">
        <v>0.473876239911391</v>
      </c>
      <c r="K3471">
        <v>0.390319236781141</v>
      </c>
      <c r="L3471">
        <v>2693.7601829394498</v>
      </c>
      <c r="M3471">
        <v>52.504046338240897</v>
      </c>
      <c r="N3471">
        <v>53.7966700669283</v>
      </c>
      <c r="O3471">
        <v>51.2315084854229</v>
      </c>
      <c r="P3471">
        <v>-0.13937116515796</v>
      </c>
      <c r="Q3471">
        <v>0.45602756706100001</v>
      </c>
      <c r="R3471">
        <v>0.96446243605994997</v>
      </c>
      <c r="S3471" t="s">
        <v>9054</v>
      </c>
      <c r="T3471" t="s">
        <v>11164</v>
      </c>
      <c r="U3471" t="s">
        <v>11164</v>
      </c>
      <c r="V3471" t="s">
        <v>11164</v>
      </c>
      <c r="W3471" t="s">
        <v>14593</v>
      </c>
      <c r="X3471">
        <v>1</v>
      </c>
      <c r="Y3471" t="s">
        <v>20072</v>
      </c>
      <c r="Z3471" t="s">
        <v>25621</v>
      </c>
      <c r="AA3471">
        <v>0.7165413178221508</v>
      </c>
      <c r="AB3471" t="str">
        <f>HYPERLINK("Melting_Curves/meltCurve_Q6ICH7_ASPHD2.pdf", "Melting_Curves/meltCurve_Q6ICH7_ASPHD2.pdf")</f>
        <v>Melting_Curves/meltCurve_Q6ICH7_ASPHD2.pdf</v>
      </c>
    </row>
    <row r="3472" spans="1:28" x14ac:dyDescent="0.25">
      <c r="A3472" t="s">
        <v>3476</v>
      </c>
      <c r="B3472">
        <v>0.99796759195183404</v>
      </c>
      <c r="C3472">
        <v>0.83461275969749305</v>
      </c>
      <c r="D3472">
        <v>0.93020472886754701</v>
      </c>
      <c r="E3472">
        <v>0.90127944574789998</v>
      </c>
      <c r="F3472">
        <v>0.80094067715319595</v>
      </c>
      <c r="G3472">
        <v>0.84038309192555904</v>
      </c>
      <c r="H3472">
        <v>0.90756033394735702</v>
      </c>
      <c r="I3472">
        <v>0.74691281431612599</v>
      </c>
      <c r="J3472">
        <v>0.51765490175443896</v>
      </c>
      <c r="K3472">
        <v>0.278392507179409</v>
      </c>
      <c r="L3472">
        <v>1033.2621444245499</v>
      </c>
      <c r="M3472">
        <v>16.113785678494001</v>
      </c>
      <c r="N3472">
        <v>64.122872607437998</v>
      </c>
      <c r="O3472">
        <v>63.1596943519598</v>
      </c>
      <c r="P3472">
        <v>-6.3786794396285207E-2</v>
      </c>
      <c r="Q3472">
        <v>0</v>
      </c>
      <c r="R3472">
        <v>0.77251382044242201</v>
      </c>
      <c r="S3472" t="s">
        <v>9055</v>
      </c>
      <c r="T3472" t="s">
        <v>11164</v>
      </c>
      <c r="U3472" t="s">
        <v>11164</v>
      </c>
      <c r="V3472" t="s">
        <v>11164</v>
      </c>
      <c r="W3472" t="s">
        <v>14594</v>
      </c>
      <c r="X3472">
        <v>2</v>
      </c>
      <c r="Y3472" t="s">
        <v>20073</v>
      </c>
      <c r="Z3472" t="s">
        <v>25622</v>
      </c>
      <c r="AA3472">
        <v>0.8631824344983049</v>
      </c>
      <c r="AB3472" t="str">
        <f>HYPERLINK("Melting_Curves/meltCurve_Q6IEE7_TMEM132E.pdf", "Melting_Curves/meltCurve_Q6IEE7_TMEM132E.pdf")</f>
        <v>Melting_Curves/meltCurve_Q6IEE7_TMEM132E.pdf</v>
      </c>
    </row>
    <row r="3473" spans="1:28" x14ac:dyDescent="0.25">
      <c r="A3473" t="s">
        <v>3477</v>
      </c>
      <c r="B3473">
        <v>0.99796759195183404</v>
      </c>
      <c r="C3473">
        <v>1.0455051236780999</v>
      </c>
      <c r="D3473">
        <v>0.970029934454814</v>
      </c>
      <c r="E3473">
        <v>0.92862902081416898</v>
      </c>
      <c r="F3473">
        <v>0.77789917309606704</v>
      </c>
      <c r="G3473">
        <v>0.72729368247896298</v>
      </c>
      <c r="H3473">
        <v>0.54533776681400903</v>
      </c>
      <c r="I3473">
        <v>0.30152213815372497</v>
      </c>
      <c r="J3473">
        <v>0.14160168919946001</v>
      </c>
      <c r="K3473">
        <v>0.10802000870487299</v>
      </c>
      <c r="L3473">
        <v>750.42824658356597</v>
      </c>
      <c r="M3473">
        <v>13.1297044107933</v>
      </c>
      <c r="N3473">
        <v>57.154999514763901</v>
      </c>
      <c r="O3473">
        <v>55.877921857763504</v>
      </c>
      <c r="P3473">
        <v>-5.8752796615533301E-2</v>
      </c>
      <c r="Q3473">
        <v>0</v>
      </c>
      <c r="R3473">
        <v>0.98473135006060797</v>
      </c>
      <c r="S3473" t="s">
        <v>9056</v>
      </c>
      <c r="T3473" t="s">
        <v>11164</v>
      </c>
      <c r="U3473" t="s">
        <v>11164</v>
      </c>
      <c r="V3473" t="s">
        <v>11164</v>
      </c>
      <c r="W3473" t="s">
        <v>14595</v>
      </c>
      <c r="X3473">
        <v>6</v>
      </c>
      <c r="Y3473" t="s">
        <v>20074</v>
      </c>
      <c r="Z3473" t="s">
        <v>25623</v>
      </c>
      <c r="AA3473">
        <v>0.67755675071644172</v>
      </c>
      <c r="AB3473" t="str">
        <f>HYPERLINK("Melting_Curves/meltCurve_Q6IN85_2_SMEK1.pdf", "Melting_Curves/meltCurve_Q6IN85_2_SMEK1.pdf")</f>
        <v>Melting_Curves/meltCurve_Q6IN85_2_SMEK1.pdf</v>
      </c>
    </row>
    <row r="3474" spans="1:28" x14ac:dyDescent="0.25">
      <c r="A3474" t="s">
        <v>3478</v>
      </c>
      <c r="B3474">
        <v>0.99796759195183404</v>
      </c>
      <c r="C3474">
        <v>1.0046587123633699</v>
      </c>
      <c r="D3474">
        <v>0.98701543633922495</v>
      </c>
      <c r="E3474">
        <v>0.90261128293510196</v>
      </c>
      <c r="F3474">
        <v>0.90664554047852597</v>
      </c>
      <c r="G3474">
        <v>0.68480533141213695</v>
      </c>
      <c r="H3474">
        <v>0.57420936022190805</v>
      </c>
      <c r="I3474">
        <v>0.35603773020900298</v>
      </c>
      <c r="J3474">
        <v>0.25131429908654201</v>
      </c>
      <c r="K3474">
        <v>0.21234550042818301</v>
      </c>
      <c r="L3474">
        <v>690.98699667464996</v>
      </c>
      <c r="M3474">
        <v>11.967375105908999</v>
      </c>
      <c r="N3474">
        <v>58.181652096254702</v>
      </c>
      <c r="O3474">
        <v>56.197862423012801</v>
      </c>
      <c r="P3474">
        <v>-5.0934665296281198E-2</v>
      </c>
      <c r="Q3474">
        <v>4.3492131202157801E-2</v>
      </c>
      <c r="R3474">
        <v>0.99216329702045303</v>
      </c>
      <c r="S3474" t="s">
        <v>9057</v>
      </c>
      <c r="T3474" t="s">
        <v>11164</v>
      </c>
      <c r="U3474" t="s">
        <v>11164</v>
      </c>
      <c r="V3474" t="s">
        <v>11164</v>
      </c>
      <c r="W3474" t="s">
        <v>14596</v>
      </c>
      <c r="X3474">
        <v>2</v>
      </c>
      <c r="Y3474" t="s">
        <v>20075</v>
      </c>
      <c r="Z3474" t="s">
        <v>25624</v>
      </c>
      <c r="AA3474">
        <v>0.70494673187981183</v>
      </c>
      <c r="AB3474" t="str">
        <f>HYPERLINK("Melting_Curves/meltCurve_Q6IPR3_TYW3.pdf", "Melting_Curves/meltCurve_Q6IPR3_TYW3.pdf")</f>
        <v>Melting_Curves/meltCurve_Q6IPR3_TYW3.pdf</v>
      </c>
    </row>
    <row r="3475" spans="1:28" x14ac:dyDescent="0.25">
      <c r="A3475" t="s">
        <v>3479</v>
      </c>
      <c r="B3475">
        <v>0.99796759195183404</v>
      </c>
      <c r="C3475">
        <v>1.0238587984546399</v>
      </c>
      <c r="D3475">
        <v>1.0391323911953101</v>
      </c>
      <c r="E3475">
        <v>0.97895025227582899</v>
      </c>
      <c r="F3475">
        <v>0.91875332189895398</v>
      </c>
      <c r="G3475">
        <v>0.59466238352558598</v>
      </c>
      <c r="H3475">
        <v>0.44446969933264502</v>
      </c>
      <c r="I3475">
        <v>0.232941235089896</v>
      </c>
      <c r="J3475">
        <v>0.16769086409916001</v>
      </c>
      <c r="K3475">
        <v>0.11565072716210199</v>
      </c>
      <c r="L3475">
        <v>991.61516570089202</v>
      </c>
      <c r="M3475">
        <v>17.9261442270397</v>
      </c>
      <c r="N3475">
        <v>55.944304579447902</v>
      </c>
      <c r="O3475">
        <v>54.642093391195999</v>
      </c>
      <c r="P3475">
        <v>-7.4549504028399202E-2</v>
      </c>
      <c r="Q3475">
        <v>9.1084718578855001E-2</v>
      </c>
      <c r="R3475">
        <v>0.99199018743751799</v>
      </c>
      <c r="S3475" t="s">
        <v>9058</v>
      </c>
      <c r="T3475" t="s">
        <v>11164</v>
      </c>
      <c r="U3475" t="s">
        <v>11164</v>
      </c>
      <c r="V3475" t="s">
        <v>11164</v>
      </c>
      <c r="W3475" t="s">
        <v>14597</v>
      </c>
      <c r="X3475">
        <v>9</v>
      </c>
      <c r="Y3475" t="s">
        <v>20076</v>
      </c>
      <c r="Z3475" t="s">
        <v>25625</v>
      </c>
      <c r="AA3475">
        <v>0.65708688206066224</v>
      </c>
      <c r="AB3475" t="str">
        <f>HYPERLINK("Melting_Curves/meltCurve_Q6IQ22_RAB12.pdf", "Melting_Curves/meltCurve_Q6IQ22_RAB12.pdf")</f>
        <v>Melting_Curves/meltCurve_Q6IQ22_RAB12.pdf</v>
      </c>
    </row>
    <row r="3476" spans="1:28" x14ac:dyDescent="0.25">
      <c r="A3476" t="s">
        <v>3480</v>
      </c>
      <c r="B3476">
        <v>0.99796759195183404</v>
      </c>
      <c r="C3476">
        <v>0.99591236948097706</v>
      </c>
      <c r="D3476">
        <v>0.93646691748124</v>
      </c>
      <c r="E3476">
        <v>1.00481193242135</v>
      </c>
      <c r="F3476">
        <v>0.83558519909020501</v>
      </c>
      <c r="G3476">
        <v>0.47934278311878198</v>
      </c>
      <c r="H3476">
        <v>0.43638319654171298</v>
      </c>
      <c r="I3476">
        <v>0.31933258639013501</v>
      </c>
      <c r="J3476">
        <v>0.30584169579647702</v>
      </c>
      <c r="K3476">
        <v>0.26372727898512899</v>
      </c>
      <c r="L3476">
        <v>1379.0730057696701</v>
      </c>
      <c r="M3476">
        <v>26.4083765986488</v>
      </c>
      <c r="N3476">
        <v>54.1321028278307</v>
      </c>
      <c r="O3476">
        <v>51.924358848894599</v>
      </c>
      <c r="P3476">
        <v>-8.8600753985548897E-2</v>
      </c>
      <c r="Q3476">
        <v>0.303177524574408</v>
      </c>
      <c r="R3476">
        <v>0.98482897817060999</v>
      </c>
      <c r="S3476" t="s">
        <v>9059</v>
      </c>
      <c r="T3476" t="s">
        <v>11164</v>
      </c>
      <c r="U3476" t="s">
        <v>11164</v>
      </c>
      <c r="V3476" t="s">
        <v>11164</v>
      </c>
      <c r="W3476" t="s">
        <v>14598</v>
      </c>
      <c r="X3476">
        <v>7</v>
      </c>
      <c r="Y3476" t="s">
        <v>20077</v>
      </c>
      <c r="Z3476" t="s">
        <v>25626</v>
      </c>
      <c r="AA3476">
        <v>0.66231576319127305</v>
      </c>
      <c r="AB3476" t="str">
        <f>HYPERLINK("Melting_Curves/meltCurve_Q6IQ49_2_SDE2.pdf", "Melting_Curves/meltCurve_Q6IQ49_2_SDE2.pdf")</f>
        <v>Melting_Curves/meltCurve_Q6IQ49_2_SDE2.pdf</v>
      </c>
    </row>
    <row r="3477" spans="1:28" x14ac:dyDescent="0.25">
      <c r="A3477" t="s">
        <v>3481</v>
      </c>
      <c r="B3477">
        <v>0.99796759195183404</v>
      </c>
      <c r="C3477">
        <v>0.89268147403039599</v>
      </c>
      <c r="D3477">
        <v>0.82538998471101499</v>
      </c>
      <c r="E3477">
        <v>0.74901147135506296</v>
      </c>
      <c r="F3477">
        <v>0.61532206444740101</v>
      </c>
      <c r="G3477">
        <v>0.37881251181750097</v>
      </c>
      <c r="H3477">
        <v>0.235051074944855</v>
      </c>
      <c r="I3477">
        <v>0.20468196975933101</v>
      </c>
      <c r="J3477">
        <v>0.16045484988489001</v>
      </c>
      <c r="K3477">
        <v>0.14811602420983799</v>
      </c>
      <c r="L3477">
        <v>491.96689753790002</v>
      </c>
      <c r="M3477">
        <v>9.6387762386725697</v>
      </c>
      <c r="N3477">
        <v>51.459517362520501</v>
      </c>
      <c r="O3477">
        <v>48.988590332817502</v>
      </c>
      <c r="P3477">
        <v>-4.7358407052267598E-2</v>
      </c>
      <c r="Q3477">
        <v>3.7751794326512503E-2</v>
      </c>
      <c r="R3477">
        <v>0.98844379414822503</v>
      </c>
      <c r="S3477" t="s">
        <v>9060</v>
      </c>
      <c r="T3477" t="s">
        <v>11164</v>
      </c>
      <c r="U3477" t="s">
        <v>11164</v>
      </c>
      <c r="V3477" t="s">
        <v>11164</v>
      </c>
      <c r="W3477" t="s">
        <v>14599</v>
      </c>
      <c r="X3477">
        <v>10</v>
      </c>
      <c r="Y3477" t="s">
        <v>20078</v>
      </c>
      <c r="Z3477" t="s">
        <v>25627</v>
      </c>
      <c r="AA3477">
        <v>0.51805147219695669</v>
      </c>
      <c r="AB3477" t="str">
        <f>HYPERLINK("Melting_Curves/meltCurve_Q6IS14_EIF5AL1.pdf", "Melting_Curves/meltCurve_Q6IS14_EIF5AL1.pdf")</f>
        <v>Melting_Curves/meltCurve_Q6IS14_EIF5AL1.pdf</v>
      </c>
    </row>
    <row r="3478" spans="1:28" x14ac:dyDescent="0.25">
      <c r="A3478" t="s">
        <v>3482</v>
      </c>
      <c r="B3478">
        <v>0.99796759195183404</v>
      </c>
      <c r="C3478">
        <v>0.97650016656647798</v>
      </c>
      <c r="D3478">
        <v>0.98429315220146396</v>
      </c>
      <c r="E3478">
        <v>0.88242233642063905</v>
      </c>
      <c r="F3478">
        <v>0.81792303702004399</v>
      </c>
      <c r="G3478">
        <v>0.33215076618464001</v>
      </c>
      <c r="H3478">
        <v>0.26531784841899497</v>
      </c>
      <c r="I3478">
        <v>0.218392592926203</v>
      </c>
      <c r="J3478">
        <v>0.166206775669553</v>
      </c>
      <c r="K3478">
        <v>0.12227125904910401</v>
      </c>
      <c r="L3478">
        <v>1549.5631155968199</v>
      </c>
      <c r="M3478">
        <v>29.896603377083501</v>
      </c>
      <c r="N3478">
        <v>52.570997856837103</v>
      </c>
      <c r="O3478">
        <v>51.600501467173402</v>
      </c>
      <c r="P3478">
        <v>-0.11996303275451201</v>
      </c>
      <c r="Q3478">
        <v>0.17179731624598199</v>
      </c>
      <c r="R3478">
        <v>0.98506589349672402</v>
      </c>
      <c r="S3478" t="s">
        <v>9061</v>
      </c>
      <c r="T3478" t="s">
        <v>11164</v>
      </c>
      <c r="U3478" t="s">
        <v>11164</v>
      </c>
      <c r="V3478" t="s">
        <v>11164</v>
      </c>
      <c r="W3478" t="s">
        <v>11384</v>
      </c>
      <c r="X3478">
        <v>4</v>
      </c>
      <c r="Y3478" t="s">
        <v>20079</v>
      </c>
      <c r="Z3478" t="s">
        <v>25628</v>
      </c>
      <c r="AA3478">
        <v>0.5864762200421848</v>
      </c>
      <c r="AB3478" t="str">
        <f>HYPERLINK("Melting_Curves/meltCurve_Q6JHV3_USP3.pdf", "Melting_Curves/meltCurve_Q6JHV3_USP3.pdf")</f>
        <v>Melting_Curves/meltCurve_Q6JHV3_USP3.pdf</v>
      </c>
    </row>
    <row r="3479" spans="1:28" x14ac:dyDescent="0.25">
      <c r="A3479" t="s">
        <v>3483</v>
      </c>
      <c r="B3479">
        <v>0.99796759195183404</v>
      </c>
      <c r="C3479">
        <v>0.98719899512831</v>
      </c>
      <c r="D3479">
        <v>0.91596196184061895</v>
      </c>
      <c r="E3479">
        <v>0.81272306709009601</v>
      </c>
      <c r="F3479">
        <v>0.72103543507158496</v>
      </c>
      <c r="G3479">
        <v>0.479540650326786</v>
      </c>
      <c r="H3479">
        <v>0.28625308498122198</v>
      </c>
      <c r="I3479">
        <v>0.27189572179562799</v>
      </c>
      <c r="J3479">
        <v>0.21084021527539401</v>
      </c>
      <c r="K3479">
        <v>0.18879628550675501</v>
      </c>
      <c r="L3479">
        <v>665.29215831102999</v>
      </c>
      <c r="M3479">
        <v>12.7775094014637</v>
      </c>
      <c r="N3479">
        <v>53.388872726990201</v>
      </c>
      <c r="O3479">
        <v>50.841528788658401</v>
      </c>
      <c r="P3479">
        <v>-5.4322880523502502E-2</v>
      </c>
      <c r="Q3479">
        <v>0.13556331299864699</v>
      </c>
      <c r="R3479">
        <v>0.992425290878307</v>
      </c>
      <c r="S3479" t="s">
        <v>9062</v>
      </c>
      <c r="T3479" t="s">
        <v>11164</v>
      </c>
      <c r="U3479" t="s">
        <v>11164</v>
      </c>
      <c r="V3479" t="s">
        <v>11164</v>
      </c>
      <c r="W3479" t="s">
        <v>14600</v>
      </c>
      <c r="X3479">
        <v>6</v>
      </c>
      <c r="Y3479" t="s">
        <v>20080</v>
      </c>
      <c r="Z3479" t="s">
        <v>25629</v>
      </c>
      <c r="AA3479">
        <v>0.58909086775218122</v>
      </c>
      <c r="AB3479" t="str">
        <f>HYPERLINK("Melting_Curves/meltCurve_Q6JQN1_ACAD10.pdf", "Melting_Curves/meltCurve_Q6JQN1_ACAD10.pdf")</f>
        <v>Melting_Curves/meltCurve_Q6JQN1_ACAD10.pdf</v>
      </c>
    </row>
    <row r="3480" spans="1:28" x14ac:dyDescent="0.25">
      <c r="A3480" t="s">
        <v>3484</v>
      </c>
      <c r="B3480">
        <v>0.99796759195183404</v>
      </c>
      <c r="C3480">
        <v>0.615023189235408</v>
      </c>
      <c r="D3480">
        <v>0.51701560451163897</v>
      </c>
      <c r="E3480">
        <v>0.79271628298755203</v>
      </c>
      <c r="F3480">
        <v>0.65142401567750696</v>
      </c>
      <c r="G3480">
        <v>0.587064720409879</v>
      </c>
      <c r="H3480">
        <v>0.40088118888069102</v>
      </c>
      <c r="I3480">
        <v>0.31746884359093103</v>
      </c>
      <c r="J3480">
        <v>0.29793999203518301</v>
      </c>
      <c r="K3480">
        <v>0.46254194853983399</v>
      </c>
      <c r="L3480">
        <v>180.98634515505699</v>
      </c>
      <c r="M3480">
        <v>3.3178792111414599</v>
      </c>
      <c r="N3480">
        <v>54.548804713629799</v>
      </c>
      <c r="O3480">
        <v>41.894749191146403</v>
      </c>
      <c r="P3480">
        <v>-2.0253754512283999E-2</v>
      </c>
      <c r="Q3480">
        <v>0</v>
      </c>
      <c r="R3480">
        <v>0.625761380697063</v>
      </c>
      <c r="S3480" t="s">
        <v>9063</v>
      </c>
      <c r="T3480" t="s">
        <v>11164</v>
      </c>
      <c r="U3480" t="s">
        <v>11164</v>
      </c>
      <c r="V3480" t="s">
        <v>11164</v>
      </c>
      <c r="W3480" t="s">
        <v>14601</v>
      </c>
      <c r="X3480">
        <v>2</v>
      </c>
      <c r="Y3480" t="s">
        <v>20081</v>
      </c>
      <c r="Z3480" t="s">
        <v>25630</v>
      </c>
      <c r="AA3480">
        <v>0.5585786674751172</v>
      </c>
      <c r="AB3480" t="str">
        <f>HYPERLINK("Melting_Curves/meltCurve_Q6KC79_2_NIPBL.pdf", "Melting_Curves/meltCurve_Q6KC79_2_NIPBL.pdf")</f>
        <v>Melting_Curves/meltCurve_Q6KC79_2_NIPBL.pdf</v>
      </c>
    </row>
    <row r="3481" spans="1:28" x14ac:dyDescent="0.25">
      <c r="A3481" t="s">
        <v>3485</v>
      </c>
      <c r="B3481">
        <v>0.99796759195183404</v>
      </c>
      <c r="C3481">
        <v>0.95431537751298001</v>
      </c>
      <c r="D3481">
        <v>0.87000008720683197</v>
      </c>
      <c r="E3481">
        <v>0.90195819943054201</v>
      </c>
      <c r="F3481">
        <v>0.73894513731669698</v>
      </c>
      <c r="G3481">
        <v>0.60499451389678305</v>
      </c>
      <c r="H3481">
        <v>0.55794931083643295</v>
      </c>
      <c r="I3481">
        <v>0.44315600310209002</v>
      </c>
      <c r="J3481">
        <v>0.45016157147390601</v>
      </c>
      <c r="K3481">
        <v>0.18054978653704901</v>
      </c>
      <c r="L3481">
        <v>402.54455908928799</v>
      </c>
      <c r="M3481">
        <v>6.8889689388246902</v>
      </c>
      <c r="N3481">
        <v>58.433208561944099</v>
      </c>
      <c r="O3481">
        <v>54.104468167260897</v>
      </c>
      <c r="P3481">
        <v>-3.1894365725255197E-2</v>
      </c>
      <c r="Q3481">
        <v>0</v>
      </c>
      <c r="R3481">
        <v>0.95252005565915698</v>
      </c>
      <c r="S3481" t="s">
        <v>9064</v>
      </c>
      <c r="T3481" t="s">
        <v>11164</v>
      </c>
      <c r="U3481" t="s">
        <v>11164</v>
      </c>
      <c r="V3481" t="s">
        <v>11164</v>
      </c>
      <c r="W3481" t="s">
        <v>14602</v>
      </c>
      <c r="X3481">
        <v>1</v>
      </c>
      <c r="Y3481" t="s">
        <v>20082</v>
      </c>
      <c r="Z3481" t="s">
        <v>25631</v>
      </c>
      <c r="AA3481">
        <v>0.67809142799682998</v>
      </c>
      <c r="AB3481" t="str">
        <f>HYPERLINK("Melting_Curves/meltCurve_Q6KCM7_SLC25A25.pdf", "Melting_Curves/meltCurve_Q6KCM7_SLC25A25.pdf")</f>
        <v>Melting_Curves/meltCurve_Q6KCM7_SLC25A25.pdf</v>
      </c>
    </row>
    <row r="3482" spans="1:28" x14ac:dyDescent="0.25">
      <c r="A3482" t="s">
        <v>3486</v>
      </c>
      <c r="B3482">
        <v>0.99796759195183404</v>
      </c>
      <c r="C3482">
        <v>1.3513520878916501</v>
      </c>
      <c r="D3482">
        <v>1.1735700480934299</v>
      </c>
      <c r="E3482">
        <v>1.01194012676013</v>
      </c>
      <c r="F3482">
        <v>0.69708330810241903</v>
      </c>
      <c r="G3482">
        <v>0.16895805955628801</v>
      </c>
      <c r="H3482">
        <v>0.12842880171342799</v>
      </c>
      <c r="I3482">
        <v>0.15860567037534801</v>
      </c>
      <c r="J3482">
        <v>0</v>
      </c>
      <c r="K3482">
        <v>0</v>
      </c>
      <c r="L3482">
        <v>2102.2060396905599</v>
      </c>
      <c r="M3482">
        <v>41.1276193057546</v>
      </c>
      <c r="N3482">
        <v>51.295156242436803</v>
      </c>
      <c r="O3482">
        <v>50.993816430928</v>
      </c>
      <c r="P3482">
        <v>-0.18801635247566001</v>
      </c>
      <c r="Q3482">
        <v>6.7521656843787095E-2</v>
      </c>
      <c r="R3482">
        <v>0.93145204902881495</v>
      </c>
      <c r="S3482" t="s">
        <v>9065</v>
      </c>
      <c r="T3482" t="s">
        <v>11164</v>
      </c>
      <c r="U3482" t="s">
        <v>11164</v>
      </c>
      <c r="V3482" t="s">
        <v>11164</v>
      </c>
      <c r="W3482" t="s">
        <v>14603</v>
      </c>
      <c r="X3482">
        <v>1</v>
      </c>
      <c r="Y3482" t="s">
        <v>20083</v>
      </c>
      <c r="Z3482" t="s">
        <v>25632</v>
      </c>
      <c r="AA3482">
        <v>0.509340042574707</v>
      </c>
      <c r="AB3482" t="str">
        <f>HYPERLINK("Melting_Curves/meltCurve_Q6MZP7_LIN54.pdf", "Melting_Curves/meltCurve_Q6MZP7_LIN54.pdf")</f>
        <v>Melting_Curves/meltCurve_Q6MZP7_LIN54.pdf</v>
      </c>
    </row>
    <row r="3483" spans="1:28" x14ac:dyDescent="0.25">
      <c r="A3483" t="s">
        <v>3487</v>
      </c>
      <c r="B3483">
        <v>0.99796759195183404</v>
      </c>
      <c r="C3483">
        <v>1.0801286775315699</v>
      </c>
      <c r="D3483">
        <v>1.12687883780063</v>
      </c>
      <c r="E3483">
        <v>1.0626873393285099</v>
      </c>
      <c r="F3483">
        <v>0.72430120815084498</v>
      </c>
      <c r="G3483">
        <v>0.36626184649055599</v>
      </c>
      <c r="H3483">
        <v>0.16708053384208399</v>
      </c>
      <c r="I3483">
        <v>0.12947717143450199</v>
      </c>
      <c r="J3483">
        <v>0</v>
      </c>
      <c r="K3483">
        <v>5.9257074779087801E-2</v>
      </c>
      <c r="L3483">
        <v>1368.31216722162</v>
      </c>
      <c r="M3483">
        <v>26.165242070354498</v>
      </c>
      <c r="N3483">
        <v>52.543478543853297</v>
      </c>
      <c r="O3483">
        <v>51.992432114912603</v>
      </c>
      <c r="P3483">
        <v>-0.118493496290127</v>
      </c>
      <c r="Q3483">
        <v>5.81862886239152E-2</v>
      </c>
      <c r="R3483">
        <v>0.97890777166960496</v>
      </c>
      <c r="S3483" t="s">
        <v>9066</v>
      </c>
      <c r="T3483" t="s">
        <v>11164</v>
      </c>
      <c r="U3483" t="s">
        <v>11164</v>
      </c>
      <c r="V3483" t="s">
        <v>11164</v>
      </c>
      <c r="W3483" t="s">
        <v>14604</v>
      </c>
      <c r="X3483">
        <v>5</v>
      </c>
      <c r="Y3483" t="s">
        <v>20084</v>
      </c>
      <c r="Z3483" t="s">
        <v>25633</v>
      </c>
      <c r="AA3483">
        <v>0.54604428862424159</v>
      </c>
      <c r="AB3483" t="str">
        <f>HYPERLINK("Melting_Curves/meltCurve_Q6N069_NAA16.pdf", "Melting_Curves/meltCurve_Q6N069_NAA16.pdf")</f>
        <v>Melting_Curves/meltCurve_Q6N069_NAA16.pdf</v>
      </c>
    </row>
    <row r="3484" spans="1:28" x14ac:dyDescent="0.25">
      <c r="A3484" t="s">
        <v>3488</v>
      </c>
      <c r="B3484">
        <v>0.99796759195183404</v>
      </c>
      <c r="C3484">
        <v>1.16158863713932</v>
      </c>
      <c r="D3484">
        <v>1.04425828420816</v>
      </c>
      <c r="E3484">
        <v>0.77315016951316295</v>
      </c>
      <c r="F3484">
        <v>0.52475759694216895</v>
      </c>
      <c r="G3484">
        <v>0.29902990512774902</v>
      </c>
      <c r="H3484">
        <v>0.22883902965686601</v>
      </c>
      <c r="I3484">
        <v>0.18111257295695801</v>
      </c>
      <c r="J3484">
        <v>0.150067729453087</v>
      </c>
      <c r="K3484">
        <v>0.14666386900928199</v>
      </c>
      <c r="L3484">
        <v>1035.17257893343</v>
      </c>
      <c r="M3484">
        <v>20.916631633429901</v>
      </c>
      <c r="N3484">
        <v>50.416999494198102</v>
      </c>
      <c r="O3484">
        <v>49.044703280777398</v>
      </c>
      <c r="P3484">
        <v>-8.9608565332258999E-2</v>
      </c>
      <c r="Q3484">
        <v>0.159576787658922</v>
      </c>
      <c r="R3484">
        <v>0.97488895441230194</v>
      </c>
      <c r="S3484" t="s">
        <v>9067</v>
      </c>
      <c r="T3484" t="s">
        <v>11164</v>
      </c>
      <c r="U3484" t="s">
        <v>11164</v>
      </c>
      <c r="V3484" t="s">
        <v>11164</v>
      </c>
      <c r="W3484" t="s">
        <v>14605</v>
      </c>
      <c r="X3484">
        <v>1</v>
      </c>
      <c r="Y3484" t="s">
        <v>20085</v>
      </c>
      <c r="Z3484" t="s">
        <v>25634</v>
      </c>
      <c r="AA3484">
        <v>0.51969921967392052</v>
      </c>
      <c r="AB3484" t="str">
        <f>HYPERLINK("Melting_Curves/meltCurve_Q6NSI4_4_CXorf57.pdf", "Melting_Curves/meltCurve_Q6NSI4_4_CXorf57.pdf")</f>
        <v>Melting_Curves/meltCurve_Q6NSI4_4_CXorf57.pdf</v>
      </c>
    </row>
    <row r="3485" spans="1:28" x14ac:dyDescent="0.25">
      <c r="A3485" t="s">
        <v>3489</v>
      </c>
      <c r="B3485">
        <v>0.99796759195183404</v>
      </c>
      <c r="C3485">
        <v>0.87728099223711897</v>
      </c>
      <c r="D3485">
        <v>1.15389094701503</v>
      </c>
      <c r="E3485">
        <v>0.77503230328667105</v>
      </c>
      <c r="F3485">
        <v>0.48616894036444003</v>
      </c>
      <c r="G3485">
        <v>0.40707087254595697</v>
      </c>
      <c r="H3485">
        <v>0.328325562390412</v>
      </c>
      <c r="I3485">
        <v>0.31951548633689802</v>
      </c>
      <c r="J3485">
        <v>0.28338486471748497</v>
      </c>
      <c r="K3485">
        <v>0.19464318330387301</v>
      </c>
      <c r="L3485">
        <v>1216.2515547543401</v>
      </c>
      <c r="M3485">
        <v>25.0532022383784</v>
      </c>
      <c r="N3485">
        <v>50.254322653851403</v>
      </c>
      <c r="O3485">
        <v>48.240621548082302</v>
      </c>
      <c r="P3485">
        <v>-9.2629864750231397E-2</v>
      </c>
      <c r="Q3485">
        <v>0.28656431449997199</v>
      </c>
      <c r="R3485">
        <v>0.93908067406803497</v>
      </c>
      <c r="S3485" t="s">
        <v>9068</v>
      </c>
      <c r="T3485" t="s">
        <v>11164</v>
      </c>
      <c r="U3485" t="s">
        <v>11164</v>
      </c>
      <c r="V3485" t="s">
        <v>11164</v>
      </c>
      <c r="W3485" t="s">
        <v>14606</v>
      </c>
      <c r="X3485">
        <v>1</v>
      </c>
      <c r="Y3485" t="s">
        <v>20086</v>
      </c>
      <c r="Z3485" t="s">
        <v>25635</v>
      </c>
      <c r="AA3485">
        <v>0.56726148997655779</v>
      </c>
      <c r="AB3485" t="str">
        <f>HYPERLINK("Melting_Curves/meltCurve_Q6NSJ2_2_PHLDB3.pdf", "Melting_Curves/meltCurve_Q6NSJ2_2_PHLDB3.pdf")</f>
        <v>Melting_Curves/meltCurve_Q6NSJ2_2_PHLDB3.pdf</v>
      </c>
    </row>
    <row r="3486" spans="1:28" x14ac:dyDescent="0.25">
      <c r="A3486" t="s">
        <v>3490</v>
      </c>
      <c r="B3486">
        <v>0.99796759195183404</v>
      </c>
      <c r="C3486">
        <v>0.86286751116039595</v>
      </c>
      <c r="D3486">
        <v>0.82279115301439398</v>
      </c>
      <c r="E3486">
        <v>0.80457449156291605</v>
      </c>
      <c r="F3486">
        <v>0.82633800842830896</v>
      </c>
      <c r="G3486">
        <v>0.456394276572962</v>
      </c>
      <c r="H3486">
        <v>0.55943694905637698</v>
      </c>
      <c r="I3486">
        <v>0.46894917431396799</v>
      </c>
      <c r="J3486">
        <v>0.57134927734499297</v>
      </c>
      <c r="K3486">
        <v>0.45273713359439499</v>
      </c>
      <c r="L3486">
        <v>389.61396260152202</v>
      </c>
      <c r="M3486">
        <v>7.8647473672682597</v>
      </c>
      <c r="N3486">
        <v>62.354985085291901</v>
      </c>
      <c r="O3486">
        <v>46.643088585109197</v>
      </c>
      <c r="P3486">
        <v>-2.5293415947862101E-2</v>
      </c>
      <c r="Q3486">
        <v>0.400696409291174</v>
      </c>
      <c r="R3486">
        <v>0.83470770028460395</v>
      </c>
      <c r="S3486" t="s">
        <v>9069</v>
      </c>
      <c r="T3486" t="s">
        <v>11164</v>
      </c>
      <c r="U3486" t="s">
        <v>11164</v>
      </c>
      <c r="V3486" t="s">
        <v>11164</v>
      </c>
      <c r="W3486" t="s">
        <v>14607</v>
      </c>
      <c r="X3486">
        <v>3</v>
      </c>
      <c r="Y3486" t="s">
        <v>20087</v>
      </c>
      <c r="Z3486" t="s">
        <v>25636</v>
      </c>
      <c r="AA3486">
        <v>0.67753684750880183</v>
      </c>
      <c r="AB3486" t="str">
        <f>HYPERLINK("Melting_Curves/meltCurve_Q6NT16_SLC18B1.pdf", "Melting_Curves/meltCurve_Q6NT16_SLC18B1.pdf")</f>
        <v>Melting_Curves/meltCurve_Q6NT16_SLC18B1.pdf</v>
      </c>
    </row>
    <row r="3487" spans="1:28" x14ac:dyDescent="0.25">
      <c r="A3487" t="s">
        <v>3491</v>
      </c>
      <c r="B3487">
        <v>0.99796759195183404</v>
      </c>
      <c r="C3487">
        <v>0.95113380527999603</v>
      </c>
      <c r="D3487">
        <v>0.98963997414416405</v>
      </c>
      <c r="E3487">
        <v>0.95120826119796098</v>
      </c>
      <c r="F3487">
        <v>0.73453826087527596</v>
      </c>
      <c r="G3487">
        <v>0.67473761435730295</v>
      </c>
      <c r="H3487">
        <v>0.67647814199914702</v>
      </c>
      <c r="I3487">
        <v>0.55947790523728502</v>
      </c>
      <c r="J3487">
        <v>0.57779781222987203</v>
      </c>
      <c r="K3487">
        <v>0.22368418822364</v>
      </c>
      <c r="L3487">
        <v>412.99443028850499</v>
      </c>
      <c r="M3487">
        <v>6.6737329097089999</v>
      </c>
      <c r="N3487">
        <v>61.883571713353398</v>
      </c>
      <c r="O3487">
        <v>57.0364923784635</v>
      </c>
      <c r="P3487">
        <v>-2.93165886303587E-2</v>
      </c>
      <c r="Q3487">
        <v>0</v>
      </c>
      <c r="R3487">
        <v>0.88866100193899999</v>
      </c>
      <c r="S3487" t="s">
        <v>9070</v>
      </c>
      <c r="T3487" t="s">
        <v>11164</v>
      </c>
      <c r="U3487" t="s">
        <v>11164</v>
      </c>
      <c r="V3487" t="s">
        <v>11164</v>
      </c>
      <c r="W3487" t="s">
        <v>14608</v>
      </c>
      <c r="X3487">
        <v>15</v>
      </c>
      <c r="Y3487" t="s">
        <v>20088</v>
      </c>
      <c r="Z3487" t="s">
        <v>25637</v>
      </c>
      <c r="AA3487">
        <v>0.74295176190540624</v>
      </c>
      <c r="AB3487" t="str">
        <f>HYPERLINK("Melting_Curves/meltCurve_Q6NUK1_SLC25A24.pdf", "Melting_Curves/meltCurve_Q6NUK1_SLC25A24.pdf")</f>
        <v>Melting_Curves/meltCurve_Q6NUK1_SLC25A24.pdf</v>
      </c>
    </row>
    <row r="3488" spans="1:28" x14ac:dyDescent="0.25">
      <c r="A3488" t="s">
        <v>3492</v>
      </c>
      <c r="B3488">
        <v>0.99796759195183404</v>
      </c>
      <c r="C3488">
        <v>1.01441107635085</v>
      </c>
      <c r="D3488">
        <v>1.0300042753063401</v>
      </c>
      <c r="E3488">
        <v>0.97415999118987395</v>
      </c>
      <c r="F3488">
        <v>0.78743995883240603</v>
      </c>
      <c r="G3488">
        <v>0.63806252322053403</v>
      </c>
      <c r="H3488">
        <v>0.44372472647997102</v>
      </c>
      <c r="I3488">
        <v>0.31465648448720202</v>
      </c>
      <c r="J3488">
        <v>0.34394500725543697</v>
      </c>
      <c r="K3488">
        <v>0.29824680702664802</v>
      </c>
      <c r="L3488">
        <v>965.76624942901401</v>
      </c>
      <c r="M3488">
        <v>18.110600343576401</v>
      </c>
      <c r="N3488">
        <v>55.919124233795102</v>
      </c>
      <c r="O3488">
        <v>52.688607350204997</v>
      </c>
      <c r="P3488">
        <v>-6.1521115093740399E-2</v>
      </c>
      <c r="Q3488">
        <v>0.284108595681689</v>
      </c>
      <c r="R3488">
        <v>0.99275771909118005</v>
      </c>
      <c r="S3488" t="s">
        <v>9071</v>
      </c>
      <c r="T3488" t="s">
        <v>11164</v>
      </c>
      <c r="U3488" t="s">
        <v>11164</v>
      </c>
      <c r="V3488" t="s">
        <v>11164</v>
      </c>
      <c r="W3488" t="s">
        <v>14609</v>
      </c>
      <c r="X3488">
        <v>5</v>
      </c>
      <c r="Y3488" t="s">
        <v>20089</v>
      </c>
      <c r="Z3488" t="s">
        <v>25638</v>
      </c>
      <c r="AA3488">
        <v>0.68385874281577663</v>
      </c>
      <c r="AB3488" t="str">
        <f>HYPERLINK("Melting_Curves/meltCurve_Q6NUM9_RETSAT.pdf", "Melting_Curves/meltCurve_Q6NUM9_RETSAT.pdf")</f>
        <v>Melting_Curves/meltCurve_Q6NUM9_RETSAT.pdf</v>
      </c>
    </row>
    <row r="3489" spans="1:28" x14ac:dyDescent="0.25">
      <c r="A3489" t="s">
        <v>3493</v>
      </c>
      <c r="B3489">
        <v>0.99796759195183404</v>
      </c>
      <c r="C3489">
        <v>1.0532743554495501</v>
      </c>
      <c r="D3489">
        <v>0.93077705641193798</v>
      </c>
      <c r="E3489">
        <v>0.67679383737256305</v>
      </c>
      <c r="F3489">
        <v>0.394078999854026</v>
      </c>
      <c r="G3489">
        <v>0.14807448811193499</v>
      </c>
      <c r="H3489">
        <v>0.10458279476257</v>
      </c>
      <c r="I3489">
        <v>9.5261289047844006E-2</v>
      </c>
      <c r="J3489">
        <v>3.96330066638204E-2</v>
      </c>
      <c r="K3489">
        <v>2.53421774932681E-2</v>
      </c>
      <c r="L3489">
        <v>928.20482522515897</v>
      </c>
      <c r="M3489">
        <v>19.135580645108401</v>
      </c>
      <c r="N3489">
        <v>48.738489414046299</v>
      </c>
      <c r="O3489">
        <v>47.986316890440598</v>
      </c>
      <c r="P3489">
        <v>-9.5361551661849397E-2</v>
      </c>
      <c r="Q3489">
        <v>4.3483981655507098E-2</v>
      </c>
      <c r="R3489">
        <v>0.99498547911794599</v>
      </c>
      <c r="S3489" t="s">
        <v>9072</v>
      </c>
      <c r="T3489" t="s">
        <v>11164</v>
      </c>
      <c r="U3489" t="s">
        <v>11164</v>
      </c>
      <c r="V3489" t="s">
        <v>11164</v>
      </c>
      <c r="W3489" t="s">
        <v>14610</v>
      </c>
      <c r="X3489">
        <v>3</v>
      </c>
      <c r="Y3489" t="s">
        <v>20090</v>
      </c>
      <c r="Z3489" t="s">
        <v>25639</v>
      </c>
      <c r="AA3489">
        <v>0.42401977263328688</v>
      </c>
      <c r="AB3489" t="str">
        <f>HYPERLINK("Melting_Curves/meltCurve_Q6NUQ1_RINT1.pdf", "Melting_Curves/meltCurve_Q6NUQ1_RINT1.pdf")</f>
        <v>Melting_Curves/meltCurve_Q6NUQ1_RINT1.pdf</v>
      </c>
    </row>
    <row r="3490" spans="1:28" x14ac:dyDescent="0.25">
      <c r="A3490" t="s">
        <v>3494</v>
      </c>
      <c r="B3490">
        <v>0.99796759195183404</v>
      </c>
      <c r="C3490">
        <v>0.94289996055974501</v>
      </c>
      <c r="D3490">
        <v>0.92049639291306395</v>
      </c>
      <c r="E3490">
        <v>0.92973601680640205</v>
      </c>
      <c r="F3490">
        <v>0.81427232067130995</v>
      </c>
      <c r="G3490">
        <v>0.50306332650940999</v>
      </c>
      <c r="H3490">
        <v>0.25958636744146701</v>
      </c>
      <c r="I3490">
        <v>0.24153552344338999</v>
      </c>
      <c r="J3490">
        <v>0.179718475309047</v>
      </c>
      <c r="K3490">
        <v>0.12796894979019999</v>
      </c>
      <c r="L3490">
        <v>1066.1453888267799</v>
      </c>
      <c r="M3490">
        <v>20.121638078410399</v>
      </c>
      <c r="N3490">
        <v>53.8817569491938</v>
      </c>
      <c r="O3490">
        <v>52.470017294486702</v>
      </c>
      <c r="P3490">
        <v>-8.2233339817374004E-2</v>
      </c>
      <c r="Q3490">
        <v>0.142287035357647</v>
      </c>
      <c r="R3490">
        <v>0.98899223844483997</v>
      </c>
      <c r="S3490" t="s">
        <v>9073</v>
      </c>
      <c r="T3490" t="s">
        <v>11164</v>
      </c>
      <c r="U3490" t="s">
        <v>11164</v>
      </c>
      <c r="V3490" t="s">
        <v>11164</v>
      </c>
      <c r="W3490" t="s">
        <v>14611</v>
      </c>
      <c r="X3490">
        <v>7</v>
      </c>
      <c r="Y3490" t="s">
        <v>20091</v>
      </c>
      <c r="Z3490" t="s">
        <v>25640</v>
      </c>
      <c r="AA3490">
        <v>0.61002046176600899</v>
      </c>
      <c r="AB3490" t="str">
        <f>HYPERLINK("Melting_Curves/meltCurve_Q6NUQ4_2_TMEM214.pdf", "Melting_Curves/meltCurve_Q6NUQ4_2_TMEM214.pdf")</f>
        <v>Melting_Curves/meltCurve_Q6NUQ4_2_TMEM214.pdf</v>
      </c>
    </row>
    <row r="3491" spans="1:28" x14ac:dyDescent="0.25">
      <c r="A3491" t="s">
        <v>3495</v>
      </c>
      <c r="B3491">
        <v>0.99796759195183404</v>
      </c>
      <c r="C3491">
        <v>0.959931564667721</v>
      </c>
      <c r="D3491">
        <v>0.93767902508901502</v>
      </c>
      <c r="E3491">
        <v>0.83937749140247198</v>
      </c>
      <c r="F3491">
        <v>0.68980549324051199</v>
      </c>
      <c r="G3491">
        <v>0.60666619551219203</v>
      </c>
      <c r="H3491">
        <v>0.38068794692281799</v>
      </c>
      <c r="I3491">
        <v>0.32532350413880101</v>
      </c>
      <c r="J3491">
        <v>0.232590804760651</v>
      </c>
      <c r="K3491">
        <v>0.222432118130205</v>
      </c>
      <c r="L3491">
        <v>526.79004457036399</v>
      </c>
      <c r="M3491">
        <v>9.7269066521155398</v>
      </c>
      <c r="N3491">
        <v>55.203640180936802</v>
      </c>
      <c r="O3491">
        <v>52.017636252808103</v>
      </c>
      <c r="P3491">
        <v>-4.2838248595509699E-2</v>
      </c>
      <c r="Q3491">
        <v>8.4132126221217393E-2</v>
      </c>
      <c r="R3491">
        <v>0.99388193260981095</v>
      </c>
      <c r="S3491" t="s">
        <v>9074</v>
      </c>
      <c r="T3491" t="s">
        <v>11164</v>
      </c>
      <c r="U3491" t="s">
        <v>11164</v>
      </c>
      <c r="V3491" t="s">
        <v>11164</v>
      </c>
      <c r="W3491" t="s">
        <v>14612</v>
      </c>
      <c r="X3491">
        <v>1</v>
      </c>
      <c r="Y3491" t="s">
        <v>20092</v>
      </c>
      <c r="Z3491" t="s">
        <v>25641</v>
      </c>
      <c r="AA3491">
        <v>0.62307841865977731</v>
      </c>
      <c r="AB3491" t="str">
        <f>HYPERLINK("Melting_Curves/meltCurve_Q6NUS6_3_TCTN3.pdf", "Melting_Curves/meltCurve_Q6NUS6_3_TCTN3.pdf")</f>
        <v>Melting_Curves/meltCurve_Q6NUS6_3_TCTN3.pdf</v>
      </c>
    </row>
    <row r="3492" spans="1:28" x14ac:dyDescent="0.25">
      <c r="A3492" t="s">
        <v>3496</v>
      </c>
      <c r="B3492">
        <v>0.99796759195183404</v>
      </c>
      <c r="C3492">
        <v>0.90637127439194998</v>
      </c>
      <c r="D3492">
        <v>0.81411753700833001</v>
      </c>
      <c r="E3492">
        <v>0.80944282217758601</v>
      </c>
      <c r="F3492">
        <v>0.82007151887111296</v>
      </c>
      <c r="G3492">
        <v>0.49795157702401799</v>
      </c>
      <c r="H3492">
        <v>0.56659374539056995</v>
      </c>
      <c r="I3492">
        <v>0.52493787452210305</v>
      </c>
      <c r="J3492">
        <v>0.58594706706560196</v>
      </c>
      <c r="K3492">
        <v>0.38038640740822299</v>
      </c>
      <c r="L3492">
        <v>344.240893628609</v>
      </c>
      <c r="M3492">
        <v>6.5946470620494502</v>
      </c>
      <c r="N3492">
        <v>62.265751694032701</v>
      </c>
      <c r="O3492">
        <v>48.025419862273402</v>
      </c>
      <c r="P3492">
        <v>-2.3128386805764799E-2</v>
      </c>
      <c r="Q3492">
        <v>0.32782064409774597</v>
      </c>
      <c r="R3492">
        <v>0.86053701249228198</v>
      </c>
      <c r="S3492" t="s">
        <v>9075</v>
      </c>
      <c r="T3492" t="s">
        <v>11164</v>
      </c>
      <c r="U3492" t="s">
        <v>11164</v>
      </c>
      <c r="V3492" t="s">
        <v>11164</v>
      </c>
      <c r="W3492" t="s">
        <v>14613</v>
      </c>
      <c r="X3492">
        <v>1</v>
      </c>
      <c r="Y3492" t="s">
        <v>20093</v>
      </c>
      <c r="Z3492" t="s">
        <v>25642</v>
      </c>
      <c r="AA3492">
        <v>0.68639109824204469</v>
      </c>
      <c r="AB3492" t="str">
        <f>HYPERLINK("Melting_Curves/meltCurve_Q6NVH7_SWSAP1.pdf", "Melting_Curves/meltCurve_Q6NVH7_SWSAP1.pdf")</f>
        <v>Melting_Curves/meltCurve_Q6NVH7_SWSAP1.pdf</v>
      </c>
    </row>
    <row r="3493" spans="1:28" x14ac:dyDescent="0.25">
      <c r="A3493" t="s">
        <v>3497</v>
      </c>
      <c r="B3493">
        <v>0.99796759195183404</v>
      </c>
      <c r="C3493">
        <v>0.986804237010383</v>
      </c>
      <c r="D3493">
        <v>0.99075137294502302</v>
      </c>
      <c r="E3493">
        <v>0.94413063900912098</v>
      </c>
      <c r="F3493">
        <v>0.799154227660128</v>
      </c>
      <c r="G3493">
        <v>0.34949192376650701</v>
      </c>
      <c r="H3493">
        <v>0.133977994787327</v>
      </c>
      <c r="I3493">
        <v>9.1703787574137996E-2</v>
      </c>
      <c r="J3493">
        <v>6.4696054537616302E-2</v>
      </c>
      <c r="K3493">
        <v>5.2256981339540799E-2</v>
      </c>
      <c r="L3493">
        <v>1496.0502114128201</v>
      </c>
      <c r="M3493">
        <v>28.580424068429199</v>
      </c>
      <c r="N3493">
        <v>52.586480499173497</v>
      </c>
      <c r="O3493">
        <v>52.091019066029702</v>
      </c>
      <c r="P3493">
        <v>-0.128740477736077</v>
      </c>
      <c r="Q3493">
        <v>6.1431743711850902E-2</v>
      </c>
      <c r="R3493">
        <v>0.99904114753163897</v>
      </c>
      <c r="S3493" t="s">
        <v>9076</v>
      </c>
      <c r="T3493" t="s">
        <v>11164</v>
      </c>
      <c r="U3493" t="s">
        <v>11164</v>
      </c>
      <c r="V3493" t="s">
        <v>11164</v>
      </c>
      <c r="W3493" t="s">
        <v>14614</v>
      </c>
      <c r="X3493">
        <v>9</v>
      </c>
      <c r="Y3493" t="s">
        <v>20094</v>
      </c>
      <c r="Z3493" t="s">
        <v>25643</v>
      </c>
      <c r="AA3493">
        <v>0.54803046979719794</v>
      </c>
      <c r="AB3493" t="str">
        <f>HYPERLINK("Melting_Curves/meltCurve_Q6NVY1_HIBCH.pdf", "Melting_Curves/meltCurve_Q6NVY1_HIBCH.pdf")</f>
        <v>Melting_Curves/meltCurve_Q6NVY1_HIBCH.pdf</v>
      </c>
    </row>
    <row r="3494" spans="1:28" x14ac:dyDescent="0.25">
      <c r="A3494" t="s">
        <v>3498</v>
      </c>
      <c r="B3494">
        <v>0.99796759195183404</v>
      </c>
      <c r="C3494">
        <v>0.95831378525101896</v>
      </c>
      <c r="D3494">
        <v>0.92850981553524803</v>
      </c>
      <c r="E3494">
        <v>0.67855788723979504</v>
      </c>
      <c r="F3494">
        <v>0.30220126187318502</v>
      </c>
      <c r="G3494">
        <v>0.23675399334533201</v>
      </c>
      <c r="H3494">
        <v>0.156961718238947</v>
      </c>
      <c r="I3494">
        <v>0.12847236773295501</v>
      </c>
      <c r="J3494">
        <v>0.11548804675317299</v>
      </c>
      <c r="K3494">
        <v>8.1470457817231806E-2</v>
      </c>
      <c r="L3494">
        <v>1007.11379932981</v>
      </c>
      <c r="M3494">
        <v>21.122691639346499</v>
      </c>
      <c r="N3494">
        <v>48.2806435536164</v>
      </c>
      <c r="O3494">
        <v>47.258036075915101</v>
      </c>
      <c r="P3494">
        <v>-9.8818520883329194E-2</v>
      </c>
      <c r="Q3494">
        <v>0.115671588147118</v>
      </c>
      <c r="R3494">
        <v>0.99504902810015095</v>
      </c>
      <c r="S3494" t="s">
        <v>9077</v>
      </c>
      <c r="T3494" t="s">
        <v>11164</v>
      </c>
      <c r="U3494" t="s">
        <v>11164</v>
      </c>
      <c r="V3494" t="s">
        <v>11164</v>
      </c>
      <c r="W3494" t="s">
        <v>14615</v>
      </c>
      <c r="X3494">
        <v>10</v>
      </c>
      <c r="Y3494" t="s">
        <v>20095</v>
      </c>
      <c r="Z3494" t="s">
        <v>25644</v>
      </c>
      <c r="AA3494">
        <v>0.44091679262965677</v>
      </c>
      <c r="AB3494" t="str">
        <f>HYPERLINK("Melting_Curves/meltCurve_Q6NXE6_ARMC6.pdf", "Melting_Curves/meltCurve_Q6NXE6_ARMC6.pdf")</f>
        <v>Melting_Curves/meltCurve_Q6NXE6_ARMC6.pdf</v>
      </c>
    </row>
    <row r="3495" spans="1:28" x14ac:dyDescent="0.25">
      <c r="A3495" t="s">
        <v>3499</v>
      </c>
      <c r="B3495">
        <v>0.99796759195183404</v>
      </c>
      <c r="C3495">
        <v>1.0610067598312001</v>
      </c>
      <c r="D3495">
        <v>0.85053291956281096</v>
      </c>
      <c r="E3495">
        <v>0.82744099926473302</v>
      </c>
      <c r="F3495">
        <v>0.86257149022672797</v>
      </c>
      <c r="G3495">
        <v>0.479815395687192</v>
      </c>
      <c r="H3495">
        <v>0.32160076976695401</v>
      </c>
      <c r="I3495">
        <v>0.22107395735612001</v>
      </c>
      <c r="J3495">
        <v>0.20700619429780701</v>
      </c>
      <c r="K3495">
        <v>0.19833283792556999</v>
      </c>
      <c r="L3495">
        <v>853.26217229648</v>
      </c>
      <c r="M3495">
        <v>16.123458154882002</v>
      </c>
      <c r="N3495">
        <v>54.112414715988798</v>
      </c>
      <c r="O3495">
        <v>52.126545030362799</v>
      </c>
      <c r="P3495">
        <v>-6.5775961346173403E-2</v>
      </c>
      <c r="Q3495">
        <v>0.149459492356315</v>
      </c>
      <c r="R3495">
        <v>0.96023779213288296</v>
      </c>
      <c r="S3495" t="s">
        <v>9078</v>
      </c>
      <c r="T3495" t="s">
        <v>11164</v>
      </c>
      <c r="U3495" t="s">
        <v>11164</v>
      </c>
      <c r="V3495" t="s">
        <v>11164</v>
      </c>
      <c r="W3495" t="s">
        <v>14616</v>
      </c>
      <c r="X3495">
        <v>6</v>
      </c>
      <c r="Y3495" t="s">
        <v>20096</v>
      </c>
      <c r="Z3495" t="s">
        <v>25645</v>
      </c>
      <c r="AA3495">
        <v>0.61499780272485816</v>
      </c>
      <c r="AB3495" t="str">
        <f>HYPERLINK("Melting_Curves/meltCurve_Q6NXT1_ANKRD54.pdf", "Melting_Curves/meltCurve_Q6NXT1_ANKRD54.pdf")</f>
        <v>Melting_Curves/meltCurve_Q6NXT1_ANKRD54.pdf</v>
      </c>
    </row>
    <row r="3496" spans="1:28" x14ac:dyDescent="0.25">
      <c r="A3496" t="s">
        <v>3500</v>
      </c>
      <c r="B3496">
        <v>0.99796759195183404</v>
      </c>
      <c r="C3496">
        <v>1.03823043018391</v>
      </c>
      <c r="D3496">
        <v>0.98907012109189796</v>
      </c>
      <c r="E3496">
        <v>0.96856444751029203</v>
      </c>
      <c r="F3496">
        <v>0.79754622433380196</v>
      </c>
      <c r="G3496">
        <v>0.40926957858789598</v>
      </c>
      <c r="H3496">
        <v>0.21078625914825599</v>
      </c>
      <c r="I3496">
        <v>0.134584343518729</v>
      </c>
      <c r="J3496">
        <v>0.103378891539536</v>
      </c>
      <c r="K3496">
        <v>8.6069725818142304E-2</v>
      </c>
      <c r="L3496">
        <v>1319.9850523391201</v>
      </c>
      <c r="M3496">
        <v>25.1022126259675</v>
      </c>
      <c r="N3496">
        <v>53.037900394740198</v>
      </c>
      <c r="O3496">
        <v>52.254076319703302</v>
      </c>
      <c r="P3496">
        <v>-0.10849928818697099</v>
      </c>
      <c r="Q3496">
        <v>9.6580507333458396E-2</v>
      </c>
      <c r="R3496">
        <v>0.99847523351662704</v>
      </c>
      <c r="S3496" t="s">
        <v>9079</v>
      </c>
      <c r="T3496" t="s">
        <v>11164</v>
      </c>
      <c r="U3496" t="s">
        <v>11164</v>
      </c>
      <c r="V3496" t="s">
        <v>11164</v>
      </c>
      <c r="W3496" t="s">
        <v>14617</v>
      </c>
      <c r="X3496">
        <v>9</v>
      </c>
      <c r="Y3496" t="s">
        <v>20097</v>
      </c>
      <c r="Z3496" t="s">
        <v>25646</v>
      </c>
      <c r="AA3496">
        <v>0.57383170224872371</v>
      </c>
      <c r="AB3496" t="str">
        <f>HYPERLINK("Melting_Curves/meltCurve_Q6NYC1_JMJD6.pdf", "Melting_Curves/meltCurve_Q6NYC1_JMJD6.pdf")</f>
        <v>Melting_Curves/meltCurve_Q6NYC1_JMJD6.pdf</v>
      </c>
    </row>
    <row r="3497" spans="1:28" x14ac:dyDescent="0.25">
      <c r="A3497" t="s">
        <v>3501</v>
      </c>
      <c r="B3497">
        <v>0.99796759195183404</v>
      </c>
      <c r="C3497">
        <v>1.0108640978596399</v>
      </c>
      <c r="D3497">
        <v>0.89316234565242003</v>
      </c>
      <c r="E3497">
        <v>0.867843404552608</v>
      </c>
      <c r="F3497">
        <v>0.81708831298823104</v>
      </c>
      <c r="G3497">
        <v>0.48200666125496</v>
      </c>
      <c r="H3497">
        <v>0.28342833258918798</v>
      </c>
      <c r="I3497">
        <v>0.210497173526872</v>
      </c>
      <c r="J3497">
        <v>0.14841945464665099</v>
      </c>
      <c r="K3497">
        <v>0.14476587874382399</v>
      </c>
      <c r="L3497">
        <v>876.39734016533896</v>
      </c>
      <c r="M3497">
        <v>16.514080688935</v>
      </c>
      <c r="N3497">
        <v>53.8403637530174</v>
      </c>
      <c r="O3497">
        <v>52.309818903691998</v>
      </c>
      <c r="P3497">
        <v>-7.0621502878144199E-2</v>
      </c>
      <c r="Q3497">
        <v>0.105262417837134</v>
      </c>
      <c r="R3497">
        <v>0.98645467827079802</v>
      </c>
      <c r="S3497" t="s">
        <v>9080</v>
      </c>
      <c r="T3497" t="s">
        <v>11164</v>
      </c>
      <c r="U3497" t="s">
        <v>11164</v>
      </c>
      <c r="V3497" t="s">
        <v>11164</v>
      </c>
      <c r="W3497" t="s">
        <v>14618</v>
      </c>
      <c r="X3497">
        <v>7</v>
      </c>
      <c r="Y3497" t="s">
        <v>20098</v>
      </c>
      <c r="Z3497" t="s">
        <v>25647</v>
      </c>
      <c r="AA3497">
        <v>0.59890857425946009</v>
      </c>
      <c r="AB3497" t="str">
        <f>HYPERLINK("Melting_Curves/meltCurve_Q6NYC8_PPP1R18.pdf", "Melting_Curves/meltCurve_Q6NYC8_PPP1R18.pdf")</f>
        <v>Melting_Curves/meltCurve_Q6NYC8_PPP1R18.pdf</v>
      </c>
    </row>
    <row r="3498" spans="1:28" x14ac:dyDescent="0.25">
      <c r="A3498" t="s">
        <v>3502</v>
      </c>
      <c r="B3498">
        <v>0.99796759195183404</v>
      </c>
      <c r="C3498">
        <v>1.0143383760825899</v>
      </c>
      <c r="D3498">
        <v>0.92595555412175701</v>
      </c>
      <c r="E3498">
        <v>0.91191894788325401</v>
      </c>
      <c r="F3498">
        <v>0.67556979487421998</v>
      </c>
      <c r="G3498">
        <v>0.72702522400337999</v>
      </c>
      <c r="H3498">
        <v>0.45121150948071498</v>
      </c>
      <c r="I3498">
        <v>0.31841302159928198</v>
      </c>
      <c r="J3498">
        <v>0.27176391059847299</v>
      </c>
      <c r="K3498">
        <v>0.23537155874436599</v>
      </c>
      <c r="L3498">
        <v>534.82286671535303</v>
      </c>
      <c r="M3498">
        <v>9.5276037909267295</v>
      </c>
      <c r="N3498">
        <v>56.764406022380797</v>
      </c>
      <c r="O3498">
        <v>53.828059563161602</v>
      </c>
      <c r="P3498">
        <v>-4.2053413865113701E-2</v>
      </c>
      <c r="Q3498">
        <v>5.0199707777853597E-2</v>
      </c>
      <c r="R3498">
        <v>0.97206017355573904</v>
      </c>
      <c r="S3498" t="s">
        <v>9081</v>
      </c>
      <c r="T3498" t="s">
        <v>11164</v>
      </c>
      <c r="U3498" t="s">
        <v>11164</v>
      </c>
      <c r="V3498" t="s">
        <v>11164</v>
      </c>
      <c r="W3498" t="s">
        <v>14619</v>
      </c>
      <c r="X3498">
        <v>1</v>
      </c>
      <c r="Y3498" t="s">
        <v>20099</v>
      </c>
      <c r="Z3498" t="s">
        <v>25648</v>
      </c>
      <c r="AA3498">
        <v>0.65952105302665731</v>
      </c>
      <c r="AB3498" t="str">
        <f>HYPERLINK("Melting_Curves/meltCurve_Q6NZI2_PTRF.pdf", "Melting_Curves/meltCurve_Q6NZI2_PTRF.pdf")</f>
        <v>Melting_Curves/meltCurve_Q6NZI2_PTRF.pdf</v>
      </c>
    </row>
    <row r="3499" spans="1:28" x14ac:dyDescent="0.25">
      <c r="A3499" t="s">
        <v>3503</v>
      </c>
      <c r="B3499">
        <v>0.99796759195183404</v>
      </c>
      <c r="C3499">
        <v>1.00559503780392</v>
      </c>
      <c r="D3499">
        <v>0.95693980932076605</v>
      </c>
      <c r="E3499">
        <v>1.0878475984415701</v>
      </c>
      <c r="F3499">
        <v>1.22610485294368</v>
      </c>
      <c r="G3499">
        <v>3.07926618656797</v>
      </c>
      <c r="H3499">
        <v>1.1986484344922399</v>
      </c>
      <c r="I3499">
        <v>0.65729371581399398</v>
      </c>
      <c r="J3499">
        <v>0.336745325346474</v>
      </c>
      <c r="K3499">
        <v>0.34162213329482599</v>
      </c>
      <c r="L3499">
        <v>15000</v>
      </c>
      <c r="M3499">
        <v>245.97610865791901</v>
      </c>
      <c r="N3499">
        <v>61.264060626905597</v>
      </c>
      <c r="O3499">
        <v>60.97750114494</v>
      </c>
      <c r="P3499">
        <v>-0.66641600597416495</v>
      </c>
      <c r="Q3499">
        <v>0.33918163159869003</v>
      </c>
      <c r="R3499">
        <v>0.17092020879815401</v>
      </c>
      <c r="S3499" t="s">
        <v>9082</v>
      </c>
      <c r="T3499" t="s">
        <v>11164</v>
      </c>
      <c r="U3499" t="s">
        <v>11164</v>
      </c>
      <c r="V3499" t="s">
        <v>11164</v>
      </c>
      <c r="W3499" t="s">
        <v>14620</v>
      </c>
      <c r="X3499">
        <v>9</v>
      </c>
      <c r="Y3499" t="s">
        <v>20100</v>
      </c>
      <c r="Z3499" t="s">
        <v>25649</v>
      </c>
      <c r="AA3499">
        <v>0.86750258696630722</v>
      </c>
      <c r="AB3499" t="str">
        <f>HYPERLINK("Melting_Curves/meltCurve_Q6NZY4_ZCCHC8.pdf", "Melting_Curves/meltCurve_Q6NZY4_ZCCHC8.pdf")</f>
        <v>Melting_Curves/meltCurve_Q6NZY4_ZCCHC8.pdf</v>
      </c>
    </row>
    <row r="3500" spans="1:28" x14ac:dyDescent="0.25">
      <c r="A3500" t="s">
        <v>3504</v>
      </c>
      <c r="B3500">
        <v>0.99796759195183404</v>
      </c>
      <c r="C3500">
        <v>0.91177795907354298</v>
      </c>
      <c r="D3500">
        <v>1.0501731373031999</v>
      </c>
      <c r="E3500">
        <v>0.83641583224666105</v>
      </c>
      <c r="F3500">
        <v>0.69928039116082197</v>
      </c>
      <c r="G3500">
        <v>0.59466069504979202</v>
      </c>
      <c r="H3500">
        <v>0.42710208624567297</v>
      </c>
      <c r="I3500">
        <v>0.25835954853132997</v>
      </c>
      <c r="J3500">
        <v>0.201735931183784</v>
      </c>
      <c r="K3500">
        <v>0.14277306620557301</v>
      </c>
      <c r="L3500">
        <v>558.61222715879501</v>
      </c>
      <c r="M3500">
        <v>10.1054282933494</v>
      </c>
      <c r="N3500">
        <v>55.278426270070298</v>
      </c>
      <c r="O3500">
        <v>53.244712940405797</v>
      </c>
      <c r="P3500">
        <v>-4.74702165257187E-2</v>
      </c>
      <c r="Q3500">
        <v>0</v>
      </c>
      <c r="R3500">
        <v>0.98159158444251504</v>
      </c>
      <c r="S3500" t="s">
        <v>9083</v>
      </c>
      <c r="T3500" t="s">
        <v>11164</v>
      </c>
      <c r="U3500" t="s">
        <v>11164</v>
      </c>
      <c r="V3500" t="s">
        <v>11164</v>
      </c>
      <c r="W3500" t="s">
        <v>14621</v>
      </c>
      <c r="X3500">
        <v>2</v>
      </c>
      <c r="Y3500" t="s">
        <v>20101</v>
      </c>
      <c r="Z3500" t="s">
        <v>25650</v>
      </c>
      <c r="AA3500">
        <v>0.62002412110572613</v>
      </c>
      <c r="AB3500" t="str">
        <f>HYPERLINK("Melting_Curves/meltCurve_Q6P087_2_RPUSD3.pdf", "Melting_Curves/meltCurve_Q6P087_2_RPUSD3.pdf")</f>
        <v>Melting_Curves/meltCurve_Q6P087_2_RPUSD3.pdf</v>
      </c>
    </row>
    <row r="3501" spans="1:28" x14ac:dyDescent="0.25">
      <c r="A3501" t="s">
        <v>3505</v>
      </c>
      <c r="B3501">
        <v>0.99796759195183404</v>
      </c>
      <c r="C3501">
        <v>1.09153663095372</v>
      </c>
      <c r="D3501">
        <v>1.02761879724572</v>
      </c>
      <c r="E3501">
        <v>1.0335452533829801</v>
      </c>
      <c r="F3501">
        <v>1.2570363687355099</v>
      </c>
      <c r="G3501">
        <v>0.81153641332069004</v>
      </c>
      <c r="H3501">
        <v>0.93890603852184396</v>
      </c>
      <c r="I3501">
        <v>0.987417485763321</v>
      </c>
      <c r="J3501">
        <v>1.0043761022386399</v>
      </c>
      <c r="K3501">
        <v>0.80626855968916</v>
      </c>
      <c r="L3501">
        <v>15000</v>
      </c>
      <c r="M3501">
        <v>222.45465127509101</v>
      </c>
      <c r="Q3501">
        <v>0</v>
      </c>
      <c r="R3501">
        <v>0.24388119157586599</v>
      </c>
      <c r="S3501" t="s">
        <v>9084</v>
      </c>
      <c r="T3501" t="s">
        <v>11164</v>
      </c>
      <c r="U3501" t="s">
        <v>11164</v>
      </c>
      <c r="V3501" t="s">
        <v>11164</v>
      </c>
      <c r="W3501" t="s">
        <v>14622</v>
      </c>
      <c r="X3501">
        <v>1</v>
      </c>
      <c r="Y3501" t="s">
        <v>20102</v>
      </c>
      <c r="Z3501" t="s">
        <v>25651</v>
      </c>
      <c r="AA3501">
        <v>0.99787185694322011</v>
      </c>
      <c r="AB3501" t="str">
        <f>HYPERLINK("Melting_Curves/meltCurve_Q6P161_MRPL54.pdf", "Melting_Curves/meltCurve_Q6P161_MRPL54.pdf")</f>
        <v>Melting_Curves/meltCurve_Q6P161_MRPL54.pdf</v>
      </c>
    </row>
    <row r="3502" spans="1:28" x14ac:dyDescent="0.25">
      <c r="A3502" t="s">
        <v>3506</v>
      </c>
      <c r="B3502">
        <v>0.99796759195183404</v>
      </c>
      <c r="C3502">
        <v>0.97789425608772695</v>
      </c>
      <c r="D3502">
        <v>0.92834126161608499</v>
      </c>
      <c r="E3502">
        <v>0.738111145203736</v>
      </c>
      <c r="F3502">
        <v>0.50684048406363402</v>
      </c>
      <c r="G3502">
        <v>0.29764501464412801</v>
      </c>
      <c r="H3502">
        <v>0.22540187811039</v>
      </c>
      <c r="I3502">
        <v>0.25210453470710198</v>
      </c>
      <c r="J3502">
        <v>0.145707402185418</v>
      </c>
      <c r="K3502">
        <v>0.110461004507134</v>
      </c>
      <c r="L3502">
        <v>760.20285872702198</v>
      </c>
      <c r="M3502">
        <v>15.456122428264001</v>
      </c>
      <c r="N3502">
        <v>50.237447992101799</v>
      </c>
      <c r="O3502">
        <v>48.383297539434501</v>
      </c>
      <c r="P3502">
        <v>-6.88203525808085E-2</v>
      </c>
      <c r="Q3502">
        <v>0.13834619680729501</v>
      </c>
      <c r="R3502">
        <v>0.99319469435334995</v>
      </c>
      <c r="S3502" t="s">
        <v>9085</v>
      </c>
      <c r="T3502" t="s">
        <v>11164</v>
      </c>
      <c r="U3502" t="s">
        <v>11164</v>
      </c>
      <c r="V3502" t="s">
        <v>11164</v>
      </c>
      <c r="W3502" t="s">
        <v>14623</v>
      </c>
      <c r="X3502">
        <v>5</v>
      </c>
      <c r="Y3502" t="s">
        <v>20103</v>
      </c>
      <c r="Z3502" t="s">
        <v>25652</v>
      </c>
      <c r="AA3502">
        <v>0.50591262114444946</v>
      </c>
      <c r="AB3502" t="str">
        <f>HYPERLINK("Melting_Curves/meltCurve_Q6P1J9_CDC73.pdf", "Melting_Curves/meltCurve_Q6P1J9_CDC73.pdf")</f>
        <v>Melting_Curves/meltCurve_Q6P1J9_CDC73.pdf</v>
      </c>
    </row>
    <row r="3503" spans="1:28" x14ac:dyDescent="0.25">
      <c r="A3503" t="s">
        <v>3507</v>
      </c>
      <c r="B3503">
        <v>0.99796759195183404</v>
      </c>
      <c r="C3503">
        <v>1.0879135864096501</v>
      </c>
      <c r="D3503">
        <v>1.0032251947989199</v>
      </c>
      <c r="E3503">
        <v>0.93904011860982195</v>
      </c>
      <c r="F3503">
        <v>0.81854159765433898</v>
      </c>
      <c r="G3503">
        <v>0.53956961890008004</v>
      </c>
      <c r="H3503">
        <v>0.37749956379584798</v>
      </c>
      <c r="I3503">
        <v>0.32817624763587799</v>
      </c>
      <c r="J3503">
        <v>0.244142375761561</v>
      </c>
      <c r="K3503">
        <v>0.248248541866427</v>
      </c>
      <c r="L3503">
        <v>1050.9306910509799</v>
      </c>
      <c r="M3503">
        <v>19.882779125662999</v>
      </c>
      <c r="N3503">
        <v>54.697733542557501</v>
      </c>
      <c r="O3503">
        <v>52.330361979495002</v>
      </c>
      <c r="P3503">
        <v>-7.1814309732841405E-2</v>
      </c>
      <c r="Q3503">
        <v>0.24398022323677901</v>
      </c>
      <c r="R3503">
        <v>0.99018441378320898</v>
      </c>
      <c r="S3503" t="s">
        <v>9086</v>
      </c>
      <c r="T3503" t="s">
        <v>11164</v>
      </c>
      <c r="U3503" t="s">
        <v>11164</v>
      </c>
      <c r="V3503" t="s">
        <v>11164</v>
      </c>
      <c r="W3503" t="s">
        <v>14624</v>
      </c>
      <c r="X3503">
        <v>5</v>
      </c>
      <c r="Y3503" t="s">
        <v>20104</v>
      </c>
      <c r="Z3503" t="s">
        <v>25653</v>
      </c>
      <c r="AA3503">
        <v>0.65321787715180191</v>
      </c>
      <c r="AB3503" t="str">
        <f>HYPERLINK("Melting_Curves/meltCurve_Q6P1K2_4_PMF1.pdf", "Melting_Curves/meltCurve_Q6P1K2_4_PMF1.pdf")</f>
        <v>Melting_Curves/meltCurve_Q6P1K2_4_PMF1.pdf</v>
      </c>
    </row>
    <row r="3504" spans="1:28" x14ac:dyDescent="0.25">
      <c r="A3504" t="s">
        <v>3508</v>
      </c>
      <c r="B3504">
        <v>0.99796759195183404</v>
      </c>
      <c r="C3504">
        <v>1.0953361846038501</v>
      </c>
      <c r="D3504">
        <v>1.01149653464607</v>
      </c>
      <c r="E3504">
        <v>1.0619463792511901</v>
      </c>
      <c r="F3504">
        <v>0.82170467143567405</v>
      </c>
      <c r="G3504">
        <v>0.50450109230173401</v>
      </c>
      <c r="H3504">
        <v>0.37248540587064799</v>
      </c>
      <c r="I3504">
        <v>0.32278838101693302</v>
      </c>
      <c r="J3504">
        <v>0.268950302816167</v>
      </c>
      <c r="K3504">
        <v>0.16615393318653901</v>
      </c>
      <c r="L3504">
        <v>1293.7976334075199</v>
      </c>
      <c r="M3504">
        <v>24.519649533391298</v>
      </c>
      <c r="N3504">
        <v>54.244109457500002</v>
      </c>
      <c r="O3504">
        <v>52.4185313549821</v>
      </c>
      <c r="P3504">
        <v>-8.8444642476752405E-2</v>
      </c>
      <c r="Q3504">
        <v>0.24369705985281501</v>
      </c>
      <c r="R3504">
        <v>0.97603220486512199</v>
      </c>
      <c r="S3504" t="s">
        <v>9087</v>
      </c>
      <c r="T3504" t="s">
        <v>11164</v>
      </c>
      <c r="U3504" t="s">
        <v>11164</v>
      </c>
      <c r="V3504" t="s">
        <v>11164</v>
      </c>
      <c r="W3504" t="s">
        <v>14625</v>
      </c>
      <c r="X3504">
        <v>5</v>
      </c>
      <c r="Y3504" t="s">
        <v>20105</v>
      </c>
      <c r="Z3504" t="s">
        <v>25654</v>
      </c>
      <c r="AA3504">
        <v>0.64807372198238922</v>
      </c>
      <c r="AB3504" t="str">
        <f>HYPERLINK("Melting_Curves/meltCurve_Q6P1L5_FAM117B.pdf", "Melting_Curves/meltCurve_Q6P1L5_FAM117B.pdf")</f>
        <v>Melting_Curves/meltCurve_Q6P1L5_FAM117B.pdf</v>
      </c>
    </row>
    <row r="3505" spans="1:28" x14ac:dyDescent="0.25">
      <c r="A3505" t="s">
        <v>3509</v>
      </c>
      <c r="B3505">
        <v>0.99796759195183404</v>
      </c>
      <c r="C3505">
        <v>1.1505101373908899</v>
      </c>
      <c r="D3505">
        <v>1.0601170460357701</v>
      </c>
      <c r="E3505">
        <v>1.0028263704648599</v>
      </c>
      <c r="F3505">
        <v>0.96235904454247201</v>
      </c>
      <c r="G3505">
        <v>0.71484792766592498</v>
      </c>
      <c r="H3505">
        <v>0.44411234890486201</v>
      </c>
      <c r="I3505">
        <v>0.25397226132176498</v>
      </c>
      <c r="J3505">
        <v>0.180968734441636</v>
      </c>
      <c r="K3505">
        <v>0.128513762660419</v>
      </c>
      <c r="L3505">
        <v>1221.4961671696999</v>
      </c>
      <c r="M3505">
        <v>21.849435811430698</v>
      </c>
      <c r="N3505">
        <v>56.628385036744497</v>
      </c>
      <c r="O3505">
        <v>55.443172655950796</v>
      </c>
      <c r="P3505">
        <v>-8.6528847048737506E-2</v>
      </c>
      <c r="Q3505">
        <v>0.121748594547213</v>
      </c>
      <c r="R3505">
        <v>0.98019028950223197</v>
      </c>
      <c r="S3505" t="s">
        <v>9088</v>
      </c>
      <c r="T3505" t="s">
        <v>11164</v>
      </c>
      <c r="U3505" t="s">
        <v>11164</v>
      </c>
      <c r="V3505" t="s">
        <v>11164</v>
      </c>
      <c r="W3505" t="s">
        <v>14626</v>
      </c>
      <c r="X3505">
        <v>4</v>
      </c>
      <c r="Y3505" t="s">
        <v>20106</v>
      </c>
      <c r="Z3505" t="s">
        <v>25655</v>
      </c>
      <c r="AA3505">
        <v>0.68359623833413319</v>
      </c>
      <c r="AB3505" t="str">
        <f>HYPERLINK("Melting_Curves/meltCurve_Q6P1L8_MRPL14.pdf", "Melting_Curves/meltCurve_Q6P1L8_MRPL14.pdf")</f>
        <v>Melting_Curves/meltCurve_Q6P1L8_MRPL14.pdf</v>
      </c>
    </row>
    <row r="3506" spans="1:28" x14ac:dyDescent="0.25">
      <c r="A3506" t="s">
        <v>3510</v>
      </c>
      <c r="B3506">
        <v>0.99796759195183404</v>
      </c>
      <c r="C3506">
        <v>0.97331804536149602</v>
      </c>
      <c r="D3506">
        <v>0.99629645170980896</v>
      </c>
      <c r="E3506">
        <v>0.92468903717695305</v>
      </c>
      <c r="F3506">
        <v>0.76728090344765298</v>
      </c>
      <c r="G3506">
        <v>0.26909013405329302</v>
      </c>
      <c r="H3506">
        <v>0.16667404031885399</v>
      </c>
      <c r="I3506">
        <v>0.127939637048193</v>
      </c>
      <c r="J3506">
        <v>9.8397588208545494E-2</v>
      </c>
      <c r="K3506">
        <v>6.7922395032033706E-2</v>
      </c>
      <c r="L3506">
        <v>1678.0367994525</v>
      </c>
      <c r="M3506">
        <v>32.491359235601202</v>
      </c>
      <c r="N3506">
        <v>52.006204252457302</v>
      </c>
      <c r="O3506">
        <v>51.4511744460562</v>
      </c>
      <c r="P3506">
        <v>-0.14195354014664599</v>
      </c>
      <c r="Q3506">
        <v>0.10085119718600299</v>
      </c>
      <c r="R3506">
        <v>0.99576461057774002</v>
      </c>
      <c r="S3506" t="s">
        <v>9089</v>
      </c>
      <c r="T3506" t="s">
        <v>11164</v>
      </c>
      <c r="U3506" t="s">
        <v>11164</v>
      </c>
      <c r="V3506" t="s">
        <v>11164</v>
      </c>
      <c r="W3506" t="s">
        <v>14627</v>
      </c>
      <c r="X3506">
        <v>15</v>
      </c>
      <c r="Y3506" t="s">
        <v>20107</v>
      </c>
      <c r="Z3506" t="s">
        <v>25656</v>
      </c>
      <c r="AA3506">
        <v>0.54464250776009504</v>
      </c>
      <c r="AB3506" t="str">
        <f>HYPERLINK("Melting_Curves/meltCurve_Q6P1M0_SLC27A4.pdf", "Melting_Curves/meltCurve_Q6P1M0_SLC27A4.pdf")</f>
        <v>Melting_Curves/meltCurve_Q6P1M0_SLC27A4.pdf</v>
      </c>
    </row>
    <row r="3507" spans="1:28" x14ac:dyDescent="0.25">
      <c r="A3507" t="s">
        <v>3511</v>
      </c>
      <c r="B3507">
        <v>0.99796759195183404</v>
      </c>
      <c r="C3507">
        <v>0.99450279618228798</v>
      </c>
      <c r="D3507">
        <v>0.97991080258546404</v>
      </c>
      <c r="E3507">
        <v>0.94518256203893003</v>
      </c>
      <c r="F3507">
        <v>0.82794169528817496</v>
      </c>
      <c r="G3507">
        <v>0.31255821195684502</v>
      </c>
      <c r="H3507">
        <v>0.22099740801558901</v>
      </c>
      <c r="I3507">
        <v>0.163296555994353</v>
      </c>
      <c r="J3507">
        <v>0.17807008483665401</v>
      </c>
      <c r="K3507">
        <v>0.16408849995011901</v>
      </c>
      <c r="L3507">
        <v>2093.1229807171599</v>
      </c>
      <c r="M3507">
        <v>40.426952685582997</v>
      </c>
      <c r="N3507">
        <v>52.334128001373102</v>
      </c>
      <c r="O3507">
        <v>51.649233163392502</v>
      </c>
      <c r="P3507">
        <v>-0.16138527047429499</v>
      </c>
      <c r="Q3507">
        <v>0.175262282995304</v>
      </c>
      <c r="R3507">
        <v>0.99719916474512504</v>
      </c>
      <c r="S3507" t="s">
        <v>9090</v>
      </c>
      <c r="T3507" t="s">
        <v>11164</v>
      </c>
      <c r="U3507" t="s">
        <v>11164</v>
      </c>
      <c r="V3507" t="s">
        <v>11164</v>
      </c>
      <c r="W3507" t="s">
        <v>14628</v>
      </c>
      <c r="X3507">
        <v>16</v>
      </c>
      <c r="Y3507" t="s">
        <v>20108</v>
      </c>
      <c r="Z3507" t="s">
        <v>25657</v>
      </c>
      <c r="AA3507">
        <v>0.58434094860336816</v>
      </c>
      <c r="AB3507" t="str">
        <f>HYPERLINK("Melting_Curves/meltCurve_Q6P1N0_CC2D1A.pdf", "Melting_Curves/meltCurve_Q6P1N0_CC2D1A.pdf")</f>
        <v>Melting_Curves/meltCurve_Q6P1N0_CC2D1A.pdf</v>
      </c>
    </row>
    <row r="3508" spans="1:28" x14ac:dyDescent="0.25">
      <c r="A3508" t="s">
        <v>3512</v>
      </c>
      <c r="B3508">
        <v>0.99796759195183404</v>
      </c>
      <c r="C3508">
        <v>1.0340355242299799</v>
      </c>
      <c r="D3508">
        <v>1.01185493858273</v>
      </c>
      <c r="E3508">
        <v>0.95876532887562205</v>
      </c>
      <c r="F3508">
        <v>0.67323913445468697</v>
      </c>
      <c r="G3508">
        <v>0.24514906125098601</v>
      </c>
      <c r="H3508">
        <v>0.20459019934140801</v>
      </c>
      <c r="I3508">
        <v>0.14665643520608801</v>
      </c>
      <c r="J3508">
        <v>0.13425224006893299</v>
      </c>
      <c r="K3508">
        <v>9.7375828588310398E-2</v>
      </c>
      <c r="L3508">
        <v>1679.6833020469201</v>
      </c>
      <c r="M3508">
        <v>32.984813843499801</v>
      </c>
      <c r="N3508">
        <v>51.417116966713102</v>
      </c>
      <c r="O3508">
        <v>50.736855442494402</v>
      </c>
      <c r="P3508">
        <v>-0.140450713560484</v>
      </c>
      <c r="Q3508">
        <v>0.13584535966950201</v>
      </c>
      <c r="R3508">
        <v>0.99647611123341795</v>
      </c>
      <c r="S3508" t="s">
        <v>9091</v>
      </c>
      <c r="T3508" t="s">
        <v>11164</v>
      </c>
      <c r="U3508" t="s">
        <v>11164</v>
      </c>
      <c r="V3508" t="s">
        <v>11164</v>
      </c>
      <c r="W3508" t="s">
        <v>14629</v>
      </c>
      <c r="X3508">
        <v>8</v>
      </c>
      <c r="Y3508" t="s">
        <v>20109</v>
      </c>
      <c r="Z3508" t="s">
        <v>25658</v>
      </c>
      <c r="AA3508">
        <v>0.54136031838192222</v>
      </c>
      <c r="AB3508" t="str">
        <f>HYPERLINK("Melting_Curves/meltCurve_Q6P1Q9_METTL2B.pdf", "Melting_Curves/meltCurve_Q6P1Q9_METTL2B.pdf")</f>
        <v>Melting_Curves/meltCurve_Q6P1Q9_METTL2B.pdf</v>
      </c>
    </row>
    <row r="3509" spans="1:28" x14ac:dyDescent="0.25">
      <c r="A3509" t="s">
        <v>3513</v>
      </c>
      <c r="B3509">
        <v>0.99796759195183404</v>
      </c>
      <c r="C3509">
        <v>0.97737176715415097</v>
      </c>
      <c r="D3509">
        <v>0.94325470123086097</v>
      </c>
      <c r="E3509">
        <v>0.849944834919375</v>
      </c>
      <c r="F3509">
        <v>0.56914966073599005</v>
      </c>
      <c r="G3509">
        <v>0.25303792929399499</v>
      </c>
      <c r="H3509">
        <v>0.209504280669676</v>
      </c>
      <c r="I3509">
        <v>0.16652501160172301</v>
      </c>
      <c r="J3509">
        <v>0.15508427510565601</v>
      </c>
      <c r="K3509">
        <v>0.115541676988344</v>
      </c>
      <c r="L3509">
        <v>1073.2171393016999</v>
      </c>
      <c r="M3509">
        <v>21.4680686605919</v>
      </c>
      <c r="N3509">
        <v>50.741225967831298</v>
      </c>
      <c r="O3509">
        <v>49.563616343222499</v>
      </c>
      <c r="P3509">
        <v>-9.3568240668927799E-2</v>
      </c>
      <c r="Q3509">
        <v>0.13593226868866301</v>
      </c>
      <c r="R3509">
        <v>0.99651684342305502</v>
      </c>
      <c r="S3509" t="s">
        <v>9092</v>
      </c>
      <c r="T3509" t="s">
        <v>11164</v>
      </c>
      <c r="U3509" t="s">
        <v>11164</v>
      </c>
      <c r="V3509" t="s">
        <v>11164</v>
      </c>
      <c r="W3509" t="s">
        <v>14630</v>
      </c>
      <c r="X3509">
        <v>9</v>
      </c>
      <c r="Y3509" t="s">
        <v>20110</v>
      </c>
      <c r="Z3509" t="s">
        <v>25659</v>
      </c>
      <c r="AA3509">
        <v>0.52014261567230358</v>
      </c>
      <c r="AB3509" t="str">
        <f>HYPERLINK("Melting_Curves/meltCurve_Q6P1R4_DUS1L.pdf", "Melting_Curves/meltCurve_Q6P1R4_DUS1L.pdf")</f>
        <v>Melting_Curves/meltCurve_Q6P1R4_DUS1L.pdf</v>
      </c>
    </row>
    <row r="3510" spans="1:28" x14ac:dyDescent="0.25">
      <c r="A3510" t="s">
        <v>3514</v>
      </c>
      <c r="B3510">
        <v>0.99796759195183404</v>
      </c>
      <c r="C3510">
        <v>0.94908597750089996</v>
      </c>
      <c r="D3510">
        <v>0.96000626810656498</v>
      </c>
      <c r="E3510">
        <v>0.80167906925602905</v>
      </c>
      <c r="F3510">
        <v>0.57556216472515698</v>
      </c>
      <c r="G3510">
        <v>0.35043042107848299</v>
      </c>
      <c r="H3510">
        <v>0.227687268479628</v>
      </c>
      <c r="I3510">
        <v>0.18263719201089801</v>
      </c>
      <c r="J3510">
        <v>0.100640351474364</v>
      </c>
      <c r="K3510">
        <v>7.6783111278233299E-2</v>
      </c>
      <c r="L3510">
        <v>713.77753624605805</v>
      </c>
      <c r="M3510">
        <v>14.0129269900693</v>
      </c>
      <c r="N3510">
        <v>51.425302009935201</v>
      </c>
      <c r="O3510">
        <v>49.933366848954599</v>
      </c>
      <c r="P3510">
        <v>-6.5797232902029407E-2</v>
      </c>
      <c r="Q3510">
        <v>6.22817850559765E-2</v>
      </c>
      <c r="R3510">
        <v>0.99719732025536501</v>
      </c>
      <c r="S3510" t="s">
        <v>9093</v>
      </c>
      <c r="T3510" t="s">
        <v>11164</v>
      </c>
      <c r="U3510" t="s">
        <v>11164</v>
      </c>
      <c r="V3510" t="s">
        <v>11164</v>
      </c>
      <c r="W3510" t="s">
        <v>14631</v>
      </c>
      <c r="X3510">
        <v>2</v>
      </c>
      <c r="Y3510" t="s">
        <v>20111</v>
      </c>
      <c r="Z3510" t="s">
        <v>25660</v>
      </c>
      <c r="AA3510">
        <v>0.5185572627199232</v>
      </c>
      <c r="AB3510" t="str">
        <f>HYPERLINK("Melting_Curves/meltCurve_Q6P2C8_2_MED27.pdf", "Melting_Curves/meltCurve_Q6P2C8_2_MED27.pdf")</f>
        <v>Melting_Curves/meltCurve_Q6P2C8_2_MED27.pdf</v>
      </c>
    </row>
    <row r="3511" spans="1:28" x14ac:dyDescent="0.25">
      <c r="A3511" t="s">
        <v>3515</v>
      </c>
      <c r="B3511">
        <v>0.99796759195183404</v>
      </c>
      <c r="C3511">
        <v>0.96374270134766704</v>
      </c>
      <c r="D3511">
        <v>0.92918534628627902</v>
      </c>
      <c r="E3511">
        <v>0.75703372241681899</v>
      </c>
      <c r="F3511">
        <v>0.68067581913592701</v>
      </c>
      <c r="G3511">
        <v>0.54006530510473305</v>
      </c>
      <c r="H3511">
        <v>0.29617458548143</v>
      </c>
      <c r="I3511">
        <v>0.228336520349432</v>
      </c>
      <c r="J3511">
        <v>0.18111960324707299</v>
      </c>
      <c r="K3511">
        <v>0.13481886988271</v>
      </c>
      <c r="L3511">
        <v>515.43409956673099</v>
      </c>
      <c r="M3511">
        <v>9.6163908383288508</v>
      </c>
      <c r="N3511">
        <v>53.599544337720303</v>
      </c>
      <c r="O3511">
        <v>51.435480111722001</v>
      </c>
      <c r="P3511">
        <v>-4.67664591714421E-2</v>
      </c>
      <c r="Q3511">
        <v>0</v>
      </c>
      <c r="R3511">
        <v>0.99167955795672302</v>
      </c>
      <c r="S3511" t="s">
        <v>9094</v>
      </c>
      <c r="T3511" t="s">
        <v>11164</v>
      </c>
      <c r="U3511" t="s">
        <v>11164</v>
      </c>
      <c r="V3511" t="s">
        <v>11164</v>
      </c>
      <c r="W3511" t="s">
        <v>14632</v>
      </c>
      <c r="X3511">
        <v>17</v>
      </c>
      <c r="Y3511" t="s">
        <v>20112</v>
      </c>
      <c r="Z3511" t="s">
        <v>25661</v>
      </c>
      <c r="AA3511">
        <v>0.57274663942379778</v>
      </c>
      <c r="AB3511" t="str">
        <f>HYPERLINK("Melting_Curves/meltCurve_Q6P2E9_EDC4.pdf", "Melting_Curves/meltCurve_Q6P2E9_EDC4.pdf")</f>
        <v>Melting_Curves/meltCurve_Q6P2E9_EDC4.pdf</v>
      </c>
    </row>
    <row r="3512" spans="1:28" x14ac:dyDescent="0.25">
      <c r="A3512" t="s">
        <v>3516</v>
      </c>
      <c r="B3512">
        <v>0.99796759195183404</v>
      </c>
      <c r="C3512">
        <v>0.99310364109724403</v>
      </c>
      <c r="D3512">
        <v>0.93651774784284902</v>
      </c>
      <c r="E3512">
        <v>0.82488235708450697</v>
      </c>
      <c r="F3512">
        <v>0.51447650889221197</v>
      </c>
      <c r="G3512">
        <v>0.31947187228638702</v>
      </c>
      <c r="H3512">
        <v>0.22495143144162</v>
      </c>
      <c r="I3512">
        <v>0.187845948436758</v>
      </c>
      <c r="J3512">
        <v>0.11077643422866799</v>
      </c>
      <c r="K3512">
        <v>9.7157308121996994E-2</v>
      </c>
      <c r="L3512">
        <v>827.43141741504701</v>
      </c>
      <c r="M3512">
        <v>16.534146830200701</v>
      </c>
      <c r="N3512">
        <v>50.790670488658201</v>
      </c>
      <c r="O3512">
        <v>49.328933642844703</v>
      </c>
      <c r="P3512">
        <v>-7.4757583707159098E-2</v>
      </c>
      <c r="Q3512">
        <v>0.107917036385394</v>
      </c>
      <c r="R3512">
        <v>0.99658973676044804</v>
      </c>
      <c r="S3512" t="s">
        <v>9095</v>
      </c>
      <c r="T3512" t="s">
        <v>11164</v>
      </c>
      <c r="U3512" t="s">
        <v>11164</v>
      </c>
      <c r="V3512" t="s">
        <v>11164</v>
      </c>
      <c r="W3512" t="s">
        <v>14633</v>
      </c>
      <c r="X3512">
        <v>6</v>
      </c>
      <c r="Y3512" t="s">
        <v>20113</v>
      </c>
      <c r="Z3512" t="s">
        <v>25662</v>
      </c>
      <c r="AA3512">
        <v>0.51188148033198566</v>
      </c>
      <c r="AB3512" t="str">
        <f>HYPERLINK("Melting_Curves/meltCurve_Q6P2H3_2_CEP85.pdf", "Melting_Curves/meltCurve_Q6P2H3_2_CEP85.pdf")</f>
        <v>Melting_Curves/meltCurve_Q6P2H3_2_CEP85.pdf</v>
      </c>
    </row>
    <row r="3513" spans="1:28" x14ac:dyDescent="0.25">
      <c r="A3513" t="s">
        <v>3517</v>
      </c>
      <c r="B3513">
        <v>0.99796759195183404</v>
      </c>
      <c r="C3513">
        <v>1.00920103762335</v>
      </c>
      <c r="D3513">
        <v>1.0105692207958701</v>
      </c>
      <c r="E3513">
        <v>0.91569760814172196</v>
      </c>
      <c r="F3513">
        <v>0.91160576448580799</v>
      </c>
      <c r="G3513">
        <v>0.63436122331005795</v>
      </c>
      <c r="H3513">
        <v>0.21302924237941101</v>
      </c>
      <c r="I3513">
        <v>0.146034851113717</v>
      </c>
      <c r="J3513">
        <v>0.140144191250065</v>
      </c>
      <c r="K3513">
        <v>0.10742607034850001</v>
      </c>
      <c r="L3513">
        <v>1743.1991765376899</v>
      </c>
      <c r="M3513">
        <v>32.150500176746498</v>
      </c>
      <c r="N3513">
        <v>54.662026224712498</v>
      </c>
      <c r="O3513">
        <v>54.011495222141399</v>
      </c>
      <c r="P3513">
        <v>-0.13177822810398199</v>
      </c>
      <c r="Q3513">
        <v>0.11447673606232001</v>
      </c>
      <c r="R3513">
        <v>0.99396702867599795</v>
      </c>
      <c r="S3513" t="s">
        <v>9096</v>
      </c>
      <c r="T3513" t="s">
        <v>11164</v>
      </c>
      <c r="U3513" t="s">
        <v>11164</v>
      </c>
      <c r="V3513" t="s">
        <v>11164</v>
      </c>
      <c r="W3513" t="s">
        <v>14634</v>
      </c>
      <c r="X3513">
        <v>5</v>
      </c>
      <c r="Y3513" t="s">
        <v>20114</v>
      </c>
      <c r="Z3513" t="s">
        <v>25663</v>
      </c>
      <c r="AA3513">
        <v>0.62775103352831829</v>
      </c>
      <c r="AB3513" t="str">
        <f>HYPERLINK("Melting_Curves/meltCurve_Q6P2P2_PRMT10.pdf", "Melting_Curves/meltCurve_Q6P2P2_PRMT10.pdf")</f>
        <v>Melting_Curves/meltCurve_Q6P2P2_PRMT10.pdf</v>
      </c>
    </row>
    <row r="3514" spans="1:28" x14ac:dyDescent="0.25">
      <c r="A3514" t="s">
        <v>3518</v>
      </c>
      <c r="B3514">
        <v>0.99796759195183404</v>
      </c>
      <c r="C3514">
        <v>0.99117680114614104</v>
      </c>
      <c r="D3514">
        <v>1.07912453872928</v>
      </c>
      <c r="E3514">
        <v>0.95759041224929098</v>
      </c>
      <c r="F3514">
        <v>0.78864636064473703</v>
      </c>
      <c r="G3514">
        <v>0.56046290725262804</v>
      </c>
      <c r="H3514">
        <v>0.42410594720164302</v>
      </c>
      <c r="I3514">
        <v>0.48948360138122798</v>
      </c>
      <c r="J3514">
        <v>0.46600585135677203</v>
      </c>
      <c r="K3514">
        <v>0.28730297578383901</v>
      </c>
      <c r="L3514">
        <v>1242.23565627413</v>
      </c>
      <c r="M3514">
        <v>24.100139956002401</v>
      </c>
      <c r="N3514">
        <v>55.218147252546402</v>
      </c>
      <c r="O3514">
        <v>51.1937889129929</v>
      </c>
      <c r="P3514">
        <v>-7.0688451137966193E-2</v>
      </c>
      <c r="Q3514">
        <v>0.39938052306931299</v>
      </c>
      <c r="R3514">
        <v>0.95991967880412699</v>
      </c>
      <c r="S3514" t="s">
        <v>9097</v>
      </c>
      <c r="T3514" t="s">
        <v>11164</v>
      </c>
      <c r="U3514" t="s">
        <v>11164</v>
      </c>
      <c r="V3514" t="s">
        <v>11164</v>
      </c>
      <c r="W3514" t="s">
        <v>14635</v>
      </c>
      <c r="X3514">
        <v>3</v>
      </c>
      <c r="Y3514" t="s">
        <v>20115</v>
      </c>
      <c r="Z3514" t="s">
        <v>25664</v>
      </c>
      <c r="AA3514">
        <v>0.69625559683714355</v>
      </c>
      <c r="AB3514" t="str">
        <f>HYPERLINK("Melting_Curves/meltCurve_Q6P3S6_FBXO42.pdf", "Melting_Curves/meltCurve_Q6P3S6_FBXO42.pdf")</f>
        <v>Melting_Curves/meltCurve_Q6P3S6_FBXO42.pdf</v>
      </c>
    </row>
    <row r="3515" spans="1:28" x14ac:dyDescent="0.25">
      <c r="A3515" t="s">
        <v>3519</v>
      </c>
      <c r="B3515">
        <v>0.99796759195183404</v>
      </c>
      <c r="C3515">
        <v>0.93294699853800001</v>
      </c>
      <c r="D3515">
        <v>0.92655151210930398</v>
      </c>
      <c r="E3515">
        <v>0.87878252422654402</v>
      </c>
      <c r="F3515">
        <v>0.71075184012431802</v>
      </c>
      <c r="G3515">
        <v>0.76285933687612595</v>
      </c>
      <c r="H3515">
        <v>0.40386072007118001</v>
      </c>
      <c r="I3515">
        <v>0.189929080900061</v>
      </c>
      <c r="J3515">
        <v>0.143317310444005</v>
      </c>
      <c r="K3515">
        <v>7.7132974612884195E-2</v>
      </c>
      <c r="L3515">
        <v>724.30043286463501</v>
      </c>
      <c r="M3515">
        <v>12.992620115328901</v>
      </c>
      <c r="N3515">
        <v>55.747064756467999</v>
      </c>
      <c r="O3515">
        <v>54.476012563450602</v>
      </c>
      <c r="P3515">
        <v>-5.9635975306981399E-2</v>
      </c>
      <c r="Q3515">
        <v>0</v>
      </c>
      <c r="R3515">
        <v>0.962755056941489</v>
      </c>
      <c r="S3515" t="s">
        <v>9098</v>
      </c>
      <c r="T3515" t="s">
        <v>11164</v>
      </c>
      <c r="U3515" t="s">
        <v>11164</v>
      </c>
      <c r="V3515" t="s">
        <v>11164</v>
      </c>
      <c r="W3515" t="s">
        <v>14636</v>
      </c>
      <c r="X3515">
        <v>7</v>
      </c>
      <c r="Y3515" t="s">
        <v>20116</v>
      </c>
      <c r="Z3515" t="s">
        <v>25665</v>
      </c>
      <c r="AA3515">
        <v>0.63663046721702443</v>
      </c>
      <c r="AB3515" t="str">
        <f>HYPERLINK("Melting_Curves/meltCurve_Q6P3W7_SCYL2.pdf", "Melting_Curves/meltCurve_Q6P3W7_SCYL2.pdf")</f>
        <v>Melting_Curves/meltCurve_Q6P3W7_SCYL2.pdf</v>
      </c>
    </row>
    <row r="3516" spans="1:28" x14ac:dyDescent="0.25">
      <c r="A3516" t="s">
        <v>3520</v>
      </c>
      <c r="B3516">
        <v>0.99796759195183404</v>
      </c>
      <c r="C3516">
        <v>1.0496254966398899</v>
      </c>
      <c r="D3516">
        <v>1.03272173523033</v>
      </c>
      <c r="E3516">
        <v>0.95736244102944201</v>
      </c>
      <c r="F3516">
        <v>0.59559985847763897</v>
      </c>
      <c r="G3516">
        <v>0.25719493788249898</v>
      </c>
      <c r="H3516">
        <v>0.175841978512529</v>
      </c>
      <c r="I3516">
        <v>0.156443689185044</v>
      </c>
      <c r="J3516">
        <v>0.122939308423688</v>
      </c>
      <c r="K3516">
        <v>6.7045487539185697E-2</v>
      </c>
      <c r="L3516">
        <v>1480.1967500712001</v>
      </c>
      <c r="M3516">
        <v>29.2615561947636</v>
      </c>
      <c r="N3516">
        <v>51.071730545934599</v>
      </c>
      <c r="O3516">
        <v>50.350538743224597</v>
      </c>
      <c r="P3516">
        <v>-0.12761205607693099</v>
      </c>
      <c r="Q3516">
        <v>0.121674869224264</v>
      </c>
      <c r="R3516">
        <v>0.99429807997505404</v>
      </c>
      <c r="S3516" t="s">
        <v>9099</v>
      </c>
      <c r="T3516" t="s">
        <v>11164</v>
      </c>
      <c r="U3516" t="s">
        <v>11164</v>
      </c>
      <c r="V3516" t="s">
        <v>11164</v>
      </c>
      <c r="W3516" t="s">
        <v>14637</v>
      </c>
      <c r="X3516">
        <v>6</v>
      </c>
      <c r="Y3516" t="s">
        <v>20117</v>
      </c>
      <c r="Z3516" t="s">
        <v>25666</v>
      </c>
      <c r="AA3516">
        <v>0.52512146317490938</v>
      </c>
      <c r="AB3516" t="str">
        <f>HYPERLINK("Melting_Curves/meltCurve_Q6P3X3_TTC27.pdf", "Melting_Curves/meltCurve_Q6P3X3_TTC27.pdf")</f>
        <v>Melting_Curves/meltCurve_Q6P3X3_TTC27.pdf</v>
      </c>
    </row>
    <row r="3517" spans="1:28" x14ac:dyDescent="0.25">
      <c r="A3517" t="s">
        <v>3521</v>
      </c>
      <c r="B3517">
        <v>0.99796759195183404</v>
      </c>
      <c r="C3517">
        <v>0.93884387224875199</v>
      </c>
      <c r="D3517">
        <v>0.869854683907341</v>
      </c>
      <c r="E3517">
        <v>0.65495313723737603</v>
      </c>
      <c r="F3517">
        <v>0.65424733035481897</v>
      </c>
      <c r="G3517">
        <v>0.38889512398659398</v>
      </c>
      <c r="H3517">
        <v>0.280306669556529</v>
      </c>
      <c r="I3517">
        <v>0.23248510984676299</v>
      </c>
      <c r="J3517">
        <v>0.14803624512785701</v>
      </c>
      <c r="K3517">
        <v>0.118191253034619</v>
      </c>
      <c r="L3517">
        <v>456.66496105972499</v>
      </c>
      <c r="M3517">
        <v>8.8135204138722791</v>
      </c>
      <c r="N3517">
        <v>51.814137723656899</v>
      </c>
      <c r="O3517">
        <v>49.354500619646601</v>
      </c>
      <c r="P3517">
        <v>-4.4679047666403897E-2</v>
      </c>
      <c r="Q3517">
        <v>0</v>
      </c>
      <c r="R3517">
        <v>0.98518520114937502</v>
      </c>
      <c r="S3517" t="s">
        <v>9100</v>
      </c>
      <c r="T3517" t="s">
        <v>11164</v>
      </c>
      <c r="U3517" t="s">
        <v>11164</v>
      </c>
      <c r="V3517" t="s">
        <v>11164</v>
      </c>
      <c r="W3517" t="s">
        <v>14638</v>
      </c>
      <c r="X3517">
        <v>2</v>
      </c>
      <c r="Y3517" t="s">
        <v>20118</v>
      </c>
      <c r="Z3517" t="s">
        <v>25667</v>
      </c>
      <c r="AA3517">
        <v>0.52277050142728754</v>
      </c>
      <c r="AB3517" t="str">
        <f>HYPERLINK("Melting_Curves/meltCurve_Q6P444_MTFR2.pdf", "Melting_Curves/meltCurve_Q6P444_MTFR2.pdf")</f>
        <v>Melting_Curves/meltCurve_Q6P444_MTFR2.pdf</v>
      </c>
    </row>
    <row r="3518" spans="1:28" x14ac:dyDescent="0.25">
      <c r="A3518" t="s">
        <v>3522</v>
      </c>
      <c r="B3518">
        <v>0.99796759195183404</v>
      </c>
      <c r="C3518">
        <v>1.01032325287848</v>
      </c>
      <c r="D3518">
        <v>0.98446968193439599</v>
      </c>
      <c r="E3518">
        <v>0.93542315039858603</v>
      </c>
      <c r="F3518">
        <v>0.83940808850848503</v>
      </c>
      <c r="G3518">
        <v>0.78980812243949605</v>
      </c>
      <c r="H3518">
        <v>0.83336033597808001</v>
      </c>
      <c r="I3518">
        <v>0.75213820638398499</v>
      </c>
      <c r="J3518">
        <v>0.87838438194170898</v>
      </c>
      <c r="K3518">
        <v>0.391119479370582</v>
      </c>
      <c r="L3518">
        <v>391.773403133057</v>
      </c>
      <c r="M3518">
        <v>5.47160272636894</v>
      </c>
      <c r="O3518">
        <v>63.735312712670499</v>
      </c>
      <c r="P3518">
        <v>-2.15584762175552E-2</v>
      </c>
      <c r="Q3518">
        <v>0</v>
      </c>
      <c r="R3518">
        <v>0.64998047298946005</v>
      </c>
      <c r="S3518" t="s">
        <v>9101</v>
      </c>
      <c r="T3518" t="s">
        <v>11164</v>
      </c>
      <c r="U3518" t="s">
        <v>11164</v>
      </c>
      <c r="V3518" t="s">
        <v>11164</v>
      </c>
      <c r="W3518" t="s">
        <v>14639</v>
      </c>
      <c r="X3518">
        <v>6</v>
      </c>
      <c r="Y3518" t="s">
        <v>20119</v>
      </c>
      <c r="Z3518" t="s">
        <v>25668</v>
      </c>
      <c r="AA3518">
        <v>0.85275357917419592</v>
      </c>
      <c r="AB3518" t="str">
        <f>HYPERLINK("Melting_Curves/meltCurve_Q6P4A7_SFXN4.pdf", "Melting_Curves/meltCurve_Q6P4A7_SFXN4.pdf")</f>
        <v>Melting_Curves/meltCurve_Q6P4A7_SFXN4.pdf</v>
      </c>
    </row>
    <row r="3519" spans="1:28" x14ac:dyDescent="0.25">
      <c r="A3519" t="s">
        <v>3523</v>
      </c>
      <c r="B3519">
        <v>0.99796759195183404</v>
      </c>
      <c r="C3519">
        <v>0.96740274566026196</v>
      </c>
      <c r="D3519">
        <v>0.92192807147327904</v>
      </c>
      <c r="E3519">
        <v>0.99003231375940604</v>
      </c>
      <c r="F3519">
        <v>0.81163102257503095</v>
      </c>
      <c r="G3519">
        <v>0.62190526549021297</v>
      </c>
      <c r="H3519">
        <v>0.62853029257549697</v>
      </c>
      <c r="I3519">
        <v>0.59366825814443303</v>
      </c>
      <c r="J3519">
        <v>0.72493333329766496</v>
      </c>
      <c r="K3519">
        <v>0.66754988065460397</v>
      </c>
      <c r="L3519">
        <v>12543.1413835453</v>
      </c>
      <c r="M3519">
        <v>250</v>
      </c>
      <c r="O3519">
        <v>50.169338513263398</v>
      </c>
      <c r="P3519">
        <v>-0.43936507365032701</v>
      </c>
      <c r="Q3519">
        <v>0.64731740340307997</v>
      </c>
      <c r="R3519">
        <v>0.92817411701570196</v>
      </c>
      <c r="S3519" t="s">
        <v>9102</v>
      </c>
      <c r="T3519" t="s">
        <v>11164</v>
      </c>
      <c r="U3519" t="s">
        <v>11164</v>
      </c>
      <c r="V3519" t="s">
        <v>11164</v>
      </c>
      <c r="W3519" t="s">
        <v>14640</v>
      </c>
      <c r="X3519">
        <v>9</v>
      </c>
      <c r="Y3519" t="s">
        <v>20120</v>
      </c>
      <c r="Z3519" t="s">
        <v>25669</v>
      </c>
      <c r="AA3519">
        <v>0.80220627838428449</v>
      </c>
      <c r="AB3519" t="str">
        <f>HYPERLINK("Melting_Curves/meltCurve_Q6P4E1_CASC4.pdf", "Melting_Curves/meltCurve_Q6P4E1_CASC4.pdf")</f>
        <v>Melting_Curves/meltCurve_Q6P4E1_CASC4.pdf</v>
      </c>
    </row>
    <row r="3520" spans="1:28" x14ac:dyDescent="0.25">
      <c r="A3520" t="s">
        <v>3524</v>
      </c>
      <c r="B3520">
        <v>0.99796759195183404</v>
      </c>
      <c r="C3520">
        <v>0.96974021409682098</v>
      </c>
      <c r="D3520">
        <v>1.01552050105213</v>
      </c>
      <c r="E3520">
        <v>0.89898537095485298</v>
      </c>
      <c r="F3520">
        <v>0.82018009417745297</v>
      </c>
      <c r="G3520">
        <v>0.67405807074303103</v>
      </c>
      <c r="H3520">
        <v>0.73364229420439098</v>
      </c>
      <c r="I3520">
        <v>0.62734714387308999</v>
      </c>
      <c r="J3520">
        <v>0.811918701644881</v>
      </c>
      <c r="K3520">
        <v>0.76853892317759198</v>
      </c>
      <c r="L3520">
        <v>1374.3539741868001</v>
      </c>
      <c r="M3520">
        <v>28.636753443833602</v>
      </c>
      <c r="O3520">
        <v>47.760453297334401</v>
      </c>
      <c r="P3520">
        <v>-4.1225922948262897E-2</v>
      </c>
      <c r="Q3520">
        <v>0.724975342590785</v>
      </c>
      <c r="R3520">
        <v>0.84254612114813698</v>
      </c>
      <c r="S3520" t="s">
        <v>9103</v>
      </c>
      <c r="T3520" t="s">
        <v>11164</v>
      </c>
      <c r="U3520" t="s">
        <v>11164</v>
      </c>
      <c r="V3520" t="s">
        <v>11164</v>
      </c>
      <c r="W3520" t="s">
        <v>14641</v>
      </c>
      <c r="X3520">
        <v>4</v>
      </c>
      <c r="Y3520" t="s">
        <v>20121</v>
      </c>
      <c r="Z3520" t="s">
        <v>25670</v>
      </c>
      <c r="AA3520">
        <v>0.82753828929359785</v>
      </c>
      <c r="AB3520" t="str">
        <f>HYPERLINK("Melting_Curves/meltCurve_Q6P4F2_FDX1L.pdf", "Melting_Curves/meltCurve_Q6P4F2_FDX1L.pdf")</f>
        <v>Melting_Curves/meltCurve_Q6P4F2_FDX1L.pdf</v>
      </c>
    </row>
    <row r="3521" spans="1:28" x14ac:dyDescent="0.25">
      <c r="A3521" t="s">
        <v>3525</v>
      </c>
      <c r="B3521">
        <v>0.99796759195183404</v>
      </c>
      <c r="C3521">
        <v>0.97261146830634604</v>
      </c>
      <c r="D3521">
        <v>0.97151265988628499</v>
      </c>
      <c r="E3521">
        <v>0.89474562528776203</v>
      </c>
      <c r="F3521">
        <v>0.89277483812032798</v>
      </c>
      <c r="G3521">
        <v>0.71110740683770202</v>
      </c>
      <c r="H3521">
        <v>0.50228914835032301</v>
      </c>
      <c r="I3521">
        <v>0.30859174498842301</v>
      </c>
      <c r="J3521">
        <v>0.141543470092584</v>
      </c>
      <c r="K3521">
        <v>9.6276342888247393E-2</v>
      </c>
      <c r="L3521">
        <v>820.34659082922201</v>
      </c>
      <c r="M3521">
        <v>14.3440808666702</v>
      </c>
      <c r="N3521">
        <v>57.190600190540302</v>
      </c>
      <c r="O3521">
        <v>56.113498362110001</v>
      </c>
      <c r="P3521">
        <v>-6.3914242075362906E-2</v>
      </c>
      <c r="Q3521">
        <v>0</v>
      </c>
      <c r="R3521">
        <v>0.99327661830713398</v>
      </c>
      <c r="S3521" t="s">
        <v>9104</v>
      </c>
      <c r="T3521" t="s">
        <v>11164</v>
      </c>
      <c r="U3521" t="s">
        <v>11164</v>
      </c>
      <c r="V3521" t="s">
        <v>11164</v>
      </c>
      <c r="W3521" t="s">
        <v>14642</v>
      </c>
      <c r="X3521">
        <v>11</v>
      </c>
      <c r="Y3521" t="s">
        <v>20122</v>
      </c>
      <c r="Z3521" t="s">
        <v>25671</v>
      </c>
      <c r="AA3521">
        <v>0.67997799978122453</v>
      </c>
      <c r="AB3521" t="str">
        <f>HYPERLINK("Melting_Curves/meltCurve_Q6P4I2_WDR73.pdf", "Melting_Curves/meltCurve_Q6P4I2_WDR73.pdf")</f>
        <v>Melting_Curves/meltCurve_Q6P4I2_WDR73.pdf</v>
      </c>
    </row>
    <row r="3522" spans="1:28" x14ac:dyDescent="0.25">
      <c r="A3522" t="s">
        <v>3526</v>
      </c>
      <c r="B3522">
        <v>0.99796759195183404</v>
      </c>
      <c r="C3522">
        <v>1.0203155467135301</v>
      </c>
      <c r="D3522">
        <v>0.71770137309963999</v>
      </c>
      <c r="E3522">
        <v>0.94475060624648599</v>
      </c>
      <c r="F3522">
        <v>1.13044189555333</v>
      </c>
      <c r="G3522">
        <v>2.29804076105636</v>
      </c>
      <c r="H3522">
        <v>3.2077480959989799</v>
      </c>
      <c r="I3522">
        <v>2.9346025050794302</v>
      </c>
      <c r="J3522">
        <v>2.8392880326671701</v>
      </c>
      <c r="K3522">
        <v>2.3842057164882799</v>
      </c>
      <c r="L3522">
        <v>12602.276992499301</v>
      </c>
      <c r="M3522">
        <v>250</v>
      </c>
      <c r="O3522">
        <v>50.405882311702399</v>
      </c>
      <c r="P3522">
        <v>0.61996732764902496</v>
      </c>
      <c r="Q3522">
        <v>1.5</v>
      </c>
      <c r="R3522">
        <v>2.9141184176882801E-2</v>
      </c>
      <c r="S3522" t="s">
        <v>9105</v>
      </c>
      <c r="T3522" t="s">
        <v>11164</v>
      </c>
      <c r="U3522" t="s">
        <v>11164</v>
      </c>
      <c r="V3522" t="s">
        <v>11164</v>
      </c>
      <c r="W3522" t="s">
        <v>14643</v>
      </c>
      <c r="X3522">
        <v>2</v>
      </c>
      <c r="Y3522" t="s">
        <v>20123</v>
      </c>
      <c r="Z3522" t="s">
        <v>25672</v>
      </c>
      <c r="AA3522">
        <v>1.276470633566736</v>
      </c>
      <c r="AB3522" t="str">
        <f>HYPERLINK("Melting_Curves/meltCurve_Q6P4R8_3_NFRKB.pdf", "Melting_Curves/meltCurve_Q6P4R8_3_NFRKB.pdf")</f>
        <v>Melting_Curves/meltCurve_Q6P4R8_3_NFRKB.pdf</v>
      </c>
    </row>
    <row r="3523" spans="1:28" x14ac:dyDescent="0.25">
      <c r="A3523" t="s">
        <v>3527</v>
      </c>
      <c r="B3523">
        <v>0.99796759195183404</v>
      </c>
      <c r="C3523">
        <v>0.96666173022861601</v>
      </c>
      <c r="D3523">
        <v>1.1072027716748001</v>
      </c>
      <c r="E3523">
        <v>0.98002570674590395</v>
      </c>
      <c r="F3523">
        <v>0.81385175152335298</v>
      </c>
      <c r="G3523">
        <v>0.598236795274669</v>
      </c>
      <c r="H3523">
        <v>0.44497118329875002</v>
      </c>
      <c r="I3523">
        <v>0.41135051352804802</v>
      </c>
      <c r="J3523">
        <v>0.42281040733983499</v>
      </c>
      <c r="K3523">
        <v>0.27511946367061602</v>
      </c>
      <c r="L3523">
        <v>1109.3820108848399</v>
      </c>
      <c r="M3523">
        <v>21.070018765351598</v>
      </c>
      <c r="N3523">
        <v>55.818846952730297</v>
      </c>
      <c r="O3523">
        <v>52.184782771090198</v>
      </c>
      <c r="P3523">
        <v>-6.5743931552095403E-2</v>
      </c>
      <c r="Q3523">
        <v>0.34869720388438602</v>
      </c>
      <c r="R3523">
        <v>0.96969344500994603</v>
      </c>
      <c r="S3523" t="s">
        <v>9106</v>
      </c>
      <c r="T3523" t="s">
        <v>11164</v>
      </c>
      <c r="U3523" t="s">
        <v>11164</v>
      </c>
      <c r="V3523" t="s">
        <v>11164</v>
      </c>
      <c r="W3523" t="s">
        <v>14644</v>
      </c>
      <c r="X3523">
        <v>5</v>
      </c>
      <c r="Y3523" t="s">
        <v>20124</v>
      </c>
      <c r="Z3523" t="s">
        <v>25673</v>
      </c>
      <c r="AA3523">
        <v>0.69616272883679275</v>
      </c>
      <c r="AB3523" t="str">
        <f>HYPERLINK("Melting_Curves/meltCurve_Q6P582_MZT2A.pdf", "Melting_Curves/meltCurve_Q6P582_MZT2A.pdf")</f>
        <v>Melting_Curves/meltCurve_Q6P582_MZT2A.pdf</v>
      </c>
    </row>
    <row r="3524" spans="1:28" x14ac:dyDescent="0.25">
      <c r="A3524" t="s">
        <v>3528</v>
      </c>
      <c r="B3524">
        <v>0.99796759195183404</v>
      </c>
      <c r="C3524">
        <v>0.97322618810734196</v>
      </c>
      <c r="D3524">
        <v>0.98068350886394196</v>
      </c>
      <c r="E3524">
        <v>0.95708478410297604</v>
      </c>
      <c r="F3524">
        <v>0.84898612755323499</v>
      </c>
      <c r="G3524">
        <v>0.65007988317294596</v>
      </c>
      <c r="H3524">
        <v>0.70405999391178997</v>
      </c>
      <c r="I3524">
        <v>0.57615608294512199</v>
      </c>
      <c r="J3524">
        <v>0.81325027204948297</v>
      </c>
      <c r="K3524">
        <v>0.84626170823473101</v>
      </c>
      <c r="L3524">
        <v>12542.8722408917</v>
      </c>
      <c r="M3524">
        <v>250</v>
      </c>
      <c r="O3524">
        <v>50.168263285931502</v>
      </c>
      <c r="P3524">
        <v>-0.35136547232859</v>
      </c>
      <c r="Q3524">
        <v>0.71796158700319401</v>
      </c>
      <c r="R3524">
        <v>0.73430118235967001</v>
      </c>
      <c r="S3524" t="s">
        <v>9107</v>
      </c>
      <c r="T3524" t="s">
        <v>11164</v>
      </c>
      <c r="U3524" t="s">
        <v>11164</v>
      </c>
      <c r="V3524" t="s">
        <v>11164</v>
      </c>
      <c r="W3524" t="s">
        <v>14645</v>
      </c>
      <c r="X3524">
        <v>8</v>
      </c>
      <c r="Y3524" t="s">
        <v>20125</v>
      </c>
      <c r="Z3524" t="s">
        <v>25674</v>
      </c>
      <c r="AA3524">
        <v>0.84181528200651556</v>
      </c>
      <c r="AB3524" t="str">
        <f>HYPERLINK("Melting_Curves/meltCurve_Q6P587_FAHD1.pdf", "Melting_Curves/meltCurve_Q6P587_FAHD1.pdf")</f>
        <v>Melting_Curves/meltCurve_Q6P587_FAHD1.pdf</v>
      </c>
    </row>
    <row r="3525" spans="1:28" x14ac:dyDescent="0.25">
      <c r="A3525" t="s">
        <v>3529</v>
      </c>
      <c r="B3525">
        <v>0.99796759195183404</v>
      </c>
      <c r="C3525">
        <v>1.00099630924009</v>
      </c>
      <c r="D3525">
        <v>0.98166843145674199</v>
      </c>
      <c r="E3525">
        <v>0.96225384779152401</v>
      </c>
      <c r="F3525">
        <v>0.76834715580575397</v>
      </c>
      <c r="G3525">
        <v>0.52379068822039798</v>
      </c>
      <c r="H3525">
        <v>0.48704687688482201</v>
      </c>
      <c r="I3525">
        <v>0.36266985501051302</v>
      </c>
      <c r="J3525">
        <v>0.35891783424469298</v>
      </c>
      <c r="K3525">
        <v>0.36065038195194699</v>
      </c>
      <c r="L3525">
        <v>1075.48712839423</v>
      </c>
      <c r="M3525">
        <v>20.831521504029201</v>
      </c>
      <c r="N3525">
        <v>54.9563528872144</v>
      </c>
      <c r="O3525">
        <v>51.159170781223999</v>
      </c>
      <c r="P3525">
        <v>-6.5313991705109903E-2</v>
      </c>
      <c r="Q3525">
        <v>0.358411324002119</v>
      </c>
      <c r="R3525">
        <v>0.99282048244964904</v>
      </c>
      <c r="S3525" t="s">
        <v>9108</v>
      </c>
      <c r="T3525" t="s">
        <v>11164</v>
      </c>
      <c r="U3525" t="s">
        <v>11164</v>
      </c>
      <c r="V3525" t="s">
        <v>11164</v>
      </c>
      <c r="W3525" t="s">
        <v>14646</v>
      </c>
      <c r="X3525">
        <v>12</v>
      </c>
      <c r="Y3525" t="s">
        <v>20126</v>
      </c>
      <c r="Z3525" t="s">
        <v>25675</v>
      </c>
      <c r="AA3525">
        <v>0.67904947401743265</v>
      </c>
      <c r="AB3525" t="str">
        <f>HYPERLINK("Melting_Curves/meltCurve_Q6P6C2_ALKBH5.pdf", "Melting_Curves/meltCurve_Q6P6C2_ALKBH5.pdf")</f>
        <v>Melting_Curves/meltCurve_Q6P6C2_ALKBH5.pdf</v>
      </c>
    </row>
    <row r="3526" spans="1:28" x14ac:dyDescent="0.25">
      <c r="A3526" t="s">
        <v>3530</v>
      </c>
      <c r="B3526">
        <v>0.99796759195183404</v>
      </c>
      <c r="C3526">
        <v>1.00408853957176</v>
      </c>
      <c r="D3526">
        <v>0.92023860700261795</v>
      </c>
      <c r="E3526">
        <v>0.88306612809028695</v>
      </c>
      <c r="F3526">
        <v>0.81078530379300096</v>
      </c>
      <c r="G3526">
        <v>0.57516431998735196</v>
      </c>
      <c r="H3526">
        <v>0.36330383017163898</v>
      </c>
      <c r="I3526">
        <v>0.26833601216298097</v>
      </c>
      <c r="J3526">
        <v>0.227158118478235</v>
      </c>
      <c r="K3526">
        <v>0.161881863917336</v>
      </c>
      <c r="L3526">
        <v>725.06768788638499</v>
      </c>
      <c r="M3526">
        <v>13.385833916476001</v>
      </c>
      <c r="N3526">
        <v>55.143821123523303</v>
      </c>
      <c r="O3526">
        <v>53.000739511490799</v>
      </c>
      <c r="P3526">
        <v>-5.6483050706451897E-2</v>
      </c>
      <c r="Q3526">
        <v>0.105570580477305</v>
      </c>
      <c r="R3526">
        <v>0.99362776586816903</v>
      </c>
      <c r="S3526" t="s">
        <v>9109</v>
      </c>
      <c r="T3526" t="s">
        <v>11164</v>
      </c>
      <c r="U3526" t="s">
        <v>11164</v>
      </c>
      <c r="V3526" t="s">
        <v>11164</v>
      </c>
      <c r="W3526" t="s">
        <v>14647</v>
      </c>
      <c r="X3526">
        <v>5</v>
      </c>
      <c r="Y3526" t="s">
        <v>20127</v>
      </c>
      <c r="Z3526" t="s">
        <v>25676</v>
      </c>
      <c r="AA3526">
        <v>0.63248181362474953</v>
      </c>
      <c r="AB3526" t="str">
        <f>HYPERLINK("Melting_Curves/meltCurve_Q6P9B6_KIAA1609.pdf", "Melting_Curves/meltCurve_Q6P9B6_KIAA1609.pdf")</f>
        <v>Melting_Curves/meltCurve_Q6P9B6_KIAA1609.pdf</v>
      </c>
    </row>
    <row r="3527" spans="1:28" x14ac:dyDescent="0.25">
      <c r="A3527" t="s">
        <v>3531</v>
      </c>
      <c r="B3527">
        <v>0.99796759195183404</v>
      </c>
      <c r="C3527">
        <v>0.82408668828739295</v>
      </c>
      <c r="D3527">
        <v>1.0060033406359501</v>
      </c>
      <c r="E3527">
        <v>0.803336227240113</v>
      </c>
      <c r="F3527">
        <v>0.73202022703762903</v>
      </c>
      <c r="G3527">
        <v>0.71553473948712898</v>
      </c>
      <c r="H3527">
        <v>0.433744842792809</v>
      </c>
      <c r="I3527">
        <v>0.248959507140496</v>
      </c>
      <c r="J3527">
        <v>0.24429580500843401</v>
      </c>
      <c r="K3527">
        <v>0.120518038713706</v>
      </c>
      <c r="L3527">
        <v>557.150262572207</v>
      </c>
      <c r="M3527">
        <v>9.9549675911925206</v>
      </c>
      <c r="N3527">
        <v>55.967045591105702</v>
      </c>
      <c r="O3527">
        <v>53.849163775049199</v>
      </c>
      <c r="P3527">
        <v>-4.62397793821019E-2</v>
      </c>
      <c r="Q3527">
        <v>0</v>
      </c>
      <c r="R3527">
        <v>0.94353871245158005</v>
      </c>
      <c r="S3527" t="s">
        <v>9110</v>
      </c>
      <c r="T3527" t="s">
        <v>11164</v>
      </c>
      <c r="U3527" t="s">
        <v>11164</v>
      </c>
      <c r="V3527" t="s">
        <v>11164</v>
      </c>
      <c r="W3527" t="s">
        <v>14648</v>
      </c>
      <c r="X3527">
        <v>2</v>
      </c>
      <c r="Y3527" t="s">
        <v>20128</v>
      </c>
      <c r="Z3527" t="s">
        <v>25677</v>
      </c>
      <c r="AA3527">
        <v>0.63838192857079457</v>
      </c>
      <c r="AB3527" t="str">
        <f>HYPERLINK("Melting_Curves/meltCurve_Q6PCB5_RSBN1L.pdf", "Melting_Curves/meltCurve_Q6PCB5_RSBN1L.pdf")</f>
        <v>Melting_Curves/meltCurve_Q6PCB5_RSBN1L.pdf</v>
      </c>
    </row>
    <row r="3528" spans="1:28" x14ac:dyDescent="0.25">
      <c r="A3528" t="s">
        <v>3532</v>
      </c>
      <c r="B3528">
        <v>0.99796759195183404</v>
      </c>
      <c r="C3528">
        <v>0.98300552604049496</v>
      </c>
      <c r="D3528">
        <v>0.95862680934107303</v>
      </c>
      <c r="E3528">
        <v>0.94084486725427696</v>
      </c>
      <c r="F3528">
        <v>0.81839637340392002</v>
      </c>
      <c r="G3528">
        <v>0.67784633281502304</v>
      </c>
      <c r="H3528">
        <v>0.51984290017368695</v>
      </c>
      <c r="I3528">
        <v>0.21557506237386401</v>
      </c>
      <c r="J3528">
        <v>0.15046392690673699</v>
      </c>
      <c r="K3528">
        <v>0.12780148602979099</v>
      </c>
      <c r="L3528">
        <v>768.83056469118299</v>
      </c>
      <c r="M3528">
        <v>13.576306505517101</v>
      </c>
      <c r="N3528">
        <v>56.630319020479199</v>
      </c>
      <c r="O3528">
        <v>55.4440148168216</v>
      </c>
      <c r="P3528">
        <v>-6.1225418494706502E-2</v>
      </c>
      <c r="Q3528">
        <v>0</v>
      </c>
      <c r="R3528">
        <v>0.99093517685603505</v>
      </c>
      <c r="S3528" t="s">
        <v>9111</v>
      </c>
      <c r="T3528" t="s">
        <v>11164</v>
      </c>
      <c r="U3528" t="s">
        <v>11164</v>
      </c>
      <c r="V3528" t="s">
        <v>11164</v>
      </c>
      <c r="W3528" t="s">
        <v>14649</v>
      </c>
      <c r="X3528">
        <v>10</v>
      </c>
      <c r="Y3528" t="s">
        <v>20129</v>
      </c>
      <c r="Z3528" t="s">
        <v>25678</v>
      </c>
      <c r="AA3528">
        <v>0.66294185787775306</v>
      </c>
      <c r="AB3528" t="str">
        <f>HYPERLINK("Melting_Curves/meltCurve_Q6PCE3_PGM2L1.pdf", "Melting_Curves/meltCurve_Q6PCE3_PGM2L1.pdf")</f>
        <v>Melting_Curves/meltCurve_Q6PCE3_PGM2L1.pdf</v>
      </c>
    </row>
    <row r="3529" spans="1:28" x14ac:dyDescent="0.25">
      <c r="A3529" t="s">
        <v>3533</v>
      </c>
      <c r="B3529">
        <v>0.99796759195183404</v>
      </c>
      <c r="C3529">
        <v>0.98597124769401401</v>
      </c>
      <c r="D3529">
        <v>0.92170675935677904</v>
      </c>
      <c r="E3529">
        <v>0.91371136622588001</v>
      </c>
      <c r="F3529">
        <v>0.645260757164</v>
      </c>
      <c r="G3529">
        <v>0.52066258539685595</v>
      </c>
      <c r="H3529">
        <v>0.42803490146373202</v>
      </c>
      <c r="I3529">
        <v>0.39339538077936897</v>
      </c>
      <c r="J3529">
        <v>0.239300085916795</v>
      </c>
      <c r="K3529">
        <v>0.22892524053452201</v>
      </c>
      <c r="L3529">
        <v>590.51615506459098</v>
      </c>
      <c r="M3529">
        <v>11.2108810258762</v>
      </c>
      <c r="N3529">
        <v>54.828267909279297</v>
      </c>
      <c r="O3529">
        <v>51.080906526026503</v>
      </c>
      <c r="P3529">
        <v>-4.5106315420674198E-2</v>
      </c>
      <c r="Q3529">
        <v>0.17817344539736699</v>
      </c>
      <c r="R3529">
        <v>0.982161448874043</v>
      </c>
      <c r="S3529" t="s">
        <v>9112</v>
      </c>
      <c r="T3529" t="s">
        <v>11164</v>
      </c>
      <c r="U3529" t="s">
        <v>11164</v>
      </c>
      <c r="V3529" t="s">
        <v>11164</v>
      </c>
      <c r="W3529" t="s">
        <v>14650</v>
      </c>
      <c r="X3529">
        <v>4</v>
      </c>
      <c r="Y3529" t="s">
        <v>20130</v>
      </c>
      <c r="Z3529" t="s">
        <v>25679</v>
      </c>
      <c r="AA3529">
        <v>0.62630816825061619</v>
      </c>
      <c r="AB3529" t="str">
        <f>HYPERLINK("Melting_Curves/meltCurve_Q6PD62_CTR9.pdf", "Melting_Curves/meltCurve_Q6PD62_CTR9.pdf")</f>
        <v>Melting_Curves/meltCurve_Q6PD62_CTR9.pdf</v>
      </c>
    </row>
    <row r="3530" spans="1:28" x14ac:dyDescent="0.25">
      <c r="A3530" t="s">
        <v>3534</v>
      </c>
      <c r="B3530">
        <v>0.99796759195183404</v>
      </c>
      <c r="C3530">
        <v>0.85549270831192603</v>
      </c>
      <c r="D3530">
        <v>0.843702299115341</v>
      </c>
      <c r="E3530">
        <v>0.72698726156605098</v>
      </c>
      <c r="F3530">
        <v>0.62137227130878603</v>
      </c>
      <c r="G3530">
        <v>0.32293745864136902</v>
      </c>
      <c r="H3530">
        <v>0.196662749198487</v>
      </c>
      <c r="I3530">
        <v>0.17450525110441301</v>
      </c>
      <c r="J3530">
        <v>0.129674922784904</v>
      </c>
      <c r="K3530">
        <v>8.3389170222336106E-2</v>
      </c>
      <c r="L3530">
        <v>506.86339806406602</v>
      </c>
      <c r="M3530">
        <v>9.9523437705713995</v>
      </c>
      <c r="N3530">
        <v>50.929047991895999</v>
      </c>
      <c r="O3530">
        <v>49.000846767656597</v>
      </c>
      <c r="P3530">
        <v>-5.0801538548166901E-2</v>
      </c>
      <c r="Q3530">
        <v>0</v>
      </c>
      <c r="R3530">
        <v>0.98147708853062798</v>
      </c>
      <c r="S3530" t="s">
        <v>9113</v>
      </c>
      <c r="T3530" t="s">
        <v>11164</v>
      </c>
      <c r="U3530" t="s">
        <v>11164</v>
      </c>
      <c r="V3530" t="s">
        <v>11164</v>
      </c>
      <c r="W3530" t="s">
        <v>14651</v>
      </c>
      <c r="X3530">
        <v>3</v>
      </c>
      <c r="Y3530" t="s">
        <v>20131</v>
      </c>
      <c r="Z3530" t="s">
        <v>25680</v>
      </c>
      <c r="AA3530">
        <v>0.49514735387932801</v>
      </c>
      <c r="AB3530" t="str">
        <f>HYPERLINK("Melting_Curves/meltCurve_Q6PD74_AAGAB.pdf", "Melting_Curves/meltCurve_Q6PD74_AAGAB.pdf")</f>
        <v>Melting_Curves/meltCurve_Q6PD74_AAGAB.pdf</v>
      </c>
    </row>
    <row r="3531" spans="1:28" x14ac:dyDescent="0.25">
      <c r="A3531" t="s">
        <v>3535</v>
      </c>
      <c r="B3531">
        <v>0.99796759195183404</v>
      </c>
      <c r="C3531">
        <v>1.0373987019381801</v>
      </c>
      <c r="D3531">
        <v>1.0989192052783701</v>
      </c>
      <c r="E3531">
        <v>0.81984788821319399</v>
      </c>
      <c r="F3531">
        <v>0.46678877257614598</v>
      </c>
      <c r="G3531">
        <v>0.203944229817421</v>
      </c>
      <c r="H3531">
        <v>0.21397222831832799</v>
      </c>
      <c r="I3531">
        <v>0.13981551830788599</v>
      </c>
      <c r="J3531">
        <v>0.123349962288215</v>
      </c>
      <c r="K3531">
        <v>8.73614822479898E-2</v>
      </c>
      <c r="L3531">
        <v>1316.59249384186</v>
      </c>
      <c r="M3531">
        <v>26.715636496544501</v>
      </c>
      <c r="N3531">
        <v>49.852258620365298</v>
      </c>
      <c r="O3531">
        <v>49.008077524275599</v>
      </c>
      <c r="P3531">
        <v>-0.11833271842021401</v>
      </c>
      <c r="Q3531">
        <v>0.131714629225756</v>
      </c>
      <c r="R3531">
        <v>0.98633615734219404</v>
      </c>
      <c r="S3531" t="s">
        <v>9114</v>
      </c>
      <c r="T3531" t="s">
        <v>11164</v>
      </c>
      <c r="U3531" t="s">
        <v>11164</v>
      </c>
      <c r="V3531" t="s">
        <v>11164</v>
      </c>
      <c r="W3531" t="s">
        <v>14652</v>
      </c>
      <c r="X3531">
        <v>2</v>
      </c>
      <c r="Y3531" t="s">
        <v>20132</v>
      </c>
      <c r="Z3531" t="s">
        <v>25681</v>
      </c>
      <c r="AA3531">
        <v>0.49380004310372477</v>
      </c>
      <c r="AB3531" t="str">
        <f>HYPERLINK("Melting_Curves/meltCurve_Q6PGP7_TTC37.pdf", "Melting_Curves/meltCurve_Q6PGP7_TTC37.pdf")</f>
        <v>Melting_Curves/meltCurve_Q6PGP7_TTC37.pdf</v>
      </c>
    </row>
    <row r="3532" spans="1:28" x14ac:dyDescent="0.25">
      <c r="A3532" t="s">
        <v>3536</v>
      </c>
      <c r="B3532">
        <v>0.99796759195183404</v>
      </c>
      <c r="C3532">
        <v>1.0162464772006801</v>
      </c>
      <c r="D3532">
        <v>0.93121236003214303</v>
      </c>
      <c r="E3532">
        <v>0.89793643803342804</v>
      </c>
      <c r="F3532">
        <v>0.72629238754367698</v>
      </c>
      <c r="G3532">
        <v>0.36420828826148499</v>
      </c>
      <c r="H3532">
        <v>0.213690654732894</v>
      </c>
      <c r="I3532">
        <v>0.19428490029540499</v>
      </c>
      <c r="J3532">
        <v>0.20435980614587501</v>
      </c>
      <c r="K3532">
        <v>0.15250738528924601</v>
      </c>
      <c r="L3532">
        <v>1211.72938205491</v>
      </c>
      <c r="M3532">
        <v>23.585209245473401</v>
      </c>
      <c r="N3532">
        <v>52.274266914254497</v>
      </c>
      <c r="O3532">
        <v>51.011577519758603</v>
      </c>
      <c r="P3532">
        <v>-9.6343171993865703E-2</v>
      </c>
      <c r="Q3532">
        <v>0.16650557610547201</v>
      </c>
      <c r="R3532">
        <v>0.99374895051772105</v>
      </c>
      <c r="S3532" t="s">
        <v>9115</v>
      </c>
      <c r="T3532" t="s">
        <v>11164</v>
      </c>
      <c r="U3532" t="s">
        <v>11164</v>
      </c>
      <c r="V3532" t="s">
        <v>11164</v>
      </c>
      <c r="W3532" t="s">
        <v>14653</v>
      </c>
      <c r="X3532">
        <v>2</v>
      </c>
      <c r="Y3532" t="s">
        <v>20133</v>
      </c>
      <c r="Z3532" t="s">
        <v>25682</v>
      </c>
      <c r="AA3532">
        <v>0.57412606204748495</v>
      </c>
      <c r="AB3532" t="str">
        <f>HYPERLINK("Melting_Curves/meltCurve_Q6PH81_C16orf87.pdf", "Melting_Curves/meltCurve_Q6PH81_C16orf87.pdf")</f>
        <v>Melting_Curves/meltCurve_Q6PH81_C16orf87.pdf</v>
      </c>
    </row>
    <row r="3533" spans="1:28" x14ac:dyDescent="0.25">
      <c r="A3533" t="s">
        <v>3537</v>
      </c>
      <c r="B3533">
        <v>0.99796759195183404</v>
      </c>
      <c r="C3533">
        <v>1.0275359297484701</v>
      </c>
      <c r="D3533">
        <v>0.93720603216006204</v>
      </c>
      <c r="E3533">
        <v>0.90723154029880804</v>
      </c>
      <c r="F3533">
        <v>0.70657308743291602</v>
      </c>
      <c r="G3533">
        <v>0.30277997158450998</v>
      </c>
      <c r="H3533">
        <v>0.209167844502925</v>
      </c>
      <c r="I3533">
        <v>0.17841188934038099</v>
      </c>
      <c r="J3533">
        <v>0.166049117212798</v>
      </c>
      <c r="K3533">
        <v>0.108668286814153</v>
      </c>
      <c r="L3533">
        <v>1303.9888273458</v>
      </c>
      <c r="M3533">
        <v>25.473179705137198</v>
      </c>
      <c r="N3533">
        <v>51.876086052230903</v>
      </c>
      <c r="O3533">
        <v>50.878317885653402</v>
      </c>
      <c r="P3533">
        <v>-0.107283062558043</v>
      </c>
      <c r="Q3533">
        <v>0.14289275093345</v>
      </c>
      <c r="R3533">
        <v>0.99346999302332295</v>
      </c>
      <c r="S3533" t="s">
        <v>9116</v>
      </c>
      <c r="T3533" t="s">
        <v>11164</v>
      </c>
      <c r="U3533" t="s">
        <v>11164</v>
      </c>
      <c r="V3533" t="s">
        <v>11164</v>
      </c>
      <c r="W3533" t="s">
        <v>14654</v>
      </c>
      <c r="X3533">
        <v>6</v>
      </c>
      <c r="Y3533" t="s">
        <v>20134</v>
      </c>
      <c r="Z3533" t="s">
        <v>25683</v>
      </c>
      <c r="AA3533">
        <v>0.5556356791516186</v>
      </c>
      <c r="AB3533" t="str">
        <f>HYPERLINK("Melting_Curves/meltCurve_Q6PHR2_3_ULK3.pdf", "Melting_Curves/meltCurve_Q6PHR2_3_ULK3.pdf")</f>
        <v>Melting_Curves/meltCurve_Q6PHR2_3_ULK3.pdf</v>
      </c>
    </row>
    <row r="3534" spans="1:28" x14ac:dyDescent="0.25">
      <c r="A3534" t="s">
        <v>3538</v>
      </c>
      <c r="B3534">
        <v>0.99796759195183404</v>
      </c>
      <c r="C3534">
        <v>0.98842367436703105</v>
      </c>
      <c r="D3534">
        <v>1.0106333580303</v>
      </c>
      <c r="E3534">
        <v>0.98312407429590898</v>
      </c>
      <c r="F3534">
        <v>0.80423159600751404</v>
      </c>
      <c r="G3534">
        <v>0.88291274989472901</v>
      </c>
      <c r="H3534">
        <v>0.53640243840249302</v>
      </c>
      <c r="I3534">
        <v>0.29099387145354999</v>
      </c>
      <c r="J3534">
        <v>0.18243646447154999</v>
      </c>
      <c r="K3534">
        <v>0.11358295141359501</v>
      </c>
      <c r="L3534">
        <v>957.33139050665295</v>
      </c>
      <c r="M3534">
        <v>16.4773967258038</v>
      </c>
      <c r="N3534">
        <v>58.119579568813599</v>
      </c>
      <c r="O3534">
        <v>57.264149513947899</v>
      </c>
      <c r="P3534">
        <v>-7.17385318433406E-2</v>
      </c>
      <c r="Q3534">
        <v>2.8135992339524598E-3</v>
      </c>
      <c r="R3534">
        <v>0.97823203026657002</v>
      </c>
      <c r="S3534" t="s">
        <v>9117</v>
      </c>
      <c r="T3534" t="s">
        <v>11164</v>
      </c>
      <c r="U3534" t="s">
        <v>11164</v>
      </c>
      <c r="V3534" t="s">
        <v>11164</v>
      </c>
      <c r="W3534" t="s">
        <v>14655</v>
      </c>
      <c r="X3534">
        <v>13</v>
      </c>
      <c r="Y3534" t="s">
        <v>20135</v>
      </c>
      <c r="Z3534" t="s">
        <v>25684</v>
      </c>
      <c r="AA3534">
        <v>0.70925700899390165</v>
      </c>
      <c r="AB3534" t="str">
        <f>HYPERLINK("Melting_Curves/meltCurve_Q6PI48_DARS2.pdf", "Melting_Curves/meltCurve_Q6PI48_DARS2.pdf")</f>
        <v>Melting_Curves/meltCurve_Q6PI48_DARS2.pdf</v>
      </c>
    </row>
    <row r="3535" spans="1:28" x14ac:dyDescent="0.25">
      <c r="A3535" t="s">
        <v>3539</v>
      </c>
      <c r="B3535">
        <v>0.99796759195183404</v>
      </c>
      <c r="C3535">
        <v>0.97965164407293404</v>
      </c>
      <c r="D3535">
        <v>0.93761389073165502</v>
      </c>
      <c r="E3535">
        <v>0.98042411409242802</v>
      </c>
      <c r="F3535">
        <v>0.76970067877916604</v>
      </c>
      <c r="G3535">
        <v>0.588285418606454</v>
      </c>
      <c r="H3535">
        <v>0.53853794344624795</v>
      </c>
      <c r="I3535">
        <v>0.45910075336836098</v>
      </c>
      <c r="J3535">
        <v>0.32905762787231402</v>
      </c>
      <c r="K3535">
        <v>0.22470014939440899</v>
      </c>
      <c r="L3535">
        <v>513.37247888700495</v>
      </c>
      <c r="M3535">
        <v>8.9654926509090895</v>
      </c>
      <c r="N3535">
        <v>58.066566644075799</v>
      </c>
      <c r="O3535">
        <v>54.627265093112499</v>
      </c>
      <c r="P3535">
        <v>-3.8659212779617202E-2</v>
      </c>
      <c r="Q3535">
        <v>5.8482491966392901E-2</v>
      </c>
      <c r="R3535">
        <v>0.97577562710380195</v>
      </c>
      <c r="S3535" t="s">
        <v>9118</v>
      </c>
      <c r="T3535" t="s">
        <v>11164</v>
      </c>
      <c r="U3535" t="s">
        <v>11164</v>
      </c>
      <c r="V3535" t="s">
        <v>11164</v>
      </c>
      <c r="W3535" t="s">
        <v>14656</v>
      </c>
      <c r="X3535">
        <v>3</v>
      </c>
      <c r="Y3535" t="s">
        <v>20136</v>
      </c>
      <c r="Z3535" t="s">
        <v>25685</v>
      </c>
      <c r="AA3535">
        <v>0.68725316786467272</v>
      </c>
      <c r="AB3535" t="str">
        <f>HYPERLINK("Melting_Curves/meltCurve_Q6PI78_TMEM65.pdf", "Melting_Curves/meltCurve_Q6PI78_TMEM65.pdf")</f>
        <v>Melting_Curves/meltCurve_Q6PI78_TMEM65.pdf</v>
      </c>
    </row>
    <row r="3536" spans="1:28" x14ac:dyDescent="0.25">
      <c r="A3536" t="s">
        <v>3540</v>
      </c>
      <c r="B3536">
        <v>0.99796759195183404</v>
      </c>
      <c r="C3536">
        <v>1.0401008066259201</v>
      </c>
      <c r="D3536">
        <v>1.0606285272209299</v>
      </c>
      <c r="E3536">
        <v>1.0760243213904599</v>
      </c>
      <c r="F3536">
        <v>0.79912686647863695</v>
      </c>
      <c r="G3536">
        <v>0.83131445734619203</v>
      </c>
      <c r="H3536">
        <v>0.36902256562246599</v>
      </c>
      <c r="I3536">
        <v>0.19415056107314799</v>
      </c>
      <c r="J3536">
        <v>0.19168856754748301</v>
      </c>
      <c r="K3536">
        <v>0.13241680299333899</v>
      </c>
      <c r="L3536">
        <v>1494.9892642391901</v>
      </c>
      <c r="M3536">
        <v>26.8362928935593</v>
      </c>
      <c r="N3536">
        <v>56.352949144254197</v>
      </c>
      <c r="O3536">
        <v>55.401163667654899</v>
      </c>
      <c r="P3536">
        <v>-0.105083021080601</v>
      </c>
      <c r="Q3536">
        <v>0.132270159582352</v>
      </c>
      <c r="R3536">
        <v>0.96901891905799997</v>
      </c>
      <c r="S3536" t="s">
        <v>9119</v>
      </c>
      <c r="T3536" t="s">
        <v>11164</v>
      </c>
      <c r="U3536" t="s">
        <v>11164</v>
      </c>
      <c r="V3536" t="s">
        <v>11164</v>
      </c>
      <c r="W3536" t="s">
        <v>14657</v>
      </c>
      <c r="X3536">
        <v>4</v>
      </c>
      <c r="Y3536" t="s">
        <v>20137</v>
      </c>
      <c r="Z3536" t="s">
        <v>25686</v>
      </c>
      <c r="AA3536">
        <v>0.67985142447221236</v>
      </c>
      <c r="AB3536" t="str">
        <f>HYPERLINK("Melting_Curves/meltCurve_Q6PID6_TTC33.pdf", "Melting_Curves/meltCurve_Q6PID6_TTC33.pdf")</f>
        <v>Melting_Curves/meltCurve_Q6PID6_TTC33.pdf</v>
      </c>
    </row>
    <row r="3537" spans="1:28" x14ac:dyDescent="0.25">
      <c r="A3537" t="s">
        <v>3541</v>
      </c>
      <c r="B3537">
        <v>0.99796759195183404</v>
      </c>
      <c r="C3537">
        <v>1.0175286483374799</v>
      </c>
      <c r="D3537">
        <v>1.2582066399874601</v>
      </c>
      <c r="E3537">
        <v>0.96052737571205904</v>
      </c>
      <c r="F3537">
        <v>0.88495506913995503</v>
      </c>
      <c r="G3537">
        <v>0.95596986394549199</v>
      </c>
      <c r="H3537">
        <v>0.72036084749260798</v>
      </c>
      <c r="I3537">
        <v>0.61262372864478498</v>
      </c>
      <c r="J3537">
        <v>0.67813442047884198</v>
      </c>
      <c r="K3537">
        <v>0.70595920035812898</v>
      </c>
      <c r="L3537">
        <v>3018.84325977048</v>
      </c>
      <c r="M3537">
        <v>54.298174777634898</v>
      </c>
      <c r="O3537">
        <v>55.522240954203397</v>
      </c>
      <c r="P3537">
        <v>-8.1740542981718095E-2</v>
      </c>
      <c r="Q3537">
        <v>0.66566714102041102</v>
      </c>
      <c r="R3537">
        <v>0.75727522445529605</v>
      </c>
      <c r="S3537" t="s">
        <v>9120</v>
      </c>
      <c r="T3537" t="s">
        <v>11164</v>
      </c>
      <c r="U3537" t="s">
        <v>11164</v>
      </c>
      <c r="V3537" t="s">
        <v>11164</v>
      </c>
      <c r="W3537" t="s">
        <v>14658</v>
      </c>
      <c r="X3537">
        <v>3</v>
      </c>
      <c r="Y3537" t="s">
        <v>20138</v>
      </c>
      <c r="Z3537" t="s">
        <v>25687</v>
      </c>
      <c r="AA3537">
        <v>0.87361873083532715</v>
      </c>
      <c r="AB3537" t="str">
        <f>HYPERLINK("Melting_Curves/meltCurve_Q6PII3_CCDC174.pdf", "Melting_Curves/meltCurve_Q6PII3_CCDC174.pdf")</f>
        <v>Melting_Curves/meltCurve_Q6PII3_CCDC174.pdf</v>
      </c>
    </row>
    <row r="3538" spans="1:28" x14ac:dyDescent="0.25">
      <c r="A3538" t="s">
        <v>3542</v>
      </c>
      <c r="B3538">
        <v>0.99796759195183404</v>
      </c>
      <c r="C3538">
        <v>0.86663349955791602</v>
      </c>
      <c r="D3538">
        <v>0.87078525454654399</v>
      </c>
      <c r="E3538">
        <v>0.962949501982448</v>
      </c>
      <c r="F3538">
        <v>0.90096995666269297</v>
      </c>
      <c r="G3538">
        <v>0.63823433804054397</v>
      </c>
      <c r="H3538">
        <v>0.56031382779300498</v>
      </c>
      <c r="I3538">
        <v>0.41905270726985899</v>
      </c>
      <c r="J3538">
        <v>0.35459029528085501</v>
      </c>
      <c r="K3538">
        <v>0.407184588138922</v>
      </c>
      <c r="L3538">
        <v>873.78744643418702</v>
      </c>
      <c r="M3538">
        <v>16.177391166275999</v>
      </c>
      <c r="N3538">
        <v>58.208501851330098</v>
      </c>
      <c r="O3538">
        <v>53.207764568366898</v>
      </c>
      <c r="P3538">
        <v>-4.9851192760839401E-2</v>
      </c>
      <c r="Q3538">
        <v>0.34420295809255402</v>
      </c>
      <c r="R3538">
        <v>0.92910009636219404</v>
      </c>
      <c r="S3538" t="s">
        <v>9121</v>
      </c>
      <c r="T3538" t="s">
        <v>11164</v>
      </c>
      <c r="U3538" t="s">
        <v>11164</v>
      </c>
      <c r="V3538" t="s">
        <v>11164</v>
      </c>
      <c r="W3538" t="s">
        <v>14659</v>
      </c>
      <c r="X3538">
        <v>3</v>
      </c>
      <c r="Y3538" t="s">
        <v>20139</v>
      </c>
      <c r="Z3538" t="s">
        <v>25688</v>
      </c>
      <c r="AA3538">
        <v>0.72608821970906934</v>
      </c>
      <c r="AB3538" t="str">
        <f>HYPERLINK("Melting_Curves/meltCurve_Q6PII5_2_HAGHL.pdf", "Melting_Curves/meltCurve_Q6PII5_2_HAGHL.pdf")</f>
        <v>Melting_Curves/meltCurve_Q6PII5_2_HAGHL.pdf</v>
      </c>
    </row>
    <row r="3539" spans="1:28" x14ac:dyDescent="0.25">
      <c r="A3539" t="s">
        <v>3543</v>
      </c>
      <c r="B3539">
        <v>0.99796759195183404</v>
      </c>
      <c r="C3539">
        <v>1.08046105528083</v>
      </c>
      <c r="D3539">
        <v>1.00777827507273</v>
      </c>
      <c r="E3539">
        <v>0.85036193076719402</v>
      </c>
      <c r="F3539">
        <v>0.42833407664040801</v>
      </c>
      <c r="G3539">
        <v>0.19752178716249999</v>
      </c>
      <c r="H3539">
        <v>0.133669355348142</v>
      </c>
      <c r="I3539">
        <v>0.119082032842782</v>
      </c>
      <c r="J3539">
        <v>9.6980663006431503E-2</v>
      </c>
      <c r="K3539">
        <v>6.28690349203887E-2</v>
      </c>
      <c r="L3539">
        <v>1353.5309715961</v>
      </c>
      <c r="M3539">
        <v>27.458731901822599</v>
      </c>
      <c r="N3539">
        <v>49.6925018975193</v>
      </c>
      <c r="O3539">
        <v>49.034060282632403</v>
      </c>
      <c r="P3539">
        <v>-0.12614187786148401</v>
      </c>
      <c r="Q3539">
        <v>9.8983715586944895E-2</v>
      </c>
      <c r="R3539">
        <v>0.99436101183486403</v>
      </c>
      <c r="S3539" t="s">
        <v>9122</v>
      </c>
      <c r="T3539" t="s">
        <v>11164</v>
      </c>
      <c r="U3539" t="s">
        <v>11164</v>
      </c>
      <c r="V3539" t="s">
        <v>11164</v>
      </c>
      <c r="W3539" t="s">
        <v>14660</v>
      </c>
      <c r="X3539">
        <v>8</v>
      </c>
      <c r="Y3539" t="s">
        <v>20140</v>
      </c>
      <c r="Z3539" t="s">
        <v>25689</v>
      </c>
      <c r="AA3539">
        <v>0.47470669010278699</v>
      </c>
      <c r="AB3539" t="str">
        <f>HYPERLINK("Melting_Curves/meltCurve_Q6PIW4_2_FIGNL1.pdf", "Melting_Curves/meltCurve_Q6PIW4_2_FIGNL1.pdf")</f>
        <v>Melting_Curves/meltCurve_Q6PIW4_2_FIGNL1.pdf</v>
      </c>
    </row>
    <row r="3540" spans="1:28" x14ac:dyDescent="0.25">
      <c r="A3540" t="s">
        <v>3544</v>
      </c>
      <c r="B3540">
        <v>0.99796759195183404</v>
      </c>
      <c r="C3540">
        <v>0.98953656274908497</v>
      </c>
      <c r="D3540">
        <v>0.95852173941659502</v>
      </c>
      <c r="E3540">
        <v>0.97408040051685996</v>
      </c>
      <c r="F3540">
        <v>0.52374652091455098</v>
      </c>
      <c r="G3540">
        <v>0.46009228850803302</v>
      </c>
      <c r="H3540">
        <v>0.240270397042675</v>
      </c>
      <c r="I3540">
        <v>7.7868640108740103E-2</v>
      </c>
      <c r="J3540">
        <v>0.20864864814481901</v>
      </c>
      <c r="K3540">
        <v>6.9896159075811398E-2</v>
      </c>
      <c r="L3540">
        <v>886.81712891706695</v>
      </c>
      <c r="M3540">
        <v>17.247755215762002</v>
      </c>
      <c r="N3540">
        <v>52.066823729133901</v>
      </c>
      <c r="O3540">
        <v>50.740135920826397</v>
      </c>
      <c r="P3540">
        <v>-7.6748996475428904E-2</v>
      </c>
      <c r="Q3540">
        <v>9.6919650838166296E-2</v>
      </c>
      <c r="R3540">
        <v>0.96798883489735099</v>
      </c>
      <c r="S3540" t="s">
        <v>9123</v>
      </c>
      <c r="T3540" t="s">
        <v>11164</v>
      </c>
      <c r="U3540" t="s">
        <v>11164</v>
      </c>
      <c r="V3540" t="s">
        <v>11164</v>
      </c>
      <c r="W3540" t="s">
        <v>14661</v>
      </c>
      <c r="X3540">
        <v>1</v>
      </c>
      <c r="Y3540" t="s">
        <v>20141</v>
      </c>
      <c r="Z3540" t="s">
        <v>25690</v>
      </c>
      <c r="AA3540">
        <v>0.54566876253014385</v>
      </c>
      <c r="AB3540" t="str">
        <f>HYPERLINK("Melting_Curves/meltCurve_Q6PJ61_FBXO46.pdf", "Melting_Curves/meltCurve_Q6PJ61_FBXO46.pdf")</f>
        <v>Melting_Curves/meltCurve_Q6PJ61_FBXO46.pdf</v>
      </c>
    </row>
    <row r="3541" spans="1:28" x14ac:dyDescent="0.25">
      <c r="A3541" t="s">
        <v>3545</v>
      </c>
      <c r="B3541">
        <v>0.99796759195183404</v>
      </c>
      <c r="C3541">
        <v>1.03934399253952</v>
      </c>
      <c r="D3541">
        <v>1.00496204792233</v>
      </c>
      <c r="E3541">
        <v>0.97231147655065397</v>
      </c>
      <c r="F3541">
        <v>0.64524722838564497</v>
      </c>
      <c r="G3541">
        <v>0.267109064602432</v>
      </c>
      <c r="H3541">
        <v>0.21017069904865901</v>
      </c>
      <c r="I3541">
        <v>0.150546655081715</v>
      </c>
      <c r="J3541">
        <v>0.126250566032306</v>
      </c>
      <c r="K3541">
        <v>9.7951856137218296E-2</v>
      </c>
      <c r="L3541">
        <v>1533.34783151084</v>
      </c>
      <c r="M3541">
        <v>30.145735411109001</v>
      </c>
      <c r="N3541">
        <v>51.401280223874203</v>
      </c>
      <c r="O3541">
        <v>50.642248072636903</v>
      </c>
      <c r="P3541">
        <v>-0.128722327243117</v>
      </c>
      <c r="Q3541">
        <v>0.13503569853554101</v>
      </c>
      <c r="R3541">
        <v>0.99601949079258001</v>
      </c>
      <c r="S3541" t="s">
        <v>9124</v>
      </c>
      <c r="T3541" t="s">
        <v>11164</v>
      </c>
      <c r="U3541" t="s">
        <v>11164</v>
      </c>
      <c r="V3541" t="s">
        <v>11164</v>
      </c>
      <c r="W3541" t="s">
        <v>14662</v>
      </c>
      <c r="X3541">
        <v>13</v>
      </c>
      <c r="Y3541" t="s">
        <v>20142</v>
      </c>
      <c r="Z3541" t="s">
        <v>25691</v>
      </c>
      <c r="AA3541">
        <v>0.54010673291366063</v>
      </c>
      <c r="AB3541" t="str">
        <f>HYPERLINK("Melting_Curves/meltCurve_Q6PJ69_TRIM65.pdf", "Melting_Curves/meltCurve_Q6PJ69_TRIM65.pdf")</f>
        <v>Melting_Curves/meltCurve_Q6PJ69_TRIM65.pdf</v>
      </c>
    </row>
    <row r="3542" spans="1:28" x14ac:dyDescent="0.25">
      <c r="A3542" t="s">
        <v>3546</v>
      </c>
      <c r="B3542">
        <v>0.99796759195183404</v>
      </c>
      <c r="C3542">
        <v>1.0372466082965099</v>
      </c>
      <c r="D3542">
        <v>0.95258637633974297</v>
      </c>
      <c r="E3542">
        <v>0.758528568921635</v>
      </c>
      <c r="F3542">
        <v>0.40189840372690899</v>
      </c>
      <c r="G3542">
        <v>0.28484519701090599</v>
      </c>
      <c r="H3542">
        <v>0.19351634055087499</v>
      </c>
      <c r="I3542">
        <v>0.150697270939678</v>
      </c>
      <c r="J3542">
        <v>9.0212692157929403E-2</v>
      </c>
      <c r="K3542">
        <v>4.5057893417807297E-2</v>
      </c>
      <c r="L3542">
        <v>877.79276537138298</v>
      </c>
      <c r="M3542">
        <v>17.8948148526285</v>
      </c>
      <c r="N3542">
        <v>49.622648539662499</v>
      </c>
      <c r="O3542">
        <v>48.452645359510399</v>
      </c>
      <c r="P3542">
        <v>-8.3761651009557805E-2</v>
      </c>
      <c r="Q3542">
        <v>9.2861695676424605E-2</v>
      </c>
      <c r="R3542">
        <v>0.990923010045895</v>
      </c>
      <c r="S3542" t="s">
        <v>9125</v>
      </c>
      <c r="T3542" t="s">
        <v>11164</v>
      </c>
      <c r="U3542" t="s">
        <v>11164</v>
      </c>
      <c r="V3542" t="s">
        <v>11164</v>
      </c>
      <c r="W3542" t="s">
        <v>14663</v>
      </c>
      <c r="X3542">
        <v>12</v>
      </c>
      <c r="Y3542" t="s">
        <v>20143</v>
      </c>
      <c r="Z3542" t="s">
        <v>25692</v>
      </c>
      <c r="AA3542">
        <v>0.47188178850506302</v>
      </c>
      <c r="AB3542" t="str">
        <f>HYPERLINK("Melting_Curves/meltCurve_Q6PJG6_BRAT1.pdf", "Melting_Curves/meltCurve_Q6PJG6_BRAT1.pdf")</f>
        <v>Melting_Curves/meltCurve_Q6PJG6_BRAT1.pdf</v>
      </c>
    </row>
    <row r="3543" spans="1:28" x14ac:dyDescent="0.25">
      <c r="A3543" t="s">
        <v>3547</v>
      </c>
      <c r="B3543">
        <v>0.99796759195183404</v>
      </c>
      <c r="C3543">
        <v>1.00639236383728</v>
      </c>
      <c r="D3543">
        <v>0.96951043240430101</v>
      </c>
      <c r="E3543">
        <v>0.958621846067096</v>
      </c>
      <c r="F3543">
        <v>0.75003001866179697</v>
      </c>
      <c r="G3543">
        <v>0.47579804303634499</v>
      </c>
      <c r="H3543">
        <v>0.38575467666416002</v>
      </c>
      <c r="I3543">
        <v>0.27951380366047501</v>
      </c>
      <c r="J3543">
        <v>0.24178476521525699</v>
      </c>
      <c r="K3543">
        <v>0.18035463017626799</v>
      </c>
      <c r="L3543">
        <v>922.55034083403905</v>
      </c>
      <c r="M3543">
        <v>17.5786289002458</v>
      </c>
      <c r="N3543">
        <v>54.0537516257696</v>
      </c>
      <c r="O3543">
        <v>51.816317574798802</v>
      </c>
      <c r="P3543">
        <v>-6.7840076657104897E-2</v>
      </c>
      <c r="Q3543">
        <v>0.20015787858919501</v>
      </c>
      <c r="R3543">
        <v>0.99385136926747097</v>
      </c>
      <c r="S3543" t="s">
        <v>9126</v>
      </c>
      <c r="T3543" t="s">
        <v>11164</v>
      </c>
      <c r="U3543" t="s">
        <v>11164</v>
      </c>
      <c r="V3543" t="s">
        <v>11164</v>
      </c>
      <c r="W3543" t="s">
        <v>14664</v>
      </c>
      <c r="X3543">
        <v>13</v>
      </c>
      <c r="Y3543" t="s">
        <v>20144</v>
      </c>
      <c r="Z3543" t="s">
        <v>25693</v>
      </c>
      <c r="AA3543">
        <v>0.62518923080102906</v>
      </c>
      <c r="AB3543" t="str">
        <f>HYPERLINK("Melting_Curves/meltCurve_Q6PJT7_5_ZC3H14.pdf", "Melting_Curves/meltCurve_Q6PJT7_5_ZC3H14.pdf")</f>
        <v>Melting_Curves/meltCurve_Q6PJT7_5_ZC3H14.pdf</v>
      </c>
    </row>
    <row r="3544" spans="1:28" x14ac:dyDescent="0.25">
      <c r="A3544" t="s">
        <v>3548</v>
      </c>
      <c r="B3544">
        <v>0.99796759195183404</v>
      </c>
      <c r="C3544">
        <v>0.83973655952502402</v>
      </c>
      <c r="D3544">
        <v>0.89386458975913696</v>
      </c>
      <c r="E3544">
        <v>0.88953053399563997</v>
      </c>
      <c r="F3544">
        <v>0.85205966513402398</v>
      </c>
      <c r="G3544">
        <v>0.428251461550679</v>
      </c>
      <c r="H3544">
        <v>0.50560523344893904</v>
      </c>
      <c r="I3544">
        <v>0.37887839205575402</v>
      </c>
      <c r="J3544">
        <v>0.41072920848072098</v>
      </c>
      <c r="K3544">
        <v>0.39408412784709601</v>
      </c>
      <c r="L3544">
        <v>3223.4371722235901</v>
      </c>
      <c r="M3544">
        <v>63.168634029816403</v>
      </c>
      <c r="N3544">
        <v>52.546028297481001</v>
      </c>
      <c r="O3544">
        <v>50.978010359600702</v>
      </c>
      <c r="P3544">
        <v>-0.17989784981339599</v>
      </c>
      <c r="Q3544">
        <v>0.41927942596633799</v>
      </c>
      <c r="R3544">
        <v>0.89880040672037398</v>
      </c>
      <c r="S3544" t="s">
        <v>9127</v>
      </c>
      <c r="T3544" t="s">
        <v>11164</v>
      </c>
      <c r="U3544" t="s">
        <v>11164</v>
      </c>
      <c r="V3544" t="s">
        <v>11164</v>
      </c>
      <c r="W3544" t="s">
        <v>14665</v>
      </c>
      <c r="X3544">
        <v>2</v>
      </c>
      <c r="Y3544" t="s">
        <v>20145</v>
      </c>
      <c r="Z3544" t="s">
        <v>25694</v>
      </c>
      <c r="AA3544">
        <v>0.69166247652786539</v>
      </c>
      <c r="AB3544" t="str">
        <f>HYPERLINK("Melting_Curves/meltCurve_Q6PJW8_CNST.pdf", "Melting_Curves/meltCurve_Q6PJW8_CNST.pdf")</f>
        <v>Melting_Curves/meltCurve_Q6PJW8_CNST.pdf</v>
      </c>
    </row>
    <row r="3545" spans="1:28" x14ac:dyDescent="0.25">
      <c r="A3545" t="s">
        <v>3549</v>
      </c>
      <c r="B3545">
        <v>0.99796759195183404</v>
      </c>
      <c r="C3545">
        <v>0.98505260789674498</v>
      </c>
      <c r="D3545">
        <v>0.99836832972140999</v>
      </c>
      <c r="E3545">
        <v>0.89586159031033596</v>
      </c>
      <c r="F3545">
        <v>0.75846644668174201</v>
      </c>
      <c r="G3545">
        <v>0.634236739897579</v>
      </c>
      <c r="H3545">
        <v>0.531300014918065</v>
      </c>
      <c r="I3545">
        <v>0.41805067417305097</v>
      </c>
      <c r="J3545">
        <v>0.39285069328579802</v>
      </c>
      <c r="K3545">
        <v>0.35483558543924099</v>
      </c>
      <c r="L3545">
        <v>649.09961925429002</v>
      </c>
      <c r="M3545">
        <v>12.1827244787432</v>
      </c>
      <c r="N3545">
        <v>57.821686100489003</v>
      </c>
      <c r="O3545">
        <v>51.9057240479736</v>
      </c>
      <c r="P3545">
        <v>-4.0616882495344203E-2</v>
      </c>
      <c r="Q3545">
        <v>0.307948074076905</v>
      </c>
      <c r="R3545">
        <v>0.99657843581579098</v>
      </c>
      <c r="S3545" t="s">
        <v>9128</v>
      </c>
      <c r="T3545" t="s">
        <v>11164</v>
      </c>
      <c r="U3545" t="s">
        <v>11164</v>
      </c>
      <c r="V3545" t="s">
        <v>11164</v>
      </c>
      <c r="W3545" t="s">
        <v>14666</v>
      </c>
      <c r="X3545">
        <v>5</v>
      </c>
      <c r="Y3545" t="s">
        <v>20146</v>
      </c>
      <c r="Z3545" t="s">
        <v>25695</v>
      </c>
      <c r="AA3545">
        <v>0.69742404472337372</v>
      </c>
      <c r="AB3545" t="str">
        <f>HYPERLINK("Melting_Curves/meltCurve_Q6PKG0_LARP1.pdf", "Melting_Curves/meltCurve_Q6PKG0_LARP1.pdf")</f>
        <v>Melting_Curves/meltCurve_Q6PKG0_LARP1.pdf</v>
      </c>
    </row>
    <row r="3546" spans="1:28" x14ac:dyDescent="0.25">
      <c r="A3546" t="s">
        <v>3550</v>
      </c>
      <c r="B3546">
        <v>0.99796759195183404</v>
      </c>
      <c r="C3546">
        <v>0.87152059973724605</v>
      </c>
      <c r="D3546">
        <v>0.92323441617187896</v>
      </c>
      <c r="E3546">
        <v>0.83445777765644502</v>
      </c>
      <c r="F3546">
        <v>0.70199089576218299</v>
      </c>
      <c r="G3546">
        <v>0.13196167703703601</v>
      </c>
      <c r="H3546">
        <v>8.9893076510223199E-2</v>
      </c>
      <c r="I3546">
        <v>9.5191745203980702E-2</v>
      </c>
      <c r="J3546">
        <v>6.58961210972316E-2</v>
      </c>
      <c r="K3546">
        <v>8.1868320340195797E-2</v>
      </c>
      <c r="L3546">
        <v>1982.74770432279</v>
      </c>
      <c r="M3546">
        <v>38.915569499224198</v>
      </c>
      <c r="N3546">
        <v>51.1545290899424</v>
      </c>
      <c r="O3546">
        <v>50.816003564344697</v>
      </c>
      <c r="P3546">
        <v>-0.17765835804775301</v>
      </c>
      <c r="Q3546">
        <v>7.2056067418295497E-2</v>
      </c>
      <c r="R3546">
        <v>0.970073591783148</v>
      </c>
      <c r="S3546" t="s">
        <v>9129</v>
      </c>
      <c r="T3546" t="s">
        <v>11164</v>
      </c>
      <c r="U3546" t="s">
        <v>11164</v>
      </c>
      <c r="V3546" t="s">
        <v>11164</v>
      </c>
      <c r="W3546" t="s">
        <v>14667</v>
      </c>
      <c r="X3546">
        <v>4</v>
      </c>
      <c r="Y3546" t="s">
        <v>20147</v>
      </c>
      <c r="Z3546" t="s">
        <v>25696</v>
      </c>
      <c r="AA3546">
        <v>0.5069982769223238</v>
      </c>
      <c r="AB3546" t="str">
        <f>HYPERLINK("Melting_Curves/meltCurve_Q6PL24_TMED8.pdf", "Melting_Curves/meltCurve_Q6PL24_TMED8.pdf")</f>
        <v>Melting_Curves/meltCurve_Q6PL24_TMED8.pdf</v>
      </c>
    </row>
    <row r="3547" spans="1:28" x14ac:dyDescent="0.25">
      <c r="A3547" t="s">
        <v>3551</v>
      </c>
      <c r="B3547">
        <v>0.99796759195183404</v>
      </c>
      <c r="C3547">
        <v>0.96266819922290003</v>
      </c>
      <c r="D3547">
        <v>0.94635986253786097</v>
      </c>
      <c r="E3547">
        <v>0.93043921229547599</v>
      </c>
      <c r="F3547">
        <v>0.75989535418127596</v>
      </c>
      <c r="G3547">
        <v>0.442795025504228</v>
      </c>
      <c r="H3547">
        <v>0.31881435349215898</v>
      </c>
      <c r="I3547">
        <v>0.34114792718414899</v>
      </c>
      <c r="J3547">
        <v>0.22525425854533501</v>
      </c>
      <c r="K3547">
        <v>0.17873279759982699</v>
      </c>
      <c r="L3547">
        <v>1013.32146548086</v>
      </c>
      <c r="M3547">
        <v>19.519962936248099</v>
      </c>
      <c r="N3547">
        <v>53.479540218654499</v>
      </c>
      <c r="O3547">
        <v>51.376447864740797</v>
      </c>
      <c r="P3547">
        <v>-7.4296440004393893E-2</v>
      </c>
      <c r="Q3547">
        <v>0.217836685259927</v>
      </c>
      <c r="R3547">
        <v>0.98615304023740002</v>
      </c>
      <c r="S3547" t="s">
        <v>9130</v>
      </c>
      <c r="T3547" t="s">
        <v>11164</v>
      </c>
      <c r="U3547" t="s">
        <v>11164</v>
      </c>
      <c r="V3547" t="s">
        <v>11164</v>
      </c>
      <c r="W3547" t="s">
        <v>14668</v>
      </c>
      <c r="X3547">
        <v>7</v>
      </c>
      <c r="Y3547" t="s">
        <v>20148</v>
      </c>
      <c r="Z3547" t="s">
        <v>25697</v>
      </c>
      <c r="AA3547">
        <v>0.61713352639009256</v>
      </c>
      <c r="AB3547" t="str">
        <f>HYPERLINK("Melting_Curves/meltCurve_Q6PML9_SLC30A9.pdf", "Melting_Curves/meltCurve_Q6PML9_SLC30A9.pdf")</f>
        <v>Melting_Curves/meltCurve_Q6PML9_SLC30A9.pdf</v>
      </c>
    </row>
    <row r="3548" spans="1:28" x14ac:dyDescent="0.25">
      <c r="A3548" t="s">
        <v>3552</v>
      </c>
      <c r="B3548">
        <v>0.99796759195183404</v>
      </c>
      <c r="C3548">
        <v>1.0366476115552199</v>
      </c>
      <c r="D3548">
        <v>0.993386903349468</v>
      </c>
      <c r="E3548">
        <v>1.00508020668105</v>
      </c>
      <c r="F3548">
        <v>0.86129287808294797</v>
      </c>
      <c r="G3548">
        <v>0.77256449409848504</v>
      </c>
      <c r="H3548">
        <v>0.830007906843094</v>
      </c>
      <c r="I3548">
        <v>0.68387658904445603</v>
      </c>
      <c r="J3548">
        <v>0.592340531009521</v>
      </c>
      <c r="K3548">
        <v>0.52850967381658498</v>
      </c>
      <c r="L3548">
        <v>446.08564137642998</v>
      </c>
      <c r="M3548">
        <v>6.7099281832007502</v>
      </c>
      <c r="O3548">
        <v>61.323310091821703</v>
      </c>
      <c r="P3548">
        <v>-2.4989049782521401E-2</v>
      </c>
      <c r="Q3548">
        <v>8.8454177923218996E-2</v>
      </c>
      <c r="R3548">
        <v>0.94371463089315499</v>
      </c>
      <c r="S3548" t="s">
        <v>9131</v>
      </c>
      <c r="T3548" t="s">
        <v>11164</v>
      </c>
      <c r="U3548" t="s">
        <v>11164</v>
      </c>
      <c r="V3548" t="s">
        <v>11164</v>
      </c>
      <c r="W3548" t="s">
        <v>14669</v>
      </c>
      <c r="X3548">
        <v>11</v>
      </c>
      <c r="Y3548" t="s">
        <v>20149</v>
      </c>
      <c r="Z3548" t="s">
        <v>25698</v>
      </c>
      <c r="AA3548">
        <v>0.83461546042388357</v>
      </c>
      <c r="AB3548" t="str">
        <f>HYPERLINK("Melting_Curves/meltCurve_Q6QNY0_BLOC1S3.pdf", "Melting_Curves/meltCurve_Q6QNY0_BLOC1S3.pdf")</f>
        <v>Melting_Curves/meltCurve_Q6QNY0_BLOC1S3.pdf</v>
      </c>
    </row>
    <row r="3549" spans="1:28" x14ac:dyDescent="0.25">
      <c r="A3549" t="s">
        <v>3553</v>
      </c>
      <c r="B3549">
        <v>0.99796759195183404</v>
      </c>
      <c r="C3549">
        <v>0.99033228541509899</v>
      </c>
      <c r="D3549">
        <v>1.03538037765319</v>
      </c>
      <c r="E3549">
        <v>0.93494942728612496</v>
      </c>
      <c r="F3549">
        <v>0.91940682779532501</v>
      </c>
      <c r="G3549">
        <v>0.54461912143982705</v>
      </c>
      <c r="H3549">
        <v>0.65431152458722697</v>
      </c>
      <c r="I3549">
        <v>0.47378041179875502</v>
      </c>
      <c r="J3549">
        <v>0.45650378021093302</v>
      </c>
      <c r="K3549">
        <v>0.24452184384592701</v>
      </c>
      <c r="L3549">
        <v>553.78790255740796</v>
      </c>
      <c r="M3549">
        <v>9.5336213325747199</v>
      </c>
      <c r="N3549">
        <v>59.866709901118703</v>
      </c>
      <c r="O3549">
        <v>55.704453455148503</v>
      </c>
      <c r="P3549">
        <v>-3.7531066090430103E-2</v>
      </c>
      <c r="Q3549">
        <v>0.12334334110232401</v>
      </c>
      <c r="R3549">
        <v>0.92065768664229997</v>
      </c>
      <c r="S3549" t="s">
        <v>9132</v>
      </c>
      <c r="T3549" t="s">
        <v>11164</v>
      </c>
      <c r="U3549" t="s">
        <v>11164</v>
      </c>
      <c r="V3549" t="s">
        <v>11164</v>
      </c>
      <c r="W3549" t="s">
        <v>14670</v>
      </c>
      <c r="X3549">
        <v>3</v>
      </c>
      <c r="Y3549" t="s">
        <v>20150</v>
      </c>
      <c r="Z3549" t="s">
        <v>25699</v>
      </c>
      <c r="AA3549">
        <v>0.72934759532315541</v>
      </c>
      <c r="AB3549" t="str">
        <f>HYPERLINK("Melting_Curves/meltCurve_Q6QNY1_BLOC1S2.pdf", "Melting_Curves/meltCurve_Q6QNY1_BLOC1S2.pdf")</f>
        <v>Melting_Curves/meltCurve_Q6QNY1_BLOC1S2.pdf</v>
      </c>
    </row>
    <row r="3550" spans="1:28" x14ac:dyDescent="0.25">
      <c r="A3550" t="s">
        <v>3554</v>
      </c>
      <c r="B3550">
        <v>0.99796759195183404</v>
      </c>
      <c r="C3550">
        <v>0.86192967252886499</v>
      </c>
      <c r="D3550">
        <v>0.93795383214657502</v>
      </c>
      <c r="E3550">
        <v>0.77520206818776105</v>
      </c>
      <c r="F3550">
        <v>0.84656609896838197</v>
      </c>
      <c r="G3550">
        <v>0.57498466283585303</v>
      </c>
      <c r="H3550">
        <v>0.64988666436037901</v>
      </c>
      <c r="I3550">
        <v>0.50104545877818896</v>
      </c>
      <c r="J3550">
        <v>0.67490360739509503</v>
      </c>
      <c r="K3550">
        <v>0.62180038609578303</v>
      </c>
      <c r="L3550">
        <v>480.54054821934398</v>
      </c>
      <c r="M3550">
        <v>10.075634713670601</v>
      </c>
      <c r="O3550">
        <v>45.928896085892298</v>
      </c>
      <c r="P3550">
        <v>-2.3704721432724601E-2</v>
      </c>
      <c r="Q3550">
        <v>0.56798059898806896</v>
      </c>
      <c r="R3550">
        <v>0.78245102453855597</v>
      </c>
      <c r="S3550" t="s">
        <v>9133</v>
      </c>
      <c r="T3550" t="s">
        <v>11164</v>
      </c>
      <c r="U3550" t="s">
        <v>11164</v>
      </c>
      <c r="V3550" t="s">
        <v>11164</v>
      </c>
      <c r="W3550" t="s">
        <v>14671</v>
      </c>
      <c r="X3550">
        <v>1</v>
      </c>
      <c r="Y3550" t="s">
        <v>20151</v>
      </c>
      <c r="Z3550" t="s">
        <v>25700</v>
      </c>
      <c r="AA3550">
        <v>0.73954333279836348</v>
      </c>
      <c r="AB3550" t="str">
        <f>HYPERLINK("Melting_Curves/meltCurve_Q6RW13_2_AGTRAP.pdf", "Melting_Curves/meltCurve_Q6RW13_2_AGTRAP.pdf")</f>
        <v>Melting_Curves/meltCurve_Q6RW13_2_AGTRAP.pdf</v>
      </c>
    </row>
    <row r="3551" spans="1:28" x14ac:dyDescent="0.25">
      <c r="A3551" t="s">
        <v>3555</v>
      </c>
      <c r="B3551">
        <v>0.99796759195183404</v>
      </c>
      <c r="C3551">
        <v>1.0839905984108</v>
      </c>
      <c r="D3551">
        <v>1.0182820747208401</v>
      </c>
      <c r="E3551">
        <v>1.0064564290545901</v>
      </c>
      <c r="F3551">
        <v>0.923210447911465</v>
      </c>
      <c r="G3551">
        <v>0.88193713675362495</v>
      </c>
      <c r="H3551">
        <v>0.72563450274253105</v>
      </c>
      <c r="I3551">
        <v>0.59293530713808695</v>
      </c>
      <c r="J3551">
        <v>0.47436607676951598</v>
      </c>
      <c r="K3551">
        <v>0.48617963547811499</v>
      </c>
      <c r="L3551">
        <v>981.67760204800697</v>
      </c>
      <c r="M3551">
        <v>16.991657755290401</v>
      </c>
      <c r="N3551">
        <v>64.457101708950802</v>
      </c>
      <c r="O3551">
        <v>56.991669831742797</v>
      </c>
      <c r="P3551">
        <v>-4.3671277407525202E-2</v>
      </c>
      <c r="Q3551">
        <v>0.41412545934835399</v>
      </c>
      <c r="R3551">
        <v>0.97782842876206699</v>
      </c>
      <c r="S3551" t="s">
        <v>9134</v>
      </c>
      <c r="T3551" t="s">
        <v>11164</v>
      </c>
      <c r="U3551" t="s">
        <v>11164</v>
      </c>
      <c r="V3551" t="s">
        <v>11164</v>
      </c>
      <c r="W3551" t="s">
        <v>14672</v>
      </c>
      <c r="X3551">
        <v>3</v>
      </c>
      <c r="Y3551" t="s">
        <v>20152</v>
      </c>
      <c r="Z3551" t="s">
        <v>25701</v>
      </c>
      <c r="AA3551">
        <v>0.82367887964019271</v>
      </c>
      <c r="AB3551" t="str">
        <f>HYPERLINK("Melting_Curves/meltCurve_Q6UB28_METAP1D.pdf", "Melting_Curves/meltCurve_Q6UB28_METAP1D.pdf")</f>
        <v>Melting_Curves/meltCurve_Q6UB28_METAP1D.pdf</v>
      </c>
    </row>
    <row r="3552" spans="1:28" x14ac:dyDescent="0.25">
      <c r="A3552" t="s">
        <v>3556</v>
      </c>
      <c r="B3552">
        <v>0.99796759195183404</v>
      </c>
      <c r="C3552">
        <v>0.990498303906994</v>
      </c>
      <c r="D3552">
        <v>0.97239526067739701</v>
      </c>
      <c r="E3552">
        <v>0.88003333706283804</v>
      </c>
      <c r="F3552">
        <v>0.772157430976953</v>
      </c>
      <c r="G3552">
        <v>0.47928108563709498</v>
      </c>
      <c r="H3552">
        <v>0.14349866128855701</v>
      </c>
      <c r="I3552">
        <v>0.12019783235183699</v>
      </c>
      <c r="J3552">
        <v>9.8107729127526494E-2</v>
      </c>
      <c r="K3552">
        <v>7.7741727424537402E-2</v>
      </c>
      <c r="L3552">
        <v>1084.2269424124299</v>
      </c>
      <c r="M3552">
        <v>20.527237929888301</v>
      </c>
      <c r="N3552">
        <v>53.127030138560102</v>
      </c>
      <c r="O3552">
        <v>52.325333720947803</v>
      </c>
      <c r="P3552">
        <v>-9.2574406619954294E-2</v>
      </c>
      <c r="Q3552">
        <v>5.6113880525647399E-2</v>
      </c>
      <c r="R3552">
        <v>0.99283655654460701</v>
      </c>
      <c r="S3552" t="s">
        <v>9135</v>
      </c>
      <c r="T3552" t="s">
        <v>11164</v>
      </c>
      <c r="U3552" t="s">
        <v>11164</v>
      </c>
      <c r="V3552" t="s">
        <v>11164</v>
      </c>
      <c r="W3552" t="s">
        <v>14673</v>
      </c>
      <c r="X3552">
        <v>27</v>
      </c>
      <c r="Y3552" t="s">
        <v>20153</v>
      </c>
      <c r="Z3552" t="s">
        <v>25702</v>
      </c>
      <c r="AA3552">
        <v>0.56532562954483734</v>
      </c>
      <c r="AB3552" t="str">
        <f>HYPERLINK("Melting_Curves/meltCurve_Q6UB35_MTHFD1L.pdf", "Melting_Curves/meltCurve_Q6UB35_MTHFD1L.pdf")</f>
        <v>Melting_Curves/meltCurve_Q6UB35_MTHFD1L.pdf</v>
      </c>
    </row>
    <row r="3553" spans="1:28" x14ac:dyDescent="0.25">
      <c r="A3553" t="s">
        <v>3557</v>
      </c>
      <c r="B3553">
        <v>0.99796759195183404</v>
      </c>
      <c r="C3553">
        <v>0.82154366018150804</v>
      </c>
      <c r="D3553">
        <v>0.91395331851860395</v>
      </c>
      <c r="E3553">
        <v>0.68061662211102503</v>
      </c>
      <c r="F3553">
        <v>0.67330812461546796</v>
      </c>
      <c r="G3553">
        <v>0.78081435449683401</v>
      </c>
      <c r="H3553">
        <v>0.52012661142670502</v>
      </c>
      <c r="I3553">
        <v>0.68973609787594203</v>
      </c>
      <c r="J3553">
        <v>0.40119219460365002</v>
      </c>
      <c r="K3553">
        <v>0.32273384339703398</v>
      </c>
      <c r="L3553">
        <v>252.733936245786</v>
      </c>
      <c r="M3553">
        <v>4.0987744333645297</v>
      </c>
      <c r="N3553">
        <v>61.660855454217803</v>
      </c>
      <c r="O3553">
        <v>51.008121182063398</v>
      </c>
      <c r="P3553">
        <v>-2.0327543276907601E-2</v>
      </c>
      <c r="Q3553">
        <v>0</v>
      </c>
      <c r="R3553">
        <v>0.77522521411924405</v>
      </c>
      <c r="S3553" t="s">
        <v>9136</v>
      </c>
      <c r="T3553" t="s">
        <v>11164</v>
      </c>
      <c r="U3553" t="s">
        <v>11164</v>
      </c>
      <c r="V3553" t="s">
        <v>11164</v>
      </c>
      <c r="W3553" t="s">
        <v>14674</v>
      </c>
      <c r="X3553">
        <v>1</v>
      </c>
      <c r="Y3553" t="s">
        <v>20154</v>
      </c>
      <c r="Z3553" t="s">
        <v>25703</v>
      </c>
      <c r="AA3553">
        <v>0.68225813981457961</v>
      </c>
      <c r="AB3553" t="str">
        <f>HYPERLINK("Melting_Curves/meltCurve_Q6ULP2_3_AFTPH.pdf", "Melting_Curves/meltCurve_Q6ULP2_3_AFTPH.pdf")</f>
        <v>Melting_Curves/meltCurve_Q6ULP2_3_AFTPH.pdf</v>
      </c>
    </row>
    <row r="3554" spans="1:28" x14ac:dyDescent="0.25">
      <c r="A3554" t="s">
        <v>3558</v>
      </c>
      <c r="B3554">
        <v>0.99796759195183404</v>
      </c>
      <c r="C3554">
        <v>0.99116503143472601</v>
      </c>
      <c r="D3554">
        <v>0.91778549052167702</v>
      </c>
      <c r="E3554">
        <v>0.81939003667978605</v>
      </c>
      <c r="F3554">
        <v>0.73447578835979799</v>
      </c>
      <c r="G3554">
        <v>0.63504508519570102</v>
      </c>
      <c r="H3554">
        <v>1.1461251044049501</v>
      </c>
      <c r="I3554">
        <v>1.76499272412898</v>
      </c>
      <c r="J3554">
        <v>2.01885653837705</v>
      </c>
      <c r="K3554">
        <v>2.4059776701631099</v>
      </c>
      <c r="L3554">
        <v>14400.7685904794</v>
      </c>
      <c r="M3554">
        <v>250</v>
      </c>
      <c r="O3554">
        <v>57.599364882255699</v>
      </c>
      <c r="P3554">
        <v>0.54254048457952497</v>
      </c>
      <c r="Q3554">
        <v>1.5</v>
      </c>
      <c r="R3554">
        <v>0.57125083151624501</v>
      </c>
      <c r="S3554" t="s">
        <v>9137</v>
      </c>
      <c r="T3554" t="s">
        <v>11164</v>
      </c>
      <c r="U3554" t="s">
        <v>11164</v>
      </c>
      <c r="V3554" t="s">
        <v>11164</v>
      </c>
      <c r="W3554" t="s">
        <v>14675</v>
      </c>
      <c r="X3554">
        <v>5</v>
      </c>
      <c r="Y3554" t="s">
        <v>20155</v>
      </c>
      <c r="Z3554" t="s">
        <v>25704</v>
      </c>
      <c r="AA3554">
        <v>1.1565648810518721</v>
      </c>
      <c r="AB3554" t="str">
        <f>HYPERLINK("Melting_Curves/meltCurve_Q6UN15_3_FIP1L1.pdf", "Melting_Curves/meltCurve_Q6UN15_3_FIP1L1.pdf")</f>
        <v>Melting_Curves/meltCurve_Q6UN15_3_FIP1L1.pdf</v>
      </c>
    </row>
    <row r="3555" spans="1:28" x14ac:dyDescent="0.25">
      <c r="A3555" t="s">
        <v>3559</v>
      </c>
      <c r="B3555">
        <v>0.99796759195183404</v>
      </c>
      <c r="C3555">
        <v>0.98752207378232404</v>
      </c>
      <c r="D3555">
        <v>1.0179142685829199</v>
      </c>
      <c r="E3555">
        <v>0.89210649554368204</v>
      </c>
      <c r="F3555">
        <v>0.61818113705967603</v>
      </c>
      <c r="G3555">
        <v>0.27053852069782702</v>
      </c>
      <c r="H3555">
        <v>0.19842446680206199</v>
      </c>
      <c r="I3555">
        <v>0.19651174367825799</v>
      </c>
      <c r="J3555">
        <v>0.20180139987526899</v>
      </c>
      <c r="K3555">
        <v>0.13275758480281799</v>
      </c>
      <c r="L3555">
        <v>1378.8858005859299</v>
      </c>
      <c r="M3555">
        <v>27.392905077721501</v>
      </c>
      <c r="N3555">
        <v>51.1125619318533</v>
      </c>
      <c r="O3555">
        <v>50.071372167947104</v>
      </c>
      <c r="P3555">
        <v>-0.11352163490282</v>
      </c>
      <c r="Q3555">
        <v>0.16998514345703</v>
      </c>
      <c r="R3555">
        <v>0.99639676417491896</v>
      </c>
      <c r="S3555" t="s">
        <v>9138</v>
      </c>
      <c r="T3555" t="s">
        <v>11164</v>
      </c>
      <c r="U3555" t="s">
        <v>11164</v>
      </c>
      <c r="V3555" t="s">
        <v>11164</v>
      </c>
      <c r="W3555" t="s">
        <v>14676</v>
      </c>
      <c r="X3555">
        <v>12</v>
      </c>
      <c r="Y3555" t="s">
        <v>20156</v>
      </c>
      <c r="Z3555" t="s">
        <v>25705</v>
      </c>
      <c r="AA3555">
        <v>0.54510576498229291</v>
      </c>
      <c r="AB3555" t="str">
        <f>HYPERLINK("Melting_Curves/meltCurve_Q6UVJ0_SASS6.pdf", "Melting_Curves/meltCurve_Q6UVJ0_SASS6.pdf")</f>
        <v>Melting_Curves/meltCurve_Q6UVJ0_SASS6.pdf</v>
      </c>
    </row>
    <row r="3556" spans="1:28" x14ac:dyDescent="0.25">
      <c r="A3556" t="s">
        <v>3560</v>
      </c>
      <c r="B3556">
        <v>0.99796759195183404</v>
      </c>
      <c r="C3556">
        <v>1.1089671895501001</v>
      </c>
      <c r="D3556">
        <v>0.94081212455973295</v>
      </c>
      <c r="E3556">
        <v>0.89851757793160303</v>
      </c>
      <c r="F3556">
        <v>0.90263871563611597</v>
      </c>
      <c r="G3556">
        <v>0.68451921927929205</v>
      </c>
      <c r="H3556">
        <v>0.76266430484256398</v>
      </c>
      <c r="I3556">
        <v>0.53638741821052105</v>
      </c>
      <c r="J3556">
        <v>0.46164182166383999</v>
      </c>
      <c r="K3556">
        <v>0.37105070448755101</v>
      </c>
      <c r="L3556">
        <v>474.46459631039801</v>
      </c>
      <c r="M3556">
        <v>7.5603320803551499</v>
      </c>
      <c r="N3556">
        <v>62.757109887866598</v>
      </c>
      <c r="O3556">
        <v>58.817349552339799</v>
      </c>
      <c r="P3556">
        <v>-3.2179645169670097E-2</v>
      </c>
      <c r="Q3556">
        <v>0</v>
      </c>
      <c r="R3556">
        <v>0.93402034895534103</v>
      </c>
      <c r="S3556" t="s">
        <v>9139</v>
      </c>
      <c r="T3556" t="s">
        <v>11164</v>
      </c>
      <c r="U3556" t="s">
        <v>11164</v>
      </c>
      <c r="V3556" t="s">
        <v>11164</v>
      </c>
      <c r="W3556" t="s">
        <v>14677</v>
      </c>
      <c r="X3556">
        <v>1</v>
      </c>
      <c r="Y3556" t="s">
        <v>20157</v>
      </c>
      <c r="Z3556" t="s">
        <v>25706</v>
      </c>
      <c r="AA3556">
        <v>0.77229321161356068</v>
      </c>
      <c r="AB3556" t="str">
        <f>HYPERLINK("Melting_Curves/meltCurve_Q6UVY6_2_MOXD1.pdf", "Melting_Curves/meltCurve_Q6UVY6_2_MOXD1.pdf")</f>
        <v>Melting_Curves/meltCurve_Q6UVY6_2_MOXD1.pdf</v>
      </c>
    </row>
    <row r="3557" spans="1:28" x14ac:dyDescent="0.25">
      <c r="A3557" t="s">
        <v>3561</v>
      </c>
      <c r="B3557">
        <v>0.99796759195183404</v>
      </c>
      <c r="C3557">
        <v>1.00555000464685</v>
      </c>
      <c r="D3557">
        <v>1.05859780423107</v>
      </c>
      <c r="E3557">
        <v>0.86739914272010299</v>
      </c>
      <c r="F3557">
        <v>0.73340247877638898</v>
      </c>
      <c r="G3557">
        <v>0.44717515581766998</v>
      </c>
      <c r="H3557">
        <v>0.29357670829575699</v>
      </c>
      <c r="I3557">
        <v>0.25133560723407999</v>
      </c>
      <c r="J3557">
        <v>0.16650645394191599</v>
      </c>
      <c r="K3557">
        <v>0.107534126629281</v>
      </c>
      <c r="L3557">
        <v>861.08993944001202</v>
      </c>
      <c r="M3557">
        <v>16.4158563206976</v>
      </c>
      <c r="N3557">
        <v>53.360043210583001</v>
      </c>
      <c r="O3557">
        <v>51.694894655938299</v>
      </c>
      <c r="P3557">
        <v>-6.9744208514927006E-2</v>
      </c>
      <c r="Q3557">
        <v>0.121541135013261</v>
      </c>
      <c r="R3557">
        <v>0.99010343120085598</v>
      </c>
      <c r="S3557" t="s">
        <v>9140</v>
      </c>
      <c r="T3557" t="s">
        <v>11164</v>
      </c>
      <c r="U3557" t="s">
        <v>11164</v>
      </c>
      <c r="V3557" t="s">
        <v>11164</v>
      </c>
      <c r="W3557" t="s">
        <v>14678</v>
      </c>
      <c r="X3557">
        <v>9</v>
      </c>
      <c r="Y3557" t="s">
        <v>20158</v>
      </c>
      <c r="Z3557" t="s">
        <v>25707</v>
      </c>
      <c r="AA3557">
        <v>0.5888150046659516</v>
      </c>
      <c r="AB3557" t="str">
        <f>HYPERLINK("Melting_Curves/meltCurve_Q6UW63_KDELC1.pdf", "Melting_Curves/meltCurve_Q6UW63_KDELC1.pdf")</f>
        <v>Melting_Curves/meltCurve_Q6UW63_KDELC1.pdf</v>
      </c>
    </row>
    <row r="3558" spans="1:28" x14ac:dyDescent="0.25">
      <c r="A3558" t="s">
        <v>3562</v>
      </c>
      <c r="B3558">
        <v>0.99796759195183404</v>
      </c>
      <c r="C3558">
        <v>0.96534979181509495</v>
      </c>
      <c r="D3558">
        <v>0.98254910692000696</v>
      </c>
      <c r="E3558">
        <v>0.93212192298644603</v>
      </c>
      <c r="F3558">
        <v>0.77046373072089502</v>
      </c>
      <c r="G3558">
        <v>0.48776623474483599</v>
      </c>
      <c r="H3558">
        <v>0.244954817768955</v>
      </c>
      <c r="I3558">
        <v>0.167706161943973</v>
      </c>
      <c r="J3558">
        <v>0.141124590053013</v>
      </c>
      <c r="K3558">
        <v>0.110918222441634</v>
      </c>
      <c r="L3558">
        <v>1034.50819317828</v>
      </c>
      <c r="M3558">
        <v>19.552072784733301</v>
      </c>
      <c r="N3558">
        <v>53.532713426489202</v>
      </c>
      <c r="O3558">
        <v>52.366250125446903</v>
      </c>
      <c r="P3558">
        <v>-8.3857244302194295E-2</v>
      </c>
      <c r="Q3558">
        <v>0.101653686475401</v>
      </c>
      <c r="R3558">
        <v>0.99870171999713397</v>
      </c>
      <c r="S3558" t="s">
        <v>9141</v>
      </c>
      <c r="T3558" t="s">
        <v>11164</v>
      </c>
      <c r="U3558" t="s">
        <v>11164</v>
      </c>
      <c r="V3558" t="s">
        <v>11164</v>
      </c>
      <c r="W3558" t="s">
        <v>14679</v>
      </c>
      <c r="X3558">
        <v>15</v>
      </c>
      <c r="Y3558" t="s">
        <v>20159</v>
      </c>
      <c r="Z3558" t="s">
        <v>25708</v>
      </c>
      <c r="AA3558">
        <v>0.58981237522588026</v>
      </c>
      <c r="AB3558" t="str">
        <f>HYPERLINK("Melting_Curves/meltCurve_Q6UWE0_LRSAM1.pdf", "Melting_Curves/meltCurve_Q6UWE0_LRSAM1.pdf")</f>
        <v>Melting_Curves/meltCurve_Q6UWE0_LRSAM1.pdf</v>
      </c>
    </row>
    <row r="3559" spans="1:28" x14ac:dyDescent="0.25">
      <c r="A3559" t="s">
        <v>3563</v>
      </c>
      <c r="B3559">
        <v>0.99796759195183404</v>
      </c>
      <c r="C3559">
        <v>0.88176298967716205</v>
      </c>
      <c r="D3559">
        <v>1.07258710217688</v>
      </c>
      <c r="E3559">
        <v>0.89861552810228296</v>
      </c>
      <c r="F3559">
        <v>0.87664399461717502</v>
      </c>
      <c r="G3559">
        <v>0.64593767013839198</v>
      </c>
      <c r="H3559">
        <v>0.706720025532382</v>
      </c>
      <c r="I3559">
        <v>0.45365301562298099</v>
      </c>
      <c r="J3559">
        <v>0.71194756863411301</v>
      </c>
      <c r="K3559">
        <v>0.61427027766340103</v>
      </c>
      <c r="L3559">
        <v>1207.2107295322301</v>
      </c>
      <c r="M3559">
        <v>23.723794173872299</v>
      </c>
      <c r="O3559">
        <v>50.528659667629498</v>
      </c>
      <c r="P3559">
        <v>-4.6250947873595703E-2</v>
      </c>
      <c r="Q3559">
        <v>0.60597210587448302</v>
      </c>
      <c r="R3559">
        <v>0.78859209152258503</v>
      </c>
      <c r="S3559" t="s">
        <v>9142</v>
      </c>
      <c r="T3559" t="s">
        <v>11164</v>
      </c>
      <c r="U3559" t="s">
        <v>11164</v>
      </c>
      <c r="V3559" t="s">
        <v>11164</v>
      </c>
      <c r="W3559" t="s">
        <v>14680</v>
      </c>
      <c r="X3559">
        <v>3</v>
      </c>
      <c r="Y3559" t="s">
        <v>20160</v>
      </c>
      <c r="Z3559" t="s">
        <v>25709</v>
      </c>
      <c r="AA3559">
        <v>0.7921817889670757</v>
      </c>
      <c r="AB3559" t="str">
        <f>HYPERLINK("Melting_Curves/meltCurve_Q6UWI4_SHISA2.pdf", "Melting_Curves/meltCurve_Q6UWI4_SHISA2.pdf")</f>
        <v>Melting_Curves/meltCurve_Q6UWI4_SHISA2.pdf</v>
      </c>
    </row>
    <row r="3560" spans="1:28" x14ac:dyDescent="0.25">
      <c r="A3560" t="s">
        <v>3564</v>
      </c>
      <c r="B3560">
        <v>0.99796759195183404</v>
      </c>
      <c r="C3560">
        <v>1.0196059599795699</v>
      </c>
      <c r="D3560">
        <v>1.01203975545388</v>
      </c>
      <c r="E3560">
        <v>0.91785679493711803</v>
      </c>
      <c r="F3560">
        <v>0.86437455698238397</v>
      </c>
      <c r="G3560">
        <v>0.80431697483033904</v>
      </c>
      <c r="H3560">
        <v>0.419393253986796</v>
      </c>
      <c r="I3560">
        <v>0.132767503463389</v>
      </c>
      <c r="J3560">
        <v>0.12569889430445599</v>
      </c>
      <c r="K3560">
        <v>7.45869077997523E-2</v>
      </c>
      <c r="L3560">
        <v>1310.90351630645</v>
      </c>
      <c r="M3560">
        <v>23.283763935713601</v>
      </c>
      <c r="N3560">
        <v>56.527990707526101</v>
      </c>
      <c r="O3560">
        <v>55.890794450977403</v>
      </c>
      <c r="P3560">
        <v>-9.9506146834834497E-2</v>
      </c>
      <c r="Q3560">
        <v>4.4590760158474102E-2</v>
      </c>
      <c r="R3560">
        <v>0.98749453325932601</v>
      </c>
      <c r="S3560" t="s">
        <v>9143</v>
      </c>
      <c r="T3560" t="s">
        <v>11164</v>
      </c>
      <c r="U3560" t="s">
        <v>11164</v>
      </c>
      <c r="V3560" t="s">
        <v>11164</v>
      </c>
      <c r="W3560" t="s">
        <v>14681</v>
      </c>
      <c r="X3560">
        <v>6</v>
      </c>
      <c r="Y3560" t="s">
        <v>20161</v>
      </c>
      <c r="Z3560" t="s">
        <v>25710</v>
      </c>
      <c r="AA3560">
        <v>0.66751279956146048</v>
      </c>
      <c r="AB3560" t="str">
        <f>HYPERLINK("Melting_Curves/meltCurve_Q6UWP2_DHRS11.pdf", "Melting_Curves/meltCurve_Q6UWP2_DHRS11.pdf")</f>
        <v>Melting_Curves/meltCurve_Q6UWP2_DHRS11.pdf</v>
      </c>
    </row>
    <row r="3561" spans="1:28" x14ac:dyDescent="0.25">
      <c r="A3561" t="s">
        <v>3565</v>
      </c>
      <c r="B3561">
        <v>0.99796759195183404</v>
      </c>
      <c r="C3561">
        <v>1.1668462824696</v>
      </c>
      <c r="D3561">
        <v>1.1184860806708199</v>
      </c>
      <c r="E3561">
        <v>1.1178819258567101</v>
      </c>
      <c r="F3561">
        <v>0.88691316498036199</v>
      </c>
      <c r="G3561">
        <v>0.59773272157180002</v>
      </c>
      <c r="H3561">
        <v>0.64434988089438305</v>
      </c>
      <c r="I3561">
        <v>0.31507162699128899</v>
      </c>
      <c r="J3561">
        <v>0.189314097385232</v>
      </c>
      <c r="K3561">
        <v>0.118820404564107</v>
      </c>
      <c r="L3561">
        <v>818.23141985289897</v>
      </c>
      <c r="M3561">
        <v>14.137257610667501</v>
      </c>
      <c r="N3561">
        <v>57.8776622418535</v>
      </c>
      <c r="O3561">
        <v>56.756522099814902</v>
      </c>
      <c r="P3561">
        <v>-6.2279443476363099E-2</v>
      </c>
      <c r="Q3561">
        <v>0</v>
      </c>
      <c r="R3561">
        <v>0.92964357913209905</v>
      </c>
      <c r="S3561" t="s">
        <v>9144</v>
      </c>
      <c r="T3561" t="s">
        <v>11164</v>
      </c>
      <c r="U3561" t="s">
        <v>11164</v>
      </c>
      <c r="V3561" t="s">
        <v>11164</v>
      </c>
      <c r="W3561" t="s">
        <v>14682</v>
      </c>
      <c r="X3561">
        <v>7</v>
      </c>
      <c r="Y3561" t="s">
        <v>20162</v>
      </c>
      <c r="Z3561" t="s">
        <v>25711</v>
      </c>
      <c r="AA3561">
        <v>0.6995517251484803</v>
      </c>
      <c r="AB3561" t="str">
        <f>HYPERLINK("Melting_Curves/meltCurve_Q6UWP7_3_LCLAT1.pdf", "Melting_Curves/meltCurve_Q6UWP7_3_LCLAT1.pdf")</f>
        <v>Melting_Curves/meltCurve_Q6UWP7_3_LCLAT1.pdf</v>
      </c>
    </row>
    <row r="3562" spans="1:28" x14ac:dyDescent="0.25">
      <c r="A3562" t="s">
        <v>3566</v>
      </c>
      <c r="B3562">
        <v>0.99796759195183404</v>
      </c>
      <c r="C3562">
        <v>1.1151988229349701</v>
      </c>
      <c r="D3562">
        <v>0.89811395371271896</v>
      </c>
      <c r="E3562">
        <v>0.73915614846310496</v>
      </c>
      <c r="F3562">
        <v>0.64258731262632096</v>
      </c>
      <c r="G3562">
        <v>0.53725719583282605</v>
      </c>
      <c r="H3562">
        <v>0.53655732163903103</v>
      </c>
      <c r="I3562">
        <v>0.43305859802617602</v>
      </c>
      <c r="J3562">
        <v>0.61130356687746301</v>
      </c>
      <c r="K3562">
        <v>0.49718352652255499</v>
      </c>
      <c r="L3562">
        <v>979.74140333271498</v>
      </c>
      <c r="M3562">
        <v>21.040150291481101</v>
      </c>
      <c r="O3562">
        <v>46.150783522149403</v>
      </c>
      <c r="P3562">
        <v>-5.4814774404143299E-2</v>
      </c>
      <c r="Q3562">
        <v>0.51907598947327604</v>
      </c>
      <c r="R3562">
        <v>0.92438476553865701</v>
      </c>
      <c r="S3562" t="s">
        <v>9145</v>
      </c>
      <c r="T3562" t="s">
        <v>11164</v>
      </c>
      <c r="U3562" t="s">
        <v>11164</v>
      </c>
      <c r="V3562" t="s">
        <v>11164</v>
      </c>
      <c r="W3562" t="s">
        <v>14683</v>
      </c>
      <c r="X3562">
        <v>2</v>
      </c>
      <c r="Y3562" t="s">
        <v>20163</v>
      </c>
      <c r="Z3562" t="s">
        <v>25712</v>
      </c>
      <c r="AA3562">
        <v>0.67810000082649013</v>
      </c>
      <c r="AB3562" t="str">
        <f>HYPERLINK("Melting_Curves/meltCurve_Q6UWS5_PET117.pdf", "Melting_Curves/meltCurve_Q6UWS5_PET117.pdf")</f>
        <v>Melting_Curves/meltCurve_Q6UWS5_PET117.pdf</v>
      </c>
    </row>
    <row r="3563" spans="1:28" x14ac:dyDescent="0.25">
      <c r="A3563" t="s">
        <v>3567</v>
      </c>
      <c r="B3563">
        <v>0.99796759195183404</v>
      </c>
      <c r="C3563">
        <v>0.95181688614502802</v>
      </c>
      <c r="D3563">
        <v>0.94910654920450099</v>
      </c>
      <c r="E3563">
        <v>0.87895360206362505</v>
      </c>
      <c r="F3563">
        <v>0.88143349194463405</v>
      </c>
      <c r="G3563">
        <v>0.40012871143387102</v>
      </c>
      <c r="H3563">
        <v>0.29016264662409902</v>
      </c>
      <c r="I3563">
        <v>0.22822728939714801</v>
      </c>
      <c r="J3563">
        <v>0.20724644365336201</v>
      </c>
      <c r="K3563">
        <v>0.14391599739806399</v>
      </c>
      <c r="L3563">
        <v>1683.7077695851301</v>
      </c>
      <c r="M3563">
        <v>32.157438395507199</v>
      </c>
      <c r="N3563">
        <v>53.1918174709174</v>
      </c>
      <c r="O3563">
        <v>52.157035793422097</v>
      </c>
      <c r="P3563">
        <v>-0.123630728528231</v>
      </c>
      <c r="Q3563">
        <v>0.19792359769281001</v>
      </c>
      <c r="R3563">
        <v>0.97913197689751497</v>
      </c>
      <c r="S3563" t="s">
        <v>9146</v>
      </c>
      <c r="T3563" t="s">
        <v>11164</v>
      </c>
      <c r="U3563" t="s">
        <v>11164</v>
      </c>
      <c r="V3563" t="s">
        <v>11164</v>
      </c>
      <c r="W3563" t="s">
        <v>14684</v>
      </c>
      <c r="X3563">
        <v>16</v>
      </c>
      <c r="Y3563" t="s">
        <v>20164</v>
      </c>
      <c r="Z3563" t="s">
        <v>25713</v>
      </c>
      <c r="AA3563">
        <v>0.61298631904560763</v>
      </c>
      <c r="AB3563" t="str">
        <f>HYPERLINK("Melting_Curves/meltCurve_Q6UX04_CWC27.pdf", "Melting_Curves/meltCurve_Q6UX04_CWC27.pdf")</f>
        <v>Melting_Curves/meltCurve_Q6UX04_CWC27.pdf</v>
      </c>
    </row>
    <row r="3564" spans="1:28" x14ac:dyDescent="0.25">
      <c r="A3564" t="s">
        <v>3568</v>
      </c>
      <c r="B3564">
        <v>0.99796759195183404</v>
      </c>
      <c r="C3564">
        <v>1.33184407206108</v>
      </c>
      <c r="D3564">
        <v>1.1408475225839001</v>
      </c>
      <c r="E3564">
        <v>1.2822467202469801</v>
      </c>
      <c r="F3564">
        <v>0.92186747234710698</v>
      </c>
      <c r="G3564">
        <v>0.23522397123383801</v>
      </c>
      <c r="H3564">
        <v>0.18612119373535199</v>
      </c>
      <c r="I3564">
        <v>9.7266390046231097E-2</v>
      </c>
      <c r="J3564">
        <v>8.5837623278557207E-2</v>
      </c>
      <c r="K3564">
        <v>0</v>
      </c>
      <c r="L3564">
        <v>2999.5715659584798</v>
      </c>
      <c r="M3564">
        <v>57.371507820244602</v>
      </c>
      <c r="N3564">
        <v>52.464120068536303</v>
      </c>
      <c r="O3564">
        <v>52.219900817316002</v>
      </c>
      <c r="P3564">
        <v>-0.25002590992067902</v>
      </c>
      <c r="Q3564">
        <v>8.9700167218926902E-2</v>
      </c>
      <c r="R3564">
        <v>0.91700236456085404</v>
      </c>
      <c r="S3564" t="s">
        <v>9147</v>
      </c>
      <c r="T3564" t="s">
        <v>11164</v>
      </c>
      <c r="U3564" t="s">
        <v>11164</v>
      </c>
      <c r="V3564" t="s">
        <v>11164</v>
      </c>
      <c r="W3564" t="s">
        <v>14685</v>
      </c>
      <c r="X3564">
        <v>2</v>
      </c>
      <c r="Y3564" t="s">
        <v>20165</v>
      </c>
      <c r="Z3564" t="s">
        <v>25714</v>
      </c>
      <c r="AA3564">
        <v>0.55503847660856187</v>
      </c>
      <c r="AB3564" t="str">
        <f>HYPERLINK("Melting_Curves/meltCurve_Q6UX07_DHRS13.pdf", "Melting_Curves/meltCurve_Q6UX07_DHRS13.pdf")</f>
        <v>Melting_Curves/meltCurve_Q6UX07_DHRS13.pdf</v>
      </c>
    </row>
    <row r="3565" spans="1:28" x14ac:dyDescent="0.25">
      <c r="A3565" t="s">
        <v>3569</v>
      </c>
      <c r="B3565">
        <v>0.99796759195183404</v>
      </c>
      <c r="C3565">
        <v>1.25163804894151</v>
      </c>
      <c r="D3565">
        <v>0.93878205851910002</v>
      </c>
      <c r="E3565">
        <v>0.988459277538146</v>
      </c>
      <c r="F3565">
        <v>0.80578375446194195</v>
      </c>
      <c r="G3565">
        <v>0.84699747991806995</v>
      </c>
      <c r="H3565">
        <v>0.57553302507577297</v>
      </c>
      <c r="I3565">
        <v>0.26079721582828602</v>
      </c>
      <c r="J3565">
        <v>0.14574553649346</v>
      </c>
      <c r="K3565">
        <v>6.9954173142946205E-2</v>
      </c>
      <c r="L3565">
        <v>1039.21327129017</v>
      </c>
      <c r="M3565">
        <v>17.9292302307129</v>
      </c>
      <c r="N3565">
        <v>57.961959271646798</v>
      </c>
      <c r="O3565">
        <v>57.255321696743202</v>
      </c>
      <c r="P3565">
        <v>-7.8290221490725995E-2</v>
      </c>
      <c r="Q3565">
        <v>0</v>
      </c>
      <c r="R3565">
        <v>0.93935589321644697</v>
      </c>
      <c r="S3565" t="s">
        <v>9148</v>
      </c>
      <c r="T3565" t="s">
        <v>11164</v>
      </c>
      <c r="U3565" t="s">
        <v>11164</v>
      </c>
      <c r="V3565" t="s">
        <v>11164</v>
      </c>
      <c r="W3565" t="s">
        <v>14686</v>
      </c>
      <c r="X3565">
        <v>3</v>
      </c>
      <c r="Y3565" t="s">
        <v>20166</v>
      </c>
      <c r="Z3565" t="s">
        <v>25715</v>
      </c>
      <c r="AA3565">
        <v>0.70511429603935938</v>
      </c>
      <c r="AB3565" t="str">
        <f>HYPERLINK("Melting_Curves/meltCurve_Q6UX53_METTL7B.pdf", "Melting_Curves/meltCurve_Q6UX53_METTL7B.pdf")</f>
        <v>Melting_Curves/meltCurve_Q6UX53_METTL7B.pdf</v>
      </c>
    </row>
    <row r="3566" spans="1:28" x14ac:dyDescent="0.25">
      <c r="A3566" t="s">
        <v>3570</v>
      </c>
      <c r="B3566">
        <v>0.99796759195183404</v>
      </c>
      <c r="C3566">
        <v>1.20138786704718</v>
      </c>
      <c r="D3566">
        <v>1.32015775213811</v>
      </c>
      <c r="E3566">
        <v>1.2268950507044201</v>
      </c>
      <c r="F3566">
        <v>1.1493718836292499</v>
      </c>
      <c r="G3566">
        <v>0.931524612862208</v>
      </c>
      <c r="H3566">
        <v>0.78829338620204903</v>
      </c>
      <c r="I3566">
        <v>0.61686654543786701</v>
      </c>
      <c r="J3566">
        <v>0.46205503351072702</v>
      </c>
      <c r="K3566">
        <v>0.32272790667215301</v>
      </c>
      <c r="L3566">
        <v>1252.16104808603</v>
      </c>
      <c r="M3566">
        <v>20.616787280958501</v>
      </c>
      <c r="N3566">
        <v>62.802730084498002</v>
      </c>
      <c r="O3566">
        <v>60.1722499731423</v>
      </c>
      <c r="P3566">
        <v>-6.4554667235913799E-2</v>
      </c>
      <c r="Q3566">
        <v>0.24638325469761199</v>
      </c>
      <c r="R3566">
        <v>0.79008179485058605</v>
      </c>
      <c r="S3566" t="s">
        <v>9149</v>
      </c>
      <c r="T3566" t="s">
        <v>11164</v>
      </c>
      <c r="U3566" t="s">
        <v>11164</v>
      </c>
      <c r="V3566" t="s">
        <v>11164</v>
      </c>
      <c r="W3566" t="s">
        <v>14687</v>
      </c>
      <c r="X3566">
        <v>3</v>
      </c>
      <c r="Y3566" t="s">
        <v>20167</v>
      </c>
      <c r="Z3566" t="s">
        <v>25716</v>
      </c>
      <c r="AA3566">
        <v>0.84097260722298373</v>
      </c>
      <c r="AB3566" t="str">
        <f>HYPERLINK("Melting_Curves/meltCurve_Q6UX71_PLXDC2.pdf", "Melting_Curves/meltCurve_Q6UX71_PLXDC2.pdf")</f>
        <v>Melting_Curves/meltCurve_Q6UX71_PLXDC2.pdf</v>
      </c>
    </row>
    <row r="3567" spans="1:28" x14ac:dyDescent="0.25">
      <c r="A3567" t="s">
        <v>3571</v>
      </c>
      <c r="B3567">
        <v>0.99796759195183404</v>
      </c>
      <c r="C3567">
        <v>1.1080015617910599</v>
      </c>
      <c r="D3567">
        <v>1.0400454228703</v>
      </c>
      <c r="E3567">
        <v>0.95286388467661398</v>
      </c>
      <c r="F3567">
        <v>0.92802016089880401</v>
      </c>
      <c r="G3567">
        <v>0.74748398486261802</v>
      </c>
      <c r="H3567">
        <v>0.67829649675375303</v>
      </c>
      <c r="I3567">
        <v>0.54229784957691096</v>
      </c>
      <c r="J3567">
        <v>0.54972805968634897</v>
      </c>
      <c r="K3567">
        <v>0.41942935174131102</v>
      </c>
      <c r="L3567">
        <v>769.10840295421497</v>
      </c>
      <c r="M3567">
        <v>13.678380850053999</v>
      </c>
      <c r="N3567">
        <v>63.792103697566603</v>
      </c>
      <c r="O3567">
        <v>55.067069661303201</v>
      </c>
      <c r="P3567">
        <v>-3.7187731451914299E-2</v>
      </c>
      <c r="Q3567">
        <v>0.401238268956505</v>
      </c>
      <c r="R3567">
        <v>0.95720186602631097</v>
      </c>
      <c r="S3567" t="s">
        <v>9150</v>
      </c>
      <c r="T3567" t="s">
        <v>11164</v>
      </c>
      <c r="U3567" t="s">
        <v>11164</v>
      </c>
      <c r="V3567" t="s">
        <v>11164</v>
      </c>
      <c r="W3567" t="s">
        <v>14688</v>
      </c>
      <c r="X3567">
        <v>10</v>
      </c>
      <c r="Y3567" t="s">
        <v>20168</v>
      </c>
      <c r="Z3567" t="s">
        <v>25717</v>
      </c>
      <c r="AA3567">
        <v>0.79115646590678801</v>
      </c>
      <c r="AB3567" t="str">
        <f>HYPERLINK("Melting_Curves/meltCurve_Q6UXD5_6_SEZ6L2.pdf", "Melting_Curves/meltCurve_Q6UXD5_6_SEZ6L2.pdf")</f>
        <v>Melting_Curves/meltCurve_Q6UXD5_6_SEZ6L2.pdf</v>
      </c>
    </row>
    <row r="3568" spans="1:28" x14ac:dyDescent="0.25">
      <c r="A3568" t="s">
        <v>3572</v>
      </c>
      <c r="B3568">
        <v>0.99796759195183404</v>
      </c>
      <c r="C3568">
        <v>1.0291224825612799</v>
      </c>
      <c r="D3568">
        <v>1.00396121585269</v>
      </c>
      <c r="E3568">
        <v>1.0313514158282699</v>
      </c>
      <c r="F3568">
        <v>0.90111792094105203</v>
      </c>
      <c r="G3568">
        <v>0.58999072798139696</v>
      </c>
      <c r="H3568">
        <v>0.64834019743364002</v>
      </c>
      <c r="I3568">
        <v>0.572217611332829</v>
      </c>
      <c r="J3568">
        <v>0.713071351208586</v>
      </c>
      <c r="K3568">
        <v>0.65092172300750595</v>
      </c>
      <c r="L3568">
        <v>12599.715849698599</v>
      </c>
      <c r="M3568">
        <v>250</v>
      </c>
      <c r="O3568">
        <v>50.395638304794304</v>
      </c>
      <c r="P3568">
        <v>-0.45278185068024501</v>
      </c>
      <c r="Q3568">
        <v>0.63490831509918899</v>
      </c>
      <c r="R3568">
        <v>0.95828777344259297</v>
      </c>
      <c r="S3568" t="s">
        <v>9151</v>
      </c>
      <c r="T3568" t="s">
        <v>11164</v>
      </c>
      <c r="U3568" t="s">
        <v>11164</v>
      </c>
      <c r="V3568" t="s">
        <v>11164</v>
      </c>
      <c r="W3568" t="s">
        <v>14689</v>
      </c>
      <c r="X3568">
        <v>7</v>
      </c>
      <c r="Y3568" t="s">
        <v>20169</v>
      </c>
      <c r="Z3568" t="s">
        <v>25718</v>
      </c>
      <c r="AA3568">
        <v>0.79800106097499279</v>
      </c>
      <c r="AB3568" t="str">
        <f>HYPERLINK("Melting_Curves/meltCurve_Q6UXH1_4_CRELD2.pdf", "Melting_Curves/meltCurve_Q6UXH1_4_CRELD2.pdf")</f>
        <v>Melting_Curves/meltCurve_Q6UXH1_4_CRELD2.pdf</v>
      </c>
    </row>
    <row r="3569" spans="1:28" x14ac:dyDescent="0.25">
      <c r="A3569" t="s">
        <v>3573</v>
      </c>
      <c r="B3569">
        <v>0.99796759195183404</v>
      </c>
      <c r="C3569">
        <v>1.04167825032912</v>
      </c>
      <c r="D3569">
        <v>0.96219351175322698</v>
      </c>
      <c r="E3569">
        <v>0.96404770029723696</v>
      </c>
      <c r="F3569">
        <v>0.83596832609042104</v>
      </c>
      <c r="G3569">
        <v>0.80412357131140699</v>
      </c>
      <c r="H3569">
        <v>0.59309146636340104</v>
      </c>
      <c r="I3569">
        <v>0.320451488288585</v>
      </c>
      <c r="J3569">
        <v>0.18802996285036999</v>
      </c>
      <c r="K3569">
        <v>0.116313436675827</v>
      </c>
      <c r="L3569">
        <v>869.84659343316002</v>
      </c>
      <c r="M3569">
        <v>14.9296422622664</v>
      </c>
      <c r="N3569">
        <v>58.2630442588543</v>
      </c>
      <c r="O3569">
        <v>57.247714186270599</v>
      </c>
      <c r="P3569">
        <v>-6.52042538001322E-2</v>
      </c>
      <c r="Q3569">
        <v>0</v>
      </c>
      <c r="R3569">
        <v>0.98895828349950698</v>
      </c>
      <c r="S3569" t="s">
        <v>9152</v>
      </c>
      <c r="T3569" t="s">
        <v>11164</v>
      </c>
      <c r="U3569" t="s">
        <v>11164</v>
      </c>
      <c r="V3569" t="s">
        <v>11164</v>
      </c>
      <c r="W3569" t="s">
        <v>14690</v>
      </c>
      <c r="X3569">
        <v>5</v>
      </c>
      <c r="Y3569" t="s">
        <v>20170</v>
      </c>
      <c r="Z3569" t="s">
        <v>25719</v>
      </c>
      <c r="AA3569">
        <v>0.71162434422265652</v>
      </c>
      <c r="AB3569" t="str">
        <f>HYPERLINK("Melting_Curves/meltCurve_Q6UXN9_WDR82.pdf", "Melting_Curves/meltCurve_Q6UXN9_WDR82.pdf")</f>
        <v>Melting_Curves/meltCurve_Q6UXN9_WDR82.pdf</v>
      </c>
    </row>
    <row r="3570" spans="1:28" x14ac:dyDescent="0.25">
      <c r="A3570" t="s">
        <v>3574</v>
      </c>
      <c r="B3570">
        <v>0.99796759195183404</v>
      </c>
      <c r="C3570">
        <v>0.96573137497407402</v>
      </c>
      <c r="D3570">
        <v>0.97104997919273295</v>
      </c>
      <c r="E3570">
        <v>0.90314647733971598</v>
      </c>
      <c r="F3570">
        <v>0.75997011268683301</v>
      </c>
      <c r="G3570">
        <v>0.60451872865133904</v>
      </c>
      <c r="H3570">
        <v>0.65040224020038095</v>
      </c>
      <c r="I3570">
        <v>0.63464475290832301</v>
      </c>
      <c r="J3570">
        <v>0.72143678511201803</v>
      </c>
      <c r="K3570">
        <v>0.60930955319083402</v>
      </c>
      <c r="L3570">
        <v>1361.4508079161899</v>
      </c>
      <c r="M3570">
        <v>28.151028808803101</v>
      </c>
      <c r="O3570">
        <v>48.120309369883003</v>
      </c>
      <c r="P3570">
        <v>-5.22633831139072E-2</v>
      </c>
      <c r="Q3570">
        <v>0.64265475598309796</v>
      </c>
      <c r="R3570">
        <v>0.94587284794895599</v>
      </c>
      <c r="S3570" t="s">
        <v>9153</v>
      </c>
      <c r="T3570" t="s">
        <v>11164</v>
      </c>
      <c r="U3570" t="s">
        <v>11164</v>
      </c>
      <c r="V3570" t="s">
        <v>11164</v>
      </c>
      <c r="W3570" t="s">
        <v>14691</v>
      </c>
      <c r="X3570">
        <v>5</v>
      </c>
      <c r="Y3570" t="s">
        <v>20171</v>
      </c>
      <c r="Z3570" t="s">
        <v>25720</v>
      </c>
      <c r="AA3570">
        <v>0.78041738010917994</v>
      </c>
      <c r="AB3570" t="str">
        <f>HYPERLINK("Melting_Curves/meltCurve_Q6UXV4_APOOL.pdf", "Melting_Curves/meltCurve_Q6UXV4_APOOL.pdf")</f>
        <v>Melting_Curves/meltCurve_Q6UXV4_APOOL.pdf</v>
      </c>
    </row>
    <row r="3571" spans="1:28" x14ac:dyDescent="0.25">
      <c r="A3571" t="s">
        <v>3575</v>
      </c>
      <c r="B3571">
        <v>0.99796759195183404</v>
      </c>
      <c r="C3571">
        <v>0.98667801991051296</v>
      </c>
      <c r="D3571">
        <v>1.0505390174796001</v>
      </c>
      <c r="E3571">
        <v>0.88783301986498298</v>
      </c>
      <c r="F3571">
        <v>0.74616585712058503</v>
      </c>
      <c r="G3571">
        <v>0.468404144264219</v>
      </c>
      <c r="H3571">
        <v>0.405674591792613</v>
      </c>
      <c r="I3571">
        <v>0.25728517206420998</v>
      </c>
      <c r="J3571">
        <v>0.24758194560409699</v>
      </c>
      <c r="K3571">
        <v>0.13898586419002901</v>
      </c>
      <c r="L3571">
        <v>784.48758668837002</v>
      </c>
      <c r="M3571">
        <v>14.8386751358955</v>
      </c>
      <c r="N3571">
        <v>54.206194826246701</v>
      </c>
      <c r="O3571">
        <v>51.9354470502617</v>
      </c>
      <c r="P3571">
        <v>-6.0478919063206502E-2</v>
      </c>
      <c r="Q3571">
        <v>0.15338299582499099</v>
      </c>
      <c r="R3571">
        <v>0.98597496884214098</v>
      </c>
      <c r="S3571" t="s">
        <v>9154</v>
      </c>
      <c r="T3571" t="s">
        <v>11164</v>
      </c>
      <c r="U3571" t="s">
        <v>11164</v>
      </c>
      <c r="V3571" t="s">
        <v>11164</v>
      </c>
      <c r="W3571" t="s">
        <v>14692</v>
      </c>
      <c r="X3571">
        <v>3</v>
      </c>
      <c r="Y3571" t="s">
        <v>20172</v>
      </c>
      <c r="Z3571" t="s">
        <v>25721</v>
      </c>
      <c r="AA3571">
        <v>0.61661370213879629</v>
      </c>
      <c r="AB3571" t="str">
        <f>HYPERLINK("Melting_Curves/meltCurve_Q6VY07_PACS1.pdf", "Melting_Curves/meltCurve_Q6VY07_PACS1.pdf")</f>
        <v>Melting_Curves/meltCurve_Q6VY07_PACS1.pdf</v>
      </c>
    </row>
    <row r="3572" spans="1:28" x14ac:dyDescent="0.25">
      <c r="A3572" t="s">
        <v>3576</v>
      </c>
      <c r="B3572">
        <v>0.99796759195183404</v>
      </c>
      <c r="C3572">
        <v>1.2769584919263199</v>
      </c>
      <c r="D3572">
        <v>1.0046962703903199</v>
      </c>
      <c r="E3572">
        <v>1.02105109583394</v>
      </c>
      <c r="F3572">
        <v>0.84306266228502102</v>
      </c>
      <c r="G3572">
        <v>0.84217450538493499</v>
      </c>
      <c r="H3572">
        <v>0.68152290949010796</v>
      </c>
      <c r="I3572">
        <v>0.64153955201333501</v>
      </c>
      <c r="J3572">
        <v>0.61904347328533604</v>
      </c>
      <c r="K3572">
        <v>0.17214664661562801</v>
      </c>
      <c r="L3572">
        <v>670.06038964930497</v>
      </c>
      <c r="M3572">
        <v>10.6459201979466</v>
      </c>
      <c r="N3572">
        <v>62.940569993841798</v>
      </c>
      <c r="O3572">
        <v>60.8416041590079</v>
      </c>
      <c r="P3572">
        <v>-4.3761149625943102E-2</v>
      </c>
      <c r="Q3572">
        <v>0</v>
      </c>
      <c r="R3572">
        <v>0.81485126587665802</v>
      </c>
      <c r="S3572" t="s">
        <v>9155</v>
      </c>
      <c r="T3572" t="s">
        <v>11164</v>
      </c>
      <c r="U3572" t="s">
        <v>11164</v>
      </c>
      <c r="V3572" t="s">
        <v>11164</v>
      </c>
      <c r="W3572" t="s">
        <v>14693</v>
      </c>
      <c r="X3572">
        <v>3</v>
      </c>
      <c r="Y3572" t="s">
        <v>20173</v>
      </c>
      <c r="Z3572" t="s">
        <v>25722</v>
      </c>
      <c r="AA3572">
        <v>0.80842693405560972</v>
      </c>
      <c r="AB3572" t="str">
        <f>HYPERLINK("Melting_Curves/meltCurve_Q6W2J9_4_BCOR.pdf", "Melting_Curves/meltCurve_Q6W2J9_4_BCOR.pdf")</f>
        <v>Melting_Curves/meltCurve_Q6W2J9_4_BCOR.pdf</v>
      </c>
    </row>
    <row r="3573" spans="1:28" x14ac:dyDescent="0.25">
      <c r="A3573" t="s">
        <v>3577</v>
      </c>
      <c r="B3573">
        <v>0.99796759195183404</v>
      </c>
      <c r="C3573">
        <v>1.0131578616085</v>
      </c>
      <c r="D3573">
        <v>0.97231960516391303</v>
      </c>
      <c r="E3573">
        <v>0.89291654805765797</v>
      </c>
      <c r="F3573">
        <v>0.80742753787473798</v>
      </c>
      <c r="G3573">
        <v>0.63796568910521301</v>
      </c>
      <c r="H3573">
        <v>0.38808871156914598</v>
      </c>
      <c r="I3573">
        <v>0.29916621405278598</v>
      </c>
      <c r="J3573">
        <v>0.29646324963496901</v>
      </c>
      <c r="K3573">
        <v>0.206703812843365</v>
      </c>
      <c r="L3573">
        <v>780.23003461612097</v>
      </c>
      <c r="M3573">
        <v>14.4176164915374</v>
      </c>
      <c r="N3573">
        <v>55.789036531431698</v>
      </c>
      <c r="O3573">
        <v>53.107284238475202</v>
      </c>
      <c r="P3573">
        <v>-5.5967177276414599E-2</v>
      </c>
      <c r="Q3573">
        <v>0.17547696242685201</v>
      </c>
      <c r="R3573">
        <v>0.99330078031323099</v>
      </c>
      <c r="S3573" t="s">
        <v>9156</v>
      </c>
      <c r="T3573" t="s">
        <v>11164</v>
      </c>
      <c r="U3573" t="s">
        <v>11164</v>
      </c>
      <c r="V3573" t="s">
        <v>11164</v>
      </c>
      <c r="W3573" t="s">
        <v>14694</v>
      </c>
      <c r="X3573">
        <v>8</v>
      </c>
      <c r="Y3573" t="s">
        <v>20174</v>
      </c>
      <c r="Z3573" t="s">
        <v>25723</v>
      </c>
      <c r="AA3573">
        <v>0.65941893248003625</v>
      </c>
      <c r="AB3573" t="str">
        <f>HYPERLINK("Melting_Curves/meltCurve_Q6WCQ1_MPRIP.pdf", "Melting_Curves/meltCurve_Q6WCQ1_MPRIP.pdf")</f>
        <v>Melting_Curves/meltCurve_Q6WCQ1_MPRIP.pdf</v>
      </c>
    </row>
    <row r="3574" spans="1:28" x14ac:dyDescent="0.25">
      <c r="A3574" t="s">
        <v>3578</v>
      </c>
      <c r="B3574">
        <v>0.99796759195183404</v>
      </c>
      <c r="C3574">
        <v>0.94658744214690105</v>
      </c>
      <c r="D3574">
        <v>0.96669333677798197</v>
      </c>
      <c r="E3574">
        <v>0.89366904143069803</v>
      </c>
      <c r="F3574">
        <v>0.82550622157988696</v>
      </c>
      <c r="G3574">
        <v>0.55523492841390798</v>
      </c>
      <c r="H3574">
        <v>0.33167415396403899</v>
      </c>
      <c r="I3574">
        <v>0.243235825447393</v>
      </c>
      <c r="J3574">
        <v>0.20226634483584999</v>
      </c>
      <c r="K3574">
        <v>0.13468664367970001</v>
      </c>
      <c r="L3574">
        <v>850.83495603582401</v>
      </c>
      <c r="M3574">
        <v>15.7994806356559</v>
      </c>
      <c r="N3574">
        <v>54.741770681222697</v>
      </c>
      <c r="O3574">
        <v>53.011487036994303</v>
      </c>
      <c r="P3574">
        <v>-6.6078330562791804E-2</v>
      </c>
      <c r="Q3574">
        <v>0.113230729435052</v>
      </c>
      <c r="R3574">
        <v>0.99364493064670301</v>
      </c>
      <c r="S3574" t="s">
        <v>9157</v>
      </c>
      <c r="T3574" t="s">
        <v>11164</v>
      </c>
      <c r="U3574" t="s">
        <v>11164</v>
      </c>
      <c r="V3574" t="s">
        <v>11164</v>
      </c>
      <c r="W3574" t="s">
        <v>14695</v>
      </c>
      <c r="X3574">
        <v>11</v>
      </c>
      <c r="Y3574" t="s">
        <v>20175</v>
      </c>
      <c r="Z3574" t="s">
        <v>25724</v>
      </c>
      <c r="AA3574">
        <v>0.62535896650936873</v>
      </c>
      <c r="AB3574" t="str">
        <f>HYPERLINK("Melting_Curves/meltCurve_Q6WKZ4_RAB11FIP1.pdf", "Melting_Curves/meltCurve_Q6WKZ4_RAB11FIP1.pdf")</f>
        <v>Melting_Curves/meltCurve_Q6WKZ4_RAB11FIP1.pdf</v>
      </c>
    </row>
    <row r="3575" spans="1:28" x14ac:dyDescent="0.25">
      <c r="A3575" t="s">
        <v>3579</v>
      </c>
      <c r="B3575">
        <v>0.99796759195183404</v>
      </c>
      <c r="C3575">
        <v>1.02473570414304</v>
      </c>
      <c r="D3575">
        <v>1.01281875162277</v>
      </c>
      <c r="E3575">
        <v>1.0174707925384201</v>
      </c>
      <c r="F3575">
        <v>0.85907173931843905</v>
      </c>
      <c r="G3575">
        <v>0.77675712870736102</v>
      </c>
      <c r="H3575">
        <v>0.82476039300754</v>
      </c>
      <c r="I3575">
        <v>0.71535223650359203</v>
      </c>
      <c r="J3575">
        <v>0.56964590490786104</v>
      </c>
      <c r="K3575">
        <v>0.15668050654242299</v>
      </c>
      <c r="L3575">
        <v>898.61733357053799</v>
      </c>
      <c r="M3575">
        <v>14.1789827750095</v>
      </c>
      <c r="N3575">
        <v>63.376697466822002</v>
      </c>
      <c r="O3575">
        <v>62.156038053344702</v>
      </c>
      <c r="P3575">
        <v>-5.7036969913496501E-2</v>
      </c>
      <c r="Q3575">
        <v>0</v>
      </c>
      <c r="R3575">
        <v>0.87631324911529995</v>
      </c>
      <c r="S3575" t="s">
        <v>9158</v>
      </c>
      <c r="T3575" t="s">
        <v>11164</v>
      </c>
      <c r="U3575" t="s">
        <v>11164</v>
      </c>
      <c r="V3575" t="s">
        <v>11164</v>
      </c>
      <c r="W3575" t="s">
        <v>14696</v>
      </c>
      <c r="X3575">
        <v>11</v>
      </c>
      <c r="Y3575" t="s">
        <v>20176</v>
      </c>
      <c r="Z3575" t="s">
        <v>25725</v>
      </c>
      <c r="AA3575">
        <v>0.83899083322675005</v>
      </c>
      <c r="AB3575" t="str">
        <f>HYPERLINK("Melting_Curves/meltCurve_Q6XQN6_NAPRT1.pdf", "Melting_Curves/meltCurve_Q6XQN6_NAPRT1.pdf")</f>
        <v>Melting_Curves/meltCurve_Q6XQN6_NAPRT1.pdf</v>
      </c>
    </row>
    <row r="3576" spans="1:28" x14ac:dyDescent="0.25">
      <c r="A3576" t="s">
        <v>3580</v>
      </c>
      <c r="B3576">
        <v>0.99796759195183404</v>
      </c>
      <c r="C3576">
        <v>1.22699799579572</v>
      </c>
      <c r="D3576">
        <v>1.1791539561458999</v>
      </c>
      <c r="E3576">
        <v>0.683243796626959</v>
      </c>
      <c r="F3576">
        <v>1.0153103502338701</v>
      </c>
      <c r="G3576">
        <v>0.687656796783778</v>
      </c>
      <c r="H3576">
        <v>0.50061382287787104</v>
      </c>
      <c r="I3576">
        <v>0.30869562460016697</v>
      </c>
      <c r="J3576">
        <v>0.27176532879418502</v>
      </c>
      <c r="K3576">
        <v>0.124379226754776</v>
      </c>
      <c r="L3576">
        <v>786.09296529625499</v>
      </c>
      <c r="M3576">
        <v>13.744583040143301</v>
      </c>
      <c r="N3576">
        <v>57.553781436571199</v>
      </c>
      <c r="O3576">
        <v>56.023011998339499</v>
      </c>
      <c r="P3576">
        <v>-5.8810790344294699E-2</v>
      </c>
      <c r="Q3576">
        <v>4.1283613958033101E-2</v>
      </c>
      <c r="R3576">
        <v>0.86536495635436295</v>
      </c>
      <c r="S3576" t="s">
        <v>9159</v>
      </c>
      <c r="T3576" t="s">
        <v>11164</v>
      </c>
      <c r="U3576" t="s">
        <v>11164</v>
      </c>
      <c r="V3576" t="s">
        <v>11164</v>
      </c>
      <c r="W3576" t="s">
        <v>14697</v>
      </c>
      <c r="X3576">
        <v>1</v>
      </c>
      <c r="Y3576" t="s">
        <v>20177</v>
      </c>
      <c r="Z3576" t="s">
        <v>25726</v>
      </c>
      <c r="AA3576">
        <v>0.69266282622925168</v>
      </c>
      <c r="AB3576" t="str">
        <f>HYPERLINK("Melting_Curves/meltCurve_Q6Y1H2_PTPLB.pdf", "Melting_Curves/meltCurve_Q6Y1H2_PTPLB.pdf")</f>
        <v>Melting_Curves/meltCurve_Q6Y1H2_PTPLB.pdf</v>
      </c>
    </row>
    <row r="3577" spans="1:28" x14ac:dyDescent="0.25">
      <c r="A3577" t="s">
        <v>3581</v>
      </c>
      <c r="B3577">
        <v>0.99796759195183404</v>
      </c>
      <c r="C3577">
        <v>0.89237550138002797</v>
      </c>
      <c r="D3577">
        <v>0.92872788295522501</v>
      </c>
      <c r="E3577">
        <v>0.79441760349742996</v>
      </c>
      <c r="F3577">
        <v>0.58098567585887395</v>
      </c>
      <c r="G3577">
        <v>0.311245150482578</v>
      </c>
      <c r="H3577">
        <v>0.206846465267604</v>
      </c>
      <c r="I3577">
        <v>0.14631089204136299</v>
      </c>
      <c r="J3577">
        <v>0.10624661892249999</v>
      </c>
      <c r="K3577">
        <v>7.1286774355414098E-2</v>
      </c>
      <c r="L3577">
        <v>695.56280280176804</v>
      </c>
      <c r="M3577">
        <v>13.710194624693299</v>
      </c>
      <c r="N3577">
        <v>51.095723566306297</v>
      </c>
      <c r="O3577">
        <v>49.690439816909397</v>
      </c>
      <c r="P3577">
        <v>-6.5791177823651001E-2</v>
      </c>
      <c r="Q3577">
        <v>4.6337914731854703E-2</v>
      </c>
      <c r="R3577">
        <v>0.99250688570315504</v>
      </c>
      <c r="S3577" t="s">
        <v>9160</v>
      </c>
      <c r="T3577" t="s">
        <v>11164</v>
      </c>
      <c r="U3577" t="s">
        <v>11164</v>
      </c>
      <c r="V3577" t="s">
        <v>11164</v>
      </c>
      <c r="W3577" t="s">
        <v>14698</v>
      </c>
      <c r="X3577">
        <v>17</v>
      </c>
      <c r="Y3577" t="s">
        <v>20178</v>
      </c>
      <c r="Z3577" t="s">
        <v>25727</v>
      </c>
      <c r="AA3577">
        <v>0.50469619830625101</v>
      </c>
      <c r="AB3577" t="str">
        <f>HYPERLINK("Melting_Curves/meltCurve_Q6Y7W6_4_GIGYF2.pdf", "Melting_Curves/meltCurve_Q6Y7W6_4_GIGYF2.pdf")</f>
        <v>Melting_Curves/meltCurve_Q6Y7W6_4_GIGYF2.pdf</v>
      </c>
    </row>
    <row r="3578" spans="1:28" x14ac:dyDescent="0.25">
      <c r="A3578" t="s">
        <v>3582</v>
      </c>
      <c r="B3578">
        <v>0.99796759195183404</v>
      </c>
      <c r="C3578">
        <v>1.1318843464582</v>
      </c>
      <c r="D3578">
        <v>1.05827744934749</v>
      </c>
      <c r="E3578">
        <v>0.919202945266826</v>
      </c>
      <c r="F3578">
        <v>0.89077578030537996</v>
      </c>
      <c r="G3578">
        <v>0.83315773501018597</v>
      </c>
      <c r="H3578">
        <v>0.35297906809155899</v>
      </c>
      <c r="I3578">
        <v>0.39034461627124001</v>
      </c>
      <c r="J3578">
        <v>0.37544070196554202</v>
      </c>
      <c r="K3578">
        <v>0.21206722353253299</v>
      </c>
      <c r="L3578">
        <v>3104.9764107036699</v>
      </c>
      <c r="M3578">
        <v>56.650123497477701</v>
      </c>
      <c r="N3578">
        <v>55.818921402475603</v>
      </c>
      <c r="O3578">
        <v>54.741530659666601</v>
      </c>
      <c r="P3578">
        <v>-0.17580650131446199</v>
      </c>
      <c r="Q3578">
        <v>0.32046667259726902</v>
      </c>
      <c r="R3578">
        <v>0.94532365140016095</v>
      </c>
      <c r="S3578" t="s">
        <v>9161</v>
      </c>
      <c r="T3578" t="s">
        <v>11164</v>
      </c>
      <c r="U3578" t="s">
        <v>11164</v>
      </c>
      <c r="V3578" t="s">
        <v>11164</v>
      </c>
      <c r="W3578" t="s">
        <v>14699</v>
      </c>
      <c r="X3578">
        <v>5</v>
      </c>
      <c r="Y3578" t="s">
        <v>20179</v>
      </c>
      <c r="Z3578" t="s">
        <v>25728</v>
      </c>
      <c r="AA3578">
        <v>0.72515330038355197</v>
      </c>
      <c r="AB3578" t="str">
        <f>HYPERLINK("Melting_Curves/meltCurve_Q6YHU6_3_THADA.pdf", "Melting_Curves/meltCurve_Q6YHU6_3_THADA.pdf")</f>
        <v>Melting_Curves/meltCurve_Q6YHU6_3_THADA.pdf</v>
      </c>
    </row>
    <row r="3579" spans="1:28" x14ac:dyDescent="0.25">
      <c r="A3579" t="s">
        <v>3583</v>
      </c>
      <c r="B3579">
        <v>0.99796759195183404</v>
      </c>
      <c r="C3579">
        <v>0.95490937660074005</v>
      </c>
      <c r="D3579">
        <v>0.96959812367214104</v>
      </c>
      <c r="E3579">
        <v>0.94588526341733403</v>
      </c>
      <c r="F3579">
        <v>0.80690898406006495</v>
      </c>
      <c r="G3579">
        <v>0.55685970041074995</v>
      </c>
      <c r="H3579">
        <v>0.23075000614934499</v>
      </c>
      <c r="I3579">
        <v>0.17893925376821099</v>
      </c>
      <c r="J3579">
        <v>0.13140865373361399</v>
      </c>
      <c r="K3579">
        <v>0.10082781848794101</v>
      </c>
      <c r="L3579">
        <v>1101.7119713657601</v>
      </c>
      <c r="M3579">
        <v>20.570446609717699</v>
      </c>
      <c r="N3579">
        <v>54.091962569352802</v>
      </c>
      <c r="O3579">
        <v>53.059546800978197</v>
      </c>
      <c r="P3579">
        <v>-8.8018450780198904E-2</v>
      </c>
      <c r="Q3579">
        <v>9.1884935323397504E-2</v>
      </c>
      <c r="R3579">
        <v>0.99538300217148101</v>
      </c>
      <c r="S3579" t="s">
        <v>9162</v>
      </c>
      <c r="T3579" t="s">
        <v>11164</v>
      </c>
      <c r="U3579" t="s">
        <v>11164</v>
      </c>
      <c r="V3579" t="s">
        <v>11164</v>
      </c>
      <c r="W3579" t="s">
        <v>14700</v>
      </c>
      <c r="X3579">
        <v>12</v>
      </c>
      <c r="Y3579" t="s">
        <v>20180</v>
      </c>
      <c r="Z3579" t="s">
        <v>25729</v>
      </c>
      <c r="AA3579">
        <v>0.60388444181356959</v>
      </c>
      <c r="AB3579" t="str">
        <f>HYPERLINK("Melting_Curves/meltCurve_Q6YN16_HSDL2.pdf", "Melting_Curves/meltCurve_Q6YN16_HSDL2.pdf")</f>
        <v>Melting_Curves/meltCurve_Q6YN16_HSDL2.pdf</v>
      </c>
    </row>
    <row r="3580" spans="1:28" x14ac:dyDescent="0.25">
      <c r="A3580" t="s">
        <v>3584</v>
      </c>
      <c r="B3580">
        <v>0.99796759195183404</v>
      </c>
      <c r="C3580">
        <v>0.96244551965582203</v>
      </c>
      <c r="D3580">
        <v>0.97042453765027603</v>
      </c>
      <c r="E3580">
        <v>0.92754295371093198</v>
      </c>
      <c r="F3580">
        <v>0.84551916677635897</v>
      </c>
      <c r="G3580">
        <v>0.71114763164486605</v>
      </c>
      <c r="H3580">
        <v>0.77512229626561702</v>
      </c>
      <c r="I3580">
        <v>0.72513854581984505</v>
      </c>
      <c r="J3580">
        <v>0.82425447690145404</v>
      </c>
      <c r="K3580">
        <v>0.76750053569427801</v>
      </c>
      <c r="L3580">
        <v>1299.5025031621501</v>
      </c>
      <c r="M3580">
        <v>26.9980418705575</v>
      </c>
      <c r="O3580">
        <v>47.871460522196003</v>
      </c>
      <c r="P3580">
        <v>-3.3659292610840302E-2</v>
      </c>
      <c r="Q3580">
        <v>0.76127105398697803</v>
      </c>
      <c r="R3580">
        <v>0.88491227560121299</v>
      </c>
      <c r="S3580" t="s">
        <v>9163</v>
      </c>
      <c r="T3580" t="s">
        <v>11164</v>
      </c>
      <c r="U3580" t="s">
        <v>11164</v>
      </c>
      <c r="V3580" t="s">
        <v>11164</v>
      </c>
      <c r="W3580" t="s">
        <v>14701</v>
      </c>
      <c r="X3580">
        <v>9</v>
      </c>
      <c r="Y3580" t="s">
        <v>20181</v>
      </c>
      <c r="Z3580" t="s">
        <v>25730</v>
      </c>
      <c r="AA3580">
        <v>0.85161509358401088</v>
      </c>
      <c r="AB3580" t="str">
        <f>HYPERLINK("Melting_Curves/meltCurve_Q6YP21_3_CCBL2.pdf", "Melting_Curves/meltCurve_Q6YP21_3_CCBL2.pdf")</f>
        <v>Melting_Curves/meltCurve_Q6YP21_3_CCBL2.pdf</v>
      </c>
    </row>
    <row r="3581" spans="1:28" x14ac:dyDescent="0.25">
      <c r="A3581" t="s">
        <v>3585</v>
      </c>
      <c r="B3581">
        <v>0.99796759195183404</v>
      </c>
      <c r="C3581">
        <v>0.97325585433992501</v>
      </c>
      <c r="D3581">
        <v>1.01042205795453</v>
      </c>
      <c r="E3581">
        <v>0.96438613301055098</v>
      </c>
      <c r="F3581">
        <v>0.87014756909513202</v>
      </c>
      <c r="G3581">
        <v>0.56144826486287802</v>
      </c>
      <c r="H3581">
        <v>0.37298032914986901</v>
      </c>
      <c r="I3581">
        <v>0.242214424640746</v>
      </c>
      <c r="J3581">
        <v>0.12211196665832599</v>
      </c>
      <c r="K3581">
        <v>6.9416410600624395E-2</v>
      </c>
      <c r="L3581">
        <v>897.726701968675</v>
      </c>
      <c r="M3581">
        <v>16.312751136711601</v>
      </c>
      <c r="N3581">
        <v>55.323797655326601</v>
      </c>
      <c r="O3581">
        <v>54.225128433472896</v>
      </c>
      <c r="P3581">
        <v>-7.2115652739232899E-2</v>
      </c>
      <c r="Q3581">
        <v>4.1192679433120202E-2</v>
      </c>
      <c r="R3581">
        <v>0.99501023545844902</v>
      </c>
      <c r="S3581" t="s">
        <v>9164</v>
      </c>
      <c r="T3581" t="s">
        <v>11164</v>
      </c>
      <c r="U3581" t="s">
        <v>11164</v>
      </c>
      <c r="V3581" t="s">
        <v>11164</v>
      </c>
      <c r="W3581" t="s">
        <v>14702</v>
      </c>
      <c r="X3581">
        <v>2</v>
      </c>
      <c r="Y3581" t="s">
        <v>20182</v>
      </c>
      <c r="Z3581" t="s">
        <v>25731</v>
      </c>
      <c r="AA3581">
        <v>0.63041027279860196</v>
      </c>
      <c r="AB3581" t="str">
        <f>HYPERLINK("Melting_Curves/meltCurve_Q6ZMG9_CERS6.pdf", "Melting_Curves/meltCurve_Q6ZMG9_CERS6.pdf")</f>
        <v>Melting_Curves/meltCurve_Q6ZMG9_CERS6.pdf</v>
      </c>
    </row>
    <row r="3582" spans="1:28" x14ac:dyDescent="0.25">
      <c r="A3582" t="s">
        <v>3586</v>
      </c>
      <c r="B3582">
        <v>0.99796759195183404</v>
      </c>
      <c r="C3582">
        <v>1.0334202172809299</v>
      </c>
      <c r="D3582">
        <v>0.92412588790564698</v>
      </c>
      <c r="E3582">
        <v>0.90167596201510603</v>
      </c>
      <c r="F3582">
        <v>0.89033905980914796</v>
      </c>
      <c r="G3582">
        <v>0.91269081625161097</v>
      </c>
      <c r="H3582">
        <v>0.99125733663839199</v>
      </c>
      <c r="I3582">
        <v>0.70276973809967702</v>
      </c>
      <c r="J3582">
        <v>0.61966504043505599</v>
      </c>
      <c r="K3582">
        <v>0.355897548615839</v>
      </c>
      <c r="L3582">
        <v>1116.03303725717</v>
      </c>
      <c r="M3582">
        <v>17.135293801145501</v>
      </c>
      <c r="N3582">
        <v>65.130662825403704</v>
      </c>
      <c r="O3582">
        <v>64.263012128580002</v>
      </c>
      <c r="P3582">
        <v>-6.6664787359544994E-2</v>
      </c>
      <c r="Q3582">
        <v>0</v>
      </c>
      <c r="R3582">
        <v>0.89088509308702402</v>
      </c>
      <c r="S3582" t="s">
        <v>9165</v>
      </c>
      <c r="T3582" t="s">
        <v>11164</v>
      </c>
      <c r="U3582" t="s">
        <v>11164</v>
      </c>
      <c r="V3582" t="s">
        <v>11164</v>
      </c>
      <c r="W3582" t="s">
        <v>14703</v>
      </c>
      <c r="X3582">
        <v>6</v>
      </c>
      <c r="Y3582" t="s">
        <v>20183</v>
      </c>
      <c r="Z3582" t="s">
        <v>25732</v>
      </c>
      <c r="AA3582">
        <v>0.8875732369829008</v>
      </c>
      <c r="AB3582" t="str">
        <f>HYPERLINK("Melting_Curves/meltCurve_Q6ZMR3_LDHAL6A.pdf", "Melting_Curves/meltCurve_Q6ZMR3_LDHAL6A.pdf")</f>
        <v>Melting_Curves/meltCurve_Q6ZMR3_LDHAL6A.pdf</v>
      </c>
    </row>
    <row r="3583" spans="1:28" x14ac:dyDescent="0.25">
      <c r="A3583" t="s">
        <v>3587</v>
      </c>
      <c r="B3583">
        <v>0.99796759195183404</v>
      </c>
      <c r="C3583">
        <v>0.99913052420605097</v>
      </c>
      <c r="D3583">
        <v>1.015175643703</v>
      </c>
      <c r="E3583">
        <v>0.96779550688905902</v>
      </c>
      <c r="F3583">
        <v>0.84906182462137803</v>
      </c>
      <c r="G3583">
        <v>0.51604851907117999</v>
      </c>
      <c r="H3583">
        <v>0.29967838667400598</v>
      </c>
      <c r="I3583">
        <v>0.23065935547979299</v>
      </c>
      <c r="J3583">
        <v>0.20743667877682301</v>
      </c>
      <c r="K3583">
        <v>0.14265274908572101</v>
      </c>
      <c r="L3583">
        <v>1262.33481894392</v>
      </c>
      <c r="M3583">
        <v>23.742567400633099</v>
      </c>
      <c r="N3583">
        <v>54.138648132718302</v>
      </c>
      <c r="O3583">
        <v>52.794711092309598</v>
      </c>
      <c r="P3583">
        <v>-9.2935331629615703E-2</v>
      </c>
      <c r="Q3583">
        <v>0.17339806853344999</v>
      </c>
      <c r="R3583">
        <v>0.99778142014694604</v>
      </c>
      <c r="S3583" t="s">
        <v>9166</v>
      </c>
      <c r="T3583" t="s">
        <v>11164</v>
      </c>
      <c r="U3583" t="s">
        <v>11164</v>
      </c>
      <c r="V3583" t="s">
        <v>11164</v>
      </c>
      <c r="W3583" t="s">
        <v>14704</v>
      </c>
      <c r="X3583">
        <v>8</v>
      </c>
      <c r="Y3583" t="s">
        <v>20184</v>
      </c>
      <c r="Z3583" t="s">
        <v>25733</v>
      </c>
      <c r="AA3583">
        <v>0.62682402817732863</v>
      </c>
      <c r="AB3583" t="str">
        <f>HYPERLINK("Melting_Curves/meltCurve_Q6ZN17_LIN28B.pdf", "Melting_Curves/meltCurve_Q6ZN17_LIN28B.pdf")</f>
        <v>Melting_Curves/meltCurve_Q6ZN17_LIN28B.pdf</v>
      </c>
    </row>
    <row r="3584" spans="1:28" x14ac:dyDescent="0.25">
      <c r="A3584" t="s">
        <v>3588</v>
      </c>
      <c r="B3584">
        <v>0.99796759195183404</v>
      </c>
      <c r="C3584">
        <v>0.73298512155818096</v>
      </c>
      <c r="D3584">
        <v>0.80230881368201901</v>
      </c>
      <c r="E3584">
        <v>0.91843150539824003</v>
      </c>
      <c r="F3584">
        <v>0.59970834714107701</v>
      </c>
      <c r="G3584">
        <v>0.45449380330648398</v>
      </c>
      <c r="H3584">
        <v>0.27676617922533397</v>
      </c>
      <c r="I3584">
        <v>0.20690419987297401</v>
      </c>
      <c r="J3584">
        <v>0.20720680818217799</v>
      </c>
      <c r="K3584">
        <v>4.3661483622447997E-2</v>
      </c>
      <c r="L3584">
        <v>481.77333258903298</v>
      </c>
      <c r="M3584">
        <v>9.1775817921692795</v>
      </c>
      <c r="N3584">
        <v>52.494583369719599</v>
      </c>
      <c r="O3584">
        <v>50.182528676467697</v>
      </c>
      <c r="P3584">
        <v>-4.57518352706466E-2</v>
      </c>
      <c r="Q3584">
        <v>0</v>
      </c>
      <c r="R3584">
        <v>0.91296322577574696</v>
      </c>
      <c r="S3584" t="s">
        <v>9167</v>
      </c>
      <c r="T3584" t="s">
        <v>11164</v>
      </c>
      <c r="U3584" t="s">
        <v>11164</v>
      </c>
      <c r="V3584" t="s">
        <v>11164</v>
      </c>
      <c r="W3584" t="s">
        <v>14705</v>
      </c>
      <c r="X3584">
        <v>2</v>
      </c>
      <c r="Y3584" t="s">
        <v>20185</v>
      </c>
      <c r="Z3584" t="s">
        <v>25734</v>
      </c>
      <c r="AA3584">
        <v>0.5416265404402989</v>
      </c>
      <c r="AB3584" t="str">
        <f>HYPERLINK("Melting_Curves/meltCurve_Q6ZN55_ZNF574.pdf", "Melting_Curves/meltCurve_Q6ZN55_ZNF574.pdf")</f>
        <v>Melting_Curves/meltCurve_Q6ZN55_ZNF574.pdf</v>
      </c>
    </row>
    <row r="3585" spans="1:28" x14ac:dyDescent="0.25">
      <c r="A3585" t="s">
        <v>3589</v>
      </c>
      <c r="B3585">
        <v>0.99796759195183404</v>
      </c>
      <c r="C3585">
        <v>1.0146018157993699</v>
      </c>
      <c r="D3585">
        <v>1.00608054643389</v>
      </c>
      <c r="E3585">
        <v>0.95430229699443403</v>
      </c>
      <c r="F3585">
        <v>0.81307528266087903</v>
      </c>
      <c r="G3585">
        <v>0.44919552017585301</v>
      </c>
      <c r="H3585">
        <v>0.245629054628245</v>
      </c>
      <c r="I3585">
        <v>0.16921919662714299</v>
      </c>
      <c r="J3585">
        <v>0.15124092970699099</v>
      </c>
      <c r="K3585">
        <v>0.101587845882063</v>
      </c>
      <c r="L3585">
        <v>1255.5490168403001</v>
      </c>
      <c r="M3585">
        <v>23.7919767272763</v>
      </c>
      <c r="N3585">
        <v>53.410083070346403</v>
      </c>
      <c r="O3585">
        <v>52.403380287496098</v>
      </c>
      <c r="P3585">
        <v>-9.9463549888180694E-2</v>
      </c>
      <c r="Q3585">
        <v>0.123714606477342</v>
      </c>
      <c r="R3585">
        <v>0.998607951851888</v>
      </c>
      <c r="S3585" t="s">
        <v>9168</v>
      </c>
      <c r="T3585" t="s">
        <v>11164</v>
      </c>
      <c r="U3585" t="s">
        <v>11164</v>
      </c>
      <c r="V3585" t="s">
        <v>11164</v>
      </c>
      <c r="W3585" t="s">
        <v>14706</v>
      </c>
      <c r="X3585">
        <v>20</v>
      </c>
      <c r="Y3585" t="s">
        <v>20186</v>
      </c>
      <c r="Z3585" t="s">
        <v>25735</v>
      </c>
      <c r="AA3585">
        <v>0.59284611266724208</v>
      </c>
      <c r="AB3585" t="str">
        <f>HYPERLINK("Melting_Curves/meltCurve_Q6ZNB6_NFXL1.pdf", "Melting_Curves/meltCurve_Q6ZNB6_NFXL1.pdf")</f>
        <v>Melting_Curves/meltCurve_Q6ZNB6_NFXL1.pdf</v>
      </c>
    </row>
    <row r="3586" spans="1:28" x14ac:dyDescent="0.25">
      <c r="A3586" t="s">
        <v>3590</v>
      </c>
      <c r="B3586">
        <v>0.99796759195183404</v>
      </c>
      <c r="C3586">
        <v>0.99709872145832401</v>
      </c>
      <c r="D3586">
        <v>0.91689302970701803</v>
      </c>
      <c r="E3586">
        <v>0.92474576171352896</v>
      </c>
      <c r="F3586">
        <v>0.77817983533088897</v>
      </c>
      <c r="G3586">
        <v>0.47637399035586597</v>
      </c>
      <c r="H3586">
        <v>0.352414303511909</v>
      </c>
      <c r="I3586">
        <v>0.2954637695117</v>
      </c>
      <c r="J3586">
        <v>0.31361567979890198</v>
      </c>
      <c r="K3586">
        <v>0.21009086684723199</v>
      </c>
      <c r="L3586">
        <v>1010.15967188962</v>
      </c>
      <c r="M3586">
        <v>19.431449403904701</v>
      </c>
      <c r="N3586">
        <v>53.874078965525598</v>
      </c>
      <c r="O3586">
        <v>51.444595317580301</v>
      </c>
      <c r="P3586">
        <v>-7.1111272197315806E-2</v>
      </c>
      <c r="Q3586">
        <v>0.24696121923953601</v>
      </c>
      <c r="R3586">
        <v>0.98827208336958905</v>
      </c>
      <c r="S3586" t="s">
        <v>9169</v>
      </c>
      <c r="T3586" t="s">
        <v>11164</v>
      </c>
      <c r="U3586" t="s">
        <v>11164</v>
      </c>
      <c r="V3586" t="s">
        <v>11164</v>
      </c>
      <c r="W3586" t="s">
        <v>14707</v>
      </c>
      <c r="X3586">
        <v>6</v>
      </c>
      <c r="Y3586" t="s">
        <v>20187</v>
      </c>
      <c r="Z3586" t="s">
        <v>25736</v>
      </c>
      <c r="AA3586">
        <v>0.63329629450198044</v>
      </c>
      <c r="AB3586" t="str">
        <f>HYPERLINK("Melting_Curves/meltCurve_Q6ZNW5_GDPGP1.pdf", "Melting_Curves/meltCurve_Q6ZNW5_GDPGP1.pdf")</f>
        <v>Melting_Curves/meltCurve_Q6ZNW5_GDPGP1.pdf</v>
      </c>
    </row>
    <row r="3587" spans="1:28" x14ac:dyDescent="0.25">
      <c r="A3587" t="s">
        <v>3591</v>
      </c>
      <c r="B3587">
        <v>0.99796759195183404</v>
      </c>
      <c r="C3587">
        <v>1.0015546296109601</v>
      </c>
      <c r="D3587">
        <v>0.98800496834868601</v>
      </c>
      <c r="E3587">
        <v>1.01918912865656</v>
      </c>
      <c r="F3587">
        <v>0.86933226841726297</v>
      </c>
      <c r="G3587">
        <v>0.78370915570817501</v>
      </c>
      <c r="H3587">
        <v>0.35956843067238597</v>
      </c>
      <c r="I3587">
        <v>0.22899304118861599</v>
      </c>
      <c r="J3587">
        <v>0.13006026976263299</v>
      </c>
      <c r="K3587">
        <v>9.8372414348580697E-2</v>
      </c>
      <c r="L3587">
        <v>1300.4164905611401</v>
      </c>
      <c r="M3587">
        <v>23.297305109150798</v>
      </c>
      <c r="N3587">
        <v>56.2877569105841</v>
      </c>
      <c r="O3587">
        <v>55.411941771983301</v>
      </c>
      <c r="P3587">
        <v>-9.5830805563655599E-2</v>
      </c>
      <c r="Q3587">
        <v>8.8293428368280899E-2</v>
      </c>
      <c r="R3587">
        <v>0.99205611018371198</v>
      </c>
      <c r="S3587" t="s">
        <v>9170</v>
      </c>
      <c r="T3587" t="s">
        <v>11164</v>
      </c>
      <c r="U3587" t="s">
        <v>11164</v>
      </c>
      <c r="V3587" t="s">
        <v>11164</v>
      </c>
      <c r="W3587" t="s">
        <v>14708</v>
      </c>
      <c r="X3587">
        <v>2</v>
      </c>
      <c r="Y3587" t="s">
        <v>20188</v>
      </c>
      <c r="Z3587" t="s">
        <v>25737</v>
      </c>
      <c r="AA3587">
        <v>0.66835589021196806</v>
      </c>
      <c r="AB3587" t="str">
        <f>HYPERLINK("Melting_Curves/meltCurve_Q6ZPD9_DPY19L3.pdf", "Melting_Curves/meltCurve_Q6ZPD9_DPY19L3.pdf")</f>
        <v>Melting_Curves/meltCurve_Q6ZPD9_DPY19L3.pdf</v>
      </c>
    </row>
    <row r="3588" spans="1:28" x14ac:dyDescent="0.25">
      <c r="A3588" t="s">
        <v>3592</v>
      </c>
      <c r="B3588">
        <v>0.99796759195183404</v>
      </c>
      <c r="C3588">
        <v>0.95013171936667795</v>
      </c>
      <c r="D3588">
        <v>0.87251714010353998</v>
      </c>
      <c r="E3588">
        <v>0.86848317921933105</v>
      </c>
      <c r="F3588">
        <v>0.82610054458937698</v>
      </c>
      <c r="G3588">
        <v>0.59790754647088895</v>
      </c>
      <c r="H3588">
        <v>0.39796246055103601</v>
      </c>
      <c r="I3588">
        <v>0.28640588688600999</v>
      </c>
      <c r="J3588">
        <v>0.20348667053216299</v>
      </c>
      <c r="K3588">
        <v>0.151072458702288</v>
      </c>
      <c r="L3588">
        <v>581.37882861731896</v>
      </c>
      <c r="M3588">
        <v>10.4274597456437</v>
      </c>
      <c r="N3588">
        <v>55.754575602304598</v>
      </c>
      <c r="O3588">
        <v>53.821010775477603</v>
      </c>
      <c r="P3588">
        <v>-4.8455891898106597E-2</v>
      </c>
      <c r="Q3588">
        <v>0</v>
      </c>
      <c r="R3588">
        <v>0.98592374399708804</v>
      </c>
      <c r="S3588" t="s">
        <v>9171</v>
      </c>
      <c r="T3588" t="s">
        <v>11164</v>
      </c>
      <c r="U3588" t="s">
        <v>11164</v>
      </c>
      <c r="V3588" t="s">
        <v>11164</v>
      </c>
      <c r="W3588" t="s">
        <v>14709</v>
      </c>
      <c r="X3588">
        <v>6</v>
      </c>
      <c r="Y3588" t="s">
        <v>20189</v>
      </c>
      <c r="Z3588" t="s">
        <v>25738</v>
      </c>
      <c r="AA3588">
        <v>0.63373918912306415</v>
      </c>
      <c r="AB3588" t="str">
        <f>HYPERLINK("Melting_Curves/meltCurve_Q6ZRP7_QSOX2.pdf", "Melting_Curves/meltCurve_Q6ZRP7_QSOX2.pdf")</f>
        <v>Melting_Curves/meltCurve_Q6ZRP7_QSOX2.pdf</v>
      </c>
    </row>
    <row r="3589" spans="1:28" x14ac:dyDescent="0.25">
      <c r="A3589" t="s">
        <v>3593</v>
      </c>
      <c r="B3589">
        <v>0.99796759195183404</v>
      </c>
      <c r="C3589">
        <v>1.0273143494410399</v>
      </c>
      <c r="D3589">
        <v>1.01700250705305</v>
      </c>
      <c r="E3589">
        <v>0.91763832031470405</v>
      </c>
      <c r="F3589">
        <v>0.78879213699224804</v>
      </c>
      <c r="G3589">
        <v>0.27775265093311702</v>
      </c>
      <c r="H3589">
        <v>0.223785114942504</v>
      </c>
      <c r="I3589">
        <v>0.16765933242768699</v>
      </c>
      <c r="J3589">
        <v>0.126247857068084</v>
      </c>
      <c r="K3589">
        <v>9.56189895651018E-2</v>
      </c>
      <c r="L3589">
        <v>1798.7536999669801</v>
      </c>
      <c r="M3589">
        <v>34.847895996875202</v>
      </c>
      <c r="N3589">
        <v>52.109891011479803</v>
      </c>
      <c r="O3589">
        <v>51.448193430863597</v>
      </c>
      <c r="P3589">
        <v>-0.14557170725687599</v>
      </c>
      <c r="Q3589">
        <v>0.14033559992318001</v>
      </c>
      <c r="R3589">
        <v>0.99182025457335399</v>
      </c>
      <c r="S3589" t="s">
        <v>9172</v>
      </c>
      <c r="T3589" t="s">
        <v>11164</v>
      </c>
      <c r="U3589" t="s">
        <v>11164</v>
      </c>
      <c r="V3589" t="s">
        <v>11164</v>
      </c>
      <c r="W3589" t="s">
        <v>14710</v>
      </c>
      <c r="X3589">
        <v>5</v>
      </c>
      <c r="Y3589" t="s">
        <v>20190</v>
      </c>
      <c r="Z3589" t="s">
        <v>25739</v>
      </c>
      <c r="AA3589">
        <v>0.56322879302247741</v>
      </c>
      <c r="AB3589" t="str">
        <f>HYPERLINK("Melting_Curves/meltCurve_Q6ZS17_2_FAM65A.pdf", "Melting_Curves/meltCurve_Q6ZS17_2_FAM65A.pdf")</f>
        <v>Melting_Curves/meltCurve_Q6ZS17_2_FAM65A.pdf</v>
      </c>
    </row>
    <row r="3590" spans="1:28" x14ac:dyDescent="0.25">
      <c r="A3590" t="s">
        <v>3594</v>
      </c>
      <c r="B3590">
        <v>0.99796759195183404</v>
      </c>
      <c r="C3590">
        <v>1.17812828331074</v>
      </c>
      <c r="D3590">
        <v>1.06873492898184</v>
      </c>
      <c r="E3590">
        <v>1.0353448122451501</v>
      </c>
      <c r="F3590">
        <v>0.956862767534157</v>
      </c>
      <c r="G3590">
        <v>0.72421827930043303</v>
      </c>
      <c r="H3590">
        <v>0.76885606833248699</v>
      </c>
      <c r="I3590">
        <v>0.64450303941244702</v>
      </c>
      <c r="J3590">
        <v>0.714861412443063</v>
      </c>
      <c r="K3590">
        <v>0.66616816097496401</v>
      </c>
      <c r="L3590">
        <v>2966.0345523667802</v>
      </c>
      <c r="M3590">
        <v>57.304681646738999</v>
      </c>
      <c r="O3590">
        <v>51.696107288500201</v>
      </c>
      <c r="P3590">
        <v>-8.3863994329182207E-2</v>
      </c>
      <c r="Q3590">
        <v>0.69737621537861705</v>
      </c>
      <c r="R3590">
        <v>0.85960342747311802</v>
      </c>
      <c r="S3590" t="s">
        <v>9173</v>
      </c>
      <c r="T3590" t="s">
        <v>11164</v>
      </c>
      <c r="U3590" t="s">
        <v>11164</v>
      </c>
      <c r="V3590" t="s">
        <v>11164</v>
      </c>
      <c r="W3590" t="s">
        <v>14711</v>
      </c>
      <c r="X3590">
        <v>7</v>
      </c>
      <c r="Y3590" t="s">
        <v>20191</v>
      </c>
      <c r="Z3590" t="s">
        <v>25740</v>
      </c>
      <c r="AA3590">
        <v>0.84678256518614581</v>
      </c>
      <c r="AB3590" t="str">
        <f>HYPERLINK("Melting_Curves/meltCurve_Q6ZSJ8_C1orf122.pdf", "Melting_Curves/meltCurve_Q6ZSJ8_C1orf122.pdf")</f>
        <v>Melting_Curves/meltCurve_Q6ZSJ8_C1orf122.pdf</v>
      </c>
    </row>
    <row r="3591" spans="1:28" x14ac:dyDescent="0.25">
      <c r="A3591" t="s">
        <v>3595</v>
      </c>
      <c r="B3591">
        <v>0.99796759195183404</v>
      </c>
      <c r="C3591">
        <v>0.97695700303746802</v>
      </c>
      <c r="D3591">
        <v>0.84388825419061597</v>
      </c>
      <c r="E3591">
        <v>0.78044955702486796</v>
      </c>
      <c r="F3591">
        <v>0.68599684437847197</v>
      </c>
      <c r="G3591">
        <v>0.821648662466265</v>
      </c>
      <c r="H3591">
        <v>0.51251783245275995</v>
      </c>
      <c r="I3591">
        <v>0.38271908734291699</v>
      </c>
      <c r="J3591">
        <v>0.376311180600855</v>
      </c>
      <c r="K3591">
        <v>0.346752925779725</v>
      </c>
      <c r="L3591">
        <v>348.45643973125499</v>
      </c>
      <c r="M3591">
        <v>5.9055516114196296</v>
      </c>
      <c r="N3591">
        <v>59.004905872648301</v>
      </c>
      <c r="O3591">
        <v>53.300117593810697</v>
      </c>
      <c r="P3591">
        <v>-2.7794441523959299E-2</v>
      </c>
      <c r="Q3591">
        <v>0</v>
      </c>
      <c r="R3591">
        <v>0.91299546308385104</v>
      </c>
      <c r="S3591" t="s">
        <v>9174</v>
      </c>
      <c r="T3591" t="s">
        <v>11164</v>
      </c>
      <c r="U3591" t="s">
        <v>11164</v>
      </c>
      <c r="V3591" t="s">
        <v>11164</v>
      </c>
      <c r="W3591" t="s">
        <v>14712</v>
      </c>
      <c r="X3591">
        <v>2</v>
      </c>
      <c r="Y3591" t="s">
        <v>20192</v>
      </c>
      <c r="Z3591" t="s">
        <v>25741</v>
      </c>
      <c r="AA3591">
        <v>0.67666400787374958</v>
      </c>
      <c r="AB3591" t="str">
        <f>HYPERLINK("Melting_Curves/meltCurve_Q6ZT21_2_TMPPE.pdf", "Melting_Curves/meltCurve_Q6ZT21_2_TMPPE.pdf")</f>
        <v>Melting_Curves/meltCurve_Q6ZT21_2_TMPPE.pdf</v>
      </c>
    </row>
    <row r="3592" spans="1:28" x14ac:dyDescent="0.25">
      <c r="A3592" t="s">
        <v>3596</v>
      </c>
      <c r="B3592">
        <v>0.99796759195183404</v>
      </c>
      <c r="C3592">
        <v>0.97137326404826696</v>
      </c>
      <c r="D3592">
        <v>0.89144450124375696</v>
      </c>
      <c r="E3592">
        <v>0.86724809878866105</v>
      </c>
      <c r="F3592">
        <v>0.76055155589477197</v>
      </c>
      <c r="G3592">
        <v>0.59566552218812197</v>
      </c>
      <c r="H3592">
        <v>0.358129461898261</v>
      </c>
      <c r="I3592">
        <v>0.30087954018477098</v>
      </c>
      <c r="J3592">
        <v>0.21558516716992401</v>
      </c>
      <c r="K3592">
        <v>0.17569295099962101</v>
      </c>
      <c r="L3592">
        <v>563.74971625372802</v>
      </c>
      <c r="M3592">
        <v>10.2737929307063</v>
      </c>
      <c r="N3592">
        <v>55.287932569461503</v>
      </c>
      <c r="O3592">
        <v>52.915594026146699</v>
      </c>
      <c r="P3592">
        <v>-4.67564667551583E-2</v>
      </c>
      <c r="Q3592">
        <v>3.7137862293509599E-2</v>
      </c>
      <c r="R3592">
        <v>0.99186307718503397</v>
      </c>
      <c r="S3592" t="s">
        <v>9175</v>
      </c>
      <c r="T3592" t="s">
        <v>11164</v>
      </c>
      <c r="U3592" t="s">
        <v>11164</v>
      </c>
      <c r="V3592" t="s">
        <v>11164</v>
      </c>
      <c r="W3592" t="s">
        <v>14713</v>
      </c>
      <c r="X3592">
        <v>9</v>
      </c>
      <c r="Y3592" t="s">
        <v>20193</v>
      </c>
      <c r="Z3592" t="s">
        <v>25742</v>
      </c>
      <c r="AA3592">
        <v>0.62356763813984195</v>
      </c>
      <c r="AB3592" t="str">
        <f>HYPERLINK("Melting_Curves/meltCurve_Q6ZT62_SH3BP1.pdf", "Melting_Curves/meltCurve_Q6ZT62_SH3BP1.pdf")</f>
        <v>Melting_Curves/meltCurve_Q6ZT62_SH3BP1.pdf</v>
      </c>
    </row>
    <row r="3593" spans="1:28" x14ac:dyDescent="0.25">
      <c r="A3593" t="s">
        <v>3597</v>
      </c>
      <c r="B3593">
        <v>0.99796759195183404</v>
      </c>
      <c r="C3593">
        <v>0.99666265063153903</v>
      </c>
      <c r="D3593">
        <v>0.97037724740975495</v>
      </c>
      <c r="E3593">
        <v>0.92763253350913399</v>
      </c>
      <c r="F3593">
        <v>0.84124845031175099</v>
      </c>
      <c r="G3593">
        <v>0.40099493855189999</v>
      </c>
      <c r="H3593">
        <v>0.217769815572742</v>
      </c>
      <c r="I3593">
        <v>0.119645485922208</v>
      </c>
      <c r="J3593">
        <v>0.102730320438726</v>
      </c>
      <c r="K3593">
        <v>7.8615170296874204E-2</v>
      </c>
      <c r="L3593">
        <v>1379.6843691481299</v>
      </c>
      <c r="M3593">
        <v>26.166113577596001</v>
      </c>
      <c r="N3593">
        <v>53.141895472433703</v>
      </c>
      <c r="O3593">
        <v>52.422821393829203</v>
      </c>
      <c r="P3593">
        <v>-0.113279669691978</v>
      </c>
      <c r="Q3593">
        <v>9.2204007613875802E-2</v>
      </c>
      <c r="R3593">
        <v>0.99623686842271697</v>
      </c>
      <c r="S3593" t="s">
        <v>9176</v>
      </c>
      <c r="T3593" t="s">
        <v>11164</v>
      </c>
      <c r="U3593" t="s">
        <v>11164</v>
      </c>
      <c r="V3593" t="s">
        <v>11164</v>
      </c>
      <c r="W3593" t="s">
        <v>14714</v>
      </c>
      <c r="X3593">
        <v>7</v>
      </c>
      <c r="Y3593" t="s">
        <v>20194</v>
      </c>
      <c r="Z3593" t="s">
        <v>25743</v>
      </c>
      <c r="AA3593">
        <v>0.57554193111197838</v>
      </c>
      <c r="AB3593" t="str">
        <f>HYPERLINK("Melting_Curves/meltCurve_Q6ZVM7_2_TOM1L2.pdf", "Melting_Curves/meltCurve_Q6ZVM7_2_TOM1L2.pdf")</f>
        <v>Melting_Curves/meltCurve_Q6ZVM7_2_TOM1L2.pdf</v>
      </c>
    </row>
    <row r="3594" spans="1:28" x14ac:dyDescent="0.25">
      <c r="A3594" t="s">
        <v>3598</v>
      </c>
      <c r="B3594">
        <v>0.99796759195183404</v>
      </c>
      <c r="C3594">
        <v>0.96459473377879301</v>
      </c>
      <c r="D3594">
        <v>1.0217200031772899</v>
      </c>
      <c r="E3594">
        <v>0.84641272053517103</v>
      </c>
      <c r="F3594">
        <v>0.72608400677684604</v>
      </c>
      <c r="G3594">
        <v>0.576998160225488</v>
      </c>
      <c r="H3594">
        <v>0.49363858107867498</v>
      </c>
      <c r="I3594">
        <v>0.355029978198865</v>
      </c>
      <c r="J3594">
        <v>0.18286018585324901</v>
      </c>
      <c r="K3594">
        <v>9.7226063102263394E-2</v>
      </c>
      <c r="L3594">
        <v>562.02562916541797</v>
      </c>
      <c r="M3594">
        <v>10.0530509562156</v>
      </c>
      <c r="N3594">
        <v>55.905961293517997</v>
      </c>
      <c r="O3594">
        <v>53.8289768163716</v>
      </c>
      <c r="P3594">
        <v>-4.6712028025741301E-2</v>
      </c>
      <c r="Q3594">
        <v>0</v>
      </c>
      <c r="R3594">
        <v>0.98172806893965403</v>
      </c>
      <c r="S3594" t="s">
        <v>9177</v>
      </c>
      <c r="T3594" t="s">
        <v>11164</v>
      </c>
      <c r="U3594" t="s">
        <v>11164</v>
      </c>
      <c r="V3594" t="s">
        <v>11164</v>
      </c>
      <c r="W3594" t="s">
        <v>14715</v>
      </c>
      <c r="X3594">
        <v>4</v>
      </c>
      <c r="Y3594" t="s">
        <v>20195</v>
      </c>
      <c r="Z3594" t="s">
        <v>25744</v>
      </c>
      <c r="AA3594">
        <v>0.63699649642202028</v>
      </c>
      <c r="AB3594" t="str">
        <f>HYPERLINK("Melting_Curves/meltCurve_Q6ZW49_4_PAXIP1.pdf", "Melting_Curves/meltCurve_Q6ZW49_4_PAXIP1.pdf")</f>
        <v>Melting_Curves/meltCurve_Q6ZW49_4_PAXIP1.pdf</v>
      </c>
    </row>
    <row r="3595" spans="1:28" x14ac:dyDescent="0.25">
      <c r="A3595" t="s">
        <v>3599</v>
      </c>
      <c r="B3595">
        <v>0.99796759195183404</v>
      </c>
      <c r="C3595">
        <v>1.03617618336121</v>
      </c>
      <c r="D3595">
        <v>0.99838401401514598</v>
      </c>
      <c r="E3595">
        <v>0.77557719664953295</v>
      </c>
      <c r="F3595">
        <v>0.37562334291660598</v>
      </c>
      <c r="G3595">
        <v>0.197748146060995</v>
      </c>
      <c r="H3595">
        <v>0.150018706862238</v>
      </c>
      <c r="I3595">
        <v>0.118120060438706</v>
      </c>
      <c r="J3595">
        <v>8.3725459869868193E-2</v>
      </c>
      <c r="K3595">
        <v>5.8956455477921901E-2</v>
      </c>
      <c r="L3595">
        <v>1201.0959884507899</v>
      </c>
      <c r="M3595">
        <v>24.656647269049301</v>
      </c>
      <c r="N3595">
        <v>49.143554286531597</v>
      </c>
      <c r="O3595">
        <v>48.395834545028798</v>
      </c>
      <c r="P3595">
        <v>-0.114995122699338</v>
      </c>
      <c r="Q3595">
        <v>9.7167496106095194E-2</v>
      </c>
      <c r="R3595">
        <v>0.99608450752691002</v>
      </c>
      <c r="S3595" t="s">
        <v>9178</v>
      </c>
      <c r="T3595" t="s">
        <v>11164</v>
      </c>
      <c r="U3595" t="s">
        <v>11164</v>
      </c>
      <c r="V3595" t="s">
        <v>11164</v>
      </c>
      <c r="W3595" t="s">
        <v>14716</v>
      </c>
      <c r="X3595">
        <v>12</v>
      </c>
      <c r="Y3595" t="s">
        <v>20196</v>
      </c>
      <c r="Z3595" t="s">
        <v>25745</v>
      </c>
      <c r="AA3595">
        <v>0.45764363417448972</v>
      </c>
      <c r="AB3595" t="str">
        <f>HYPERLINK("Melting_Curves/meltCurve_Q6ZWJ1_STXBP4.pdf", "Melting_Curves/meltCurve_Q6ZWJ1_STXBP4.pdf")</f>
        <v>Melting_Curves/meltCurve_Q6ZWJ1_STXBP4.pdf</v>
      </c>
    </row>
    <row r="3596" spans="1:28" x14ac:dyDescent="0.25">
      <c r="A3596" t="s">
        <v>3600</v>
      </c>
      <c r="B3596">
        <v>0.99796759195183404</v>
      </c>
      <c r="C3596">
        <v>0.94636068416260799</v>
      </c>
      <c r="D3596">
        <v>0.94910990736841305</v>
      </c>
      <c r="E3596">
        <v>0.88747688644646605</v>
      </c>
      <c r="F3596">
        <v>0.76548137262802296</v>
      </c>
      <c r="G3596">
        <v>0.408796354983268</v>
      </c>
      <c r="H3596">
        <v>0.25470433614403098</v>
      </c>
      <c r="I3596">
        <v>0.196735420195738</v>
      </c>
      <c r="J3596">
        <v>0.13561028211777501</v>
      </c>
      <c r="K3596">
        <v>9.8251854884801607E-2</v>
      </c>
      <c r="L3596">
        <v>936.59849320302601</v>
      </c>
      <c r="M3596">
        <v>17.8742028036243</v>
      </c>
      <c r="N3596">
        <v>53.0563350398537</v>
      </c>
      <c r="O3596">
        <v>51.756781661013399</v>
      </c>
      <c r="P3596">
        <v>-7.7771536578279704E-2</v>
      </c>
      <c r="Q3596">
        <v>9.9260504397452695E-2</v>
      </c>
      <c r="R3596">
        <v>0.99277124284704399</v>
      </c>
      <c r="S3596" t="s">
        <v>9179</v>
      </c>
      <c r="T3596" t="s">
        <v>11164</v>
      </c>
      <c r="U3596" t="s">
        <v>11164</v>
      </c>
      <c r="V3596" t="s">
        <v>11164</v>
      </c>
      <c r="W3596" t="s">
        <v>14717</v>
      </c>
      <c r="X3596">
        <v>7</v>
      </c>
      <c r="Y3596" t="s">
        <v>20197</v>
      </c>
      <c r="Z3596" t="s">
        <v>25746</v>
      </c>
      <c r="AA3596">
        <v>0.5751875376027169</v>
      </c>
      <c r="AB3596" t="str">
        <f>HYPERLINK("Melting_Curves/meltCurve_Q6ZXV5_2_TMTC3.pdf", "Melting_Curves/meltCurve_Q6ZXV5_2_TMTC3.pdf")</f>
        <v>Melting_Curves/meltCurve_Q6ZXV5_2_TMTC3.pdf</v>
      </c>
    </row>
    <row r="3597" spans="1:28" x14ac:dyDescent="0.25">
      <c r="A3597" t="s">
        <v>3601</v>
      </c>
      <c r="B3597">
        <v>0.99796759195183404</v>
      </c>
      <c r="C3597">
        <v>1.0891501719139201</v>
      </c>
      <c r="D3597">
        <v>1.02650587544733</v>
      </c>
      <c r="E3597">
        <v>0.93121177963942503</v>
      </c>
      <c r="F3597">
        <v>0.94716309590340397</v>
      </c>
      <c r="G3597">
        <v>0.84066947802574199</v>
      </c>
      <c r="H3597">
        <v>0.61324891812026405</v>
      </c>
      <c r="I3597">
        <v>0.290628684701074</v>
      </c>
      <c r="J3597">
        <v>0.16645419099214101</v>
      </c>
      <c r="K3597">
        <v>5.5041002511785703E-2</v>
      </c>
      <c r="L3597">
        <v>1151.77226404717</v>
      </c>
      <c r="M3597">
        <v>19.691738171741701</v>
      </c>
      <c r="N3597">
        <v>58.490136240312602</v>
      </c>
      <c r="O3597">
        <v>57.8969411754235</v>
      </c>
      <c r="P3597">
        <v>-8.5032210371759301E-2</v>
      </c>
      <c r="Q3597">
        <v>0</v>
      </c>
      <c r="R3597">
        <v>0.98948125473806403</v>
      </c>
      <c r="S3597" t="s">
        <v>9180</v>
      </c>
      <c r="T3597" t="s">
        <v>11164</v>
      </c>
      <c r="U3597" t="s">
        <v>11164</v>
      </c>
      <c r="V3597" t="s">
        <v>11164</v>
      </c>
      <c r="W3597" t="s">
        <v>14718</v>
      </c>
      <c r="X3597">
        <v>1</v>
      </c>
      <c r="Y3597" t="s">
        <v>20198</v>
      </c>
      <c r="Z3597" t="s">
        <v>25747</v>
      </c>
      <c r="AA3597">
        <v>0.72178458114099986</v>
      </c>
      <c r="AB3597" t="str">
        <f>HYPERLINK("Melting_Curves/meltCurve_Q709C8_3_VPS13C.pdf", "Melting_Curves/meltCurve_Q709C8_3_VPS13C.pdf")</f>
        <v>Melting_Curves/meltCurve_Q709C8_3_VPS13C.pdf</v>
      </c>
    </row>
    <row r="3598" spans="1:28" x14ac:dyDescent="0.25">
      <c r="A3598" t="s">
        <v>3602</v>
      </c>
      <c r="B3598">
        <v>0.99796759195183404</v>
      </c>
      <c r="C3598">
        <v>1.29278196898833</v>
      </c>
      <c r="D3598">
        <v>1.31173211132475</v>
      </c>
      <c r="E3598">
        <v>1.2161697429406899</v>
      </c>
      <c r="F3598">
        <v>1.4754895906671399</v>
      </c>
      <c r="G3598">
        <v>1.6793560249064601</v>
      </c>
      <c r="H3598">
        <v>0.80665500149666403</v>
      </c>
      <c r="I3598">
        <v>0.399782124866986</v>
      </c>
      <c r="J3598">
        <v>0.10215097012999701</v>
      </c>
      <c r="K3598">
        <v>6.3457585614798306E-2</v>
      </c>
      <c r="L3598">
        <v>2668.4186513060899</v>
      </c>
      <c r="M3598">
        <v>44.411996524614501</v>
      </c>
      <c r="N3598">
        <v>60.243531534827397</v>
      </c>
      <c r="O3598">
        <v>59.9618493629917</v>
      </c>
      <c r="P3598">
        <v>-0.17485104940885501</v>
      </c>
      <c r="Q3598">
        <v>5.5716588375067502E-2</v>
      </c>
      <c r="R3598">
        <v>0.68430941110126098</v>
      </c>
      <c r="S3598" t="s">
        <v>9181</v>
      </c>
      <c r="T3598" t="s">
        <v>11164</v>
      </c>
      <c r="U3598" t="s">
        <v>11164</v>
      </c>
      <c r="V3598" t="s">
        <v>11164</v>
      </c>
      <c r="W3598" t="s">
        <v>14719</v>
      </c>
      <c r="X3598">
        <v>2</v>
      </c>
      <c r="Y3598" t="s">
        <v>20199</v>
      </c>
      <c r="Z3598" t="s">
        <v>25748</v>
      </c>
      <c r="AA3598">
        <v>0.78489853725642533</v>
      </c>
      <c r="AB3598" t="str">
        <f>HYPERLINK("Melting_Curves/meltCurve_Q709F0_ACAD11.pdf", "Melting_Curves/meltCurve_Q709F0_ACAD11.pdf")</f>
        <v>Melting_Curves/meltCurve_Q709F0_ACAD11.pdf</v>
      </c>
    </row>
    <row r="3599" spans="1:28" x14ac:dyDescent="0.25">
      <c r="A3599" t="s">
        <v>3603</v>
      </c>
      <c r="B3599">
        <v>0.99796759195183404</v>
      </c>
      <c r="C3599">
        <v>1.0518848623582999</v>
      </c>
      <c r="D3599">
        <v>1.0239770085944699</v>
      </c>
      <c r="E3599">
        <v>0.94926155953901703</v>
      </c>
      <c r="F3599">
        <v>0.80832029987732301</v>
      </c>
      <c r="G3599">
        <v>0.39450994551618301</v>
      </c>
      <c r="H3599">
        <v>0.238258439518302</v>
      </c>
      <c r="I3599">
        <v>0.224390132006378</v>
      </c>
      <c r="J3599">
        <v>0.169774997565873</v>
      </c>
      <c r="K3599">
        <v>0.100032390574367</v>
      </c>
      <c r="L3599">
        <v>1434.53278150497</v>
      </c>
      <c r="M3599">
        <v>27.4751208566347</v>
      </c>
      <c r="N3599">
        <v>52.942619429222603</v>
      </c>
      <c r="O3599">
        <v>51.937819813576098</v>
      </c>
      <c r="P3599">
        <v>-0.111385800318989</v>
      </c>
      <c r="Q3599">
        <v>0.15777154207247701</v>
      </c>
      <c r="R3599">
        <v>0.99235973954692003</v>
      </c>
      <c r="S3599" t="s">
        <v>9182</v>
      </c>
      <c r="T3599" t="s">
        <v>11164</v>
      </c>
      <c r="U3599" t="s">
        <v>11164</v>
      </c>
      <c r="V3599" t="s">
        <v>11164</v>
      </c>
      <c r="W3599" t="s">
        <v>14720</v>
      </c>
      <c r="X3599">
        <v>5</v>
      </c>
      <c r="Y3599" t="s">
        <v>20200</v>
      </c>
      <c r="Z3599" t="s">
        <v>25749</v>
      </c>
      <c r="AA3599">
        <v>0.59112364151115848</v>
      </c>
      <c r="AB3599" t="str">
        <f>HYPERLINK("Melting_Curves/meltCurve_Q70IA6_MOB2.pdf", "Melting_Curves/meltCurve_Q70IA6_MOB2.pdf")</f>
        <v>Melting_Curves/meltCurve_Q70IA6_MOB2.pdf</v>
      </c>
    </row>
    <row r="3600" spans="1:28" x14ac:dyDescent="0.25">
      <c r="A3600" t="s">
        <v>3604</v>
      </c>
      <c r="B3600">
        <v>0.99796759195183404</v>
      </c>
      <c r="C3600">
        <v>1.20041709241627</v>
      </c>
      <c r="D3600">
        <v>0.74231743767411096</v>
      </c>
      <c r="E3600">
        <v>0.68002816552979395</v>
      </c>
      <c r="F3600">
        <v>0.69686025439766897</v>
      </c>
      <c r="G3600">
        <v>0.44320331504128202</v>
      </c>
      <c r="H3600">
        <v>0.55158951674327195</v>
      </c>
      <c r="I3600">
        <v>0.82882111764161104</v>
      </c>
      <c r="J3600">
        <v>0.178102609637804</v>
      </c>
      <c r="K3600">
        <v>0.412039935995485</v>
      </c>
      <c r="L3600">
        <v>646.93813069068904</v>
      </c>
      <c r="M3600">
        <v>13.8743983247054</v>
      </c>
      <c r="N3600">
        <v>56.964618565791802</v>
      </c>
      <c r="O3600">
        <v>45.6915649460366</v>
      </c>
      <c r="P3600">
        <v>-4.10237471546539E-2</v>
      </c>
      <c r="Q3600">
        <v>0.45967179550841503</v>
      </c>
      <c r="R3600">
        <v>0.607539928976915</v>
      </c>
      <c r="S3600" t="s">
        <v>9183</v>
      </c>
      <c r="T3600" t="s">
        <v>11164</v>
      </c>
      <c r="U3600" t="s">
        <v>11164</v>
      </c>
      <c r="V3600" t="s">
        <v>11164</v>
      </c>
      <c r="W3600" t="s">
        <v>14721</v>
      </c>
      <c r="X3600">
        <v>1</v>
      </c>
      <c r="Y3600" t="s">
        <v>20201</v>
      </c>
      <c r="Z3600" t="s">
        <v>25750</v>
      </c>
      <c r="AA3600">
        <v>0.64720145055623179</v>
      </c>
      <c r="AB3600" t="str">
        <f>HYPERLINK("Melting_Curves/meltCurve_Q70J99_UNC13D.pdf", "Melting_Curves/meltCurve_Q70J99_UNC13D.pdf")</f>
        <v>Melting_Curves/meltCurve_Q70J99_UNC13D.pdf</v>
      </c>
    </row>
    <row r="3601" spans="1:28" x14ac:dyDescent="0.25">
      <c r="A3601" t="s">
        <v>3605</v>
      </c>
      <c r="B3601">
        <v>0.99796759195183404</v>
      </c>
      <c r="C3601">
        <v>0.92069343799713499</v>
      </c>
      <c r="D3601">
        <v>0.97297489179222796</v>
      </c>
      <c r="E3601">
        <v>0.91519104971545395</v>
      </c>
      <c r="F3601">
        <v>0.81948835710760803</v>
      </c>
      <c r="G3601">
        <v>0.79850313178158505</v>
      </c>
      <c r="H3601">
        <v>0.63258701022070496</v>
      </c>
      <c r="I3601">
        <v>0.35945233371094398</v>
      </c>
      <c r="J3601">
        <v>0.178261488660651</v>
      </c>
      <c r="K3601">
        <v>7.0131963651807294E-2</v>
      </c>
      <c r="L3601">
        <v>881.62225137143298</v>
      </c>
      <c r="M3601">
        <v>15.082623710466001</v>
      </c>
      <c r="N3601">
        <v>58.452844056589598</v>
      </c>
      <c r="O3601">
        <v>57.454171452014201</v>
      </c>
      <c r="P3601">
        <v>-6.5635416661974505E-2</v>
      </c>
      <c r="Q3601">
        <v>0</v>
      </c>
      <c r="R3601">
        <v>0.97173023254390201</v>
      </c>
      <c r="S3601" t="s">
        <v>9184</v>
      </c>
      <c r="T3601" t="s">
        <v>11164</v>
      </c>
      <c r="U3601" t="s">
        <v>11164</v>
      </c>
      <c r="V3601" t="s">
        <v>11164</v>
      </c>
      <c r="W3601" t="s">
        <v>14722</v>
      </c>
      <c r="X3601">
        <v>10</v>
      </c>
      <c r="Y3601" t="s">
        <v>20202</v>
      </c>
      <c r="Z3601" t="s">
        <v>25751</v>
      </c>
      <c r="AA3601">
        <v>0.71724643974886237</v>
      </c>
      <c r="AB3601" t="str">
        <f>HYPERLINK("Melting_Curves/meltCurve_Q70UQ0_IKBIP.pdf", "Melting_Curves/meltCurve_Q70UQ0_IKBIP.pdf")</f>
        <v>Melting_Curves/meltCurve_Q70UQ0_IKBIP.pdf</v>
      </c>
    </row>
    <row r="3602" spans="1:28" x14ac:dyDescent="0.25">
      <c r="A3602" t="s">
        <v>3606</v>
      </c>
      <c r="B3602">
        <v>0.99796759195183404</v>
      </c>
      <c r="C3602">
        <v>0.98420308168394999</v>
      </c>
      <c r="D3602">
        <v>1.00190587173673</v>
      </c>
      <c r="E3602">
        <v>0.92418751705981494</v>
      </c>
      <c r="F3602">
        <v>0.83255987576331902</v>
      </c>
      <c r="G3602">
        <v>0.74344022576740798</v>
      </c>
      <c r="H3602">
        <v>0.61440647243113</v>
      </c>
      <c r="I3602">
        <v>0.405603649870034</v>
      </c>
      <c r="J3602">
        <v>0.25762549689803899</v>
      </c>
      <c r="K3602">
        <v>0.166632444971931</v>
      </c>
      <c r="L3602">
        <v>675.63315602599198</v>
      </c>
      <c r="M3602">
        <v>11.5001162657219</v>
      </c>
      <c r="N3602">
        <v>58.750115306564297</v>
      </c>
      <c r="O3602">
        <v>57.057883275854103</v>
      </c>
      <c r="P3602">
        <v>-5.04022583051058E-2</v>
      </c>
      <c r="Q3602">
        <v>0</v>
      </c>
      <c r="R3602">
        <v>0.99264425936047496</v>
      </c>
      <c r="S3602" t="s">
        <v>9185</v>
      </c>
      <c r="T3602" t="s">
        <v>11164</v>
      </c>
      <c r="U3602" t="s">
        <v>11164</v>
      </c>
      <c r="V3602" t="s">
        <v>11164</v>
      </c>
      <c r="W3602" t="s">
        <v>14723</v>
      </c>
      <c r="X3602">
        <v>12</v>
      </c>
      <c r="Y3602" t="s">
        <v>20202</v>
      </c>
      <c r="Z3602" t="s">
        <v>25752</v>
      </c>
      <c r="AA3602">
        <v>0.71678912591471655</v>
      </c>
      <c r="AB3602" t="str">
        <f>HYPERLINK("Melting_Curves/meltCurve_Q70UQ0_4_IKBIP.pdf", "Melting_Curves/meltCurve_Q70UQ0_4_IKBIP.pdf")</f>
        <v>Melting_Curves/meltCurve_Q70UQ0_4_IKBIP.pdf</v>
      </c>
    </row>
    <row r="3603" spans="1:28" x14ac:dyDescent="0.25">
      <c r="A3603" t="s">
        <v>3607</v>
      </c>
      <c r="B3603">
        <v>0.99796759195183404</v>
      </c>
      <c r="C3603">
        <v>0.93455684491787605</v>
      </c>
      <c r="D3603">
        <v>0.93785849504778396</v>
      </c>
      <c r="E3603">
        <v>0.85859367417932297</v>
      </c>
      <c r="F3603">
        <v>0.67008150907491904</v>
      </c>
      <c r="G3603">
        <v>0.23464011739533899</v>
      </c>
      <c r="H3603">
        <v>0.16527912935337599</v>
      </c>
      <c r="I3603">
        <v>0.140174963677065</v>
      </c>
      <c r="J3603">
        <v>0.11940477521967501</v>
      </c>
      <c r="K3603">
        <v>9.5424950942057496E-2</v>
      </c>
      <c r="L3603">
        <v>1219.56525132652</v>
      </c>
      <c r="M3603">
        <v>24.010074459705901</v>
      </c>
      <c r="N3603">
        <v>51.291784291589899</v>
      </c>
      <c r="O3603">
        <v>50.445486537256002</v>
      </c>
      <c r="P3603">
        <v>-0.106623000875362</v>
      </c>
      <c r="Q3603">
        <v>0.103948877741315</v>
      </c>
      <c r="R3603">
        <v>0.98873583742301796</v>
      </c>
      <c r="S3603" t="s">
        <v>9186</v>
      </c>
      <c r="T3603" t="s">
        <v>11164</v>
      </c>
      <c r="U3603" t="s">
        <v>11164</v>
      </c>
      <c r="V3603" t="s">
        <v>11164</v>
      </c>
      <c r="W3603" t="s">
        <v>14724</v>
      </c>
      <c r="X3603">
        <v>7</v>
      </c>
      <c r="Y3603" t="s">
        <v>20203</v>
      </c>
      <c r="Z3603" t="s">
        <v>25753</v>
      </c>
      <c r="AA3603">
        <v>0.52445828272411454</v>
      </c>
      <c r="AB3603" t="str">
        <f>HYPERLINK("Melting_Curves/meltCurve_Q70Z53_3_FRA10AC1.pdf", "Melting_Curves/meltCurve_Q70Z53_3_FRA10AC1.pdf")</f>
        <v>Melting_Curves/meltCurve_Q70Z53_3_FRA10AC1.pdf</v>
      </c>
    </row>
    <row r="3604" spans="1:28" x14ac:dyDescent="0.25">
      <c r="A3604" t="s">
        <v>3608</v>
      </c>
      <c r="B3604">
        <v>0.99796759195183404</v>
      </c>
      <c r="C3604">
        <v>0.967583745975511</v>
      </c>
      <c r="D3604">
        <v>0.88032335308403897</v>
      </c>
      <c r="E3604">
        <v>0.93251510209339905</v>
      </c>
      <c r="F3604">
        <v>0.93623543030563705</v>
      </c>
      <c r="G3604">
        <v>0.486870961461084</v>
      </c>
      <c r="H3604">
        <v>0.35573841076496399</v>
      </c>
      <c r="I3604">
        <v>0.23077017542033501</v>
      </c>
      <c r="J3604">
        <v>0.27291142190864698</v>
      </c>
      <c r="K3604">
        <v>0.22067787890628701</v>
      </c>
      <c r="L3604">
        <v>1913.8395592250799</v>
      </c>
      <c r="M3604">
        <v>36.203362970761297</v>
      </c>
      <c r="N3604">
        <v>53.919075403476199</v>
      </c>
      <c r="O3604">
        <v>52.703073571667701</v>
      </c>
      <c r="P3604">
        <v>-0.12813747527125999</v>
      </c>
      <c r="Q3604">
        <v>0.25385744247794401</v>
      </c>
      <c r="R3604">
        <v>0.97431808506212003</v>
      </c>
      <c r="S3604" t="s">
        <v>9187</v>
      </c>
      <c r="T3604" t="s">
        <v>11164</v>
      </c>
      <c r="U3604" t="s">
        <v>11164</v>
      </c>
      <c r="V3604" t="s">
        <v>11164</v>
      </c>
      <c r="W3604" t="s">
        <v>14725</v>
      </c>
      <c r="X3604">
        <v>2</v>
      </c>
      <c r="Y3604" t="s">
        <v>20204</v>
      </c>
      <c r="Z3604" t="s">
        <v>25754</v>
      </c>
      <c r="AA3604">
        <v>0.6517128593682725</v>
      </c>
      <c r="AB3604" t="str">
        <f>HYPERLINK("Melting_Curves/meltCurve_Q712K3_UBE2R2.pdf", "Melting_Curves/meltCurve_Q712K3_UBE2R2.pdf")</f>
        <v>Melting_Curves/meltCurve_Q712K3_UBE2R2.pdf</v>
      </c>
    </row>
    <row r="3605" spans="1:28" x14ac:dyDescent="0.25">
      <c r="A3605" t="s">
        <v>3609</v>
      </c>
      <c r="B3605">
        <v>0.99796759195183404</v>
      </c>
      <c r="C3605">
        <v>0.98563728165164899</v>
      </c>
      <c r="D3605">
        <v>1.00112532659216</v>
      </c>
      <c r="E3605">
        <v>0.80661252272915696</v>
      </c>
      <c r="F3605">
        <v>0.596226467403695</v>
      </c>
      <c r="G3605">
        <v>0.41417132408876101</v>
      </c>
      <c r="H3605">
        <v>0.30179451379074201</v>
      </c>
      <c r="I3605">
        <v>0.15769125402388001</v>
      </c>
      <c r="J3605">
        <v>9.9392096544425504E-2</v>
      </c>
      <c r="K3605">
        <v>6.76130004572362E-2</v>
      </c>
      <c r="L3605">
        <v>648.73484363502598</v>
      </c>
      <c r="M3605">
        <v>12.432553232478799</v>
      </c>
      <c r="N3605">
        <v>52.350026395317698</v>
      </c>
      <c r="O3605">
        <v>50.8854830379723</v>
      </c>
      <c r="P3605">
        <v>-5.98873443068631E-2</v>
      </c>
      <c r="Q3605">
        <v>1.97488296692549E-2</v>
      </c>
      <c r="R3605">
        <v>0.99431246043624799</v>
      </c>
      <c r="S3605" t="s">
        <v>9188</v>
      </c>
      <c r="T3605" t="s">
        <v>11164</v>
      </c>
      <c r="U3605" t="s">
        <v>11164</v>
      </c>
      <c r="V3605" t="s">
        <v>11164</v>
      </c>
      <c r="W3605" t="s">
        <v>14726</v>
      </c>
      <c r="X3605">
        <v>3</v>
      </c>
      <c r="Y3605" t="s">
        <v>20205</v>
      </c>
      <c r="Z3605" t="s">
        <v>25755</v>
      </c>
      <c r="AA3605">
        <v>0.53799557818860544</v>
      </c>
      <c r="AB3605" t="str">
        <f>HYPERLINK("Melting_Curves/meltCurve_Q71SY5_5_MED25.pdf", "Melting_Curves/meltCurve_Q71SY5_5_MED25.pdf")</f>
        <v>Melting_Curves/meltCurve_Q71SY5_5_MED25.pdf</v>
      </c>
    </row>
    <row r="3606" spans="1:28" x14ac:dyDescent="0.25">
      <c r="A3606" t="s">
        <v>3610</v>
      </c>
      <c r="B3606">
        <v>0.99796759195183404</v>
      </c>
      <c r="C3606">
        <v>1.1381719579698999</v>
      </c>
      <c r="D3606">
        <v>1.1153741266007799</v>
      </c>
      <c r="E3606">
        <v>1.0138815832149799</v>
      </c>
      <c r="F3606">
        <v>0.60779875910592396</v>
      </c>
      <c r="G3606">
        <v>0.40045788537896099</v>
      </c>
      <c r="H3606">
        <v>0.30520132780285297</v>
      </c>
      <c r="I3606">
        <v>0.27130351948492898</v>
      </c>
      <c r="J3606">
        <v>0.22045721278385499</v>
      </c>
      <c r="K3606">
        <v>0.18476273189901299</v>
      </c>
      <c r="L3606">
        <v>1475.09334648871</v>
      </c>
      <c r="M3606">
        <v>29.1800206620184</v>
      </c>
      <c r="N3606">
        <v>51.733261032509098</v>
      </c>
      <c r="O3606">
        <v>50.315851192929003</v>
      </c>
      <c r="P3606">
        <v>-0.10971494163750201</v>
      </c>
      <c r="Q3606">
        <v>0.24326848819980701</v>
      </c>
      <c r="R3606">
        <v>0.96511696207104403</v>
      </c>
      <c r="S3606" t="s">
        <v>9189</v>
      </c>
      <c r="T3606" t="s">
        <v>11164</v>
      </c>
      <c r="U3606" t="s">
        <v>11164</v>
      </c>
      <c r="V3606" t="s">
        <v>11164</v>
      </c>
      <c r="W3606" t="s">
        <v>14727</v>
      </c>
      <c r="X3606">
        <v>4</v>
      </c>
      <c r="Y3606" t="s">
        <v>20206</v>
      </c>
      <c r="Z3606" t="s">
        <v>25756</v>
      </c>
      <c r="AA3606">
        <v>0.59004097938335287</v>
      </c>
      <c r="AB3606" t="str">
        <f>HYPERLINK("Melting_Curves/meltCurve_Q71UI9_H2AFV.pdf", "Melting_Curves/meltCurve_Q71UI9_H2AFV.pdf")</f>
        <v>Melting_Curves/meltCurve_Q71UI9_H2AFV.pdf</v>
      </c>
    </row>
    <row r="3607" spans="1:28" x14ac:dyDescent="0.25">
      <c r="A3607" t="s">
        <v>3611</v>
      </c>
      <c r="B3607">
        <v>0.99796759195183404</v>
      </c>
      <c r="C3607">
        <v>1.12213603509815</v>
      </c>
      <c r="D3607">
        <v>0.97546178716533505</v>
      </c>
      <c r="E3607">
        <v>1.0143408541388801</v>
      </c>
      <c r="F3607">
        <v>0.87423329585239395</v>
      </c>
      <c r="G3607">
        <v>0.65474900233670896</v>
      </c>
      <c r="H3607">
        <v>0.50779845811847402</v>
      </c>
      <c r="I3607">
        <v>0.48652682505607298</v>
      </c>
      <c r="J3607">
        <v>0.31646456735941297</v>
      </c>
      <c r="K3607">
        <v>0.267870732601728</v>
      </c>
      <c r="L3607">
        <v>822.15052760380695</v>
      </c>
      <c r="M3607">
        <v>14.8669431797481</v>
      </c>
      <c r="N3607">
        <v>57.981142851911798</v>
      </c>
      <c r="O3607">
        <v>54.328952397828303</v>
      </c>
      <c r="P3607">
        <v>-5.1414033773546503E-2</v>
      </c>
      <c r="Q3607">
        <v>0.248539948128053</v>
      </c>
      <c r="R3607">
        <v>0.96520295089540997</v>
      </c>
      <c r="S3607" t="s">
        <v>9190</v>
      </c>
      <c r="T3607" t="s">
        <v>11164</v>
      </c>
      <c r="U3607" t="s">
        <v>11164</v>
      </c>
      <c r="V3607" t="s">
        <v>11164</v>
      </c>
      <c r="W3607" t="s">
        <v>14728</v>
      </c>
      <c r="X3607">
        <v>3</v>
      </c>
      <c r="Y3607" t="s">
        <v>20207</v>
      </c>
      <c r="Z3607" t="s">
        <v>25757</v>
      </c>
      <c r="AA3607">
        <v>0.7170146513383997</v>
      </c>
      <c r="AB3607" t="str">
        <f>HYPERLINK("Melting_Curves/meltCurve_Q7KYR7_BTN2A1.pdf", "Melting_Curves/meltCurve_Q7KYR7_BTN2A1.pdf")</f>
        <v>Melting_Curves/meltCurve_Q7KYR7_BTN2A1.pdf</v>
      </c>
    </row>
    <row r="3608" spans="1:28" x14ac:dyDescent="0.25">
      <c r="A3608" t="s">
        <v>3612</v>
      </c>
      <c r="B3608">
        <v>0.99796759195183404</v>
      </c>
      <c r="C3608">
        <v>0.99547654388083895</v>
      </c>
      <c r="D3608">
        <v>0.93188384615487196</v>
      </c>
      <c r="E3608">
        <v>0.85711349235294398</v>
      </c>
      <c r="F3608">
        <v>0.89369369734750304</v>
      </c>
      <c r="G3608">
        <v>0.39321409850891798</v>
      </c>
      <c r="H3608">
        <v>0.24234193481490399</v>
      </c>
      <c r="I3608">
        <v>0.18923363026832099</v>
      </c>
      <c r="J3608">
        <v>0.14162361600508599</v>
      </c>
      <c r="K3608">
        <v>0.13911732253724099</v>
      </c>
      <c r="L3608">
        <v>1759.84478505327</v>
      </c>
      <c r="M3608">
        <v>33.504960417010501</v>
      </c>
      <c r="N3608">
        <v>53.135798654667198</v>
      </c>
      <c r="O3608">
        <v>52.338865621615398</v>
      </c>
      <c r="P3608">
        <v>-0.13445765079503799</v>
      </c>
      <c r="Q3608">
        <v>0.15984629274011</v>
      </c>
      <c r="R3608">
        <v>0.97984737099953001</v>
      </c>
      <c r="S3608" t="s">
        <v>9191</v>
      </c>
      <c r="T3608" t="s">
        <v>11164</v>
      </c>
      <c r="U3608" t="s">
        <v>11164</v>
      </c>
      <c r="V3608" t="s">
        <v>11164</v>
      </c>
      <c r="W3608" t="s">
        <v>14729</v>
      </c>
      <c r="X3608">
        <v>15</v>
      </c>
      <c r="Y3608" t="s">
        <v>20208</v>
      </c>
      <c r="Z3608" t="s">
        <v>25758</v>
      </c>
      <c r="AA3608">
        <v>0.59893286448094663</v>
      </c>
      <c r="AB3608" t="str">
        <f>HYPERLINK("Melting_Curves/meltCurve_Q7KZ85_SUPT6H.pdf", "Melting_Curves/meltCurve_Q7KZ85_SUPT6H.pdf")</f>
        <v>Melting_Curves/meltCurve_Q7KZ85_SUPT6H.pdf</v>
      </c>
    </row>
    <row r="3609" spans="1:28" x14ac:dyDescent="0.25">
      <c r="A3609" t="s">
        <v>3613</v>
      </c>
      <c r="B3609">
        <v>0.99796759195183404</v>
      </c>
      <c r="C3609">
        <v>0.79042324416314202</v>
      </c>
      <c r="D3609">
        <v>1.0729368889359601</v>
      </c>
      <c r="E3609">
        <v>0.93033316541987199</v>
      </c>
      <c r="F3609">
        <v>0.89150384522703496</v>
      </c>
      <c r="G3609">
        <v>0.76100895647018596</v>
      </c>
      <c r="H3609">
        <v>1.2608094168759401</v>
      </c>
      <c r="I3609">
        <v>1.15044243461661</v>
      </c>
      <c r="J3609">
        <v>1.4705159824477301</v>
      </c>
      <c r="K3609">
        <v>1.1570836650629801</v>
      </c>
      <c r="L3609">
        <v>14023.871537556501</v>
      </c>
      <c r="M3609">
        <v>250</v>
      </c>
      <c r="O3609">
        <v>56.091896527715697</v>
      </c>
      <c r="P3609">
        <v>0.28962567420562602</v>
      </c>
      <c r="Q3609">
        <v>1.25993045274433</v>
      </c>
      <c r="R3609">
        <v>0.56480836634145204</v>
      </c>
      <c r="S3609" t="s">
        <v>9192</v>
      </c>
      <c r="T3609" t="s">
        <v>11164</v>
      </c>
      <c r="U3609" t="s">
        <v>11164</v>
      </c>
      <c r="V3609" t="s">
        <v>11164</v>
      </c>
      <c r="W3609" t="s">
        <v>14730</v>
      </c>
      <c r="X3609">
        <v>5</v>
      </c>
      <c r="Y3609" t="s">
        <v>20208</v>
      </c>
      <c r="Z3609" t="s">
        <v>25759</v>
      </c>
      <c r="AA3609">
        <v>1.0944549181009791</v>
      </c>
      <c r="AB3609" t="str">
        <f>HYPERLINK("Melting_Curves/meltCurve_Q7KZ85_2_SUPT6H.pdf", "Melting_Curves/meltCurve_Q7KZ85_2_SUPT6H.pdf")</f>
        <v>Melting_Curves/meltCurve_Q7KZ85_2_SUPT6H.pdf</v>
      </c>
    </row>
    <row r="3610" spans="1:28" x14ac:dyDescent="0.25">
      <c r="A3610" t="s">
        <v>3614</v>
      </c>
      <c r="B3610">
        <v>0.99796759195183404</v>
      </c>
      <c r="C3610">
        <v>1.0342486441979599</v>
      </c>
      <c r="D3610">
        <v>1.0155046420407901</v>
      </c>
      <c r="E3610">
        <v>0.93691925075951699</v>
      </c>
      <c r="F3610">
        <v>0.41016101955043199</v>
      </c>
      <c r="G3610">
        <v>0.217971935309098</v>
      </c>
      <c r="H3610">
        <v>0.169176438399463</v>
      </c>
      <c r="I3610">
        <v>0.14726159623072399</v>
      </c>
      <c r="J3610">
        <v>0.11760036099507699</v>
      </c>
      <c r="K3610">
        <v>8.6004110658196006E-2</v>
      </c>
      <c r="L3610">
        <v>1924.5550072619501</v>
      </c>
      <c r="M3610">
        <v>39.031732490559698</v>
      </c>
      <c r="N3610">
        <v>49.7200464389093</v>
      </c>
      <c r="O3610">
        <v>49.178546074709502</v>
      </c>
      <c r="P3610">
        <v>-0.17096918624886701</v>
      </c>
      <c r="Q3610">
        <v>0.138342403253085</v>
      </c>
      <c r="R3610">
        <v>0.99487392100827898</v>
      </c>
      <c r="S3610" t="s">
        <v>9193</v>
      </c>
      <c r="T3610" t="s">
        <v>11164</v>
      </c>
      <c r="U3610" t="s">
        <v>11164</v>
      </c>
      <c r="V3610" t="s">
        <v>11164</v>
      </c>
      <c r="W3610" t="s">
        <v>14731</v>
      </c>
      <c r="X3610">
        <v>46</v>
      </c>
      <c r="Y3610" t="s">
        <v>20209</v>
      </c>
      <c r="Z3610" t="s">
        <v>25760</v>
      </c>
      <c r="AA3610">
        <v>0.49492003730688322</v>
      </c>
      <c r="AB3610" t="str">
        <f>HYPERLINK("Melting_Curves/meltCurve_Q7KZF4_SND1.pdf", "Melting_Curves/meltCurve_Q7KZF4_SND1.pdf")</f>
        <v>Melting_Curves/meltCurve_Q7KZF4_SND1.pdf</v>
      </c>
    </row>
    <row r="3611" spans="1:28" x14ac:dyDescent="0.25">
      <c r="A3611" t="s">
        <v>3615</v>
      </c>
      <c r="B3611">
        <v>0.99796759195183404</v>
      </c>
      <c r="C3611">
        <v>1.1621006652804899</v>
      </c>
      <c r="D3611">
        <v>1.1892033797464601</v>
      </c>
      <c r="E3611">
        <v>1.0907789285709899</v>
      </c>
      <c r="F3611">
        <v>0.98260279479186496</v>
      </c>
      <c r="G3611">
        <v>0.70741985638829197</v>
      </c>
      <c r="H3611">
        <v>0.73714738737895602</v>
      </c>
      <c r="I3611">
        <v>0.69301184574568797</v>
      </c>
      <c r="J3611">
        <v>0.78068524542218098</v>
      </c>
      <c r="K3611">
        <v>0.37172693556661401</v>
      </c>
      <c r="L3611">
        <v>554.40456658110497</v>
      </c>
      <c r="M3611">
        <v>8.3086511800396607</v>
      </c>
      <c r="N3611">
        <v>66.726184642492896</v>
      </c>
      <c r="O3611">
        <v>63.196117703660903</v>
      </c>
      <c r="P3611">
        <v>-3.2900780401364703E-2</v>
      </c>
      <c r="Q3611">
        <v>0</v>
      </c>
      <c r="R3611">
        <v>0.71656616716477595</v>
      </c>
      <c r="S3611" t="s">
        <v>9194</v>
      </c>
      <c r="T3611" t="s">
        <v>11164</v>
      </c>
      <c r="U3611" t="s">
        <v>11164</v>
      </c>
      <c r="V3611" t="s">
        <v>11164</v>
      </c>
      <c r="W3611" t="s">
        <v>14732</v>
      </c>
      <c r="X3611">
        <v>5</v>
      </c>
      <c r="Y3611" t="s">
        <v>20210</v>
      </c>
      <c r="Z3611" t="s">
        <v>25761</v>
      </c>
      <c r="AA3611">
        <v>0.84868137683955769</v>
      </c>
      <c r="AB3611" t="str">
        <f>HYPERLINK("Melting_Curves/meltCurve_Q7KZN9_2_COX15.pdf", "Melting_Curves/meltCurve_Q7KZN9_2_COX15.pdf")</f>
        <v>Melting_Curves/meltCurve_Q7KZN9_2_COX15.pdf</v>
      </c>
    </row>
    <row r="3612" spans="1:28" x14ac:dyDescent="0.25">
      <c r="A3612" t="s">
        <v>3616</v>
      </c>
      <c r="B3612">
        <v>0.99796759195183404</v>
      </c>
      <c r="C3612">
        <v>0.97740542155974597</v>
      </c>
      <c r="D3612">
        <v>0.97561421875976195</v>
      </c>
      <c r="E3612">
        <v>0.91135659819361203</v>
      </c>
      <c r="F3612">
        <v>0.70542210436540698</v>
      </c>
      <c r="G3612">
        <v>0.18647680320910201</v>
      </c>
      <c r="H3612">
        <v>0.13781127808527199</v>
      </c>
      <c r="I3612">
        <v>0.101976055179472</v>
      </c>
      <c r="J3612">
        <v>7.7981263673641693E-2</v>
      </c>
      <c r="K3612">
        <v>6.2159411951917598E-2</v>
      </c>
      <c r="L3612">
        <v>1831.53662184773</v>
      </c>
      <c r="M3612">
        <v>35.839560944481597</v>
      </c>
      <c r="N3612">
        <v>51.369747197535702</v>
      </c>
      <c r="O3612">
        <v>50.945448020137803</v>
      </c>
      <c r="P3612">
        <v>-0.160978601319238</v>
      </c>
      <c r="Q3612">
        <v>8.4687402937093606E-2</v>
      </c>
      <c r="R3612">
        <v>0.99519095223312104</v>
      </c>
      <c r="S3612" t="s">
        <v>9195</v>
      </c>
      <c r="T3612" t="s">
        <v>11164</v>
      </c>
      <c r="U3612" t="s">
        <v>11164</v>
      </c>
      <c r="V3612" t="s">
        <v>11164</v>
      </c>
      <c r="W3612" t="s">
        <v>14733</v>
      </c>
      <c r="X3612">
        <v>44</v>
      </c>
      <c r="Y3612" t="s">
        <v>20211</v>
      </c>
      <c r="Z3612" t="s">
        <v>25762</v>
      </c>
      <c r="AA3612">
        <v>0.51902046393239276</v>
      </c>
      <c r="AB3612" t="str">
        <f>HYPERLINK("Melting_Curves/meltCurve_Q7L014_DDX46.pdf", "Melting_Curves/meltCurve_Q7L014_DDX46.pdf")</f>
        <v>Melting_Curves/meltCurve_Q7L014_DDX46.pdf</v>
      </c>
    </row>
    <row r="3613" spans="1:28" x14ac:dyDescent="0.25">
      <c r="A3613" t="s">
        <v>3617</v>
      </c>
      <c r="B3613">
        <v>0.99796759195183404</v>
      </c>
      <c r="C3613">
        <v>0.97830297910945896</v>
      </c>
      <c r="D3613">
        <v>0.95942683905616499</v>
      </c>
      <c r="E3613">
        <v>0.94569678052845696</v>
      </c>
      <c r="F3613">
        <v>0.81680723335744498</v>
      </c>
      <c r="G3613">
        <v>0.40403036655345798</v>
      </c>
      <c r="H3613">
        <v>0.237901739958297</v>
      </c>
      <c r="I3613">
        <v>0.21072126458021301</v>
      </c>
      <c r="J3613">
        <v>0.140429759882401</v>
      </c>
      <c r="K3613">
        <v>0.108902495409191</v>
      </c>
      <c r="L3613">
        <v>1365.9243233582199</v>
      </c>
      <c r="M3613">
        <v>26.0735534308049</v>
      </c>
      <c r="N3613">
        <v>53.073520739078397</v>
      </c>
      <c r="O3613">
        <v>52.082099321016997</v>
      </c>
      <c r="P3613">
        <v>-0.10724987684564199</v>
      </c>
      <c r="Q3613">
        <v>0.143080333015287</v>
      </c>
      <c r="R3613">
        <v>0.99446952127523702</v>
      </c>
      <c r="S3613" t="s">
        <v>9196</v>
      </c>
      <c r="T3613" t="s">
        <v>11164</v>
      </c>
      <c r="U3613" t="s">
        <v>11164</v>
      </c>
      <c r="V3613" t="s">
        <v>11164</v>
      </c>
      <c r="W3613" t="s">
        <v>14734</v>
      </c>
      <c r="X3613">
        <v>14</v>
      </c>
      <c r="Y3613" t="s">
        <v>20212</v>
      </c>
      <c r="Z3613" t="s">
        <v>25763</v>
      </c>
      <c r="AA3613">
        <v>0.58964610888765023</v>
      </c>
      <c r="AB3613" t="str">
        <f>HYPERLINK("Melting_Curves/meltCurve_Q7L099_4_RUFY3.pdf", "Melting_Curves/meltCurve_Q7L099_4_RUFY3.pdf")</f>
        <v>Melting_Curves/meltCurve_Q7L099_4_RUFY3.pdf</v>
      </c>
    </row>
    <row r="3614" spans="1:28" x14ac:dyDescent="0.25">
      <c r="A3614" t="s">
        <v>3618</v>
      </c>
      <c r="B3614">
        <v>0.99796759195183404</v>
      </c>
      <c r="C3614">
        <v>0.82914085819968297</v>
      </c>
      <c r="D3614">
        <v>0.825890409544906</v>
      </c>
      <c r="E3614">
        <v>1.0677498400940499</v>
      </c>
      <c r="F3614">
        <v>1.1226070503189101</v>
      </c>
      <c r="G3614">
        <v>1.33921314058614</v>
      </c>
      <c r="H3614">
        <v>1.2718847702017499</v>
      </c>
      <c r="I3614">
        <v>1.0568485630778299</v>
      </c>
      <c r="J3614">
        <v>1.23549724302913</v>
      </c>
      <c r="K3614">
        <v>1.00017884589874</v>
      </c>
      <c r="L3614">
        <v>2381.81519301353</v>
      </c>
      <c r="M3614">
        <v>50.339390905429099</v>
      </c>
      <c r="O3614">
        <v>47.240648815638998</v>
      </c>
      <c r="P3614">
        <v>4.6199022878843997E-2</v>
      </c>
      <c r="Q3614">
        <v>1.17342044522816</v>
      </c>
      <c r="R3614">
        <v>0.45912667727179401</v>
      </c>
      <c r="S3614" t="s">
        <v>9197</v>
      </c>
      <c r="T3614" t="s">
        <v>11164</v>
      </c>
      <c r="U3614" t="s">
        <v>11164</v>
      </c>
      <c r="V3614" t="s">
        <v>11164</v>
      </c>
      <c r="W3614" t="s">
        <v>14735</v>
      </c>
      <c r="X3614">
        <v>3</v>
      </c>
      <c r="Y3614" t="s">
        <v>20213</v>
      </c>
      <c r="Z3614" t="s">
        <v>25764</v>
      </c>
      <c r="AA3614">
        <v>1.1134348701737591</v>
      </c>
      <c r="AB3614" t="str">
        <f>HYPERLINK("Melting_Curves/meltCurve_Q7L0J3_2_SV2A.pdf", "Melting_Curves/meltCurve_Q7L0J3_2_SV2A.pdf")</f>
        <v>Melting_Curves/meltCurve_Q7L0J3_2_SV2A.pdf</v>
      </c>
    </row>
    <row r="3615" spans="1:28" x14ac:dyDescent="0.25">
      <c r="A3615" t="s">
        <v>3619</v>
      </c>
      <c r="B3615">
        <v>0.99796759195183404</v>
      </c>
      <c r="C3615">
        <v>1.0784143128196599</v>
      </c>
      <c r="D3615">
        <v>1.0292479842631399</v>
      </c>
      <c r="E3615">
        <v>0.94994543374918605</v>
      </c>
      <c r="F3615">
        <v>0.93778616311688101</v>
      </c>
      <c r="G3615">
        <v>0.89840950717045098</v>
      </c>
      <c r="H3615">
        <v>0.24673277805041</v>
      </c>
      <c r="I3615">
        <v>0.18327635739451101</v>
      </c>
      <c r="J3615">
        <v>0.18946873597587599</v>
      </c>
      <c r="K3615">
        <v>0.16383190835841599</v>
      </c>
      <c r="L3615">
        <v>3705.4975035487601</v>
      </c>
      <c r="M3615">
        <v>66.931094459063999</v>
      </c>
      <c r="N3615">
        <v>55.729138254329797</v>
      </c>
      <c r="O3615">
        <v>55.313487637874303</v>
      </c>
      <c r="P3615">
        <v>-0.248678082709644</v>
      </c>
      <c r="Q3615">
        <v>0.17794537150537099</v>
      </c>
      <c r="R3615">
        <v>0.99096851433533595</v>
      </c>
      <c r="S3615" t="s">
        <v>9198</v>
      </c>
      <c r="T3615" t="s">
        <v>11164</v>
      </c>
      <c r="U3615" t="s">
        <v>11164</v>
      </c>
      <c r="V3615" t="s">
        <v>11164</v>
      </c>
      <c r="W3615" t="s">
        <v>14736</v>
      </c>
      <c r="X3615">
        <v>6</v>
      </c>
      <c r="Y3615" t="s">
        <v>20214</v>
      </c>
      <c r="Z3615" t="s">
        <v>25765</v>
      </c>
      <c r="AA3615">
        <v>0.68223869988130104</v>
      </c>
      <c r="AB3615" t="str">
        <f>HYPERLINK("Melting_Curves/meltCurve_Q7L0Y3_TRMT10C.pdf", "Melting_Curves/meltCurve_Q7L0Y3_TRMT10C.pdf")</f>
        <v>Melting_Curves/meltCurve_Q7L0Y3_TRMT10C.pdf</v>
      </c>
    </row>
    <row r="3616" spans="1:28" x14ac:dyDescent="0.25">
      <c r="A3616" t="s">
        <v>3620</v>
      </c>
      <c r="B3616">
        <v>0.99796759195183404</v>
      </c>
      <c r="C3616">
        <v>0.91941080753117899</v>
      </c>
      <c r="D3616">
        <v>0.87399103664282496</v>
      </c>
      <c r="E3616">
        <v>0.90104745358009697</v>
      </c>
      <c r="F3616">
        <v>0.70852035854331197</v>
      </c>
      <c r="G3616">
        <v>0.20606014908985501</v>
      </c>
      <c r="H3616">
        <v>0.144758808447493</v>
      </c>
      <c r="I3616">
        <v>0.120173250422848</v>
      </c>
      <c r="J3616">
        <v>9.0150911968704506E-2</v>
      </c>
      <c r="K3616">
        <v>6.7743434189727197E-2</v>
      </c>
      <c r="L3616">
        <v>1652.3156478114499</v>
      </c>
      <c r="M3616">
        <v>32.317166252542698</v>
      </c>
      <c r="N3616">
        <v>51.450313040729696</v>
      </c>
      <c r="O3616">
        <v>50.933534866809602</v>
      </c>
      <c r="P3616">
        <v>-0.14409325513628299</v>
      </c>
      <c r="Q3616">
        <v>9.1610574496862704E-2</v>
      </c>
      <c r="R3616">
        <v>0.97980491236613299</v>
      </c>
      <c r="S3616" t="s">
        <v>9199</v>
      </c>
      <c r="T3616" t="s">
        <v>11164</v>
      </c>
      <c r="U3616" t="s">
        <v>11164</v>
      </c>
      <c r="V3616" t="s">
        <v>11164</v>
      </c>
      <c r="W3616" t="s">
        <v>14737</v>
      </c>
      <c r="X3616">
        <v>16</v>
      </c>
      <c r="Y3616" t="s">
        <v>20215</v>
      </c>
      <c r="Z3616" t="s">
        <v>25766</v>
      </c>
      <c r="AA3616">
        <v>0.52430555995015848</v>
      </c>
      <c r="AB3616" t="str">
        <f>HYPERLINK("Melting_Curves/meltCurve_Q7L1Q6_BZW1.pdf", "Melting_Curves/meltCurve_Q7L1Q6_BZW1.pdf")</f>
        <v>Melting_Curves/meltCurve_Q7L1Q6_BZW1.pdf</v>
      </c>
    </row>
    <row r="3617" spans="1:28" x14ac:dyDescent="0.25">
      <c r="A3617" t="s">
        <v>3621</v>
      </c>
      <c r="B3617">
        <v>0.99796759195183404</v>
      </c>
      <c r="C3617">
        <v>0.93260484171844604</v>
      </c>
      <c r="D3617">
        <v>0.89792070945165203</v>
      </c>
      <c r="E3617">
        <v>0.97951926424052305</v>
      </c>
      <c r="F3617">
        <v>0.82977328724094901</v>
      </c>
      <c r="G3617">
        <v>0.50222781527291505</v>
      </c>
      <c r="H3617">
        <v>0.319144119354491</v>
      </c>
      <c r="I3617">
        <v>0.19074883639662399</v>
      </c>
      <c r="J3617">
        <v>0.13338620690871</v>
      </c>
      <c r="K3617">
        <v>6.46731504174866E-2</v>
      </c>
      <c r="L3617">
        <v>945.80472029667806</v>
      </c>
      <c r="M3617">
        <v>17.5330765986815</v>
      </c>
      <c r="N3617">
        <v>54.365908009048098</v>
      </c>
      <c r="O3617">
        <v>53.256958018134704</v>
      </c>
      <c r="P3617">
        <v>-7.7073508058934495E-2</v>
      </c>
      <c r="Q3617">
        <v>6.3603946452530202E-2</v>
      </c>
      <c r="R3617">
        <v>0.98633477563216199</v>
      </c>
      <c r="S3617" t="s">
        <v>9200</v>
      </c>
      <c r="T3617" t="s">
        <v>11164</v>
      </c>
      <c r="U3617" t="s">
        <v>11164</v>
      </c>
      <c r="V3617" t="s">
        <v>11164</v>
      </c>
      <c r="W3617" t="s">
        <v>14738</v>
      </c>
      <c r="X3617">
        <v>2</v>
      </c>
      <c r="Y3617" t="s">
        <v>20216</v>
      </c>
      <c r="Z3617" t="s">
        <v>25767</v>
      </c>
      <c r="AA3617">
        <v>0.60574560263135691</v>
      </c>
      <c r="AB3617" t="str">
        <f>HYPERLINK("Melting_Curves/meltCurve_Q7L1T6_CYB5R4.pdf", "Melting_Curves/meltCurve_Q7L1T6_CYB5R4.pdf")</f>
        <v>Melting_Curves/meltCurve_Q7L1T6_CYB5R4.pdf</v>
      </c>
    </row>
    <row r="3618" spans="1:28" x14ac:dyDescent="0.25">
      <c r="A3618" t="s">
        <v>3622</v>
      </c>
      <c r="B3618">
        <v>0.99796759195183404</v>
      </c>
      <c r="C3618">
        <v>1.0188112356254899</v>
      </c>
      <c r="D3618">
        <v>0.92450485166548202</v>
      </c>
      <c r="E3618">
        <v>0.87066195052621898</v>
      </c>
      <c r="F3618">
        <v>0.77604268606495797</v>
      </c>
      <c r="G3618">
        <v>0.55782468779222705</v>
      </c>
      <c r="H3618">
        <v>0.50014083170590395</v>
      </c>
      <c r="I3618">
        <v>0.37846038992339498</v>
      </c>
      <c r="J3618">
        <v>0.37750516997214101</v>
      </c>
      <c r="K3618">
        <v>0.295604740861381</v>
      </c>
      <c r="L3618">
        <v>607.98688659805498</v>
      </c>
      <c r="M3618">
        <v>11.4546550271986</v>
      </c>
      <c r="N3618">
        <v>56.5975092975835</v>
      </c>
      <c r="O3618">
        <v>51.537298663494397</v>
      </c>
      <c r="P3618">
        <v>-4.14211607829401E-2</v>
      </c>
      <c r="Q3618">
        <v>0.25475943117151001</v>
      </c>
      <c r="R3618">
        <v>0.99008052076409503</v>
      </c>
      <c r="S3618" t="s">
        <v>9201</v>
      </c>
      <c r="T3618" t="s">
        <v>11164</v>
      </c>
      <c r="U3618" t="s">
        <v>11164</v>
      </c>
      <c r="V3618" t="s">
        <v>11164</v>
      </c>
      <c r="W3618" t="s">
        <v>14739</v>
      </c>
      <c r="X3618">
        <v>4</v>
      </c>
      <c r="Y3618" t="s">
        <v>20217</v>
      </c>
      <c r="Z3618" t="s">
        <v>25768</v>
      </c>
      <c r="AA3618">
        <v>0.6700194615252012</v>
      </c>
      <c r="AB3618" t="str">
        <f>HYPERLINK("Melting_Curves/meltCurve_Q7L266_ASRGL1.pdf", "Melting_Curves/meltCurve_Q7L266_ASRGL1.pdf")</f>
        <v>Melting_Curves/meltCurve_Q7L266_ASRGL1.pdf</v>
      </c>
    </row>
    <row r="3619" spans="1:28" x14ac:dyDescent="0.25">
      <c r="A3619" t="s">
        <v>3623</v>
      </c>
      <c r="B3619">
        <v>0.99796759195183404</v>
      </c>
      <c r="C3619">
        <v>0.95254114183691896</v>
      </c>
      <c r="D3619">
        <v>0.83205953282689504</v>
      </c>
      <c r="E3619">
        <v>0.93107472108519596</v>
      </c>
      <c r="F3619">
        <v>0.679680250846875</v>
      </c>
      <c r="G3619">
        <v>0.91031796236542695</v>
      </c>
      <c r="H3619">
        <v>0.59665757314490797</v>
      </c>
      <c r="I3619">
        <v>0.32023365234210199</v>
      </c>
      <c r="J3619">
        <v>0.118403816023758</v>
      </c>
      <c r="K3619">
        <v>7.2451803400386705E-2</v>
      </c>
      <c r="L3619">
        <v>952.93373531702002</v>
      </c>
      <c r="M3619">
        <v>16.376782727678599</v>
      </c>
      <c r="N3619">
        <v>58.1880921156135</v>
      </c>
      <c r="O3619">
        <v>57.341230003373802</v>
      </c>
      <c r="P3619">
        <v>-7.1405666727524894E-2</v>
      </c>
      <c r="Q3619">
        <v>0</v>
      </c>
      <c r="R3619">
        <v>0.89646710464329704</v>
      </c>
      <c r="S3619" t="s">
        <v>9202</v>
      </c>
      <c r="T3619" t="s">
        <v>11164</v>
      </c>
      <c r="U3619" t="s">
        <v>11164</v>
      </c>
      <c r="V3619" t="s">
        <v>11164</v>
      </c>
      <c r="W3619" t="s">
        <v>14740</v>
      </c>
      <c r="X3619">
        <v>2</v>
      </c>
      <c r="Y3619" t="s">
        <v>20218</v>
      </c>
      <c r="Z3619" t="s">
        <v>25769</v>
      </c>
      <c r="AA3619">
        <v>0.71096533415428476</v>
      </c>
      <c r="AB3619" t="str">
        <f>HYPERLINK("Melting_Curves/meltCurve_Q7L273_KCTD9.pdf", "Melting_Curves/meltCurve_Q7L273_KCTD9.pdf")</f>
        <v>Melting_Curves/meltCurve_Q7L273_KCTD9.pdf</v>
      </c>
    </row>
    <row r="3620" spans="1:28" x14ac:dyDescent="0.25">
      <c r="A3620" t="s">
        <v>3624</v>
      </c>
      <c r="B3620">
        <v>0.99796759195183404</v>
      </c>
      <c r="C3620">
        <v>0.92759565829998503</v>
      </c>
      <c r="D3620">
        <v>0.894103983426911</v>
      </c>
      <c r="E3620">
        <v>0.74228677865374904</v>
      </c>
      <c r="F3620">
        <v>0.83491298634042299</v>
      </c>
      <c r="G3620">
        <v>0.78282362740185196</v>
      </c>
      <c r="H3620">
        <v>0.30731501155316099</v>
      </c>
      <c r="I3620">
        <v>0.250060121030099</v>
      </c>
      <c r="J3620">
        <v>0.161735463208661</v>
      </c>
      <c r="K3620">
        <v>0.139268695820465</v>
      </c>
      <c r="L3620">
        <v>655.57448939410801</v>
      </c>
      <c r="M3620">
        <v>11.7415728486164</v>
      </c>
      <c r="N3620">
        <v>55.833617724701398</v>
      </c>
      <c r="O3620">
        <v>54.2878790182085</v>
      </c>
      <c r="P3620">
        <v>-5.4085058470902503E-2</v>
      </c>
      <c r="Q3620">
        <v>0</v>
      </c>
      <c r="R3620">
        <v>0.92130887034684705</v>
      </c>
      <c r="S3620" t="s">
        <v>9203</v>
      </c>
      <c r="T3620" t="s">
        <v>11164</v>
      </c>
      <c r="U3620" t="s">
        <v>11164</v>
      </c>
      <c r="V3620" t="s">
        <v>11164</v>
      </c>
      <c r="W3620" t="s">
        <v>14741</v>
      </c>
      <c r="X3620">
        <v>6</v>
      </c>
      <c r="Y3620" t="s">
        <v>20219</v>
      </c>
      <c r="Z3620" t="s">
        <v>25770</v>
      </c>
      <c r="AA3620">
        <v>0.63806650949253596</v>
      </c>
      <c r="AB3620" t="str">
        <f>HYPERLINK("Melting_Curves/meltCurve_Q7L2H7_EIF3M.pdf", "Melting_Curves/meltCurve_Q7L2H7_EIF3M.pdf")</f>
        <v>Melting_Curves/meltCurve_Q7L2H7_EIF3M.pdf</v>
      </c>
    </row>
    <row r="3621" spans="1:28" x14ac:dyDescent="0.25">
      <c r="A3621" t="s">
        <v>3625</v>
      </c>
      <c r="B3621">
        <v>0.99796759195183404</v>
      </c>
      <c r="C3621">
        <v>1.0107872677010601</v>
      </c>
      <c r="D3621">
        <v>0.92508289148501899</v>
      </c>
      <c r="E3621">
        <v>0.83113332199492296</v>
      </c>
      <c r="F3621">
        <v>0.61659569720936203</v>
      </c>
      <c r="G3621">
        <v>0.42323311988809398</v>
      </c>
      <c r="H3621">
        <v>0.26614943075223002</v>
      </c>
      <c r="I3621">
        <v>0.24295072297359399</v>
      </c>
      <c r="J3621">
        <v>0.19742949736488299</v>
      </c>
      <c r="K3621">
        <v>0.20335878287571099</v>
      </c>
      <c r="L3621">
        <v>779.00843671923406</v>
      </c>
      <c r="M3621">
        <v>15.3851539280203</v>
      </c>
      <c r="N3621">
        <v>52.088808304599098</v>
      </c>
      <c r="O3621">
        <v>49.801468301398003</v>
      </c>
      <c r="P3621">
        <v>-6.3748254565890297E-2</v>
      </c>
      <c r="Q3621">
        <v>0.17466764924382699</v>
      </c>
      <c r="R3621">
        <v>0.99794064703390495</v>
      </c>
      <c r="S3621" t="s">
        <v>9204</v>
      </c>
      <c r="T3621" t="s">
        <v>11164</v>
      </c>
      <c r="U3621" t="s">
        <v>11164</v>
      </c>
      <c r="V3621" t="s">
        <v>11164</v>
      </c>
      <c r="W3621" t="s">
        <v>14742</v>
      </c>
      <c r="X3621">
        <v>13</v>
      </c>
      <c r="Y3621" t="s">
        <v>20220</v>
      </c>
      <c r="Z3621" t="s">
        <v>25771</v>
      </c>
      <c r="AA3621">
        <v>0.56603561555466031</v>
      </c>
      <c r="AB3621" t="str">
        <f>HYPERLINK("Melting_Curves/meltCurve_Q7L2J0_MEPCE.pdf", "Melting_Curves/meltCurve_Q7L2J0_MEPCE.pdf")</f>
        <v>Melting_Curves/meltCurve_Q7L2J0_MEPCE.pdf</v>
      </c>
    </row>
    <row r="3622" spans="1:28" x14ac:dyDescent="0.25">
      <c r="A3622" t="s">
        <v>3626</v>
      </c>
      <c r="B3622">
        <v>0.99796759195183404</v>
      </c>
      <c r="C3622">
        <v>1.38943805254925</v>
      </c>
      <c r="D3622">
        <v>1.2793079089017401</v>
      </c>
      <c r="E3622">
        <v>1.6016308845303699</v>
      </c>
      <c r="F3622">
        <v>1.16512018706704</v>
      </c>
      <c r="G3622">
        <v>0.877863234600467</v>
      </c>
      <c r="H3622">
        <v>0.62827289602425795</v>
      </c>
      <c r="I3622">
        <v>0.45231918387598302</v>
      </c>
      <c r="J3622">
        <v>0.48432626921202898</v>
      </c>
      <c r="K3622">
        <v>0.32688179916267701</v>
      </c>
      <c r="L3622">
        <v>1953.7138702403699</v>
      </c>
      <c r="M3622">
        <v>34.545740154132503</v>
      </c>
      <c r="N3622">
        <v>59.339227210351403</v>
      </c>
      <c r="O3622">
        <v>56.3659038921218</v>
      </c>
      <c r="P3622">
        <v>-9.1752989095236007E-2</v>
      </c>
      <c r="Q3622">
        <v>0.40117410466779002</v>
      </c>
      <c r="R3622">
        <v>0.63274874164305195</v>
      </c>
      <c r="S3622" t="s">
        <v>9205</v>
      </c>
      <c r="T3622" t="s">
        <v>11164</v>
      </c>
      <c r="U3622" t="s">
        <v>11164</v>
      </c>
      <c r="V3622" t="s">
        <v>11164</v>
      </c>
      <c r="W3622" t="s">
        <v>14743</v>
      </c>
      <c r="X3622">
        <v>4</v>
      </c>
      <c r="Y3622" t="s">
        <v>20221</v>
      </c>
      <c r="Z3622" t="s">
        <v>25772</v>
      </c>
      <c r="AA3622">
        <v>0.79442020481599029</v>
      </c>
      <c r="AB3622" t="str">
        <f>HYPERLINK("Melting_Curves/meltCurve_Q7L3S4_ZNF771.pdf", "Melting_Curves/meltCurve_Q7L3S4_ZNF771.pdf")</f>
        <v>Melting_Curves/meltCurve_Q7L3S4_ZNF771.pdf</v>
      </c>
    </row>
    <row r="3623" spans="1:28" x14ac:dyDescent="0.25">
      <c r="A3623" t="s">
        <v>3627</v>
      </c>
      <c r="B3623">
        <v>0.99796759195183404</v>
      </c>
      <c r="C3623">
        <v>1.0626940160226599</v>
      </c>
      <c r="D3623">
        <v>1.0186264697938401</v>
      </c>
      <c r="E3623">
        <v>0.93706200887312896</v>
      </c>
      <c r="F3623">
        <v>0.82643466136895405</v>
      </c>
      <c r="G3623">
        <v>0.55862428154558696</v>
      </c>
      <c r="H3623">
        <v>0.40806321382400701</v>
      </c>
      <c r="I3623">
        <v>0.30990918904383302</v>
      </c>
      <c r="J3623">
        <v>0.23646527983733601</v>
      </c>
      <c r="K3623">
        <v>0.220126555599885</v>
      </c>
      <c r="L3623">
        <v>942.10292517971402</v>
      </c>
      <c r="M3623">
        <v>17.6034527224386</v>
      </c>
      <c r="N3623">
        <v>55.196099557017</v>
      </c>
      <c r="O3623">
        <v>52.841759582860298</v>
      </c>
      <c r="P3623">
        <v>-6.60299899140082E-2</v>
      </c>
      <c r="Q3623">
        <v>0.207211683420196</v>
      </c>
      <c r="R3623">
        <v>0.993543270851039</v>
      </c>
      <c r="S3623" t="s">
        <v>9206</v>
      </c>
      <c r="T3623" t="s">
        <v>11164</v>
      </c>
      <c r="U3623" t="s">
        <v>11164</v>
      </c>
      <c r="V3623" t="s">
        <v>11164</v>
      </c>
      <c r="W3623" t="s">
        <v>14744</v>
      </c>
      <c r="X3623">
        <v>10</v>
      </c>
      <c r="Y3623" t="s">
        <v>20222</v>
      </c>
      <c r="Z3623" t="s">
        <v>25773</v>
      </c>
      <c r="AA3623">
        <v>0.65523525042599007</v>
      </c>
      <c r="AB3623" t="str">
        <f>HYPERLINK("Melting_Curves/meltCurve_Q7L4I2_RSRC2.pdf", "Melting_Curves/meltCurve_Q7L4I2_RSRC2.pdf")</f>
        <v>Melting_Curves/meltCurve_Q7L4I2_RSRC2.pdf</v>
      </c>
    </row>
    <row r="3624" spans="1:28" x14ac:dyDescent="0.25">
      <c r="A3624" t="s">
        <v>3628</v>
      </c>
      <c r="B3624">
        <v>0.99796759195183404</v>
      </c>
      <c r="C3624">
        <v>1.03121109469988</v>
      </c>
      <c r="D3624">
        <v>0.97677638425687696</v>
      </c>
      <c r="E3624">
        <v>0.93207824196421796</v>
      </c>
      <c r="F3624">
        <v>0.89214222991693404</v>
      </c>
      <c r="G3624">
        <v>0.72458698705717794</v>
      </c>
      <c r="H3624">
        <v>0.551521929532096</v>
      </c>
      <c r="I3624">
        <v>0.50248713982300197</v>
      </c>
      <c r="J3624">
        <v>0.50785679085867597</v>
      </c>
      <c r="K3624">
        <v>0.360760676506511</v>
      </c>
      <c r="L3624">
        <v>780.42942212732498</v>
      </c>
      <c r="M3624">
        <v>14.248255180427201</v>
      </c>
      <c r="N3624">
        <v>60.527606826449301</v>
      </c>
      <c r="O3624">
        <v>53.7286197992957</v>
      </c>
      <c r="P3624">
        <v>-4.1708881278955397E-2</v>
      </c>
      <c r="Q3624">
        <v>0.37095912066786701</v>
      </c>
      <c r="R3624">
        <v>0.98001409938053896</v>
      </c>
      <c r="S3624" t="s">
        <v>9207</v>
      </c>
      <c r="T3624" t="s">
        <v>11164</v>
      </c>
      <c r="U3624" t="s">
        <v>11164</v>
      </c>
      <c r="V3624" t="s">
        <v>11164</v>
      </c>
      <c r="W3624" t="s">
        <v>14745</v>
      </c>
      <c r="X3624">
        <v>5</v>
      </c>
      <c r="Y3624" t="s">
        <v>20223</v>
      </c>
      <c r="Z3624" t="s">
        <v>25774</v>
      </c>
      <c r="AA3624">
        <v>0.75302667345459207</v>
      </c>
      <c r="AB3624" t="str">
        <f>HYPERLINK("Melting_Curves/meltCurve_Q7L523_RRAGA.pdf", "Melting_Curves/meltCurve_Q7L523_RRAGA.pdf")</f>
        <v>Melting_Curves/meltCurve_Q7L523_RRAGA.pdf</v>
      </c>
    </row>
    <row r="3625" spans="1:28" x14ac:dyDescent="0.25">
      <c r="A3625" t="s">
        <v>3629</v>
      </c>
      <c r="B3625">
        <v>0.99796759195183404</v>
      </c>
      <c r="C3625">
        <v>0.96985425075146203</v>
      </c>
      <c r="D3625">
        <v>0.97592824600666495</v>
      </c>
      <c r="E3625">
        <v>0.89096999238486596</v>
      </c>
      <c r="F3625">
        <v>0.71892502666992497</v>
      </c>
      <c r="G3625">
        <v>0.28241706855736398</v>
      </c>
      <c r="H3625">
        <v>0.220522724631359</v>
      </c>
      <c r="I3625">
        <v>0.150016186189422</v>
      </c>
      <c r="J3625">
        <v>0.106287448663412</v>
      </c>
      <c r="K3625">
        <v>0.100593160443554</v>
      </c>
      <c r="L3625">
        <v>1250.9951910971799</v>
      </c>
      <c r="M3625">
        <v>24.361790273691799</v>
      </c>
      <c r="N3625">
        <v>51.901795975615599</v>
      </c>
      <c r="O3625">
        <v>51.008457656757599</v>
      </c>
      <c r="P3625">
        <v>-0.10579523633834299</v>
      </c>
      <c r="Q3625">
        <v>0.113961441134921</v>
      </c>
      <c r="R3625">
        <v>0.993189684173716</v>
      </c>
      <c r="S3625" t="s">
        <v>9208</v>
      </c>
      <c r="T3625" t="s">
        <v>11164</v>
      </c>
      <c r="U3625" t="s">
        <v>11164</v>
      </c>
      <c r="V3625" t="s">
        <v>11164</v>
      </c>
      <c r="W3625" t="s">
        <v>14746</v>
      </c>
      <c r="X3625">
        <v>5</v>
      </c>
      <c r="Y3625" t="s">
        <v>20224</v>
      </c>
      <c r="Z3625" t="s">
        <v>25775</v>
      </c>
      <c r="AA3625">
        <v>0.54601685236161057</v>
      </c>
      <c r="AB3625" t="str">
        <f>HYPERLINK("Melting_Curves/meltCurve_Q7L592_NDUFAF7.pdf", "Melting_Curves/meltCurve_Q7L592_NDUFAF7.pdf")</f>
        <v>Melting_Curves/meltCurve_Q7L592_NDUFAF7.pdf</v>
      </c>
    </row>
    <row r="3626" spans="1:28" x14ac:dyDescent="0.25">
      <c r="A3626" t="s">
        <v>3630</v>
      </c>
      <c r="B3626">
        <v>0.99796759195183404</v>
      </c>
      <c r="C3626">
        <v>0.96033426402189703</v>
      </c>
      <c r="D3626">
        <v>0.942637454228334</v>
      </c>
      <c r="E3626">
        <v>0.99195371678678002</v>
      </c>
      <c r="F3626">
        <v>0.98766852952086104</v>
      </c>
      <c r="G3626">
        <v>0.61695751595844395</v>
      </c>
      <c r="H3626">
        <v>0.27949605053029097</v>
      </c>
      <c r="I3626">
        <v>0.19477821903263501</v>
      </c>
      <c r="J3626">
        <v>0.18849517763750701</v>
      </c>
      <c r="K3626">
        <v>7.4120894901768403E-2</v>
      </c>
      <c r="L3626">
        <v>1767.91900327915</v>
      </c>
      <c r="M3626">
        <v>32.554574730209801</v>
      </c>
      <c r="N3626">
        <v>54.873515393465297</v>
      </c>
      <c r="O3626">
        <v>54.102626552736503</v>
      </c>
      <c r="P3626">
        <v>-0.12893886335516699</v>
      </c>
      <c r="Q3626">
        <v>0.14286719940665399</v>
      </c>
      <c r="R3626">
        <v>0.98968442038028703</v>
      </c>
      <c r="S3626" t="s">
        <v>9209</v>
      </c>
      <c r="T3626" t="s">
        <v>11164</v>
      </c>
      <c r="U3626" t="s">
        <v>11164</v>
      </c>
      <c r="V3626" t="s">
        <v>11164</v>
      </c>
      <c r="W3626" t="s">
        <v>14747</v>
      </c>
      <c r="X3626">
        <v>3</v>
      </c>
      <c r="Y3626" t="s">
        <v>20225</v>
      </c>
      <c r="Z3626" t="s">
        <v>25776</v>
      </c>
      <c r="AA3626">
        <v>0.64204383850055546</v>
      </c>
      <c r="AB3626" t="str">
        <f>HYPERLINK("Melting_Curves/meltCurve_Q7L5N7_LPCAT2.pdf", "Melting_Curves/meltCurve_Q7L5N7_LPCAT2.pdf")</f>
        <v>Melting_Curves/meltCurve_Q7L5N7_LPCAT2.pdf</v>
      </c>
    </row>
    <row r="3627" spans="1:28" x14ac:dyDescent="0.25">
      <c r="A3627" t="s">
        <v>3631</v>
      </c>
      <c r="B3627">
        <v>0.99796759195183404</v>
      </c>
      <c r="C3627">
        <v>0.96362383078837999</v>
      </c>
      <c r="D3627">
        <v>0.91499479104262704</v>
      </c>
      <c r="E3627">
        <v>0.90320920286069994</v>
      </c>
      <c r="F3627">
        <v>0.83782890303928803</v>
      </c>
      <c r="G3627">
        <v>0.63428468497425605</v>
      </c>
      <c r="H3627">
        <v>0.53648165370884604</v>
      </c>
      <c r="I3627">
        <v>0.44975738169123802</v>
      </c>
      <c r="J3627">
        <v>0.30031475681935299</v>
      </c>
      <c r="K3627">
        <v>0.18548278401023399</v>
      </c>
      <c r="L3627">
        <v>521.95782305203102</v>
      </c>
      <c r="M3627">
        <v>8.9774127357598204</v>
      </c>
      <c r="N3627">
        <v>58.141215094269803</v>
      </c>
      <c r="O3627">
        <v>55.473640208883999</v>
      </c>
      <c r="P3627">
        <v>-4.0487674188023799E-2</v>
      </c>
      <c r="Q3627">
        <v>0</v>
      </c>
      <c r="R3627">
        <v>0.98679806735919395</v>
      </c>
      <c r="S3627" t="s">
        <v>9210</v>
      </c>
      <c r="T3627" t="s">
        <v>11164</v>
      </c>
      <c r="U3627" t="s">
        <v>11164</v>
      </c>
      <c r="V3627" t="s">
        <v>11164</v>
      </c>
      <c r="W3627" t="s">
        <v>14748</v>
      </c>
      <c r="X3627">
        <v>8</v>
      </c>
      <c r="Y3627" t="s">
        <v>20226</v>
      </c>
      <c r="Z3627" t="s">
        <v>25777</v>
      </c>
      <c r="AA3627">
        <v>0.6893239456617638</v>
      </c>
      <c r="AB3627" t="str">
        <f>HYPERLINK("Melting_Curves/meltCurve_Q7L5Y1_ENOSF1.pdf", "Melting_Curves/meltCurve_Q7L5Y1_ENOSF1.pdf")</f>
        <v>Melting_Curves/meltCurve_Q7L5Y1_ENOSF1.pdf</v>
      </c>
    </row>
    <row r="3628" spans="1:28" x14ac:dyDescent="0.25">
      <c r="A3628" t="s">
        <v>3632</v>
      </c>
      <c r="B3628">
        <v>0.99796759195183404</v>
      </c>
      <c r="C3628">
        <v>0.90088900137566197</v>
      </c>
      <c r="D3628">
        <v>0.91375154845696505</v>
      </c>
      <c r="E3628">
        <v>0.74603825910884602</v>
      </c>
      <c r="F3628">
        <v>0.54905200935690701</v>
      </c>
      <c r="G3628">
        <v>0.26896260002205102</v>
      </c>
      <c r="H3628">
        <v>0.25181383980078398</v>
      </c>
      <c r="I3628">
        <v>0.19094242791774599</v>
      </c>
      <c r="J3628">
        <v>0.15150389165664799</v>
      </c>
      <c r="K3628">
        <v>0.153424582080887</v>
      </c>
      <c r="L3628">
        <v>715.13956336026001</v>
      </c>
      <c r="M3628">
        <v>14.4862515811073</v>
      </c>
      <c r="N3628">
        <v>50.402973867853397</v>
      </c>
      <c r="O3628">
        <v>48.454633176508203</v>
      </c>
      <c r="P3628">
        <v>-6.5123769823035499E-2</v>
      </c>
      <c r="Q3628">
        <v>0.128778615052731</v>
      </c>
      <c r="R3628">
        <v>0.98977963240482303</v>
      </c>
      <c r="S3628" t="s">
        <v>9211</v>
      </c>
      <c r="T3628" t="s">
        <v>11164</v>
      </c>
      <c r="U3628" t="s">
        <v>11164</v>
      </c>
      <c r="V3628" t="s">
        <v>11164</v>
      </c>
      <c r="W3628" t="s">
        <v>14749</v>
      </c>
      <c r="X3628">
        <v>1</v>
      </c>
      <c r="Y3628" t="s">
        <v>20227</v>
      </c>
      <c r="Z3628" t="s">
        <v>25778</v>
      </c>
      <c r="AA3628">
        <v>0.50747896802905912</v>
      </c>
      <c r="AB3628" t="str">
        <f>HYPERLINK("Melting_Curves/meltCurve_Q7L7V1_2_DHX32.pdf", "Melting_Curves/meltCurve_Q7L7V1_2_DHX32.pdf")</f>
        <v>Melting_Curves/meltCurve_Q7L7V1_2_DHX32.pdf</v>
      </c>
    </row>
    <row r="3629" spans="1:28" x14ac:dyDescent="0.25">
      <c r="A3629" t="s">
        <v>3633</v>
      </c>
      <c r="B3629">
        <v>0.99796759195183404</v>
      </c>
      <c r="C3629">
        <v>1.0269729713962601</v>
      </c>
      <c r="D3629">
        <v>0.967844150285325</v>
      </c>
      <c r="E3629">
        <v>0.88892078783064798</v>
      </c>
      <c r="F3629">
        <v>0.87004821814734701</v>
      </c>
      <c r="G3629">
        <v>0.53705824691030601</v>
      </c>
      <c r="H3629">
        <v>0.32303113690976398</v>
      </c>
      <c r="I3629">
        <v>0.250638786110638</v>
      </c>
      <c r="J3629">
        <v>0.22792270271889101</v>
      </c>
      <c r="K3629">
        <v>0.14049984706247901</v>
      </c>
      <c r="L3629">
        <v>1040.7643740440799</v>
      </c>
      <c r="M3629">
        <v>19.4547940411654</v>
      </c>
      <c r="N3629">
        <v>54.588398008614398</v>
      </c>
      <c r="O3629">
        <v>52.940936251371603</v>
      </c>
      <c r="P3629">
        <v>-7.7065885845641502E-2</v>
      </c>
      <c r="Q3629">
        <v>0.16117489178164901</v>
      </c>
      <c r="R3629">
        <v>0.98966538901276402</v>
      </c>
      <c r="S3629" t="s">
        <v>9212</v>
      </c>
      <c r="T3629" t="s">
        <v>11164</v>
      </c>
      <c r="U3629" t="s">
        <v>11164</v>
      </c>
      <c r="V3629" t="s">
        <v>11164</v>
      </c>
      <c r="W3629" t="s">
        <v>14750</v>
      </c>
      <c r="X3629">
        <v>8</v>
      </c>
      <c r="Y3629" t="s">
        <v>20228</v>
      </c>
      <c r="Z3629" t="s">
        <v>25779</v>
      </c>
      <c r="AA3629">
        <v>0.63320507211066446</v>
      </c>
      <c r="AB3629" t="str">
        <f>HYPERLINK("Melting_Curves/meltCurve_Q7L7X3_TAOK1.pdf", "Melting_Curves/meltCurve_Q7L7X3_TAOK1.pdf")</f>
        <v>Melting_Curves/meltCurve_Q7L7X3_TAOK1.pdf</v>
      </c>
    </row>
    <row r="3630" spans="1:28" x14ac:dyDescent="0.25">
      <c r="A3630" t="s">
        <v>3634</v>
      </c>
      <c r="B3630">
        <v>0.99796759195183404</v>
      </c>
      <c r="C3630">
        <v>0.997194808821671</v>
      </c>
      <c r="D3630">
        <v>1.03776667072104</v>
      </c>
      <c r="E3630">
        <v>0.88453343370732396</v>
      </c>
      <c r="F3630">
        <v>0.72441828144124498</v>
      </c>
      <c r="G3630">
        <v>0.46373402995492802</v>
      </c>
      <c r="H3630">
        <v>0.293353091938587</v>
      </c>
      <c r="I3630">
        <v>0.21360852596966501</v>
      </c>
      <c r="J3630">
        <v>0.153719184166838</v>
      </c>
      <c r="K3630">
        <v>0.11569131955928</v>
      </c>
      <c r="L3630">
        <v>859.49541927541497</v>
      </c>
      <c r="M3630">
        <v>16.336606778533501</v>
      </c>
      <c r="N3630">
        <v>53.4033497244532</v>
      </c>
      <c r="O3630">
        <v>51.842232446497</v>
      </c>
      <c r="P3630">
        <v>-7.0312713956748693E-2</v>
      </c>
      <c r="Q3630">
        <v>0.107548989564312</v>
      </c>
      <c r="R3630">
        <v>0.99623890427384498</v>
      </c>
      <c r="S3630" t="s">
        <v>9213</v>
      </c>
      <c r="T3630" t="s">
        <v>11164</v>
      </c>
      <c r="U3630" t="s">
        <v>11164</v>
      </c>
      <c r="V3630" t="s">
        <v>11164</v>
      </c>
      <c r="W3630" t="s">
        <v>14751</v>
      </c>
      <c r="X3630">
        <v>7</v>
      </c>
      <c r="Y3630" t="s">
        <v>20229</v>
      </c>
      <c r="Z3630" t="s">
        <v>25780</v>
      </c>
      <c r="AA3630">
        <v>0.58689156043865442</v>
      </c>
      <c r="AB3630" t="str">
        <f>HYPERLINK("Melting_Curves/meltCurve_Q7L8W6_ATPBD4.pdf", "Melting_Curves/meltCurve_Q7L8W6_ATPBD4.pdf")</f>
        <v>Melting_Curves/meltCurve_Q7L8W6_ATPBD4.pdf</v>
      </c>
    </row>
    <row r="3631" spans="1:28" x14ac:dyDescent="0.25">
      <c r="A3631" t="s">
        <v>3635</v>
      </c>
      <c r="B3631">
        <v>0.99796759195183404</v>
      </c>
      <c r="C3631">
        <v>0.93301038853223295</v>
      </c>
      <c r="D3631">
        <v>0.97684125698740198</v>
      </c>
      <c r="E3631">
        <v>0.91465518107906796</v>
      </c>
      <c r="F3631">
        <v>0.70163709112749295</v>
      </c>
      <c r="G3631">
        <v>0.910951590714005</v>
      </c>
      <c r="H3631">
        <v>0.94775984367997601</v>
      </c>
      <c r="I3631">
        <v>0.83599711850846004</v>
      </c>
      <c r="J3631">
        <v>1.0011255086966999</v>
      </c>
      <c r="K3631">
        <v>1.15867481538217</v>
      </c>
      <c r="L3631">
        <v>8619.0613073947206</v>
      </c>
      <c r="M3631">
        <v>128.07328019744801</v>
      </c>
      <c r="Q3631">
        <v>1.43909165626173</v>
      </c>
      <c r="R3631">
        <v>-0.10707149258325301</v>
      </c>
      <c r="S3631" t="s">
        <v>9214</v>
      </c>
      <c r="T3631" t="s">
        <v>11164</v>
      </c>
      <c r="U3631" t="s">
        <v>11164</v>
      </c>
      <c r="V3631" t="s">
        <v>11164</v>
      </c>
      <c r="W3631" t="s">
        <v>14752</v>
      </c>
      <c r="X3631">
        <v>1</v>
      </c>
      <c r="Y3631" t="s">
        <v>20230</v>
      </c>
      <c r="Z3631" t="s">
        <v>25781</v>
      </c>
      <c r="AA3631">
        <v>1.00336037920822</v>
      </c>
      <c r="AB3631" t="str">
        <f>HYPERLINK("Melting_Curves/meltCurve_Q7L985_LINGO2.pdf", "Melting_Curves/meltCurve_Q7L985_LINGO2.pdf")</f>
        <v>Melting_Curves/meltCurve_Q7L985_LINGO2.pdf</v>
      </c>
    </row>
    <row r="3632" spans="1:28" x14ac:dyDescent="0.25">
      <c r="A3632" t="s">
        <v>3636</v>
      </c>
      <c r="B3632">
        <v>0.99796759195183404</v>
      </c>
      <c r="C3632">
        <v>1.0149455210456799</v>
      </c>
      <c r="D3632">
        <v>0.97310877039172805</v>
      </c>
      <c r="E3632">
        <v>0.90427566414973504</v>
      </c>
      <c r="F3632">
        <v>0.75475877188248497</v>
      </c>
      <c r="G3632">
        <v>0.36659444764341598</v>
      </c>
      <c r="H3632">
        <v>0.193426559732186</v>
      </c>
      <c r="I3632">
        <v>0.159111783854059</v>
      </c>
      <c r="J3632">
        <v>0.138797548523589</v>
      </c>
      <c r="K3632">
        <v>9.8472825028550995E-2</v>
      </c>
      <c r="L3632">
        <v>1225.8752645387999</v>
      </c>
      <c r="M3632">
        <v>23.6154740672707</v>
      </c>
      <c r="N3632">
        <v>52.491519151108903</v>
      </c>
      <c r="O3632">
        <v>51.541896974196597</v>
      </c>
      <c r="P3632">
        <v>-0.101359536478197</v>
      </c>
      <c r="Q3632">
        <v>0.11512677809670201</v>
      </c>
      <c r="R3632">
        <v>0.99701439078704501</v>
      </c>
      <c r="S3632" t="s">
        <v>9215</v>
      </c>
      <c r="T3632" t="s">
        <v>11164</v>
      </c>
      <c r="U3632" t="s">
        <v>11164</v>
      </c>
      <c r="V3632" t="s">
        <v>11164</v>
      </c>
      <c r="W3632" t="s">
        <v>14753</v>
      </c>
      <c r="X3632">
        <v>28</v>
      </c>
      <c r="Y3632" t="s">
        <v>20231</v>
      </c>
      <c r="Z3632" t="s">
        <v>25782</v>
      </c>
      <c r="AA3632">
        <v>0.56357816120001114</v>
      </c>
      <c r="AB3632" t="str">
        <f>HYPERLINK("Melting_Curves/meltCurve_Q7LBC6_KDM3B.pdf", "Melting_Curves/meltCurve_Q7LBC6_KDM3B.pdf")</f>
        <v>Melting_Curves/meltCurve_Q7LBC6_KDM3B.pdf</v>
      </c>
    </row>
    <row r="3633" spans="1:28" x14ac:dyDescent="0.25">
      <c r="A3633" t="s">
        <v>3637</v>
      </c>
      <c r="B3633">
        <v>0.99796759195183404</v>
      </c>
      <c r="C3633">
        <v>1.00332764334395</v>
      </c>
      <c r="D3633">
        <v>1.0369331392728001</v>
      </c>
      <c r="E3633">
        <v>0.99807277719107101</v>
      </c>
      <c r="F3633">
        <v>0.879112823788603</v>
      </c>
      <c r="G3633">
        <v>0.63587682288862402</v>
      </c>
      <c r="H3633">
        <v>0.354938612121796</v>
      </c>
      <c r="I3633">
        <v>0.18978736617084099</v>
      </c>
      <c r="J3633">
        <v>0.12533462901201001</v>
      </c>
      <c r="K3633">
        <v>9.7459359367685697E-2</v>
      </c>
      <c r="L3633">
        <v>1123.8656596512201</v>
      </c>
      <c r="M3633">
        <v>20.443633746291599</v>
      </c>
      <c r="N3633">
        <v>55.434796487030297</v>
      </c>
      <c r="O3633">
        <v>54.4559722883916</v>
      </c>
      <c r="P3633">
        <v>-8.6521086586743706E-2</v>
      </c>
      <c r="Q3633">
        <v>7.8158148761988996E-2</v>
      </c>
      <c r="R3633">
        <v>0.99851695696419196</v>
      </c>
      <c r="S3633" t="s">
        <v>9216</v>
      </c>
      <c r="T3633" t="s">
        <v>11164</v>
      </c>
      <c r="U3633" t="s">
        <v>11164</v>
      </c>
      <c r="V3633" t="s">
        <v>11164</v>
      </c>
      <c r="W3633" t="s">
        <v>14754</v>
      </c>
      <c r="X3633">
        <v>4</v>
      </c>
      <c r="Y3633" t="s">
        <v>20232</v>
      </c>
      <c r="Z3633" t="s">
        <v>25783</v>
      </c>
      <c r="AA3633">
        <v>0.64068727940319958</v>
      </c>
      <c r="AB3633" t="str">
        <f>HYPERLINK("Melting_Curves/meltCurve_Q7LBR1_CHMP1B.pdf", "Melting_Curves/meltCurve_Q7LBR1_CHMP1B.pdf")</f>
        <v>Melting_Curves/meltCurve_Q7LBR1_CHMP1B.pdf</v>
      </c>
    </row>
    <row r="3634" spans="1:28" x14ac:dyDescent="0.25">
      <c r="A3634" t="s">
        <v>3638</v>
      </c>
      <c r="B3634">
        <v>0.99796759195183404</v>
      </c>
      <c r="C3634">
        <v>1.01670626199667</v>
      </c>
      <c r="D3634">
        <v>1.01851883545987</v>
      </c>
      <c r="E3634">
        <v>0.98409800646578804</v>
      </c>
      <c r="F3634">
        <v>0.96643690946051097</v>
      </c>
      <c r="G3634">
        <v>0.67657232434940195</v>
      </c>
      <c r="H3634">
        <v>0.77437249133030195</v>
      </c>
      <c r="I3634">
        <v>0.81895094860864304</v>
      </c>
      <c r="J3634">
        <v>0.95475861144699203</v>
      </c>
      <c r="K3634">
        <v>0.78230677215362399</v>
      </c>
      <c r="L3634">
        <v>12629.9576611129</v>
      </c>
      <c r="M3634">
        <v>250</v>
      </c>
      <c r="O3634">
        <v>50.516597668436603</v>
      </c>
      <c r="P3634">
        <v>-0.245720932147068</v>
      </c>
      <c r="Q3634">
        <v>0.80139223258009995</v>
      </c>
      <c r="R3634">
        <v>0.69982715682058605</v>
      </c>
      <c r="S3634" t="s">
        <v>9217</v>
      </c>
      <c r="T3634" t="s">
        <v>11164</v>
      </c>
      <c r="U3634" t="s">
        <v>11164</v>
      </c>
      <c r="V3634" t="s">
        <v>11164</v>
      </c>
      <c r="W3634" t="s">
        <v>14755</v>
      </c>
      <c r="X3634">
        <v>6</v>
      </c>
      <c r="Y3634" t="s">
        <v>20233</v>
      </c>
      <c r="Z3634" t="s">
        <v>25784</v>
      </c>
      <c r="AA3634">
        <v>0.89091462078560768</v>
      </c>
      <c r="AB3634" t="str">
        <f>HYPERLINK("Melting_Curves/meltCurve_Q7LG56_RRM2B.pdf", "Melting_Curves/meltCurve_Q7LG56_RRM2B.pdf")</f>
        <v>Melting_Curves/meltCurve_Q7LG56_RRM2B.pdf</v>
      </c>
    </row>
    <row r="3635" spans="1:28" x14ac:dyDescent="0.25">
      <c r="A3635" t="s">
        <v>3639</v>
      </c>
      <c r="B3635">
        <v>0.99796759195183404</v>
      </c>
      <c r="C3635">
        <v>0.93148230170753199</v>
      </c>
      <c r="D3635">
        <v>0.99847625274227803</v>
      </c>
      <c r="E3635">
        <v>0.83937437894794198</v>
      </c>
      <c r="F3635">
        <v>0.84952218458275297</v>
      </c>
      <c r="G3635">
        <v>0.70261893484821702</v>
      </c>
      <c r="H3635">
        <v>0.64272164598013204</v>
      </c>
      <c r="I3635">
        <v>0.48046440086770198</v>
      </c>
      <c r="J3635">
        <v>0.42354772067506902</v>
      </c>
      <c r="K3635">
        <v>0.18290066471921301</v>
      </c>
      <c r="L3635">
        <v>510.42402609567802</v>
      </c>
      <c r="M3635">
        <v>8.5187897135639101</v>
      </c>
      <c r="N3635">
        <v>59.917424998534003</v>
      </c>
      <c r="O3635">
        <v>56.889361680559901</v>
      </c>
      <c r="P3635">
        <v>-3.74692280836273E-2</v>
      </c>
      <c r="Q3635">
        <v>0</v>
      </c>
      <c r="R3635">
        <v>0.95709511422890703</v>
      </c>
      <c r="S3635" t="s">
        <v>9218</v>
      </c>
      <c r="T3635" t="s">
        <v>11164</v>
      </c>
      <c r="U3635" t="s">
        <v>11164</v>
      </c>
      <c r="V3635" t="s">
        <v>11164</v>
      </c>
      <c r="W3635" t="s">
        <v>14756</v>
      </c>
      <c r="X3635">
        <v>1</v>
      </c>
      <c r="Y3635" t="s">
        <v>20234</v>
      </c>
      <c r="Z3635" t="s">
        <v>25785</v>
      </c>
      <c r="AA3635">
        <v>0.7265003724826895</v>
      </c>
      <c r="AB3635" t="str">
        <f>HYPERLINK("Melting_Curves/meltCurve_Q7RTP0_NIPA1.pdf", "Melting_Curves/meltCurve_Q7RTP0_NIPA1.pdf")</f>
        <v>Melting_Curves/meltCurve_Q7RTP0_NIPA1.pdf</v>
      </c>
    </row>
    <row r="3636" spans="1:28" x14ac:dyDescent="0.25">
      <c r="A3636" t="s">
        <v>3640</v>
      </c>
      <c r="B3636">
        <v>0.99796759195183404</v>
      </c>
      <c r="C3636">
        <v>1.18190410075413</v>
      </c>
      <c r="D3636">
        <v>1.04050519038362</v>
      </c>
      <c r="E3636">
        <v>0.97470953560602402</v>
      </c>
      <c r="F3636">
        <v>1.0026683408322901</v>
      </c>
      <c r="G3636">
        <v>0.76170281861067102</v>
      </c>
      <c r="H3636">
        <v>0.489865958546922</v>
      </c>
      <c r="I3636">
        <v>0.37455683100065801</v>
      </c>
      <c r="J3636">
        <v>0.30894840506308202</v>
      </c>
      <c r="K3636">
        <v>0.29707783072238098</v>
      </c>
      <c r="L3636">
        <v>1528.1979203794499</v>
      </c>
      <c r="M3636">
        <v>27.637248285200201</v>
      </c>
      <c r="N3636">
        <v>57.218042723907402</v>
      </c>
      <c r="O3636">
        <v>55.007796605543199</v>
      </c>
      <c r="P3636">
        <v>-8.7609607826747996E-2</v>
      </c>
      <c r="Q3636">
        <v>0.30251117379936499</v>
      </c>
      <c r="R3636">
        <v>0.96392135270355295</v>
      </c>
      <c r="S3636" t="s">
        <v>9219</v>
      </c>
      <c r="T3636" t="s">
        <v>11164</v>
      </c>
      <c r="U3636" t="s">
        <v>11164</v>
      </c>
      <c r="V3636" t="s">
        <v>11164</v>
      </c>
      <c r="W3636" t="s">
        <v>14757</v>
      </c>
      <c r="X3636">
        <v>10</v>
      </c>
      <c r="Y3636" t="s">
        <v>20235</v>
      </c>
      <c r="Z3636" t="s">
        <v>25786</v>
      </c>
      <c r="AA3636">
        <v>0.73290207859189749</v>
      </c>
      <c r="AB3636" t="str">
        <f>HYPERLINK("Melting_Curves/meltCurve_Q7RTP6_MICAL3.pdf", "Melting_Curves/meltCurve_Q7RTP6_MICAL3.pdf")</f>
        <v>Melting_Curves/meltCurve_Q7RTP6_MICAL3.pdf</v>
      </c>
    </row>
    <row r="3637" spans="1:28" x14ac:dyDescent="0.25">
      <c r="A3637" t="s">
        <v>3641</v>
      </c>
      <c r="B3637">
        <v>0.99796759195183404</v>
      </c>
      <c r="C3637">
        <v>1.0850381811507801</v>
      </c>
      <c r="D3637">
        <v>1.04043282105363</v>
      </c>
      <c r="E3637">
        <v>1.05007274193249</v>
      </c>
      <c r="F3637">
        <v>0.89500363277645401</v>
      </c>
      <c r="G3637">
        <v>1.2063930632862701</v>
      </c>
      <c r="H3637">
        <v>1.8183566887698599</v>
      </c>
      <c r="I3637">
        <v>1.4553370215685699</v>
      </c>
      <c r="J3637">
        <v>1.7871785333108501</v>
      </c>
      <c r="K3637">
        <v>1.48352841622581</v>
      </c>
      <c r="L3637">
        <v>13468.9622053612</v>
      </c>
      <c r="M3637">
        <v>250</v>
      </c>
      <c r="O3637">
        <v>53.8724014657477</v>
      </c>
      <c r="P3637">
        <v>0.58007438659376998</v>
      </c>
      <c r="Q3637">
        <v>1.5</v>
      </c>
      <c r="R3637">
        <v>0.79164256216790096</v>
      </c>
      <c r="S3637" t="s">
        <v>9220</v>
      </c>
      <c r="T3637" t="s">
        <v>11164</v>
      </c>
      <c r="U3637" t="s">
        <v>11164</v>
      </c>
      <c r="V3637" t="s">
        <v>11164</v>
      </c>
      <c r="W3637" t="s">
        <v>14758</v>
      </c>
      <c r="X3637">
        <v>10</v>
      </c>
      <c r="Y3637" t="s">
        <v>20236</v>
      </c>
      <c r="Z3637" t="s">
        <v>25787</v>
      </c>
      <c r="AA3637">
        <v>1.218688577337826</v>
      </c>
      <c r="AB3637" t="str">
        <f>HYPERLINK("Melting_Curves/meltCurve_Q7RTV0_PHF5A.pdf", "Melting_Curves/meltCurve_Q7RTV0_PHF5A.pdf")</f>
        <v>Melting_Curves/meltCurve_Q7RTV0_PHF5A.pdf</v>
      </c>
    </row>
    <row r="3638" spans="1:28" x14ac:dyDescent="0.25">
      <c r="A3638" t="s">
        <v>3642</v>
      </c>
      <c r="B3638">
        <v>0.99796759195183404</v>
      </c>
      <c r="C3638">
        <v>1.04370330558534</v>
      </c>
      <c r="D3638">
        <v>0.98689352572101696</v>
      </c>
      <c r="E3638">
        <v>0.96067952855306205</v>
      </c>
      <c r="F3638">
        <v>0.892151199248298</v>
      </c>
      <c r="G3638">
        <v>0.55331556802248005</v>
      </c>
      <c r="H3638">
        <v>0.57527870784446</v>
      </c>
      <c r="I3638">
        <v>0.52432648299044105</v>
      </c>
      <c r="J3638">
        <v>0.59603670686722998</v>
      </c>
      <c r="K3638">
        <v>0.51465214885659205</v>
      </c>
      <c r="L3638">
        <v>4543.2867325555198</v>
      </c>
      <c r="M3638">
        <v>89.3569583191113</v>
      </c>
      <c r="O3638">
        <v>50.818791621569098</v>
      </c>
      <c r="P3638">
        <v>-0.19690401228090099</v>
      </c>
      <c r="Q3638">
        <v>0.55206966403079805</v>
      </c>
      <c r="R3638">
        <v>0.98224491422654203</v>
      </c>
      <c r="S3638" t="s">
        <v>9221</v>
      </c>
      <c r="T3638" t="s">
        <v>11164</v>
      </c>
      <c r="U3638" t="s">
        <v>11164</v>
      </c>
      <c r="V3638" t="s">
        <v>11164</v>
      </c>
      <c r="W3638" t="s">
        <v>14759</v>
      </c>
      <c r="X3638">
        <v>14</v>
      </c>
      <c r="Y3638" t="s">
        <v>20237</v>
      </c>
      <c r="Z3638" t="s">
        <v>25788</v>
      </c>
      <c r="AA3638">
        <v>0.75909151621677584</v>
      </c>
      <c r="AB3638" t="str">
        <f>HYPERLINK("Melting_Curves/meltCurve_Q7Z2K8_GPRIN1.pdf", "Melting_Curves/meltCurve_Q7Z2K8_GPRIN1.pdf")</f>
        <v>Melting_Curves/meltCurve_Q7Z2K8_GPRIN1.pdf</v>
      </c>
    </row>
    <row r="3639" spans="1:28" x14ac:dyDescent="0.25">
      <c r="A3639" t="s">
        <v>3643</v>
      </c>
      <c r="B3639">
        <v>0.99796759195183404</v>
      </c>
      <c r="C3639">
        <v>1.01458959023134</v>
      </c>
      <c r="D3639">
        <v>0.97101944634722104</v>
      </c>
      <c r="E3639">
        <v>0.79500522509995597</v>
      </c>
      <c r="F3639">
        <v>0.59920904566010702</v>
      </c>
      <c r="G3639">
        <v>0.25880640831930302</v>
      </c>
      <c r="H3639">
        <v>0.16668715430136399</v>
      </c>
      <c r="I3639">
        <v>0.124502181813281</v>
      </c>
      <c r="J3639">
        <v>0.104592783447412</v>
      </c>
      <c r="K3639">
        <v>7.9487705831581004E-2</v>
      </c>
      <c r="L3639">
        <v>933.37727163314503</v>
      </c>
      <c r="M3639">
        <v>18.525419163153298</v>
      </c>
      <c r="N3639">
        <v>50.851197913257899</v>
      </c>
      <c r="O3639">
        <v>49.807533954387502</v>
      </c>
      <c r="P3639">
        <v>-8.5706698618131294E-2</v>
      </c>
      <c r="Q3639">
        <v>7.8315044053427901E-2</v>
      </c>
      <c r="R3639">
        <v>0.99625083845806095</v>
      </c>
      <c r="S3639" t="s">
        <v>9222</v>
      </c>
      <c r="T3639" t="s">
        <v>11164</v>
      </c>
      <c r="U3639" t="s">
        <v>11164</v>
      </c>
      <c r="V3639" t="s">
        <v>11164</v>
      </c>
      <c r="W3639" t="s">
        <v>14760</v>
      </c>
      <c r="X3639">
        <v>18</v>
      </c>
      <c r="Y3639" t="s">
        <v>20238</v>
      </c>
      <c r="Z3639" t="s">
        <v>25789</v>
      </c>
      <c r="AA3639">
        <v>0.50328312521568397</v>
      </c>
      <c r="AB3639" t="str">
        <f>HYPERLINK("Melting_Curves/meltCurve_Q7Z2W4_ZC3HAV1.pdf", "Melting_Curves/meltCurve_Q7Z2W4_ZC3HAV1.pdf")</f>
        <v>Melting_Curves/meltCurve_Q7Z2W4_ZC3HAV1.pdf</v>
      </c>
    </row>
    <row r="3640" spans="1:28" x14ac:dyDescent="0.25">
      <c r="A3640" t="s">
        <v>3644</v>
      </c>
      <c r="B3640">
        <v>0.99796759195183404</v>
      </c>
      <c r="C3640">
        <v>1.0218066894911599</v>
      </c>
      <c r="D3640">
        <v>0.97826338629001697</v>
      </c>
      <c r="E3640">
        <v>0.98741541289409296</v>
      </c>
      <c r="F3640">
        <v>0.78028224334459595</v>
      </c>
      <c r="G3640">
        <v>0.31120900585011202</v>
      </c>
      <c r="H3640">
        <v>0.17228570754189301</v>
      </c>
      <c r="I3640">
        <v>0.124290432848708</v>
      </c>
      <c r="J3640">
        <v>8.9017637712633699E-2</v>
      </c>
      <c r="K3640">
        <v>6.1421341311414898E-2</v>
      </c>
      <c r="L3640">
        <v>1628.1170010901101</v>
      </c>
      <c r="M3640">
        <v>31.327312627746501</v>
      </c>
      <c r="N3640">
        <v>52.321969674260401</v>
      </c>
      <c r="O3640">
        <v>51.760770743970198</v>
      </c>
      <c r="P3640">
        <v>-0.13697640982415599</v>
      </c>
      <c r="Q3640">
        <v>9.47240567237842E-2</v>
      </c>
      <c r="R3640">
        <v>0.997588310637471</v>
      </c>
      <c r="S3640" t="s">
        <v>9223</v>
      </c>
      <c r="T3640" t="s">
        <v>11164</v>
      </c>
      <c r="U3640" t="s">
        <v>11164</v>
      </c>
      <c r="V3640" t="s">
        <v>11164</v>
      </c>
      <c r="W3640" t="s">
        <v>14761</v>
      </c>
      <c r="X3640">
        <v>9</v>
      </c>
      <c r="Y3640" t="s">
        <v>20239</v>
      </c>
      <c r="Z3640" t="s">
        <v>25790</v>
      </c>
      <c r="AA3640">
        <v>0.55174497496999919</v>
      </c>
      <c r="AB3640" t="str">
        <f>HYPERLINK("Melting_Curves/meltCurve_Q7Z2Z2_EFTUD1.pdf", "Melting_Curves/meltCurve_Q7Z2Z2_EFTUD1.pdf")</f>
        <v>Melting_Curves/meltCurve_Q7Z2Z2_EFTUD1.pdf</v>
      </c>
    </row>
    <row r="3641" spans="1:28" x14ac:dyDescent="0.25">
      <c r="A3641" t="s">
        <v>3645</v>
      </c>
      <c r="B3641">
        <v>0.99796759195183404</v>
      </c>
      <c r="C3641">
        <v>1.1649873346831701</v>
      </c>
      <c r="D3641">
        <v>0.93455090687228703</v>
      </c>
      <c r="E3641">
        <v>1.0087047644863401</v>
      </c>
      <c r="F3641">
        <v>1.01532547936108</v>
      </c>
      <c r="G3641">
        <v>1.00042679231538</v>
      </c>
      <c r="H3641">
        <v>0.90952516568876396</v>
      </c>
      <c r="I3641">
        <v>0.65455181595062195</v>
      </c>
      <c r="J3641">
        <v>0.51125788790664095</v>
      </c>
      <c r="K3641">
        <v>0.41720550525065803</v>
      </c>
      <c r="L3641">
        <v>1854.9816292154801</v>
      </c>
      <c r="M3641">
        <v>30.6338644270669</v>
      </c>
      <c r="N3641">
        <v>63.883194289696704</v>
      </c>
      <c r="O3641">
        <v>60.297028355034399</v>
      </c>
      <c r="P3641">
        <v>-7.6369665003905199E-2</v>
      </c>
      <c r="Q3641">
        <v>0.39872615709313503</v>
      </c>
      <c r="R3641">
        <v>0.94015901099735699</v>
      </c>
      <c r="S3641" t="s">
        <v>9224</v>
      </c>
      <c r="T3641" t="s">
        <v>11164</v>
      </c>
      <c r="U3641" t="s">
        <v>11164</v>
      </c>
      <c r="V3641" t="s">
        <v>11164</v>
      </c>
      <c r="W3641" t="s">
        <v>14762</v>
      </c>
      <c r="X3641">
        <v>5</v>
      </c>
      <c r="Y3641" t="s">
        <v>20240</v>
      </c>
      <c r="Z3641" t="s">
        <v>25791</v>
      </c>
      <c r="AA3641">
        <v>0.87242676016850529</v>
      </c>
      <c r="AB3641" t="str">
        <f>HYPERLINK("Melting_Curves/meltCurve_Q7Z309_5_FAM122B.pdf", "Melting_Curves/meltCurve_Q7Z309_5_FAM122B.pdf")</f>
        <v>Melting_Curves/meltCurve_Q7Z309_5_FAM122B.pdf</v>
      </c>
    </row>
    <row r="3642" spans="1:28" x14ac:dyDescent="0.25">
      <c r="A3642" t="s">
        <v>3646</v>
      </c>
      <c r="B3642">
        <v>0.99796759195183404</v>
      </c>
      <c r="C3642">
        <v>0.94698422493845802</v>
      </c>
      <c r="D3642">
        <v>0.94788120609522597</v>
      </c>
      <c r="E3642">
        <v>0.89060401551336699</v>
      </c>
      <c r="F3642">
        <v>0.73165681484647405</v>
      </c>
      <c r="G3642">
        <v>0.89950641450956703</v>
      </c>
      <c r="H3642">
        <v>0.43419950418557401</v>
      </c>
      <c r="I3642">
        <v>0.30901555270022601</v>
      </c>
      <c r="J3642">
        <v>0.22426377000425701</v>
      </c>
      <c r="K3642">
        <v>0.135093633977837</v>
      </c>
      <c r="L3642">
        <v>713.38698630431202</v>
      </c>
      <c r="M3642">
        <v>12.4072865366219</v>
      </c>
      <c r="N3642">
        <v>57.497421846752502</v>
      </c>
      <c r="O3642">
        <v>56.065044205711096</v>
      </c>
      <c r="P3642">
        <v>-5.5337129985131898E-2</v>
      </c>
      <c r="Q3642">
        <v>0</v>
      </c>
      <c r="R3642">
        <v>0.93410086392798397</v>
      </c>
      <c r="S3642" t="s">
        <v>9225</v>
      </c>
      <c r="T3642" t="s">
        <v>11164</v>
      </c>
      <c r="U3642" t="s">
        <v>11164</v>
      </c>
      <c r="V3642" t="s">
        <v>11164</v>
      </c>
      <c r="W3642" t="s">
        <v>14763</v>
      </c>
      <c r="X3642">
        <v>2</v>
      </c>
      <c r="Y3642" t="s">
        <v>20241</v>
      </c>
      <c r="Z3642" t="s">
        <v>25792</v>
      </c>
      <c r="AA3642">
        <v>0.68592047276810042</v>
      </c>
      <c r="AB3642" t="str">
        <f>HYPERLINK("Melting_Curves/meltCurve_Q7Z3C6_2_ATG9A.pdf", "Melting_Curves/meltCurve_Q7Z3C6_2_ATG9A.pdf")</f>
        <v>Melting_Curves/meltCurve_Q7Z3C6_2_ATG9A.pdf</v>
      </c>
    </row>
    <row r="3643" spans="1:28" x14ac:dyDescent="0.25">
      <c r="A3643" t="s">
        <v>3647</v>
      </c>
      <c r="B3643">
        <v>0.99796759195183404</v>
      </c>
      <c r="C3643">
        <v>0.97742766257934199</v>
      </c>
      <c r="D3643">
        <v>0.80518495720139704</v>
      </c>
      <c r="E3643">
        <v>0.53011472093060297</v>
      </c>
      <c r="F3643">
        <v>0.79799489034723103</v>
      </c>
      <c r="G3643">
        <v>0.48739003773521</v>
      </c>
      <c r="H3643">
        <v>0.40545531877950802</v>
      </c>
      <c r="I3643">
        <v>0.43473841947444503</v>
      </c>
      <c r="J3643">
        <v>0.43592079101525999</v>
      </c>
      <c r="K3643">
        <v>8.4536220555630204E-2</v>
      </c>
      <c r="L3643">
        <v>318.226661261598</v>
      </c>
      <c r="M3643">
        <v>5.8014441642366599</v>
      </c>
      <c r="N3643">
        <v>54.853007673675101</v>
      </c>
      <c r="O3643">
        <v>49.387946269509001</v>
      </c>
      <c r="P3643">
        <v>-2.94738919071879E-2</v>
      </c>
      <c r="Q3643">
        <v>0</v>
      </c>
      <c r="R3643">
        <v>0.81875628364294795</v>
      </c>
      <c r="S3643" t="s">
        <v>9226</v>
      </c>
      <c r="T3643" t="s">
        <v>11164</v>
      </c>
      <c r="U3643" t="s">
        <v>11164</v>
      </c>
      <c r="V3643" t="s">
        <v>11164</v>
      </c>
      <c r="W3643" t="s">
        <v>14764</v>
      </c>
      <c r="X3643">
        <v>2</v>
      </c>
      <c r="Y3643" t="s">
        <v>20242</v>
      </c>
      <c r="Z3643" t="s">
        <v>25793</v>
      </c>
      <c r="AA3643">
        <v>0.59076358449552024</v>
      </c>
      <c r="AB3643" t="str">
        <f>HYPERLINK("Melting_Curves/meltCurve_Q7Z3D4_LYSMD3.pdf", "Melting_Curves/meltCurve_Q7Z3D4_LYSMD3.pdf")</f>
        <v>Melting_Curves/meltCurve_Q7Z3D4_LYSMD3.pdf</v>
      </c>
    </row>
    <row r="3644" spans="1:28" x14ac:dyDescent="0.25">
      <c r="A3644" t="s">
        <v>3648</v>
      </c>
      <c r="B3644">
        <v>0.99796759195183404</v>
      </c>
      <c r="C3644">
        <v>1.0011084032005799</v>
      </c>
      <c r="D3644">
        <v>1.0915864165935301</v>
      </c>
      <c r="E3644">
        <v>0.97793832350241905</v>
      </c>
      <c r="F3644">
        <v>0.78449696875955199</v>
      </c>
      <c r="G3644">
        <v>0.40937679267676502</v>
      </c>
      <c r="H3644">
        <v>0.29505630345856998</v>
      </c>
      <c r="I3644">
        <v>0.263194677146038</v>
      </c>
      <c r="J3644">
        <v>0.23687718522882101</v>
      </c>
      <c r="K3644">
        <v>0.187504226203004</v>
      </c>
      <c r="L3644">
        <v>1537.95558766266</v>
      </c>
      <c r="M3644">
        <v>29.7001511647263</v>
      </c>
      <c r="N3644">
        <v>52.882368623037301</v>
      </c>
      <c r="O3644">
        <v>51.549695952973103</v>
      </c>
      <c r="P3644">
        <v>-0.110854931821945</v>
      </c>
      <c r="Q3644">
        <v>0.23037438095101401</v>
      </c>
      <c r="R3644">
        <v>0.99058923001913102</v>
      </c>
      <c r="S3644" t="s">
        <v>9227</v>
      </c>
      <c r="T3644" t="s">
        <v>11164</v>
      </c>
      <c r="U3644" t="s">
        <v>11164</v>
      </c>
      <c r="V3644" t="s">
        <v>11164</v>
      </c>
      <c r="W3644" t="s">
        <v>14765</v>
      </c>
      <c r="X3644">
        <v>7</v>
      </c>
      <c r="Y3644" t="s">
        <v>20243</v>
      </c>
      <c r="Z3644" t="s">
        <v>25794</v>
      </c>
      <c r="AA3644">
        <v>0.61455224138862141</v>
      </c>
      <c r="AB3644" t="str">
        <f>HYPERLINK("Melting_Curves/meltCurve_Q7Z3E2_C10orf118.pdf", "Melting_Curves/meltCurve_Q7Z3E2_C10orf118.pdf")</f>
        <v>Melting_Curves/meltCurve_Q7Z3E2_C10orf118.pdf</v>
      </c>
    </row>
    <row r="3645" spans="1:28" x14ac:dyDescent="0.25">
      <c r="A3645" t="s">
        <v>3649</v>
      </c>
      <c r="B3645">
        <v>0.99796759195183404</v>
      </c>
      <c r="C3645">
        <v>1.1007640399315699</v>
      </c>
      <c r="D3645">
        <v>0.93115566266022398</v>
      </c>
      <c r="E3645">
        <v>1.06894231179231</v>
      </c>
      <c r="F3645">
        <v>0.80283658555890602</v>
      </c>
      <c r="G3645">
        <v>0.30953753185583199</v>
      </c>
      <c r="H3645">
        <v>0.28880837556623501</v>
      </c>
      <c r="I3645">
        <v>0.29566944663868999</v>
      </c>
      <c r="J3645">
        <v>0.32320715259106902</v>
      </c>
      <c r="K3645">
        <v>0.19489224178942299</v>
      </c>
      <c r="L3645">
        <v>3177.7831490561698</v>
      </c>
      <c r="M3645">
        <v>62.306415229252899</v>
      </c>
      <c r="N3645">
        <v>51.671030090878098</v>
      </c>
      <c r="O3645">
        <v>50.950042111925299</v>
      </c>
      <c r="P3645">
        <v>-0.22112718844182</v>
      </c>
      <c r="Q3645">
        <v>0.27670783364884499</v>
      </c>
      <c r="R3645">
        <v>0.97718360941597904</v>
      </c>
      <c r="S3645" t="s">
        <v>9228</v>
      </c>
      <c r="T3645" t="s">
        <v>11164</v>
      </c>
      <c r="U3645" t="s">
        <v>11164</v>
      </c>
      <c r="V3645" t="s">
        <v>11164</v>
      </c>
      <c r="W3645" t="s">
        <v>14766</v>
      </c>
      <c r="X3645">
        <v>2</v>
      </c>
      <c r="Y3645" t="s">
        <v>20244</v>
      </c>
      <c r="Z3645" t="s">
        <v>25795</v>
      </c>
      <c r="AA3645">
        <v>0.61535032927157951</v>
      </c>
      <c r="AB3645" t="str">
        <f>HYPERLINK("Melting_Curves/meltCurve_Q7Z3K3_5_POGZ.pdf", "Melting_Curves/meltCurve_Q7Z3K3_5_POGZ.pdf")</f>
        <v>Melting_Curves/meltCurve_Q7Z3K3_5_POGZ.pdf</v>
      </c>
    </row>
    <row r="3646" spans="1:28" x14ac:dyDescent="0.25">
      <c r="A3646" t="s">
        <v>3650</v>
      </c>
      <c r="B3646">
        <v>0.99796759195183404</v>
      </c>
      <c r="C3646">
        <v>0.98795510740407899</v>
      </c>
      <c r="D3646">
        <v>0.93083226254041695</v>
      </c>
      <c r="E3646">
        <v>0.78888946052286102</v>
      </c>
      <c r="F3646">
        <v>0.54598436830415498</v>
      </c>
      <c r="G3646">
        <v>0.32890133708768998</v>
      </c>
      <c r="H3646">
        <v>0.27552768116343801</v>
      </c>
      <c r="I3646">
        <v>0.19183000851144399</v>
      </c>
      <c r="J3646">
        <v>0.16915609966040401</v>
      </c>
      <c r="K3646">
        <v>0.140971922026767</v>
      </c>
      <c r="L3646">
        <v>769.55925291386404</v>
      </c>
      <c r="M3646">
        <v>15.4356041374496</v>
      </c>
      <c r="N3646">
        <v>50.955275021413698</v>
      </c>
      <c r="O3646">
        <v>49.041775354234098</v>
      </c>
      <c r="P3646">
        <v>-6.7550089974686006E-2</v>
      </c>
      <c r="Q3646">
        <v>0.14160055903920499</v>
      </c>
      <c r="R3646">
        <v>0.99824506195213003</v>
      </c>
      <c r="S3646" t="s">
        <v>9229</v>
      </c>
      <c r="T3646" t="s">
        <v>11164</v>
      </c>
      <c r="U3646" t="s">
        <v>11164</v>
      </c>
      <c r="V3646" t="s">
        <v>11164</v>
      </c>
      <c r="W3646" t="s">
        <v>14767</v>
      </c>
      <c r="X3646">
        <v>2</v>
      </c>
      <c r="Y3646" t="s">
        <v>20245</v>
      </c>
      <c r="Z3646" t="s">
        <v>25796</v>
      </c>
      <c r="AA3646">
        <v>0.52673383610295021</v>
      </c>
      <c r="AB3646" t="str">
        <f>HYPERLINK("Melting_Curves/meltCurve_Q7Z3K6_4_MIER3.pdf", "Melting_Curves/meltCurve_Q7Z3K6_4_MIER3.pdf")</f>
        <v>Melting_Curves/meltCurve_Q7Z3K6_4_MIER3.pdf</v>
      </c>
    </row>
    <row r="3647" spans="1:28" x14ac:dyDescent="0.25">
      <c r="A3647" t="s">
        <v>3651</v>
      </c>
      <c r="B3647">
        <v>0.99796759195183404</v>
      </c>
      <c r="C3647">
        <v>0.99507016953949901</v>
      </c>
      <c r="D3647">
        <v>0.978998822248622</v>
      </c>
      <c r="E3647">
        <v>0.92593415423771597</v>
      </c>
      <c r="F3647">
        <v>0.87290006938585596</v>
      </c>
      <c r="G3647">
        <v>0.714946549917853</v>
      </c>
      <c r="H3647">
        <v>0.48891380596822698</v>
      </c>
      <c r="I3647">
        <v>0.28311727041926499</v>
      </c>
      <c r="J3647">
        <v>0.215601346541303</v>
      </c>
      <c r="K3647">
        <v>0.14967420913805399</v>
      </c>
      <c r="L3647">
        <v>800.67422558153396</v>
      </c>
      <c r="M3647">
        <v>14.106975415396599</v>
      </c>
      <c r="N3647">
        <v>57.158824415601799</v>
      </c>
      <c r="O3647">
        <v>55.6533153888616</v>
      </c>
      <c r="P3647">
        <v>-6.0388503206466902E-2</v>
      </c>
      <c r="Q3647">
        <v>4.7169590147477999E-2</v>
      </c>
      <c r="R3647">
        <v>0.99805564637708799</v>
      </c>
      <c r="S3647" t="s">
        <v>9230</v>
      </c>
      <c r="T3647" t="s">
        <v>11164</v>
      </c>
      <c r="U3647" t="s">
        <v>11164</v>
      </c>
      <c r="V3647" t="s">
        <v>11164</v>
      </c>
      <c r="W3647" t="s">
        <v>14768</v>
      </c>
      <c r="X3647">
        <v>11</v>
      </c>
      <c r="Y3647" t="s">
        <v>20246</v>
      </c>
      <c r="Z3647" t="s">
        <v>25797</v>
      </c>
      <c r="AA3647">
        <v>0.68279342342650906</v>
      </c>
      <c r="AB3647" t="str">
        <f>HYPERLINK("Melting_Curves/meltCurve_Q7Z3T8_ZFYVE16.pdf", "Melting_Curves/meltCurve_Q7Z3T8_ZFYVE16.pdf")</f>
        <v>Melting_Curves/meltCurve_Q7Z3T8_ZFYVE16.pdf</v>
      </c>
    </row>
    <row r="3648" spans="1:28" x14ac:dyDescent="0.25">
      <c r="A3648" t="s">
        <v>3652</v>
      </c>
      <c r="B3648">
        <v>0.99796759195183404</v>
      </c>
      <c r="C3648">
        <v>1.1235274955908301</v>
      </c>
      <c r="D3648">
        <v>1.0486136592978701</v>
      </c>
      <c r="E3648">
        <v>0.97554351224111902</v>
      </c>
      <c r="F3648">
        <v>0.95348126557073098</v>
      </c>
      <c r="G3648">
        <v>0.68053918348872</v>
      </c>
      <c r="H3648">
        <v>0.73635399977404303</v>
      </c>
      <c r="I3648">
        <v>0.49724973501520597</v>
      </c>
      <c r="J3648">
        <v>0.438462972582776</v>
      </c>
      <c r="K3648">
        <v>0.31475466738166202</v>
      </c>
      <c r="L3648">
        <v>664.83944059926296</v>
      </c>
      <c r="M3648">
        <v>11.1467993759198</v>
      </c>
      <c r="N3648">
        <v>61.451547566025901</v>
      </c>
      <c r="O3648">
        <v>57.8209097079353</v>
      </c>
      <c r="P3648">
        <v>-4.1472160958496901E-2</v>
      </c>
      <c r="Q3648">
        <v>0.13977466611102399</v>
      </c>
      <c r="R3648">
        <v>0.93969480658633597</v>
      </c>
      <c r="S3648" t="s">
        <v>9231</v>
      </c>
      <c r="T3648" t="s">
        <v>11164</v>
      </c>
      <c r="U3648" t="s">
        <v>11164</v>
      </c>
      <c r="V3648" t="s">
        <v>11164</v>
      </c>
      <c r="W3648" t="s">
        <v>14769</v>
      </c>
      <c r="X3648">
        <v>9</v>
      </c>
      <c r="Y3648" t="s">
        <v>20247</v>
      </c>
      <c r="Z3648" t="s">
        <v>25798</v>
      </c>
      <c r="AA3648">
        <v>0.77440438495995656</v>
      </c>
      <c r="AB3648" t="str">
        <f>HYPERLINK("Melting_Curves/meltCurve_Q7Z417_NUFIP2.pdf", "Melting_Curves/meltCurve_Q7Z417_NUFIP2.pdf")</f>
        <v>Melting_Curves/meltCurve_Q7Z417_NUFIP2.pdf</v>
      </c>
    </row>
    <row r="3649" spans="1:28" x14ac:dyDescent="0.25">
      <c r="A3649" t="s">
        <v>3653</v>
      </c>
      <c r="B3649">
        <v>0.99796759195183404</v>
      </c>
      <c r="C3649">
        <v>1.0236176179291701</v>
      </c>
      <c r="D3649">
        <v>1.0303064000114199</v>
      </c>
      <c r="E3649">
        <v>1.0370186584593599</v>
      </c>
      <c r="F3649">
        <v>0.87688507390091297</v>
      </c>
      <c r="G3649">
        <v>0.61881041766928502</v>
      </c>
      <c r="H3649">
        <v>0.75693775359841198</v>
      </c>
      <c r="I3649">
        <v>0.72110652137862297</v>
      </c>
      <c r="J3649">
        <v>0.93060486426563904</v>
      </c>
      <c r="K3649">
        <v>0.84566530204194601</v>
      </c>
      <c r="L3649">
        <v>12540.6829214381</v>
      </c>
      <c r="M3649">
        <v>250</v>
      </c>
      <c r="O3649">
        <v>50.159514913373698</v>
      </c>
      <c r="P3649">
        <v>-0.28082283676598502</v>
      </c>
      <c r="Q3649">
        <v>0.774624973840361</v>
      </c>
      <c r="R3649">
        <v>0.69235621562212901</v>
      </c>
      <c r="S3649" t="s">
        <v>9232</v>
      </c>
      <c r="T3649" t="s">
        <v>11164</v>
      </c>
      <c r="U3649" t="s">
        <v>11164</v>
      </c>
      <c r="V3649" t="s">
        <v>11164</v>
      </c>
      <c r="W3649" t="s">
        <v>14770</v>
      </c>
      <c r="X3649">
        <v>7</v>
      </c>
      <c r="Y3649" t="s">
        <v>20248</v>
      </c>
      <c r="Z3649" t="s">
        <v>25799</v>
      </c>
      <c r="AA3649">
        <v>0.87352984795569344</v>
      </c>
      <c r="AB3649" t="str">
        <f>HYPERLINK("Melting_Curves/meltCurve_Q7Z422_2_SZRD1.pdf", "Melting_Curves/meltCurve_Q7Z422_2_SZRD1.pdf")</f>
        <v>Melting_Curves/meltCurve_Q7Z422_2_SZRD1.pdf</v>
      </c>
    </row>
    <row r="3650" spans="1:28" x14ac:dyDescent="0.25">
      <c r="A3650" t="s">
        <v>3654</v>
      </c>
      <c r="B3650">
        <v>0.99796759195183404</v>
      </c>
      <c r="C3650">
        <v>1.1350123792279301</v>
      </c>
      <c r="D3650">
        <v>1.30299214832358</v>
      </c>
      <c r="E3650">
        <v>1.0581643814988599</v>
      </c>
      <c r="F3650">
        <v>1.0169988250044</v>
      </c>
      <c r="G3650">
        <v>0.60136986571653095</v>
      </c>
      <c r="H3650">
        <v>0.59348518104256398</v>
      </c>
      <c r="I3650">
        <v>0.46559669151363298</v>
      </c>
      <c r="J3650">
        <v>0.53892504073861003</v>
      </c>
      <c r="K3650">
        <v>0.45398233288617201</v>
      </c>
      <c r="L3650">
        <v>9514.3792680898605</v>
      </c>
      <c r="M3650">
        <v>178.353609980442</v>
      </c>
      <c r="O3650">
        <v>53.338887394069801</v>
      </c>
      <c r="P3650">
        <v>-0.40710865440704003</v>
      </c>
      <c r="Q3650">
        <v>0.51299617517495699</v>
      </c>
      <c r="R3650">
        <v>0.85891827005840504</v>
      </c>
      <c r="S3650" t="s">
        <v>9233</v>
      </c>
      <c r="T3650" t="s">
        <v>11164</v>
      </c>
      <c r="U3650" t="s">
        <v>11164</v>
      </c>
      <c r="V3650" t="s">
        <v>11164</v>
      </c>
      <c r="W3650" t="s">
        <v>14771</v>
      </c>
      <c r="X3650">
        <v>5</v>
      </c>
      <c r="Y3650" t="s">
        <v>20249</v>
      </c>
      <c r="Z3650" t="s">
        <v>25800</v>
      </c>
      <c r="AA3650">
        <v>0.77843133628503858</v>
      </c>
      <c r="AB3650" t="str">
        <f>HYPERLINK("Melting_Curves/meltCurve_Q7Z434_MAVS.pdf", "Melting_Curves/meltCurve_Q7Z434_MAVS.pdf")</f>
        <v>Melting_Curves/meltCurve_Q7Z434_MAVS.pdf</v>
      </c>
    </row>
    <row r="3651" spans="1:28" x14ac:dyDescent="0.25">
      <c r="A3651" t="s">
        <v>3655</v>
      </c>
      <c r="B3651">
        <v>0.99796759195183404</v>
      </c>
      <c r="C3651">
        <v>0.96875557503939402</v>
      </c>
      <c r="D3651">
        <v>0.97684554704534798</v>
      </c>
      <c r="E3651">
        <v>0.91766638481960705</v>
      </c>
      <c r="F3651">
        <v>0.93910309618849397</v>
      </c>
      <c r="G3651">
        <v>0.81433866908651198</v>
      </c>
      <c r="H3651">
        <v>0.70092947604477795</v>
      </c>
      <c r="I3651">
        <v>0.34730160123709197</v>
      </c>
      <c r="J3651">
        <v>0.31918389815835402</v>
      </c>
      <c r="K3651">
        <v>0.204767726062422</v>
      </c>
      <c r="L3651">
        <v>905.308657269778</v>
      </c>
      <c r="M3651">
        <v>15.345907932794001</v>
      </c>
      <c r="N3651">
        <v>59.639369579155897</v>
      </c>
      <c r="O3651">
        <v>58.018935979900903</v>
      </c>
      <c r="P3651">
        <v>-6.1067825032098899E-2</v>
      </c>
      <c r="Q3651">
        <v>7.6558279566772497E-2</v>
      </c>
      <c r="R3651">
        <v>0.97998069055939496</v>
      </c>
      <c r="S3651" t="s">
        <v>9234</v>
      </c>
      <c r="T3651" t="s">
        <v>11164</v>
      </c>
      <c r="U3651" t="s">
        <v>11164</v>
      </c>
      <c r="V3651" t="s">
        <v>11164</v>
      </c>
      <c r="W3651" t="s">
        <v>14772</v>
      </c>
      <c r="X3651">
        <v>5</v>
      </c>
      <c r="Y3651" t="s">
        <v>20250</v>
      </c>
      <c r="Z3651" t="s">
        <v>25801</v>
      </c>
      <c r="AA3651">
        <v>0.75338317954660772</v>
      </c>
      <c r="AB3651" t="str">
        <f>HYPERLINK("Melting_Curves/meltCurve_Q7Z4G4_2_TRMT11.pdf", "Melting_Curves/meltCurve_Q7Z4G4_2_TRMT11.pdf")</f>
        <v>Melting_Curves/meltCurve_Q7Z4G4_2_TRMT11.pdf</v>
      </c>
    </row>
    <row r="3652" spans="1:28" x14ac:dyDescent="0.25">
      <c r="A3652" t="s">
        <v>3656</v>
      </c>
      <c r="B3652">
        <v>0.99796759195183404</v>
      </c>
      <c r="C3652">
        <v>0.98947685365556504</v>
      </c>
      <c r="D3652">
        <v>0.99433022765906998</v>
      </c>
      <c r="E3652">
        <v>0.95943485715149002</v>
      </c>
      <c r="F3652">
        <v>0.91027470532569399</v>
      </c>
      <c r="G3652">
        <v>0.61354797243383197</v>
      </c>
      <c r="H3652">
        <v>0.52250710823795599</v>
      </c>
      <c r="I3652">
        <v>0.48559632445360601</v>
      </c>
      <c r="J3652">
        <v>0.39930493300564701</v>
      </c>
      <c r="K3652">
        <v>0.24973557101122701</v>
      </c>
      <c r="L3652">
        <v>752.25806163706295</v>
      </c>
      <c r="M3652">
        <v>13.627918977094399</v>
      </c>
      <c r="N3652">
        <v>58.311848039779697</v>
      </c>
      <c r="O3652">
        <v>54.051886434571401</v>
      </c>
      <c r="P3652">
        <v>-4.6751297635191098E-2</v>
      </c>
      <c r="Q3652">
        <v>0.25839766316074497</v>
      </c>
      <c r="R3652">
        <v>0.97011662063779303</v>
      </c>
      <c r="S3652" t="s">
        <v>9235</v>
      </c>
      <c r="T3652" t="s">
        <v>11164</v>
      </c>
      <c r="U3652" t="s">
        <v>11164</v>
      </c>
      <c r="V3652" t="s">
        <v>11164</v>
      </c>
      <c r="W3652" t="s">
        <v>14773</v>
      </c>
      <c r="X3652">
        <v>9</v>
      </c>
      <c r="Y3652" t="s">
        <v>20251</v>
      </c>
      <c r="Z3652" t="s">
        <v>25802</v>
      </c>
      <c r="AA3652">
        <v>0.7185450593955075</v>
      </c>
      <c r="AB3652" t="str">
        <f>HYPERLINK("Melting_Curves/meltCurve_Q7Z4H3_HDDC2.pdf", "Melting_Curves/meltCurve_Q7Z4H3_HDDC2.pdf")</f>
        <v>Melting_Curves/meltCurve_Q7Z4H3_HDDC2.pdf</v>
      </c>
    </row>
    <row r="3653" spans="1:28" x14ac:dyDescent="0.25">
      <c r="A3653" t="s">
        <v>3657</v>
      </c>
      <c r="B3653">
        <v>0.99796759195183404</v>
      </c>
      <c r="C3653">
        <v>0.87808201030654998</v>
      </c>
      <c r="D3653">
        <v>0.97373664919432001</v>
      </c>
      <c r="E3653">
        <v>0.56666860256319695</v>
      </c>
      <c r="F3653">
        <v>0.45783198747645198</v>
      </c>
      <c r="G3653">
        <v>0.18905321900409899</v>
      </c>
      <c r="H3653">
        <v>0.161880758404399</v>
      </c>
      <c r="I3653">
        <v>0.112979262828797</v>
      </c>
      <c r="J3653">
        <v>7.5076489741266794E-2</v>
      </c>
      <c r="K3653">
        <v>4.9333821177291903E-2</v>
      </c>
      <c r="L3653">
        <v>701.04263769932595</v>
      </c>
      <c r="M3653">
        <v>14.5064174078004</v>
      </c>
      <c r="N3653">
        <v>48.6956282785018</v>
      </c>
      <c r="O3653">
        <v>47.435864723100501</v>
      </c>
      <c r="P3653">
        <v>-7.2479298892222196E-2</v>
      </c>
      <c r="Q3653">
        <v>5.2082353121820503E-2</v>
      </c>
      <c r="R3653">
        <v>0.97667115592514697</v>
      </c>
      <c r="S3653" t="s">
        <v>9236</v>
      </c>
      <c r="T3653" t="s">
        <v>11164</v>
      </c>
      <c r="U3653" t="s">
        <v>11164</v>
      </c>
      <c r="V3653" t="s">
        <v>11164</v>
      </c>
      <c r="W3653" t="s">
        <v>14774</v>
      </c>
      <c r="X3653">
        <v>4</v>
      </c>
      <c r="Y3653" t="s">
        <v>20252</v>
      </c>
      <c r="Z3653" t="s">
        <v>25803</v>
      </c>
      <c r="AA3653">
        <v>0.43185224093627878</v>
      </c>
      <c r="AB3653" t="str">
        <f>HYPERLINK("Melting_Curves/meltCurve_Q7Z4H7_3_HAUS6.pdf", "Melting_Curves/meltCurve_Q7Z4H7_3_HAUS6.pdf")</f>
        <v>Melting_Curves/meltCurve_Q7Z4H7_3_HAUS6.pdf</v>
      </c>
    </row>
    <row r="3654" spans="1:28" x14ac:dyDescent="0.25">
      <c r="A3654" t="s">
        <v>3658</v>
      </c>
      <c r="B3654">
        <v>0.99796759195183404</v>
      </c>
      <c r="C3654">
        <v>0.989318732370712</v>
      </c>
      <c r="D3654">
        <v>1.0196178812024399</v>
      </c>
      <c r="E3654">
        <v>0.99849083651347303</v>
      </c>
      <c r="F3654">
        <v>0.84745248634020298</v>
      </c>
      <c r="G3654">
        <v>0.53646066335294296</v>
      </c>
      <c r="H3654">
        <v>0.28173089186498501</v>
      </c>
      <c r="I3654">
        <v>0.22389588704497601</v>
      </c>
      <c r="J3654">
        <v>0.13660615591389899</v>
      </c>
      <c r="K3654">
        <v>9.3445092030280896E-2</v>
      </c>
      <c r="L3654">
        <v>1182.93038600871</v>
      </c>
      <c r="M3654">
        <v>22.027055803223899</v>
      </c>
      <c r="N3654">
        <v>54.3527661538999</v>
      </c>
      <c r="O3654">
        <v>53.266765264699401</v>
      </c>
      <c r="P3654">
        <v>-9.1424819386370801E-2</v>
      </c>
      <c r="Q3654">
        <v>0.115670060092267</v>
      </c>
      <c r="R3654">
        <v>0.99635599951425502</v>
      </c>
      <c r="S3654" t="s">
        <v>9237</v>
      </c>
      <c r="T3654" t="s">
        <v>11164</v>
      </c>
      <c r="U3654" t="s">
        <v>11164</v>
      </c>
      <c r="V3654" t="s">
        <v>11164</v>
      </c>
      <c r="W3654" t="s">
        <v>14775</v>
      </c>
      <c r="X3654">
        <v>14</v>
      </c>
      <c r="Y3654" t="s">
        <v>20253</v>
      </c>
      <c r="Z3654" t="s">
        <v>25804</v>
      </c>
      <c r="AA3654">
        <v>0.61751445808109318</v>
      </c>
      <c r="AB3654" t="str">
        <f>HYPERLINK("Melting_Curves/meltCurve_Q7Z4H8_KDELC2.pdf", "Melting_Curves/meltCurve_Q7Z4H8_KDELC2.pdf")</f>
        <v>Melting_Curves/meltCurve_Q7Z4H8_KDELC2.pdf</v>
      </c>
    </row>
    <row r="3655" spans="1:28" x14ac:dyDescent="0.25">
      <c r="A3655" t="s">
        <v>3659</v>
      </c>
      <c r="B3655">
        <v>0.99796759195183404</v>
      </c>
      <c r="C3655">
        <v>1.11981514289478</v>
      </c>
      <c r="D3655">
        <v>0.84130762841497397</v>
      </c>
      <c r="E3655">
        <v>0.96171528504691695</v>
      </c>
      <c r="F3655">
        <v>0.82861646741249195</v>
      </c>
      <c r="G3655">
        <v>0.85740295514352305</v>
      </c>
      <c r="H3655">
        <v>0.65016549690627001</v>
      </c>
      <c r="I3655">
        <v>0.561351923876237</v>
      </c>
      <c r="J3655">
        <v>0.36315867263423002</v>
      </c>
      <c r="K3655">
        <v>0.10768254064423601</v>
      </c>
      <c r="L3655">
        <v>769.56633425829102</v>
      </c>
      <c r="M3655">
        <v>12.711988448896101</v>
      </c>
      <c r="N3655">
        <v>60.538627565600201</v>
      </c>
      <c r="O3655">
        <v>59.0991482148033</v>
      </c>
      <c r="P3655">
        <v>-5.3784379525558999E-2</v>
      </c>
      <c r="Q3655">
        <v>0</v>
      </c>
      <c r="R3655">
        <v>0.91671627568383596</v>
      </c>
      <c r="S3655" t="s">
        <v>9238</v>
      </c>
      <c r="T3655" t="s">
        <v>11164</v>
      </c>
      <c r="U3655" t="s">
        <v>11164</v>
      </c>
      <c r="V3655" t="s">
        <v>11164</v>
      </c>
      <c r="W3655" t="s">
        <v>14776</v>
      </c>
      <c r="X3655">
        <v>1</v>
      </c>
      <c r="Y3655" t="s">
        <v>20254</v>
      </c>
      <c r="Z3655" t="s">
        <v>25805</v>
      </c>
      <c r="AA3655">
        <v>0.76666584179502706</v>
      </c>
      <c r="AB3655" t="str">
        <f>HYPERLINK("Melting_Curves/meltCurve_Q7Z4K8_4_TRIM46.pdf", "Melting_Curves/meltCurve_Q7Z4K8_4_TRIM46.pdf")</f>
        <v>Melting_Curves/meltCurve_Q7Z4K8_4_TRIM46.pdf</v>
      </c>
    </row>
    <row r="3656" spans="1:28" x14ac:dyDescent="0.25">
      <c r="A3656" t="s">
        <v>3660</v>
      </c>
      <c r="B3656">
        <v>0.99796759195183404</v>
      </c>
      <c r="C3656">
        <v>1.01549068519235</v>
      </c>
      <c r="D3656">
        <v>1.0254025415941701</v>
      </c>
      <c r="E3656">
        <v>0.88016521523918601</v>
      </c>
      <c r="F3656">
        <v>0.83561935677943999</v>
      </c>
      <c r="G3656">
        <v>0.345249361905478</v>
      </c>
      <c r="H3656">
        <v>0.19633944855697899</v>
      </c>
      <c r="I3656">
        <v>0.15618110488977199</v>
      </c>
      <c r="J3656">
        <v>0.12763156841265899</v>
      </c>
      <c r="K3656">
        <v>0.10381941080184399</v>
      </c>
      <c r="L3656">
        <v>1632.8912003507601</v>
      </c>
      <c r="M3656">
        <v>31.3044801630375</v>
      </c>
      <c r="N3656">
        <v>52.656716601079196</v>
      </c>
      <c r="O3656">
        <v>51.950108092356402</v>
      </c>
      <c r="P3656">
        <v>-0.13144067830404099</v>
      </c>
      <c r="Q3656">
        <v>0.127496147310559</v>
      </c>
      <c r="R3656">
        <v>0.99080042032610804</v>
      </c>
      <c r="S3656" t="s">
        <v>9239</v>
      </c>
      <c r="T3656" t="s">
        <v>11164</v>
      </c>
      <c r="U3656" t="s">
        <v>11164</v>
      </c>
      <c r="V3656" t="s">
        <v>11164</v>
      </c>
      <c r="W3656" t="s">
        <v>14777</v>
      </c>
      <c r="X3656">
        <v>13</v>
      </c>
      <c r="Y3656" t="s">
        <v>20255</v>
      </c>
      <c r="Z3656" t="s">
        <v>25806</v>
      </c>
      <c r="AA3656">
        <v>0.57352932832973447</v>
      </c>
      <c r="AB3656" t="str">
        <f>HYPERLINK("Melting_Curves/meltCurve_Q7Z4Q2_HEATR3.pdf", "Melting_Curves/meltCurve_Q7Z4Q2_HEATR3.pdf")</f>
        <v>Melting_Curves/meltCurve_Q7Z4Q2_HEATR3.pdf</v>
      </c>
    </row>
    <row r="3657" spans="1:28" x14ac:dyDescent="0.25">
      <c r="A3657" t="s">
        <v>3661</v>
      </c>
      <c r="B3657">
        <v>0.99796759195183404</v>
      </c>
      <c r="C3657">
        <v>1.0361124629847001</v>
      </c>
      <c r="D3657">
        <v>0.97401490711460004</v>
      </c>
      <c r="E3657">
        <v>0.96370606385004098</v>
      </c>
      <c r="F3657">
        <v>0.874358876271907</v>
      </c>
      <c r="G3657">
        <v>0.57619645272714504</v>
      </c>
      <c r="H3657">
        <v>0.34181402613545803</v>
      </c>
      <c r="I3657">
        <v>0.23334084587975801</v>
      </c>
      <c r="J3657">
        <v>0.21294608094204001</v>
      </c>
      <c r="K3657">
        <v>0.26638345155764498</v>
      </c>
      <c r="L3657">
        <v>1368.002808876</v>
      </c>
      <c r="M3657">
        <v>25.623420818389299</v>
      </c>
      <c r="N3657">
        <v>54.662514291869698</v>
      </c>
      <c r="O3657">
        <v>53.0667664555206</v>
      </c>
      <c r="P3657">
        <v>-9.3579009475161207E-2</v>
      </c>
      <c r="Q3657">
        <v>0.22479126854529799</v>
      </c>
      <c r="R3657">
        <v>0.9958938431362</v>
      </c>
      <c r="S3657" t="s">
        <v>9240</v>
      </c>
      <c r="T3657" t="s">
        <v>11164</v>
      </c>
      <c r="U3657" t="s">
        <v>11164</v>
      </c>
      <c r="V3657" t="s">
        <v>11164</v>
      </c>
      <c r="W3657" t="s">
        <v>14778</v>
      </c>
      <c r="X3657">
        <v>15</v>
      </c>
      <c r="Y3657" t="s">
        <v>20256</v>
      </c>
      <c r="Z3657" t="s">
        <v>25807</v>
      </c>
      <c r="AA3657">
        <v>0.65482996853483044</v>
      </c>
      <c r="AB3657" t="str">
        <f>HYPERLINK("Melting_Curves/meltCurve_Q7Z4V5_HDGFRP2.pdf", "Melting_Curves/meltCurve_Q7Z4V5_HDGFRP2.pdf")</f>
        <v>Melting_Curves/meltCurve_Q7Z4V5_HDGFRP2.pdf</v>
      </c>
    </row>
    <row r="3658" spans="1:28" x14ac:dyDescent="0.25">
      <c r="A3658" t="s">
        <v>3662</v>
      </c>
      <c r="B3658">
        <v>0.99796759195183404</v>
      </c>
      <c r="C3658">
        <v>0.97052137796119398</v>
      </c>
      <c r="D3658">
        <v>0.96092194760218697</v>
      </c>
      <c r="E3658">
        <v>0.92304492812201</v>
      </c>
      <c r="F3658">
        <v>0.787145919438901</v>
      </c>
      <c r="G3658">
        <v>0.82078072077612996</v>
      </c>
      <c r="H3658">
        <v>0.66843230361039296</v>
      </c>
      <c r="I3658">
        <v>0.44698476237344997</v>
      </c>
      <c r="J3658">
        <v>0.151378031334121</v>
      </c>
      <c r="K3658">
        <v>9.9606601922431107E-2</v>
      </c>
      <c r="L3658">
        <v>883.95567857621495</v>
      </c>
      <c r="M3658">
        <v>14.966633248924101</v>
      </c>
      <c r="N3658">
        <v>59.061758571110197</v>
      </c>
      <c r="O3658">
        <v>58.0374356701846</v>
      </c>
      <c r="P3658">
        <v>-6.4476309075467197E-2</v>
      </c>
      <c r="Q3658">
        <v>0</v>
      </c>
      <c r="R3658">
        <v>0.95697802257923503</v>
      </c>
      <c r="S3658" t="s">
        <v>9241</v>
      </c>
      <c r="T3658" t="s">
        <v>11164</v>
      </c>
      <c r="U3658" t="s">
        <v>11164</v>
      </c>
      <c r="V3658" t="s">
        <v>11164</v>
      </c>
      <c r="W3658" t="s">
        <v>14779</v>
      </c>
      <c r="X3658">
        <v>16</v>
      </c>
      <c r="Y3658" t="s">
        <v>20257</v>
      </c>
      <c r="Z3658" t="s">
        <v>25808</v>
      </c>
      <c r="AA3658">
        <v>0.73421593376578587</v>
      </c>
      <c r="AB3658" t="str">
        <f>HYPERLINK("Melting_Curves/meltCurve_Q7Z4W1_DCXR.pdf", "Melting_Curves/meltCurve_Q7Z4W1_DCXR.pdf")</f>
        <v>Melting_Curves/meltCurve_Q7Z4W1_DCXR.pdf</v>
      </c>
    </row>
    <row r="3659" spans="1:28" x14ac:dyDescent="0.25">
      <c r="A3659" t="s">
        <v>3663</v>
      </c>
      <c r="B3659">
        <v>0.99796759195183404</v>
      </c>
      <c r="C3659">
        <v>0.92774138193562095</v>
      </c>
      <c r="D3659">
        <v>1.02985342258363</v>
      </c>
      <c r="E3659">
        <v>0.88797376408269002</v>
      </c>
      <c r="F3659">
        <v>0.77040852866526199</v>
      </c>
      <c r="G3659">
        <v>0.68791947358778405</v>
      </c>
      <c r="H3659">
        <v>0.566739469567071</v>
      </c>
      <c r="I3659">
        <v>0.62415968128745603</v>
      </c>
      <c r="J3659">
        <v>0.44423991311766398</v>
      </c>
      <c r="K3659">
        <v>9.9870446589124598E-2</v>
      </c>
      <c r="L3659">
        <v>490.03759433856499</v>
      </c>
      <c r="M3659">
        <v>8.1910258520603207</v>
      </c>
      <c r="N3659">
        <v>59.826150591897303</v>
      </c>
      <c r="O3659">
        <v>56.577638954649998</v>
      </c>
      <c r="P3659">
        <v>-3.6231217748421599E-2</v>
      </c>
      <c r="Q3659">
        <v>0</v>
      </c>
      <c r="R3659">
        <v>0.88752273986218</v>
      </c>
      <c r="S3659" t="s">
        <v>9242</v>
      </c>
      <c r="T3659" t="s">
        <v>11164</v>
      </c>
      <c r="U3659" t="s">
        <v>11164</v>
      </c>
      <c r="V3659" t="s">
        <v>11164</v>
      </c>
      <c r="W3659" t="s">
        <v>14780</v>
      </c>
      <c r="X3659">
        <v>6</v>
      </c>
      <c r="Y3659" t="s">
        <v>20258</v>
      </c>
      <c r="Z3659" t="s">
        <v>25809</v>
      </c>
      <c r="AA3659">
        <v>0.72146292373369292</v>
      </c>
      <c r="AB3659" t="str">
        <f>HYPERLINK("Melting_Curves/meltCurve_Q7Z5G4_3_GOLGA7.pdf", "Melting_Curves/meltCurve_Q7Z5G4_3_GOLGA7.pdf")</f>
        <v>Melting_Curves/meltCurve_Q7Z5G4_3_GOLGA7.pdf</v>
      </c>
    </row>
    <row r="3660" spans="1:28" x14ac:dyDescent="0.25">
      <c r="A3660" t="s">
        <v>3664</v>
      </c>
      <c r="B3660">
        <v>0.99796759195183404</v>
      </c>
      <c r="C3660">
        <v>1.02136773728116</v>
      </c>
      <c r="D3660">
        <v>1.0104636191952501</v>
      </c>
      <c r="E3660">
        <v>0.87092512968334701</v>
      </c>
      <c r="F3660">
        <v>0.71840353502203902</v>
      </c>
      <c r="G3660">
        <v>0.22979903268511301</v>
      </c>
      <c r="H3660">
        <v>0.16719828506194601</v>
      </c>
      <c r="I3660">
        <v>0.126347376586534</v>
      </c>
      <c r="J3660">
        <v>0.10958646235439</v>
      </c>
      <c r="K3660">
        <v>8.2975342778422806E-2</v>
      </c>
      <c r="L3660">
        <v>1514.1751041632899</v>
      </c>
      <c r="M3660">
        <v>29.5917082046956</v>
      </c>
      <c r="N3660">
        <v>51.573566016576201</v>
      </c>
      <c r="O3660">
        <v>50.936928004264701</v>
      </c>
      <c r="P3660">
        <v>-0.13019100597967501</v>
      </c>
      <c r="Q3660">
        <v>0.103602405340162</v>
      </c>
      <c r="R3660">
        <v>0.99206576320192896</v>
      </c>
      <c r="S3660" t="s">
        <v>9243</v>
      </c>
      <c r="T3660" t="s">
        <v>11164</v>
      </c>
      <c r="U3660" t="s">
        <v>11164</v>
      </c>
      <c r="V3660" t="s">
        <v>11164</v>
      </c>
      <c r="W3660" t="s">
        <v>14781</v>
      </c>
      <c r="X3660">
        <v>9</v>
      </c>
      <c r="Y3660" t="s">
        <v>20259</v>
      </c>
      <c r="Z3660" t="s">
        <v>25810</v>
      </c>
      <c r="AA3660">
        <v>0.53271672132769865</v>
      </c>
      <c r="AB3660" t="str">
        <f>HYPERLINK("Melting_Curves/meltCurve_Q7Z5K2_WAPAL.pdf", "Melting_Curves/meltCurve_Q7Z5K2_WAPAL.pdf")</f>
        <v>Melting_Curves/meltCurve_Q7Z5K2_WAPAL.pdf</v>
      </c>
    </row>
    <row r="3661" spans="1:28" x14ac:dyDescent="0.25">
      <c r="A3661" t="s">
        <v>3665</v>
      </c>
      <c r="B3661">
        <v>0.99796759195183404</v>
      </c>
      <c r="C3661">
        <v>1.03107490552687</v>
      </c>
      <c r="D3661">
        <v>0.98743508877987496</v>
      </c>
      <c r="E3661">
        <v>0.88577065853151504</v>
      </c>
      <c r="F3661">
        <v>0.68123002757323203</v>
      </c>
      <c r="G3661">
        <v>0.34527230078000698</v>
      </c>
      <c r="H3661">
        <v>0.303575368642654</v>
      </c>
      <c r="I3661">
        <v>0.31821100999628499</v>
      </c>
      <c r="J3661">
        <v>0.24060783419310799</v>
      </c>
      <c r="K3661">
        <v>0.1596022558654</v>
      </c>
      <c r="L3661">
        <v>1137.12994549629</v>
      </c>
      <c r="M3661">
        <v>22.449841497437099</v>
      </c>
      <c r="N3661">
        <v>52.069237188327001</v>
      </c>
      <c r="O3661">
        <v>50.255258876269302</v>
      </c>
      <c r="P3661">
        <v>-8.6150351180441995E-2</v>
      </c>
      <c r="Q3661">
        <v>0.228605858177441</v>
      </c>
      <c r="R3661">
        <v>0.98637111905709396</v>
      </c>
      <c r="S3661" t="s">
        <v>9244</v>
      </c>
      <c r="T3661" t="s">
        <v>11164</v>
      </c>
      <c r="U3661" t="s">
        <v>11164</v>
      </c>
      <c r="V3661" t="s">
        <v>11164</v>
      </c>
      <c r="W3661" t="s">
        <v>14782</v>
      </c>
      <c r="X3661">
        <v>8</v>
      </c>
      <c r="Y3661" t="s">
        <v>20260</v>
      </c>
      <c r="Z3661" t="s">
        <v>25811</v>
      </c>
      <c r="AA3661">
        <v>0.587915703778634</v>
      </c>
      <c r="AB3661" t="str">
        <f>HYPERLINK("Melting_Curves/meltCurve_Q7Z5L2_2_R3HCC1L.pdf", "Melting_Curves/meltCurve_Q7Z5L2_2_R3HCC1L.pdf")</f>
        <v>Melting_Curves/meltCurve_Q7Z5L2_2_R3HCC1L.pdf</v>
      </c>
    </row>
    <row r="3662" spans="1:28" x14ac:dyDescent="0.25">
      <c r="A3662" t="s">
        <v>3666</v>
      </c>
      <c r="B3662">
        <v>0.99796759195183404</v>
      </c>
      <c r="C3662">
        <v>1.08568992388493</v>
      </c>
      <c r="D3662">
        <v>1.0535458533128701</v>
      </c>
      <c r="E3662">
        <v>1.0193393142304801</v>
      </c>
      <c r="F3662">
        <v>0.82273180211743202</v>
      </c>
      <c r="G3662">
        <v>0.612455413690001</v>
      </c>
      <c r="H3662">
        <v>0.59801859610630703</v>
      </c>
      <c r="I3662">
        <v>0.49949432392855703</v>
      </c>
      <c r="J3662">
        <v>0.53073270961428898</v>
      </c>
      <c r="K3662">
        <v>0.47196743972118399</v>
      </c>
      <c r="L3662">
        <v>1459.10175116337</v>
      </c>
      <c r="M3662">
        <v>28.375471624341799</v>
      </c>
      <c r="O3662">
        <v>51.167872571268603</v>
      </c>
      <c r="P3662">
        <v>-6.7392040868533995E-2</v>
      </c>
      <c r="Q3662">
        <v>0.51390702954600398</v>
      </c>
      <c r="R3662">
        <v>0.96719033993674897</v>
      </c>
      <c r="S3662" t="s">
        <v>9245</v>
      </c>
      <c r="T3662" t="s">
        <v>11164</v>
      </c>
      <c r="U3662" t="s">
        <v>11164</v>
      </c>
      <c r="V3662" t="s">
        <v>11164</v>
      </c>
      <c r="W3662" t="s">
        <v>14783</v>
      </c>
      <c r="X3662">
        <v>12</v>
      </c>
      <c r="Y3662" t="s">
        <v>20261</v>
      </c>
      <c r="Z3662" t="s">
        <v>25812</v>
      </c>
      <c r="AA3662">
        <v>0.75096591596279894</v>
      </c>
      <c r="AB3662" t="str">
        <f>HYPERLINK("Melting_Curves/meltCurve_Q7Z5L9_IRF2BP2.pdf", "Melting_Curves/meltCurve_Q7Z5L9_IRF2BP2.pdf")</f>
        <v>Melting_Curves/meltCurve_Q7Z5L9_IRF2BP2.pdf</v>
      </c>
    </row>
    <row r="3663" spans="1:28" x14ac:dyDescent="0.25">
      <c r="A3663" t="s">
        <v>3667</v>
      </c>
      <c r="B3663">
        <v>0.99796759195183404</v>
      </c>
      <c r="C3663">
        <v>0.77156384058500005</v>
      </c>
      <c r="D3663">
        <v>0.62610966044147098</v>
      </c>
      <c r="E3663">
        <v>0.71404383567541596</v>
      </c>
      <c r="F3663">
        <v>0.821843553145163</v>
      </c>
      <c r="G3663">
        <v>0.64803055199446802</v>
      </c>
      <c r="H3663">
        <v>0.565718114219118</v>
      </c>
      <c r="I3663">
        <v>0.15053759439359601</v>
      </c>
      <c r="J3663">
        <v>0.158672474528644</v>
      </c>
      <c r="K3663">
        <v>4.1128604417935803E-2</v>
      </c>
      <c r="L3663">
        <v>397.47543542902702</v>
      </c>
      <c r="M3663">
        <v>7.3486485358028499</v>
      </c>
      <c r="N3663">
        <v>54.088235883119097</v>
      </c>
      <c r="O3663">
        <v>50.515382394867601</v>
      </c>
      <c r="P3663">
        <v>-3.6424754762395498E-2</v>
      </c>
      <c r="Q3663">
        <v>0</v>
      </c>
      <c r="R3663">
        <v>0.76142557151606705</v>
      </c>
      <c r="S3663" t="s">
        <v>9246</v>
      </c>
      <c r="T3663" t="s">
        <v>11164</v>
      </c>
      <c r="U3663" t="s">
        <v>11164</v>
      </c>
      <c r="V3663" t="s">
        <v>11164</v>
      </c>
      <c r="W3663" t="s">
        <v>14784</v>
      </c>
      <c r="X3663">
        <v>1</v>
      </c>
      <c r="Y3663" t="s">
        <v>20262</v>
      </c>
      <c r="Z3663" t="s">
        <v>25813</v>
      </c>
      <c r="AA3663">
        <v>0.58156961248373473</v>
      </c>
      <c r="AB3663" t="str">
        <f>HYPERLINK("Melting_Curves/meltCurve_Q7Z5W3_BCDIN3D.pdf", "Melting_Curves/meltCurve_Q7Z5W3_BCDIN3D.pdf")</f>
        <v>Melting_Curves/meltCurve_Q7Z5W3_BCDIN3D.pdf</v>
      </c>
    </row>
    <row r="3664" spans="1:28" x14ac:dyDescent="0.25">
      <c r="A3664" t="s">
        <v>3668</v>
      </c>
      <c r="B3664">
        <v>0.99796759195183404</v>
      </c>
      <c r="C3664">
        <v>0.99597306488364801</v>
      </c>
      <c r="D3664">
        <v>1.0323373765964501</v>
      </c>
      <c r="E3664">
        <v>0.91249399699539202</v>
      </c>
      <c r="F3664">
        <v>1.01695821750806</v>
      </c>
      <c r="G3664">
        <v>0.36032086748319597</v>
      </c>
      <c r="H3664">
        <v>0.51391004694501496</v>
      </c>
      <c r="I3664">
        <v>0.74611025267083897</v>
      </c>
      <c r="J3664">
        <v>1.2282833560463799</v>
      </c>
      <c r="K3664">
        <v>0.98900257236229905</v>
      </c>
      <c r="L3664">
        <v>12903.857898165999</v>
      </c>
      <c r="M3664">
        <v>250</v>
      </c>
      <c r="O3664">
        <v>51.612128785498697</v>
      </c>
      <c r="P3664">
        <v>-0.28151115567150897</v>
      </c>
      <c r="Q3664">
        <v>0.76752976100769599</v>
      </c>
      <c r="R3664">
        <v>0.19919013174202899</v>
      </c>
      <c r="S3664" t="s">
        <v>9247</v>
      </c>
      <c r="T3664" t="s">
        <v>11164</v>
      </c>
      <c r="U3664" t="s">
        <v>11164</v>
      </c>
      <c r="V3664" t="s">
        <v>11164</v>
      </c>
      <c r="W3664" t="s">
        <v>14785</v>
      </c>
      <c r="X3664">
        <v>1</v>
      </c>
      <c r="Y3664" t="s">
        <v>20263</v>
      </c>
      <c r="Z3664" t="s">
        <v>25814</v>
      </c>
      <c r="AA3664">
        <v>0.88080591500079053</v>
      </c>
      <c r="AB3664" t="str">
        <f>HYPERLINK("Melting_Curves/meltCurve_Q7Z5Y7_KCTD20.pdf", "Melting_Curves/meltCurve_Q7Z5Y7_KCTD20.pdf")</f>
        <v>Melting_Curves/meltCurve_Q7Z5Y7_KCTD20.pdf</v>
      </c>
    </row>
    <row r="3665" spans="1:28" x14ac:dyDescent="0.25">
      <c r="A3665" t="s">
        <v>3669</v>
      </c>
      <c r="B3665">
        <v>0.99796759195183404</v>
      </c>
      <c r="C3665">
        <v>0.88813368851979602</v>
      </c>
      <c r="D3665">
        <v>0.91852335211430403</v>
      </c>
      <c r="E3665">
        <v>0.96007748927714298</v>
      </c>
      <c r="F3665">
        <v>0.76583361332079503</v>
      </c>
      <c r="G3665">
        <v>0.679069549010484</v>
      </c>
      <c r="H3665">
        <v>8.6445561753350705E-2</v>
      </c>
      <c r="I3665">
        <v>5.0335978025854801E-2</v>
      </c>
      <c r="J3665">
        <v>1.48769929102604E-2</v>
      </c>
      <c r="K3665">
        <v>1.5333168856904399E-2</v>
      </c>
      <c r="L3665">
        <v>1502.37214668812</v>
      </c>
      <c r="M3665">
        <v>27.6494324903639</v>
      </c>
      <c r="N3665">
        <v>54.336449483750698</v>
      </c>
      <c r="O3665">
        <v>54.054608193631601</v>
      </c>
      <c r="P3665">
        <v>-0.127878466376418</v>
      </c>
      <c r="Q3665">
        <v>0</v>
      </c>
      <c r="R3665">
        <v>0.96381741707871604</v>
      </c>
      <c r="S3665" t="s">
        <v>9248</v>
      </c>
      <c r="T3665" t="s">
        <v>11164</v>
      </c>
      <c r="U3665" t="s">
        <v>11164</v>
      </c>
      <c r="V3665" t="s">
        <v>11164</v>
      </c>
      <c r="W3665" t="s">
        <v>14786</v>
      </c>
      <c r="X3665">
        <v>2</v>
      </c>
      <c r="Y3665" t="s">
        <v>20264</v>
      </c>
      <c r="Z3665" t="s">
        <v>25815</v>
      </c>
      <c r="AA3665">
        <v>0.58523381469321711</v>
      </c>
      <c r="AB3665" t="str">
        <f>HYPERLINK("Melting_Curves/meltCurve_Q7Z624_CAMKMT.pdf", "Melting_Curves/meltCurve_Q7Z624_CAMKMT.pdf")</f>
        <v>Melting_Curves/meltCurve_Q7Z624_CAMKMT.pdf</v>
      </c>
    </row>
    <row r="3666" spans="1:28" x14ac:dyDescent="0.25">
      <c r="A3666" t="s">
        <v>3670</v>
      </c>
      <c r="B3666">
        <v>0.99796759195183404</v>
      </c>
      <c r="C3666">
        <v>1.0108498540507</v>
      </c>
      <c r="D3666">
        <v>0.99029819390127205</v>
      </c>
      <c r="E3666">
        <v>0.98971785022402903</v>
      </c>
      <c r="F3666">
        <v>0.76564786413150698</v>
      </c>
      <c r="G3666">
        <v>0.53459105805606</v>
      </c>
      <c r="H3666">
        <v>0.37424328491311998</v>
      </c>
      <c r="I3666">
        <v>0.29466856295465599</v>
      </c>
      <c r="J3666">
        <v>0.12644662811402699</v>
      </c>
      <c r="K3666">
        <v>0.110083228792154</v>
      </c>
      <c r="L3666">
        <v>790.037908439489</v>
      </c>
      <c r="M3666">
        <v>14.527021343389199</v>
      </c>
      <c r="N3666">
        <v>54.941848168455699</v>
      </c>
      <c r="O3666">
        <v>53.384640014518801</v>
      </c>
      <c r="P3666">
        <v>-6.3372722886852695E-2</v>
      </c>
      <c r="Q3666">
        <v>6.8565401056980405E-2</v>
      </c>
      <c r="R3666">
        <v>0.99029736451709804</v>
      </c>
      <c r="S3666" t="s">
        <v>9249</v>
      </c>
      <c r="T3666" t="s">
        <v>11164</v>
      </c>
      <c r="U3666" t="s">
        <v>11164</v>
      </c>
      <c r="V3666" t="s">
        <v>11164</v>
      </c>
      <c r="W3666" t="s">
        <v>14787</v>
      </c>
      <c r="X3666">
        <v>1</v>
      </c>
      <c r="Y3666" t="s">
        <v>20265</v>
      </c>
      <c r="Z3666" t="s">
        <v>25816</v>
      </c>
      <c r="AA3666">
        <v>0.62295517405884893</v>
      </c>
      <c r="AB3666" t="str">
        <f>HYPERLINK("Melting_Curves/meltCurve_Q7Z6B7_2_SRGAP1.pdf", "Melting_Curves/meltCurve_Q7Z6B7_2_SRGAP1.pdf")</f>
        <v>Melting_Curves/meltCurve_Q7Z6B7_2_SRGAP1.pdf</v>
      </c>
    </row>
    <row r="3667" spans="1:28" x14ac:dyDescent="0.25">
      <c r="A3667" t="s">
        <v>3671</v>
      </c>
      <c r="B3667">
        <v>0.99796759195183404</v>
      </c>
      <c r="C3667">
        <v>0.93337506218285704</v>
      </c>
      <c r="D3667">
        <v>0.96054966263413799</v>
      </c>
      <c r="E3667">
        <v>0.82280430658999004</v>
      </c>
      <c r="F3667">
        <v>0.66159082942029301</v>
      </c>
      <c r="G3667">
        <v>0.41202584609521298</v>
      </c>
      <c r="H3667">
        <v>0.31043473123136001</v>
      </c>
      <c r="I3667">
        <v>0.21165894651675299</v>
      </c>
      <c r="J3667">
        <v>0.18023057164064701</v>
      </c>
      <c r="K3667">
        <v>0.124327109234824</v>
      </c>
      <c r="L3667">
        <v>667.68456720326606</v>
      </c>
      <c r="M3667">
        <v>12.8773301177803</v>
      </c>
      <c r="N3667">
        <v>52.701689474436698</v>
      </c>
      <c r="O3667">
        <v>50.6469547512866</v>
      </c>
      <c r="P3667">
        <v>-5.7601134357707799E-2</v>
      </c>
      <c r="Q3667">
        <v>9.3977282727961797E-2</v>
      </c>
      <c r="R3667">
        <v>0.995668318490599</v>
      </c>
      <c r="S3667" t="s">
        <v>9250</v>
      </c>
      <c r="T3667" t="s">
        <v>11164</v>
      </c>
      <c r="U3667" t="s">
        <v>11164</v>
      </c>
      <c r="V3667" t="s">
        <v>11164</v>
      </c>
      <c r="W3667" t="s">
        <v>14788</v>
      </c>
      <c r="X3667">
        <v>9</v>
      </c>
      <c r="Y3667" t="s">
        <v>20266</v>
      </c>
      <c r="Z3667" t="s">
        <v>25817</v>
      </c>
      <c r="AA3667">
        <v>0.56299227801576424</v>
      </c>
      <c r="AB3667" t="str">
        <f>HYPERLINK("Melting_Curves/meltCurve_Q7Z6E9_2_RBBP6.pdf", "Melting_Curves/meltCurve_Q7Z6E9_2_RBBP6.pdf")</f>
        <v>Melting_Curves/meltCurve_Q7Z6E9_2_RBBP6.pdf</v>
      </c>
    </row>
    <row r="3668" spans="1:28" x14ac:dyDescent="0.25">
      <c r="A3668" t="s">
        <v>3672</v>
      </c>
      <c r="B3668">
        <v>0.99796759195183404</v>
      </c>
      <c r="C3668">
        <v>1.0058388522497801</v>
      </c>
      <c r="D3668">
        <v>0.922261733656218</v>
      </c>
      <c r="E3668">
        <v>0.76151862183194996</v>
      </c>
      <c r="F3668">
        <v>0.81406425063424903</v>
      </c>
      <c r="G3668">
        <v>0.60276373406010297</v>
      </c>
      <c r="H3668">
        <v>0.619669114658565</v>
      </c>
      <c r="I3668">
        <v>0.56851613895898401</v>
      </c>
      <c r="J3668">
        <v>0.32750531449992099</v>
      </c>
      <c r="K3668">
        <v>0.16604211511408201</v>
      </c>
      <c r="L3668">
        <v>426.09915795995698</v>
      </c>
      <c r="M3668">
        <v>7.2433951247878499</v>
      </c>
      <c r="N3668">
        <v>58.825888625395997</v>
      </c>
      <c r="O3668">
        <v>54.838755003513299</v>
      </c>
      <c r="P3668">
        <v>-3.3075325460626102E-2</v>
      </c>
      <c r="Q3668">
        <v>0</v>
      </c>
      <c r="R3668">
        <v>0.91666551577529498</v>
      </c>
      <c r="S3668" t="s">
        <v>9251</v>
      </c>
      <c r="T3668" t="s">
        <v>11164</v>
      </c>
      <c r="U3668" t="s">
        <v>11164</v>
      </c>
      <c r="V3668" t="s">
        <v>11164</v>
      </c>
      <c r="W3668" t="s">
        <v>14789</v>
      </c>
      <c r="X3668">
        <v>2</v>
      </c>
      <c r="Y3668" t="s">
        <v>20267</v>
      </c>
      <c r="Z3668" t="s">
        <v>25818</v>
      </c>
      <c r="AA3668">
        <v>0.69032571912330443</v>
      </c>
      <c r="AB3668" t="str">
        <f>HYPERLINK("Melting_Curves/meltCurve_Q7Z6I8_C5orf24.pdf", "Melting_Curves/meltCurve_Q7Z6I8_C5orf24.pdf")</f>
        <v>Melting_Curves/meltCurve_Q7Z6I8_C5orf24.pdf</v>
      </c>
    </row>
    <row r="3669" spans="1:28" x14ac:dyDescent="0.25">
      <c r="A3669" t="s">
        <v>3673</v>
      </c>
      <c r="B3669">
        <v>0.99796759195183404</v>
      </c>
      <c r="C3669">
        <v>0.84104296805573797</v>
      </c>
      <c r="D3669">
        <v>0.89345826690534202</v>
      </c>
      <c r="E3669">
        <v>0.80053980349039</v>
      </c>
      <c r="F3669">
        <v>0.64150945221964695</v>
      </c>
      <c r="G3669">
        <v>0.34596199496270402</v>
      </c>
      <c r="H3669">
        <v>0.30864194375438397</v>
      </c>
      <c r="I3669">
        <v>0.137309089022254</v>
      </c>
      <c r="J3669">
        <v>0.22549574869684</v>
      </c>
      <c r="K3669">
        <v>0.15904274751324399</v>
      </c>
      <c r="L3669">
        <v>594.99518533992796</v>
      </c>
      <c r="M3669">
        <v>11.6909234885924</v>
      </c>
      <c r="N3669">
        <v>51.845899856867803</v>
      </c>
      <c r="O3669">
        <v>49.4731164490574</v>
      </c>
      <c r="P3669">
        <v>-5.3383993830481397E-2</v>
      </c>
      <c r="Q3669">
        <v>9.6609129079730599E-2</v>
      </c>
      <c r="R3669">
        <v>0.96716611998248303</v>
      </c>
      <c r="S3669" t="s">
        <v>9252</v>
      </c>
      <c r="T3669" t="s">
        <v>11164</v>
      </c>
      <c r="U3669" t="s">
        <v>11164</v>
      </c>
      <c r="V3669" t="s">
        <v>11164</v>
      </c>
      <c r="W3669" t="s">
        <v>14790</v>
      </c>
      <c r="X3669">
        <v>2</v>
      </c>
      <c r="Y3669" t="s">
        <v>20268</v>
      </c>
      <c r="Z3669" t="s">
        <v>25819</v>
      </c>
      <c r="AA3669">
        <v>0.53933455623296078</v>
      </c>
      <c r="AB3669" t="str">
        <f>HYPERLINK("Melting_Curves/meltCurve_Q7Z6J0_SH3RF1.pdf", "Melting_Curves/meltCurve_Q7Z6J0_SH3RF1.pdf")</f>
        <v>Melting_Curves/meltCurve_Q7Z6J0_SH3RF1.pdf</v>
      </c>
    </row>
    <row r="3670" spans="1:28" x14ac:dyDescent="0.25">
      <c r="A3670" t="s">
        <v>3674</v>
      </c>
      <c r="B3670">
        <v>0.99796759195183404</v>
      </c>
      <c r="C3670">
        <v>0.899404568951785</v>
      </c>
      <c r="D3670">
        <v>0.96272851153842898</v>
      </c>
      <c r="E3670">
        <v>0.86223069587078804</v>
      </c>
      <c r="F3670">
        <v>0.66994070192914701</v>
      </c>
      <c r="G3670">
        <v>0.51647082645507703</v>
      </c>
      <c r="H3670">
        <v>0.47646637869967101</v>
      </c>
      <c r="I3670">
        <v>0.24249593711581899</v>
      </c>
      <c r="J3670">
        <v>0.235273491845545</v>
      </c>
      <c r="K3670">
        <v>7.1104972872595096E-2</v>
      </c>
      <c r="L3670">
        <v>526.75259839089802</v>
      </c>
      <c r="M3670">
        <v>9.6213854543788706</v>
      </c>
      <c r="N3670">
        <v>54.748102513311402</v>
      </c>
      <c r="O3670">
        <v>52.539820315230401</v>
      </c>
      <c r="P3670">
        <v>-4.5807201947223798E-2</v>
      </c>
      <c r="Q3670">
        <v>0</v>
      </c>
      <c r="R3670">
        <v>0.97634122382791</v>
      </c>
      <c r="S3670" t="s">
        <v>9253</v>
      </c>
      <c r="T3670" t="s">
        <v>11164</v>
      </c>
      <c r="U3670" t="s">
        <v>11164</v>
      </c>
      <c r="V3670" t="s">
        <v>11164</v>
      </c>
      <c r="W3670" t="s">
        <v>14791</v>
      </c>
      <c r="X3670">
        <v>3</v>
      </c>
      <c r="Y3670" t="s">
        <v>20269</v>
      </c>
      <c r="Z3670" t="s">
        <v>25820</v>
      </c>
      <c r="AA3670">
        <v>0.60459973329169781</v>
      </c>
      <c r="AB3670" t="str">
        <f>HYPERLINK("Melting_Curves/meltCurve_Q7Z6J8_UBE3D.pdf", "Melting_Curves/meltCurve_Q7Z6J8_UBE3D.pdf")</f>
        <v>Melting_Curves/meltCurve_Q7Z6J8_UBE3D.pdf</v>
      </c>
    </row>
    <row r="3671" spans="1:28" x14ac:dyDescent="0.25">
      <c r="A3671" t="s">
        <v>3675</v>
      </c>
      <c r="B3671">
        <v>0.99796759195183404</v>
      </c>
      <c r="C3671">
        <v>1.0310724687677999</v>
      </c>
      <c r="D3671">
        <v>0.97266695321519003</v>
      </c>
      <c r="E3671">
        <v>1.0298374188564099</v>
      </c>
      <c r="F3671">
        <v>0.85297339259453697</v>
      </c>
      <c r="G3671">
        <v>0.42206650552650399</v>
      </c>
      <c r="H3671">
        <v>0.28573190333424198</v>
      </c>
      <c r="I3671">
        <v>0.19717596042945601</v>
      </c>
      <c r="J3671">
        <v>0.19761256050371701</v>
      </c>
      <c r="K3671">
        <v>0.16565976547936301</v>
      </c>
      <c r="L3671">
        <v>1722.41854855567</v>
      </c>
      <c r="M3671">
        <v>32.844389715423397</v>
      </c>
      <c r="N3671">
        <v>53.240266379200698</v>
      </c>
      <c r="O3671">
        <v>52.248505449619401</v>
      </c>
      <c r="P3671">
        <v>-0.126591900462137</v>
      </c>
      <c r="Q3671">
        <v>0.194479109341026</v>
      </c>
      <c r="R3671">
        <v>0.99497543634007102</v>
      </c>
      <c r="S3671" t="s">
        <v>9254</v>
      </c>
      <c r="T3671" t="s">
        <v>11164</v>
      </c>
      <c r="U3671" t="s">
        <v>11164</v>
      </c>
      <c r="V3671" t="s">
        <v>11164</v>
      </c>
      <c r="W3671" t="s">
        <v>14792</v>
      </c>
      <c r="X3671">
        <v>2</v>
      </c>
      <c r="Y3671" t="s">
        <v>20270</v>
      </c>
      <c r="Z3671" t="s">
        <v>25821</v>
      </c>
      <c r="AA3671">
        <v>0.61339229617991087</v>
      </c>
      <c r="AB3671" t="str">
        <f>HYPERLINK("Melting_Curves/meltCurve_Q7Z6J9_TSEN54.pdf", "Melting_Curves/meltCurve_Q7Z6J9_TSEN54.pdf")</f>
        <v>Melting_Curves/meltCurve_Q7Z6J9_TSEN54.pdf</v>
      </c>
    </row>
    <row r="3672" spans="1:28" x14ac:dyDescent="0.25">
      <c r="A3672" t="s">
        <v>3676</v>
      </c>
      <c r="B3672">
        <v>0.99796759195183404</v>
      </c>
      <c r="C3672">
        <v>1.0558847223851799</v>
      </c>
      <c r="D3672">
        <v>1.0031563541441699</v>
      </c>
      <c r="E3672">
        <v>0.96963141012378995</v>
      </c>
      <c r="F3672">
        <v>0.85266931960819003</v>
      </c>
      <c r="G3672">
        <v>0.72020591431447201</v>
      </c>
      <c r="H3672">
        <v>0.618411848870138</v>
      </c>
      <c r="I3672">
        <v>0.43586991681904702</v>
      </c>
      <c r="J3672">
        <v>0.28354132411182797</v>
      </c>
      <c r="K3672">
        <v>0.205882896396443</v>
      </c>
      <c r="L3672">
        <v>653.32886126351502</v>
      </c>
      <c r="M3672">
        <v>11.039048507796499</v>
      </c>
      <c r="N3672">
        <v>59.183439694682598</v>
      </c>
      <c r="O3672">
        <v>57.340780707444999</v>
      </c>
      <c r="P3672">
        <v>-4.8145151935105698E-2</v>
      </c>
      <c r="Q3672">
        <v>0</v>
      </c>
      <c r="R3672">
        <v>0.99133486341947297</v>
      </c>
      <c r="S3672" t="s">
        <v>9255</v>
      </c>
      <c r="T3672" t="s">
        <v>11164</v>
      </c>
      <c r="U3672" t="s">
        <v>11164</v>
      </c>
      <c r="V3672" t="s">
        <v>11164</v>
      </c>
      <c r="W3672" t="s">
        <v>14793</v>
      </c>
      <c r="X3672">
        <v>4</v>
      </c>
      <c r="Y3672" t="s">
        <v>20271</v>
      </c>
      <c r="Z3672" t="s">
        <v>25822</v>
      </c>
      <c r="AA3672">
        <v>0.72586024734479937</v>
      </c>
      <c r="AB3672" t="str">
        <f>HYPERLINK("Melting_Curves/meltCurve_Q7Z6K3_PTAR1.pdf", "Melting_Curves/meltCurve_Q7Z6K3_PTAR1.pdf")</f>
        <v>Melting_Curves/meltCurve_Q7Z6K3_PTAR1.pdf</v>
      </c>
    </row>
    <row r="3673" spans="1:28" x14ac:dyDescent="0.25">
      <c r="A3673" t="s">
        <v>3677</v>
      </c>
      <c r="B3673">
        <v>0.99796759195183404</v>
      </c>
      <c r="C3673">
        <v>0.59634014395282198</v>
      </c>
      <c r="D3673">
        <v>1.05059456010445</v>
      </c>
      <c r="E3673">
        <v>0.428648727462065</v>
      </c>
      <c r="F3673">
        <v>0.55894747720923099</v>
      </c>
      <c r="G3673">
        <v>0</v>
      </c>
      <c r="H3673">
        <v>0</v>
      </c>
      <c r="I3673">
        <v>0.35060342631369901</v>
      </c>
      <c r="J3673">
        <v>0</v>
      </c>
      <c r="K3673">
        <v>0</v>
      </c>
      <c r="L3673">
        <v>569.03235329556105</v>
      </c>
      <c r="M3673">
        <v>11.9448909583766</v>
      </c>
      <c r="N3673">
        <v>47.690842146496898</v>
      </c>
      <c r="O3673">
        <v>46.3618428408884</v>
      </c>
      <c r="P3673">
        <v>-6.40046486216862E-2</v>
      </c>
      <c r="Q3673">
        <v>6.5558922066599997E-3</v>
      </c>
      <c r="R3673">
        <v>0.75176611409513205</v>
      </c>
      <c r="S3673" t="s">
        <v>9256</v>
      </c>
      <c r="T3673" t="s">
        <v>11164</v>
      </c>
      <c r="U3673" t="s">
        <v>11164</v>
      </c>
      <c r="V3673" t="s">
        <v>11164</v>
      </c>
      <c r="W3673" t="s">
        <v>14794</v>
      </c>
      <c r="X3673">
        <v>4</v>
      </c>
      <c r="Y3673" t="s">
        <v>20272</v>
      </c>
      <c r="Z3673" t="s">
        <v>25823</v>
      </c>
      <c r="AA3673">
        <v>0.39071459944795439</v>
      </c>
      <c r="AB3673" t="str">
        <f>HYPERLINK("Melting_Curves/meltCurve_Q7Z6L1_TECPR1.pdf", "Melting_Curves/meltCurve_Q7Z6L1_TECPR1.pdf")</f>
        <v>Melting_Curves/meltCurve_Q7Z6L1_TECPR1.pdf</v>
      </c>
    </row>
    <row r="3674" spans="1:28" x14ac:dyDescent="0.25">
      <c r="A3674" t="s">
        <v>3678</v>
      </c>
      <c r="B3674">
        <v>0.99796759195183404</v>
      </c>
      <c r="C3674">
        <v>0.95581147358345298</v>
      </c>
      <c r="D3674">
        <v>0.97012424049470403</v>
      </c>
      <c r="E3674">
        <v>0.91145005125025103</v>
      </c>
      <c r="F3674">
        <v>0.82005085978519998</v>
      </c>
      <c r="G3674">
        <v>0.630597840125113</v>
      </c>
      <c r="H3674">
        <v>0.61052858633830998</v>
      </c>
      <c r="I3674">
        <v>0.44207036926840698</v>
      </c>
      <c r="J3674">
        <v>0.41711619826876101</v>
      </c>
      <c r="K3674">
        <v>0.256607319303852</v>
      </c>
      <c r="L3674">
        <v>459.536754283069</v>
      </c>
      <c r="M3674">
        <v>7.7174834760377102</v>
      </c>
      <c r="N3674">
        <v>59.544894102033403</v>
      </c>
      <c r="O3674">
        <v>55.942749236141097</v>
      </c>
      <c r="P3674">
        <v>-3.4532909702606598E-2</v>
      </c>
      <c r="Q3674">
        <v>0</v>
      </c>
      <c r="R3674">
        <v>0.98223330501846295</v>
      </c>
      <c r="S3674" t="s">
        <v>9257</v>
      </c>
      <c r="T3674" t="s">
        <v>11164</v>
      </c>
      <c r="U3674" t="s">
        <v>11164</v>
      </c>
      <c r="V3674" t="s">
        <v>11164</v>
      </c>
      <c r="W3674" t="s">
        <v>14795</v>
      </c>
      <c r="X3674">
        <v>12</v>
      </c>
      <c r="Y3674" t="s">
        <v>20273</v>
      </c>
      <c r="Z3674" t="s">
        <v>25824</v>
      </c>
      <c r="AA3674">
        <v>0.7106827243270154</v>
      </c>
      <c r="AB3674" t="str">
        <f>HYPERLINK("Melting_Curves/meltCurve_Q7Z6M1_RABEPK.pdf", "Melting_Curves/meltCurve_Q7Z6M1_RABEPK.pdf")</f>
        <v>Melting_Curves/meltCurve_Q7Z6M1_RABEPK.pdf</v>
      </c>
    </row>
    <row r="3675" spans="1:28" x14ac:dyDescent="0.25">
      <c r="A3675" t="s">
        <v>3679</v>
      </c>
      <c r="B3675">
        <v>0.99796759195183404</v>
      </c>
      <c r="C3675">
        <v>1.0811507343012201</v>
      </c>
      <c r="D3675">
        <v>0.99319423116650796</v>
      </c>
      <c r="E3675">
        <v>0.96020427900475003</v>
      </c>
      <c r="F3675">
        <v>0.80856884113634897</v>
      </c>
      <c r="G3675">
        <v>0.48006780710099001</v>
      </c>
      <c r="H3675">
        <v>0.266899790452715</v>
      </c>
      <c r="I3675">
        <v>0.224438394667589</v>
      </c>
      <c r="J3675">
        <v>0.23474534689247301</v>
      </c>
      <c r="K3675">
        <v>0.17646703670299499</v>
      </c>
      <c r="L3675">
        <v>1337.8545374068501</v>
      </c>
      <c r="M3675">
        <v>25.499508713159901</v>
      </c>
      <c r="N3675">
        <v>53.524783429684703</v>
      </c>
      <c r="O3675">
        <v>52.146409837654197</v>
      </c>
      <c r="P3675">
        <v>-9.8035070978426397E-2</v>
      </c>
      <c r="Q3675">
        <v>0.198084402179668</v>
      </c>
      <c r="R3675">
        <v>0.99354106959501998</v>
      </c>
      <c r="S3675" t="s">
        <v>9258</v>
      </c>
      <c r="T3675" t="s">
        <v>11164</v>
      </c>
      <c r="U3675" t="s">
        <v>11164</v>
      </c>
      <c r="V3675" t="s">
        <v>11164</v>
      </c>
      <c r="W3675" t="s">
        <v>14796</v>
      </c>
      <c r="X3675">
        <v>6</v>
      </c>
      <c r="Y3675" t="s">
        <v>20274</v>
      </c>
      <c r="Z3675" t="s">
        <v>25825</v>
      </c>
      <c r="AA3675">
        <v>0.61835413637131076</v>
      </c>
      <c r="AB3675" t="str">
        <f>HYPERLINK("Melting_Curves/meltCurve_Q7Z6M4_MTERFD2.pdf", "Melting_Curves/meltCurve_Q7Z6M4_MTERFD2.pdf")</f>
        <v>Melting_Curves/meltCurve_Q7Z6M4_MTERFD2.pdf</v>
      </c>
    </row>
    <row r="3676" spans="1:28" x14ac:dyDescent="0.25">
      <c r="A3676" t="s">
        <v>3680</v>
      </c>
      <c r="B3676">
        <v>0.99796759195183404</v>
      </c>
      <c r="C3676">
        <v>0.98987598898514395</v>
      </c>
      <c r="D3676">
        <v>1.03267396278764</v>
      </c>
      <c r="E3676">
        <v>1.08923581507846</v>
      </c>
      <c r="F3676">
        <v>0.79053702880029497</v>
      </c>
      <c r="G3676">
        <v>0.61576213848939398</v>
      </c>
      <c r="H3676">
        <v>0.53879059905546101</v>
      </c>
      <c r="I3676">
        <v>0.40202556865934402</v>
      </c>
      <c r="J3676">
        <v>0.29327632369865803</v>
      </c>
      <c r="K3676">
        <v>0.16422495606950699</v>
      </c>
      <c r="L3676">
        <v>704.28951622680904</v>
      </c>
      <c r="M3676">
        <v>12.4496070888746</v>
      </c>
      <c r="N3676">
        <v>57.595501380354698</v>
      </c>
      <c r="O3676">
        <v>55.171095821013601</v>
      </c>
      <c r="P3676">
        <v>-5.0822187621596598E-2</v>
      </c>
      <c r="Q3676">
        <v>9.9303365187483103E-2</v>
      </c>
      <c r="R3676">
        <v>0.96204942698200202</v>
      </c>
      <c r="S3676" t="s">
        <v>9259</v>
      </c>
      <c r="T3676" t="s">
        <v>11164</v>
      </c>
      <c r="U3676" t="s">
        <v>11164</v>
      </c>
      <c r="V3676" t="s">
        <v>11164</v>
      </c>
      <c r="W3676" t="s">
        <v>14797</v>
      </c>
      <c r="X3676">
        <v>2</v>
      </c>
      <c r="Y3676" t="s">
        <v>20275</v>
      </c>
      <c r="Z3676" t="s">
        <v>25826</v>
      </c>
      <c r="AA3676">
        <v>0.6937589745880085</v>
      </c>
      <c r="AB3676" t="str">
        <f>HYPERLINK("Melting_Curves/meltCurve_Q7Z6V5_2_ADAT2.pdf", "Melting_Curves/meltCurve_Q7Z6V5_2_ADAT2.pdf")</f>
        <v>Melting_Curves/meltCurve_Q7Z6V5_2_ADAT2.pdf</v>
      </c>
    </row>
    <row r="3677" spans="1:28" x14ac:dyDescent="0.25">
      <c r="A3677" t="s">
        <v>3681</v>
      </c>
      <c r="B3677">
        <v>0.99796759195183404</v>
      </c>
      <c r="C3677">
        <v>0.97659879055887699</v>
      </c>
      <c r="D3677">
        <v>0.95703938173925196</v>
      </c>
      <c r="E3677">
        <v>0.921569873542468</v>
      </c>
      <c r="F3677">
        <v>0.98168792006400796</v>
      </c>
      <c r="G3677">
        <v>1.63610011103085</v>
      </c>
      <c r="H3677">
        <v>0.813746445140063</v>
      </c>
      <c r="I3677">
        <v>1.43849788572403</v>
      </c>
      <c r="J3677">
        <v>0.64046523100145802</v>
      </c>
      <c r="K3677">
        <v>0.28136342328050701</v>
      </c>
      <c r="L3677">
        <v>15000</v>
      </c>
      <c r="M3677">
        <v>234.01041031392501</v>
      </c>
      <c r="N3677">
        <v>64.327075069885893</v>
      </c>
      <c r="O3677">
        <v>64.095021575337</v>
      </c>
      <c r="P3677">
        <v>-0.65596289188126899</v>
      </c>
      <c r="Q3677">
        <v>0.28133177236610901</v>
      </c>
      <c r="R3677">
        <v>0.49710153479451802</v>
      </c>
      <c r="S3677" t="s">
        <v>9260</v>
      </c>
      <c r="T3677" t="s">
        <v>11164</v>
      </c>
      <c r="U3677" t="s">
        <v>11164</v>
      </c>
      <c r="V3677" t="s">
        <v>11164</v>
      </c>
      <c r="W3677" t="s">
        <v>14798</v>
      </c>
      <c r="X3677">
        <v>13</v>
      </c>
      <c r="Y3677" t="s">
        <v>20276</v>
      </c>
      <c r="Z3677" t="s">
        <v>25827</v>
      </c>
      <c r="AA3677">
        <v>0.93061383431321998</v>
      </c>
      <c r="AB3677" t="str">
        <f>HYPERLINK("Melting_Curves/meltCurve_Q7Z6Z7_2_HUWE1.pdf", "Melting_Curves/meltCurve_Q7Z6Z7_2_HUWE1.pdf")</f>
        <v>Melting_Curves/meltCurve_Q7Z6Z7_2_HUWE1.pdf</v>
      </c>
    </row>
    <row r="3678" spans="1:28" x14ac:dyDescent="0.25">
      <c r="A3678" t="s">
        <v>3682</v>
      </c>
      <c r="B3678">
        <v>0.99796759195183404</v>
      </c>
      <c r="C3678">
        <v>1.1147104332850499</v>
      </c>
      <c r="D3678">
        <v>1.0241911797921399</v>
      </c>
      <c r="E3678">
        <v>0.99254175363904396</v>
      </c>
      <c r="F3678">
        <v>0.81193733353942699</v>
      </c>
      <c r="G3678">
        <v>0.73996721927822595</v>
      </c>
      <c r="H3678">
        <v>0.32914478715183598</v>
      </c>
      <c r="I3678">
        <v>0.19722375444841</v>
      </c>
      <c r="J3678">
        <v>0.121375771185943</v>
      </c>
      <c r="K3678">
        <v>0.116391161398036</v>
      </c>
      <c r="L3678">
        <v>1129.9462667292</v>
      </c>
      <c r="M3678">
        <v>20.4326657816794</v>
      </c>
      <c r="N3678">
        <v>55.745045393518602</v>
      </c>
      <c r="O3678">
        <v>54.7794418659077</v>
      </c>
      <c r="P3678">
        <v>-8.6248261544811702E-2</v>
      </c>
      <c r="Q3678">
        <v>7.5110340462407998E-2</v>
      </c>
      <c r="R3678">
        <v>0.98067133516566396</v>
      </c>
      <c r="S3678" t="s">
        <v>9261</v>
      </c>
      <c r="T3678" t="s">
        <v>11164</v>
      </c>
      <c r="U3678" t="s">
        <v>11164</v>
      </c>
      <c r="V3678" t="s">
        <v>11164</v>
      </c>
      <c r="W3678" t="s">
        <v>14799</v>
      </c>
      <c r="X3678">
        <v>4</v>
      </c>
      <c r="Y3678" t="s">
        <v>20277</v>
      </c>
      <c r="Z3678" t="s">
        <v>25828</v>
      </c>
      <c r="AA3678">
        <v>0.64932937198398155</v>
      </c>
      <c r="AB3678" t="str">
        <f>HYPERLINK("Melting_Curves/meltCurve_Q7Z7A3_CTU1.pdf", "Melting_Curves/meltCurve_Q7Z7A3_CTU1.pdf")</f>
        <v>Melting_Curves/meltCurve_Q7Z7A3_CTU1.pdf</v>
      </c>
    </row>
    <row r="3679" spans="1:28" x14ac:dyDescent="0.25">
      <c r="A3679" t="s">
        <v>3683</v>
      </c>
      <c r="B3679">
        <v>0.99796759195183404</v>
      </c>
      <c r="C3679">
        <v>0.96255002348746699</v>
      </c>
      <c r="D3679">
        <v>0.97160226717730902</v>
      </c>
      <c r="E3679">
        <v>0.97514093957348102</v>
      </c>
      <c r="F3679">
        <v>0.900649353333284</v>
      </c>
      <c r="G3679">
        <v>1.02862915346647</v>
      </c>
      <c r="H3679">
        <v>0.80475087297354797</v>
      </c>
      <c r="I3679">
        <v>0.30318089611308402</v>
      </c>
      <c r="J3679">
        <v>0.204944223490336</v>
      </c>
      <c r="K3679">
        <v>0.123556421583062</v>
      </c>
      <c r="L3679">
        <v>2618.7784371974999</v>
      </c>
      <c r="M3679">
        <v>44.390559068377598</v>
      </c>
      <c r="N3679">
        <v>59.462486450525198</v>
      </c>
      <c r="O3679">
        <v>58.874691075042897</v>
      </c>
      <c r="P3679">
        <v>-0.16068293700149699</v>
      </c>
      <c r="Q3679">
        <v>0.14755339743919901</v>
      </c>
      <c r="R3679">
        <v>0.98644430586019605</v>
      </c>
      <c r="S3679" t="s">
        <v>9262</v>
      </c>
      <c r="T3679" t="s">
        <v>11164</v>
      </c>
      <c r="U3679" t="s">
        <v>11164</v>
      </c>
      <c r="V3679" t="s">
        <v>11164</v>
      </c>
      <c r="W3679" t="s">
        <v>14800</v>
      </c>
      <c r="X3679">
        <v>2</v>
      </c>
      <c r="Y3679" t="s">
        <v>20278</v>
      </c>
      <c r="Z3679" t="s">
        <v>25829</v>
      </c>
      <c r="AA3679">
        <v>0.77507526205406685</v>
      </c>
      <c r="AB3679" t="str">
        <f>HYPERLINK("Melting_Curves/meltCurve_Q7Z7C8_TAF8.pdf", "Melting_Curves/meltCurve_Q7Z7C8_TAF8.pdf")</f>
        <v>Melting_Curves/meltCurve_Q7Z7C8_TAF8.pdf</v>
      </c>
    </row>
    <row r="3680" spans="1:28" x14ac:dyDescent="0.25">
      <c r="A3680" t="s">
        <v>3684</v>
      </c>
      <c r="B3680">
        <v>0.99796759195183404</v>
      </c>
      <c r="C3680">
        <v>1.01045844494889</v>
      </c>
      <c r="D3680">
        <v>1.0412358323351301</v>
      </c>
      <c r="E3680">
        <v>0.93039265748107303</v>
      </c>
      <c r="F3680">
        <v>0.77181949734562305</v>
      </c>
      <c r="G3680">
        <v>0.44008685580599</v>
      </c>
      <c r="H3680">
        <v>0.234047614872748</v>
      </c>
      <c r="I3680">
        <v>0.15134855950033799</v>
      </c>
      <c r="J3680">
        <v>0.12509805136141999</v>
      </c>
      <c r="K3680">
        <v>8.8139324756580206E-2</v>
      </c>
      <c r="L3680">
        <v>1115.8953182731</v>
      </c>
      <c r="M3680">
        <v>21.1877977365425</v>
      </c>
      <c r="N3680">
        <v>53.199782940309703</v>
      </c>
      <c r="O3680">
        <v>52.204477086167003</v>
      </c>
      <c r="P3680">
        <v>-9.17663939682241E-2</v>
      </c>
      <c r="Q3680">
        <v>9.5613174865011905E-2</v>
      </c>
      <c r="R3680">
        <v>0.997759405174514</v>
      </c>
      <c r="S3680" t="s">
        <v>9263</v>
      </c>
      <c r="T3680" t="s">
        <v>11164</v>
      </c>
      <c r="U3680" t="s">
        <v>11164</v>
      </c>
      <c r="V3680" t="s">
        <v>11164</v>
      </c>
      <c r="W3680" t="s">
        <v>14801</v>
      </c>
      <c r="X3680">
        <v>6</v>
      </c>
      <c r="Y3680" t="s">
        <v>20279</v>
      </c>
      <c r="Z3680" t="s">
        <v>25830</v>
      </c>
      <c r="AA3680">
        <v>0.57844599658758955</v>
      </c>
      <c r="AB3680" t="str">
        <f>HYPERLINK("Melting_Curves/meltCurve_Q7Z7E8_UBE2Q1.pdf", "Melting_Curves/meltCurve_Q7Z7E8_UBE2Q1.pdf")</f>
        <v>Melting_Curves/meltCurve_Q7Z7E8_UBE2Q1.pdf</v>
      </c>
    </row>
    <row r="3681" spans="1:28" x14ac:dyDescent="0.25">
      <c r="A3681" t="s">
        <v>3685</v>
      </c>
      <c r="B3681">
        <v>0.99796759195183404</v>
      </c>
      <c r="C3681">
        <v>1.01642842169713</v>
      </c>
      <c r="D3681">
        <v>0.99964559871196801</v>
      </c>
      <c r="E3681">
        <v>0.94501355405526599</v>
      </c>
      <c r="F3681">
        <v>0.83994434577879695</v>
      </c>
      <c r="G3681">
        <v>0.60032612610457803</v>
      </c>
      <c r="H3681">
        <v>0.36457056933250098</v>
      </c>
      <c r="I3681">
        <v>0.30990110922110098</v>
      </c>
      <c r="J3681">
        <v>0.20322803591208899</v>
      </c>
      <c r="K3681">
        <v>0.16150125268007401</v>
      </c>
      <c r="L3681">
        <v>920.41727128082903</v>
      </c>
      <c r="M3681">
        <v>16.964541260243401</v>
      </c>
      <c r="N3681">
        <v>55.411761928657</v>
      </c>
      <c r="O3681">
        <v>53.518291777681597</v>
      </c>
      <c r="P3681">
        <v>-6.7436954131320004E-2</v>
      </c>
      <c r="Q3681">
        <v>0.14907555340272799</v>
      </c>
      <c r="R3681">
        <v>0.99650360846633201</v>
      </c>
      <c r="S3681" t="s">
        <v>9264</v>
      </c>
      <c r="T3681" t="s">
        <v>11164</v>
      </c>
      <c r="U3681" t="s">
        <v>11164</v>
      </c>
      <c r="V3681" t="s">
        <v>11164</v>
      </c>
      <c r="W3681" t="s">
        <v>14802</v>
      </c>
      <c r="X3681">
        <v>5</v>
      </c>
      <c r="Y3681" t="s">
        <v>20280</v>
      </c>
      <c r="Z3681" t="s">
        <v>25831</v>
      </c>
      <c r="AA3681">
        <v>0.65064384813763498</v>
      </c>
      <c r="AB3681" t="str">
        <f>HYPERLINK("Melting_Curves/meltCurve_Q7Z7F0_2_KIAA0907.pdf", "Melting_Curves/meltCurve_Q7Z7F0_2_KIAA0907.pdf")</f>
        <v>Melting_Curves/meltCurve_Q7Z7F0_2_KIAA0907.pdf</v>
      </c>
    </row>
    <row r="3682" spans="1:28" x14ac:dyDescent="0.25">
      <c r="A3682" t="s">
        <v>3686</v>
      </c>
      <c r="B3682">
        <v>0.99796759195183404</v>
      </c>
      <c r="C3682">
        <v>1.0937068452677301</v>
      </c>
      <c r="D3682">
        <v>1.0440327195980399</v>
      </c>
      <c r="E3682">
        <v>1.02223658400928</v>
      </c>
      <c r="F3682">
        <v>0.86679977057350999</v>
      </c>
      <c r="G3682">
        <v>0.82925465213393201</v>
      </c>
      <c r="H3682">
        <v>0.666120183741989</v>
      </c>
      <c r="I3682">
        <v>0.48222172772211302</v>
      </c>
      <c r="J3682">
        <v>0.16514245396629501</v>
      </c>
      <c r="K3682">
        <v>0.114767467284485</v>
      </c>
      <c r="L3682">
        <v>985.05560976467098</v>
      </c>
      <c r="M3682">
        <v>16.536869514372899</v>
      </c>
      <c r="N3682">
        <v>59.567236837512397</v>
      </c>
      <c r="O3682">
        <v>58.716611270889402</v>
      </c>
      <c r="P3682">
        <v>-7.0414523543153806E-2</v>
      </c>
      <c r="Q3682">
        <v>0</v>
      </c>
      <c r="R3682">
        <v>0.972332755902659</v>
      </c>
      <c r="S3682" t="s">
        <v>9265</v>
      </c>
      <c r="T3682" t="s">
        <v>11164</v>
      </c>
      <c r="U3682" t="s">
        <v>11164</v>
      </c>
      <c r="V3682" t="s">
        <v>11164</v>
      </c>
      <c r="W3682" t="s">
        <v>14803</v>
      </c>
      <c r="X3682">
        <v>6</v>
      </c>
      <c r="Y3682" t="s">
        <v>20281</v>
      </c>
      <c r="Z3682" t="s">
        <v>25832</v>
      </c>
      <c r="AA3682">
        <v>0.75087961059165231</v>
      </c>
      <c r="AB3682" t="str">
        <f>HYPERLINK("Melting_Curves/meltCurve_Q7Z7H5_3_TMED4.pdf", "Melting_Curves/meltCurve_Q7Z7H5_3_TMED4.pdf")</f>
        <v>Melting_Curves/meltCurve_Q7Z7H5_3_TMED4.pdf</v>
      </c>
    </row>
    <row r="3683" spans="1:28" x14ac:dyDescent="0.25">
      <c r="A3683" t="s">
        <v>3687</v>
      </c>
      <c r="B3683">
        <v>0.99796759195183404</v>
      </c>
      <c r="C3683">
        <v>1.0314834126122201</v>
      </c>
      <c r="D3683">
        <v>1.01841224239414</v>
      </c>
      <c r="E3683">
        <v>0.91231215554825995</v>
      </c>
      <c r="F3683">
        <v>0.66914887773526699</v>
      </c>
      <c r="G3683">
        <v>0.29551603415091199</v>
      </c>
      <c r="H3683">
        <v>0.19744837196297299</v>
      </c>
      <c r="I3683">
        <v>0.14696255116547199</v>
      </c>
      <c r="J3683">
        <v>0.13759142668934199</v>
      </c>
      <c r="K3683">
        <v>0.101833035585683</v>
      </c>
      <c r="L3683">
        <v>1291.22213009558</v>
      </c>
      <c r="M3683">
        <v>25.283278800304998</v>
      </c>
      <c r="N3683">
        <v>51.656764576541399</v>
      </c>
      <c r="O3683">
        <v>50.753952971630198</v>
      </c>
      <c r="P3683">
        <v>-0.109000175677894</v>
      </c>
      <c r="Q3683">
        <v>0.124778714854391</v>
      </c>
      <c r="R3683">
        <v>0.99753293800336096</v>
      </c>
      <c r="S3683" t="s">
        <v>9266</v>
      </c>
      <c r="T3683" t="s">
        <v>11164</v>
      </c>
      <c r="U3683" t="s">
        <v>11164</v>
      </c>
      <c r="V3683" t="s">
        <v>11164</v>
      </c>
      <c r="W3683" t="s">
        <v>14804</v>
      </c>
      <c r="X3683">
        <v>16</v>
      </c>
      <c r="Y3683" t="s">
        <v>20282</v>
      </c>
      <c r="Z3683" t="s">
        <v>25833</v>
      </c>
      <c r="AA3683">
        <v>0.54282865907256839</v>
      </c>
      <c r="AB3683" t="str">
        <f>HYPERLINK("Melting_Curves/meltCurve_Q7Z7L1_SLFN11.pdf", "Melting_Curves/meltCurve_Q7Z7L1_SLFN11.pdf")</f>
        <v>Melting_Curves/meltCurve_Q7Z7L1_SLFN11.pdf</v>
      </c>
    </row>
    <row r="3684" spans="1:28" x14ac:dyDescent="0.25">
      <c r="A3684" t="s">
        <v>3688</v>
      </c>
      <c r="B3684">
        <v>0.99796759195183404</v>
      </c>
      <c r="C3684">
        <v>1.0123379180424801</v>
      </c>
      <c r="D3684">
        <v>1.1304425679369501</v>
      </c>
      <c r="E3684">
        <v>0.91555646343514296</v>
      </c>
      <c r="F3684">
        <v>0.82808413649561297</v>
      </c>
      <c r="G3684">
        <v>0.81628372636861801</v>
      </c>
      <c r="H3684">
        <v>0.69339489621371897</v>
      </c>
      <c r="I3684">
        <v>0.52466540915568705</v>
      </c>
      <c r="J3684">
        <v>0.65472469593264604</v>
      </c>
      <c r="K3684">
        <v>0.48269181528050997</v>
      </c>
      <c r="L3684">
        <v>694.47588478922796</v>
      </c>
      <c r="M3684">
        <v>12.6075956869953</v>
      </c>
      <c r="O3684">
        <v>53.753212303195703</v>
      </c>
      <c r="P3684">
        <v>-3.0472950248088701E-2</v>
      </c>
      <c r="Q3684">
        <v>0.48041068025436401</v>
      </c>
      <c r="R3684">
        <v>0.89238034530806298</v>
      </c>
      <c r="S3684" t="s">
        <v>9267</v>
      </c>
      <c r="T3684" t="s">
        <v>11164</v>
      </c>
      <c r="U3684" t="s">
        <v>11164</v>
      </c>
      <c r="V3684" t="s">
        <v>11164</v>
      </c>
      <c r="W3684" t="s">
        <v>14805</v>
      </c>
      <c r="X3684">
        <v>2</v>
      </c>
      <c r="Y3684" t="s">
        <v>20283</v>
      </c>
      <c r="Z3684" t="s">
        <v>25834</v>
      </c>
      <c r="AA3684">
        <v>0.80093211569369716</v>
      </c>
      <c r="AB3684" t="str">
        <f>HYPERLINK("Melting_Curves/meltCurve_Q7Z7L8_C11orf96.pdf", "Melting_Curves/meltCurve_Q7Z7L8_C11orf96.pdf")</f>
        <v>Melting_Curves/meltCurve_Q7Z7L8_C11orf96.pdf</v>
      </c>
    </row>
    <row r="3685" spans="1:28" x14ac:dyDescent="0.25">
      <c r="A3685" t="s">
        <v>3689</v>
      </c>
      <c r="B3685">
        <v>0.99796759195183404</v>
      </c>
      <c r="C3685">
        <v>1.0414396946670801</v>
      </c>
      <c r="D3685">
        <v>0.88790215785289806</v>
      </c>
      <c r="E3685">
        <v>1.05609615847212</v>
      </c>
      <c r="F3685">
        <v>1.06171419014193</v>
      </c>
      <c r="G3685">
        <v>0.73970603085855802</v>
      </c>
      <c r="H3685">
        <v>0.389511401850484</v>
      </c>
      <c r="I3685">
        <v>0.17959424532203699</v>
      </c>
      <c r="J3685">
        <v>0.22925190970452</v>
      </c>
      <c r="K3685">
        <v>0.18957726318587201</v>
      </c>
      <c r="L3685">
        <v>1952.5908204643799</v>
      </c>
      <c r="M3685">
        <v>35.3747583789931</v>
      </c>
      <c r="N3685">
        <v>55.976220773571399</v>
      </c>
      <c r="O3685">
        <v>55.021789274214598</v>
      </c>
      <c r="P3685">
        <v>-0.12948889695426499</v>
      </c>
      <c r="Q3685">
        <v>0.19437623770169701</v>
      </c>
      <c r="R3685">
        <v>0.97825634922842997</v>
      </c>
      <c r="S3685" t="s">
        <v>9268</v>
      </c>
      <c r="T3685" t="s">
        <v>11164</v>
      </c>
      <c r="U3685" t="s">
        <v>11164</v>
      </c>
      <c r="V3685" t="s">
        <v>11164</v>
      </c>
      <c r="W3685" t="s">
        <v>14806</v>
      </c>
      <c r="X3685">
        <v>1</v>
      </c>
      <c r="Y3685" t="s">
        <v>20284</v>
      </c>
      <c r="Z3685" t="s">
        <v>25835</v>
      </c>
      <c r="AA3685">
        <v>0.68685902651197606</v>
      </c>
      <c r="AB3685" t="str">
        <f>HYPERLINK("Melting_Curves/meltCurve_Q7Z7M9_GALNT5.pdf", "Melting_Curves/meltCurve_Q7Z7M9_GALNT5.pdf")</f>
        <v>Melting_Curves/meltCurve_Q7Z7M9_GALNT5.pdf</v>
      </c>
    </row>
    <row r="3686" spans="1:28" x14ac:dyDescent="0.25">
      <c r="A3686" t="s">
        <v>3690</v>
      </c>
      <c r="B3686">
        <v>0.99796759195183404</v>
      </c>
      <c r="C3686">
        <v>0.84377821488664595</v>
      </c>
      <c r="D3686">
        <v>0.92920326483142501</v>
      </c>
      <c r="E3686">
        <v>0.88924367288515505</v>
      </c>
      <c r="F3686">
        <v>0.750992303946585</v>
      </c>
      <c r="G3686">
        <v>0.57092037278271202</v>
      </c>
      <c r="H3686">
        <v>0.49223454083524398</v>
      </c>
      <c r="I3686">
        <v>0.38341831325178</v>
      </c>
      <c r="J3686">
        <v>0.53368541990684704</v>
      </c>
      <c r="K3686">
        <v>0.32956864957104098</v>
      </c>
      <c r="L3686">
        <v>524.20795965392904</v>
      </c>
      <c r="M3686">
        <v>10.064096194419999</v>
      </c>
      <c r="N3686">
        <v>57.846513011166699</v>
      </c>
      <c r="O3686">
        <v>50.155810040542697</v>
      </c>
      <c r="P3686">
        <v>-3.4306656989473099E-2</v>
      </c>
      <c r="Q3686">
        <v>0.31643663996384902</v>
      </c>
      <c r="R3686">
        <v>0.91639386979704895</v>
      </c>
      <c r="S3686" t="s">
        <v>9269</v>
      </c>
      <c r="T3686" t="s">
        <v>11164</v>
      </c>
      <c r="U3686" t="s">
        <v>11164</v>
      </c>
      <c r="V3686" t="s">
        <v>11164</v>
      </c>
      <c r="W3686" t="s">
        <v>14807</v>
      </c>
      <c r="X3686">
        <v>1</v>
      </c>
      <c r="Y3686" t="s">
        <v>20285</v>
      </c>
      <c r="Z3686" t="s">
        <v>25836</v>
      </c>
      <c r="AA3686">
        <v>0.67813008545467768</v>
      </c>
      <c r="AB3686" t="str">
        <f>HYPERLINK("Melting_Curves/meltCurve_Q7Z7N9_TMEM179B.pdf", "Melting_Curves/meltCurve_Q7Z7N9_TMEM179B.pdf")</f>
        <v>Melting_Curves/meltCurve_Q7Z7N9_TMEM179B.pdf</v>
      </c>
    </row>
    <row r="3687" spans="1:28" x14ac:dyDescent="0.25">
      <c r="A3687" t="s">
        <v>3691</v>
      </c>
      <c r="B3687">
        <v>0.99796759195183404</v>
      </c>
      <c r="C3687">
        <v>0.98326019744246196</v>
      </c>
      <c r="D3687">
        <v>0.97021676431357096</v>
      </c>
      <c r="E3687">
        <v>0.955292604699985</v>
      </c>
      <c r="F3687">
        <v>0.85511401293923195</v>
      </c>
      <c r="G3687">
        <v>0.70058024134508201</v>
      </c>
      <c r="H3687">
        <v>0.449636137793688</v>
      </c>
      <c r="I3687">
        <v>0.23185343986200499</v>
      </c>
      <c r="J3687">
        <v>0.21008667992633701</v>
      </c>
      <c r="K3687">
        <v>0.136472904507982</v>
      </c>
      <c r="L3687">
        <v>893.77879986648702</v>
      </c>
      <c r="M3687">
        <v>15.983755572912001</v>
      </c>
      <c r="N3687">
        <v>56.5086376603644</v>
      </c>
      <c r="O3687">
        <v>55.064633615303599</v>
      </c>
      <c r="P3687">
        <v>-6.6990502955863104E-2</v>
      </c>
      <c r="Q3687">
        <v>7.6933586062051904E-2</v>
      </c>
      <c r="R3687">
        <v>0.99674993487052599</v>
      </c>
      <c r="S3687" t="s">
        <v>9270</v>
      </c>
      <c r="T3687" t="s">
        <v>11164</v>
      </c>
      <c r="U3687" t="s">
        <v>11164</v>
      </c>
      <c r="V3687" t="s">
        <v>11164</v>
      </c>
      <c r="W3687" t="s">
        <v>14808</v>
      </c>
      <c r="X3687">
        <v>12</v>
      </c>
      <c r="Y3687" t="s">
        <v>20286</v>
      </c>
      <c r="Z3687" t="s">
        <v>25837</v>
      </c>
      <c r="AA3687">
        <v>0.66978705361819746</v>
      </c>
      <c r="AB3687" t="str">
        <f>HYPERLINK("Melting_Curves/meltCurve_Q86SF2_GALNT7.pdf", "Melting_Curves/meltCurve_Q86SF2_GALNT7.pdf")</f>
        <v>Melting_Curves/meltCurve_Q86SF2_GALNT7.pdf</v>
      </c>
    </row>
    <row r="3688" spans="1:28" x14ac:dyDescent="0.25">
      <c r="A3688" t="s">
        <v>3692</v>
      </c>
      <c r="B3688">
        <v>0.99796759195183404</v>
      </c>
      <c r="C3688">
        <v>1.22707403351177</v>
      </c>
      <c r="D3688">
        <v>0.987737379602036</v>
      </c>
      <c r="E3688">
        <v>0.98435997210502602</v>
      </c>
      <c r="F3688">
        <v>0.79374386715610701</v>
      </c>
      <c r="G3688">
        <v>0.49946632592372198</v>
      </c>
      <c r="H3688">
        <v>0.45203104489782098</v>
      </c>
      <c r="I3688">
        <v>0.31053714798355703</v>
      </c>
      <c r="J3688">
        <v>0.30859651331517701</v>
      </c>
      <c r="K3688">
        <v>0.148771715620686</v>
      </c>
      <c r="L3688">
        <v>908.44931662753902</v>
      </c>
      <c r="M3688">
        <v>17.068027003478701</v>
      </c>
      <c r="N3688">
        <v>55.005375602971597</v>
      </c>
      <c r="O3688">
        <v>52.510662386333898</v>
      </c>
      <c r="P3688">
        <v>-6.4019447231729198E-2</v>
      </c>
      <c r="Q3688">
        <v>0.21221110838420701</v>
      </c>
      <c r="R3688">
        <v>0.93962733425015099</v>
      </c>
      <c r="S3688" t="s">
        <v>9271</v>
      </c>
      <c r="T3688" t="s">
        <v>11164</v>
      </c>
      <c r="U3688" t="s">
        <v>11164</v>
      </c>
      <c r="V3688" t="s">
        <v>11164</v>
      </c>
      <c r="W3688" t="s">
        <v>14809</v>
      </c>
      <c r="X3688">
        <v>2</v>
      </c>
      <c r="Y3688" t="s">
        <v>20287</v>
      </c>
      <c r="Z3688" t="s">
        <v>25838</v>
      </c>
      <c r="AA3688">
        <v>0.65035065820595117</v>
      </c>
      <c r="AB3688" t="str">
        <f>HYPERLINK("Melting_Curves/meltCurve_Q86SK9_2_SCD5.pdf", "Melting_Curves/meltCurve_Q86SK9_2_SCD5.pdf")</f>
        <v>Melting_Curves/meltCurve_Q86SK9_2_SCD5.pdf</v>
      </c>
    </row>
    <row r="3689" spans="1:28" x14ac:dyDescent="0.25">
      <c r="A3689" t="s">
        <v>3693</v>
      </c>
      <c r="B3689">
        <v>0.99796759195183404</v>
      </c>
      <c r="C3689">
        <v>1.11913226237159</v>
      </c>
      <c r="D3689">
        <v>1.0697427026800701</v>
      </c>
      <c r="E3689">
        <v>0.863965341463799</v>
      </c>
      <c r="F3689">
        <v>0.75168164529970005</v>
      </c>
      <c r="G3689">
        <v>0.57023280656873998</v>
      </c>
      <c r="H3689">
        <v>0.40001303997579002</v>
      </c>
      <c r="I3689">
        <v>0.35925599934404701</v>
      </c>
      <c r="J3689">
        <v>0.28879553387987</v>
      </c>
      <c r="K3689">
        <v>0.183952747566513</v>
      </c>
      <c r="L3689">
        <v>746.007174641186</v>
      </c>
      <c r="M3689">
        <v>13.9849211439307</v>
      </c>
      <c r="N3689">
        <v>55.269555901956203</v>
      </c>
      <c r="O3689">
        <v>52.288472932222803</v>
      </c>
      <c r="P3689">
        <v>-5.3975976957611797E-2</v>
      </c>
      <c r="Q3689">
        <v>0.192860260656805</v>
      </c>
      <c r="R3689">
        <v>0.96922261399054099</v>
      </c>
      <c r="S3689" t="s">
        <v>9272</v>
      </c>
      <c r="T3689" t="s">
        <v>11164</v>
      </c>
      <c r="U3689" t="s">
        <v>11164</v>
      </c>
      <c r="V3689" t="s">
        <v>11164</v>
      </c>
      <c r="W3689" t="s">
        <v>14810</v>
      </c>
      <c r="X3689">
        <v>3</v>
      </c>
      <c r="Y3689" t="s">
        <v>20288</v>
      </c>
      <c r="Z3689" t="s">
        <v>25839</v>
      </c>
      <c r="AA3689">
        <v>0.64738720996446164</v>
      </c>
      <c r="AB3689" t="str">
        <f>HYPERLINK("Melting_Curves/meltCurve_Q86SQ7_SDCCAG8.pdf", "Melting_Curves/meltCurve_Q86SQ7_SDCCAG8.pdf")</f>
        <v>Melting_Curves/meltCurve_Q86SQ7_SDCCAG8.pdf</v>
      </c>
    </row>
    <row r="3690" spans="1:28" x14ac:dyDescent="0.25">
      <c r="A3690" t="s">
        <v>3694</v>
      </c>
      <c r="B3690">
        <v>0.99796759195183404</v>
      </c>
      <c r="C3690">
        <v>0.98372555666205297</v>
      </c>
      <c r="D3690">
        <v>0.89662245326589396</v>
      </c>
      <c r="E3690">
        <v>0.91209452807412605</v>
      </c>
      <c r="F3690">
        <v>0.79463858286747502</v>
      </c>
      <c r="G3690">
        <v>0.72037279993755399</v>
      </c>
      <c r="H3690">
        <v>0.52542929423236195</v>
      </c>
      <c r="I3690">
        <v>0.33758967762310399</v>
      </c>
      <c r="J3690">
        <v>0.21978705391237299</v>
      </c>
      <c r="K3690">
        <v>0.210057603201905</v>
      </c>
      <c r="L3690">
        <v>591.64521584844397</v>
      </c>
      <c r="M3690">
        <v>10.280867516769201</v>
      </c>
      <c r="N3690">
        <v>57.548180159797703</v>
      </c>
      <c r="O3690">
        <v>55.4984110603312</v>
      </c>
      <c r="P3690">
        <v>-4.63317979591358E-2</v>
      </c>
      <c r="Q3690">
        <v>0</v>
      </c>
      <c r="R3690">
        <v>0.987339923625278</v>
      </c>
      <c r="S3690" t="s">
        <v>9273</v>
      </c>
      <c r="T3690" t="s">
        <v>11164</v>
      </c>
      <c r="U3690" t="s">
        <v>11164</v>
      </c>
      <c r="V3690" t="s">
        <v>11164</v>
      </c>
      <c r="W3690" t="s">
        <v>14811</v>
      </c>
      <c r="X3690">
        <v>2</v>
      </c>
      <c r="Y3690" t="s">
        <v>20289</v>
      </c>
      <c r="Z3690" t="s">
        <v>25840</v>
      </c>
      <c r="AA3690">
        <v>0.68111307646221597</v>
      </c>
      <c r="AB3690" t="str">
        <f>HYPERLINK("Melting_Curves/meltCurve_Q86SQ9_3_DHDDS.pdf", "Melting_Curves/meltCurve_Q86SQ9_3_DHDDS.pdf")</f>
        <v>Melting_Curves/meltCurve_Q86SQ9_3_DHDDS.pdf</v>
      </c>
    </row>
    <row r="3691" spans="1:28" x14ac:dyDescent="0.25">
      <c r="A3691" t="s">
        <v>3695</v>
      </c>
      <c r="B3691">
        <v>0.99796759195183404</v>
      </c>
      <c r="C3691">
        <v>0.90970269591656205</v>
      </c>
      <c r="D3691">
        <v>0.89413657991156104</v>
      </c>
      <c r="E3691">
        <v>0.84434349946499498</v>
      </c>
      <c r="F3691">
        <v>0.74032939445922896</v>
      </c>
      <c r="G3691">
        <v>0.48597409580519801</v>
      </c>
      <c r="H3691">
        <v>0.35951172916859397</v>
      </c>
      <c r="I3691">
        <v>0.24716466476895399</v>
      </c>
      <c r="J3691">
        <v>0.22964797048704499</v>
      </c>
      <c r="K3691">
        <v>0.17887267854904601</v>
      </c>
      <c r="L3691">
        <v>563.32760506289401</v>
      </c>
      <c r="M3691">
        <v>10.573583306615999</v>
      </c>
      <c r="N3691">
        <v>54.134137255115398</v>
      </c>
      <c r="O3691">
        <v>51.477136127498802</v>
      </c>
      <c r="P3691">
        <v>-4.7411043414843999E-2</v>
      </c>
      <c r="Q3691">
        <v>7.7086200454770007E-2</v>
      </c>
      <c r="R3691">
        <v>0.98828061208430196</v>
      </c>
      <c r="S3691" t="s">
        <v>9274</v>
      </c>
      <c r="T3691" t="s">
        <v>11164</v>
      </c>
      <c r="U3691" t="s">
        <v>11164</v>
      </c>
      <c r="V3691" t="s">
        <v>11164</v>
      </c>
      <c r="W3691" t="s">
        <v>14812</v>
      </c>
      <c r="X3691">
        <v>7</v>
      </c>
      <c r="Y3691" t="s">
        <v>20290</v>
      </c>
      <c r="Z3691" t="s">
        <v>25841</v>
      </c>
      <c r="AA3691">
        <v>0.59722732974491821</v>
      </c>
      <c r="AB3691" t="str">
        <f>HYPERLINK("Melting_Curves/meltCurve_Q86SX6_GLRX5.pdf", "Melting_Curves/meltCurve_Q86SX6_GLRX5.pdf")</f>
        <v>Melting_Curves/meltCurve_Q86SX6_GLRX5.pdf</v>
      </c>
    </row>
    <row r="3692" spans="1:28" x14ac:dyDescent="0.25">
      <c r="A3692" t="s">
        <v>3696</v>
      </c>
      <c r="B3692">
        <v>0.99796759195183404</v>
      </c>
      <c r="C3692">
        <v>1.0261967787817201</v>
      </c>
      <c r="D3692">
        <v>1.1773487268588101</v>
      </c>
      <c r="E3692">
        <v>1.1093467242526001</v>
      </c>
      <c r="F3692">
        <v>0.94826318652972297</v>
      </c>
      <c r="G3692">
        <v>0.598476047692033</v>
      </c>
      <c r="H3692">
        <v>0.58474417638559995</v>
      </c>
      <c r="I3692">
        <v>0.52986152521541896</v>
      </c>
      <c r="J3692">
        <v>0.45788160210811701</v>
      </c>
      <c r="K3692">
        <v>0.28331527502822001</v>
      </c>
      <c r="L3692">
        <v>1386.8328390348299</v>
      </c>
      <c r="M3692">
        <v>25.9734544586533</v>
      </c>
      <c r="N3692">
        <v>57.535246703617901</v>
      </c>
      <c r="O3692">
        <v>53.080744154751201</v>
      </c>
      <c r="P3692">
        <v>-7.0598412918654804E-2</v>
      </c>
      <c r="Q3692">
        <v>0.42289186034972098</v>
      </c>
      <c r="R3692">
        <v>0.89709249791922396</v>
      </c>
      <c r="S3692" t="s">
        <v>9275</v>
      </c>
      <c r="T3692" t="s">
        <v>11164</v>
      </c>
      <c r="U3692" t="s">
        <v>11164</v>
      </c>
      <c r="V3692" t="s">
        <v>11164</v>
      </c>
      <c r="W3692" t="s">
        <v>14813</v>
      </c>
      <c r="X3692">
        <v>1</v>
      </c>
      <c r="Y3692" t="s">
        <v>20291</v>
      </c>
      <c r="Z3692" t="s">
        <v>25842</v>
      </c>
      <c r="AA3692">
        <v>0.74302935160942662</v>
      </c>
      <c r="AB3692" t="str">
        <f>HYPERLINK("Melting_Curves/meltCurve_Q86T03_TMEM55B.pdf", "Melting_Curves/meltCurve_Q86T03_TMEM55B.pdf")</f>
        <v>Melting_Curves/meltCurve_Q86T03_TMEM55B.pdf</v>
      </c>
    </row>
    <row r="3693" spans="1:28" x14ac:dyDescent="0.25">
      <c r="A3693" t="s">
        <v>3697</v>
      </c>
      <c r="B3693">
        <v>0.99796759195183404</v>
      </c>
      <c r="C3693">
        <v>0.97206042595589603</v>
      </c>
      <c r="D3693">
        <v>0.98398455816970098</v>
      </c>
      <c r="E3693">
        <v>0.93924820565115597</v>
      </c>
      <c r="F3693">
        <v>0.74657858944882005</v>
      </c>
      <c r="G3693">
        <v>0.241353345030417</v>
      </c>
      <c r="H3693">
        <v>0.16729197680218499</v>
      </c>
      <c r="I3693">
        <v>7.9691271523343599E-2</v>
      </c>
      <c r="J3693">
        <v>7.3678093616561496E-2</v>
      </c>
      <c r="K3693">
        <v>5.6158906113384401E-2</v>
      </c>
      <c r="L3693">
        <v>1662.7925813755901</v>
      </c>
      <c r="M3693">
        <v>32.250303406677403</v>
      </c>
      <c r="N3693">
        <v>51.834531541830799</v>
      </c>
      <c r="O3693">
        <v>51.361947960875298</v>
      </c>
      <c r="P3693">
        <v>-0.14461023303342499</v>
      </c>
      <c r="Q3693">
        <v>7.8777405831869804E-2</v>
      </c>
      <c r="R3693">
        <v>0.99597960869525404</v>
      </c>
      <c r="S3693" t="s">
        <v>9276</v>
      </c>
      <c r="T3693" t="s">
        <v>11164</v>
      </c>
      <c r="U3693" t="s">
        <v>11164</v>
      </c>
      <c r="V3693" t="s">
        <v>11164</v>
      </c>
      <c r="W3693" t="s">
        <v>14814</v>
      </c>
      <c r="X3693">
        <v>2</v>
      </c>
      <c r="Y3693" t="s">
        <v>20292</v>
      </c>
      <c r="Z3693" t="s">
        <v>25843</v>
      </c>
      <c r="AA3693">
        <v>0.53086904586528916</v>
      </c>
      <c r="AB3693" t="str">
        <f>HYPERLINK("Melting_Curves/meltCurve_Q86TA1_MOB3B.pdf", "Melting_Curves/meltCurve_Q86TA1_MOB3B.pdf")</f>
        <v>Melting_Curves/meltCurve_Q86TA1_MOB3B.pdf</v>
      </c>
    </row>
    <row r="3694" spans="1:28" x14ac:dyDescent="0.25">
      <c r="A3694" t="s">
        <v>3698</v>
      </c>
      <c r="B3694">
        <v>0.99796759195183404</v>
      </c>
      <c r="C3694">
        <v>1.0809021468861699</v>
      </c>
      <c r="D3694">
        <v>0.93389786485535997</v>
      </c>
      <c r="E3694">
        <v>0.95427309561068496</v>
      </c>
      <c r="F3694">
        <v>0.87252291631551704</v>
      </c>
      <c r="G3694">
        <v>0.53824163516374401</v>
      </c>
      <c r="H3694">
        <v>0.36828782696599699</v>
      </c>
      <c r="I3694">
        <v>0.32319980069005499</v>
      </c>
      <c r="J3694">
        <v>0.29808701096943901</v>
      </c>
      <c r="K3694">
        <v>0.131122025434742</v>
      </c>
      <c r="L3694">
        <v>1040.1301571572301</v>
      </c>
      <c r="M3694">
        <v>19.440370715035598</v>
      </c>
      <c r="N3694">
        <v>55.003313796357901</v>
      </c>
      <c r="O3694">
        <v>52.947120010707799</v>
      </c>
      <c r="P3694">
        <v>-7.29113136086883E-2</v>
      </c>
      <c r="Q3694">
        <v>0.20571395017483099</v>
      </c>
      <c r="R3694">
        <v>0.97439167266219395</v>
      </c>
      <c r="S3694" t="s">
        <v>9277</v>
      </c>
      <c r="T3694" t="s">
        <v>11164</v>
      </c>
      <c r="U3694" t="s">
        <v>11164</v>
      </c>
      <c r="V3694" t="s">
        <v>11164</v>
      </c>
      <c r="W3694" t="s">
        <v>14815</v>
      </c>
      <c r="X3694">
        <v>4</v>
      </c>
      <c r="Y3694" t="s">
        <v>20293</v>
      </c>
      <c r="Z3694" t="s">
        <v>25844</v>
      </c>
      <c r="AA3694">
        <v>0.65287465283542401</v>
      </c>
      <c r="AB3694" t="str">
        <f>HYPERLINK("Melting_Curves/meltCurve_Q86TB9_4_PATL1.pdf", "Melting_Curves/meltCurve_Q86TB9_4_PATL1.pdf")</f>
        <v>Melting_Curves/meltCurve_Q86TB9_4_PATL1.pdf</v>
      </c>
    </row>
    <row r="3695" spans="1:28" x14ac:dyDescent="0.25">
      <c r="A3695" t="s">
        <v>3699</v>
      </c>
      <c r="B3695">
        <v>0.99796759195183404</v>
      </c>
      <c r="C3695">
        <v>1.1166166547768299</v>
      </c>
      <c r="D3695">
        <v>1.0330487893601401</v>
      </c>
      <c r="E3695">
        <v>0.82217540162573999</v>
      </c>
      <c r="F3695">
        <v>0.29146099023146299</v>
      </c>
      <c r="G3695">
        <v>0.17834184489747301</v>
      </c>
      <c r="H3695">
        <v>0.16368395468786101</v>
      </c>
      <c r="I3695">
        <v>0.12984704375877901</v>
      </c>
      <c r="J3695">
        <v>0.12332971566685701</v>
      </c>
      <c r="K3695">
        <v>0.12555207364959201</v>
      </c>
      <c r="L3695">
        <v>1877.9119290962999</v>
      </c>
      <c r="M3695">
        <v>38.9338146924187</v>
      </c>
      <c r="N3695">
        <v>48.6446060958773</v>
      </c>
      <c r="O3695">
        <v>48.106723839778802</v>
      </c>
      <c r="P3695">
        <v>-0.173961072378256</v>
      </c>
      <c r="Q3695">
        <v>0.14021498893572701</v>
      </c>
      <c r="R3695">
        <v>0.99000795077189696</v>
      </c>
      <c r="S3695" t="s">
        <v>9278</v>
      </c>
      <c r="T3695" t="s">
        <v>11164</v>
      </c>
      <c r="U3695" t="s">
        <v>11164</v>
      </c>
      <c r="V3695" t="s">
        <v>11164</v>
      </c>
      <c r="W3695" t="s">
        <v>14816</v>
      </c>
      <c r="X3695">
        <v>7</v>
      </c>
      <c r="Y3695" t="s">
        <v>20294</v>
      </c>
      <c r="Z3695" t="s">
        <v>25845</v>
      </c>
      <c r="AA3695">
        <v>0.46518671229027059</v>
      </c>
      <c r="AB3695" t="str">
        <f>HYPERLINK("Melting_Curves/meltCurve_Q86TG7_2_PEG10.pdf", "Melting_Curves/meltCurve_Q86TG7_2_PEG10.pdf")</f>
        <v>Melting_Curves/meltCurve_Q86TG7_2_PEG10.pdf</v>
      </c>
    </row>
    <row r="3696" spans="1:28" x14ac:dyDescent="0.25">
      <c r="A3696" t="s">
        <v>3700</v>
      </c>
      <c r="B3696">
        <v>0.99796759195183404</v>
      </c>
      <c r="C3696">
        <v>1.0269545068806401</v>
      </c>
      <c r="D3696">
        <v>0.94020148382593205</v>
      </c>
      <c r="E3696">
        <v>0.93931488699669996</v>
      </c>
      <c r="F3696">
        <v>0.87459445570779204</v>
      </c>
      <c r="G3696">
        <v>0.74789761567388702</v>
      </c>
      <c r="H3696">
        <v>0.29953363024494301</v>
      </c>
      <c r="I3696">
        <v>0.20837836885555699</v>
      </c>
      <c r="J3696">
        <v>0.136074002335069</v>
      </c>
      <c r="K3696">
        <v>8.1183465193810506E-2</v>
      </c>
      <c r="L3696">
        <v>1312.3945237682799</v>
      </c>
      <c r="M3696">
        <v>23.7321361360171</v>
      </c>
      <c r="N3696">
        <v>55.746421681750803</v>
      </c>
      <c r="O3696">
        <v>54.912150149700402</v>
      </c>
      <c r="P3696">
        <v>-9.87031244449941E-2</v>
      </c>
      <c r="Q3696">
        <v>8.6485741427682006E-2</v>
      </c>
      <c r="R3696">
        <v>0.98735704236338495</v>
      </c>
      <c r="S3696" t="s">
        <v>9279</v>
      </c>
      <c r="T3696" t="s">
        <v>11164</v>
      </c>
      <c r="U3696" t="s">
        <v>11164</v>
      </c>
      <c r="V3696" t="s">
        <v>11164</v>
      </c>
      <c r="W3696" t="s">
        <v>14817</v>
      </c>
      <c r="X3696">
        <v>7</v>
      </c>
      <c r="Y3696" t="s">
        <v>20295</v>
      </c>
      <c r="Z3696" t="s">
        <v>25846</v>
      </c>
      <c r="AA3696">
        <v>0.65199203645521187</v>
      </c>
      <c r="AB3696" t="str">
        <f>HYPERLINK("Melting_Curves/meltCurve_Q86TI2_DPP9.pdf", "Melting_Curves/meltCurve_Q86TI2_DPP9.pdf")</f>
        <v>Melting_Curves/meltCurve_Q86TI2_DPP9.pdf</v>
      </c>
    </row>
    <row r="3697" spans="1:28" x14ac:dyDescent="0.25">
      <c r="A3697" t="s">
        <v>3701</v>
      </c>
      <c r="B3697">
        <v>0.99796759195183404</v>
      </c>
      <c r="C3697">
        <v>0.97213816602615</v>
      </c>
      <c r="D3697">
        <v>0.84329780735761894</v>
      </c>
      <c r="E3697">
        <v>0.85213533652477502</v>
      </c>
      <c r="F3697">
        <v>0.80424115646482996</v>
      </c>
      <c r="G3697">
        <v>0.50982552279678395</v>
      </c>
      <c r="H3697">
        <v>0.29528079616074498</v>
      </c>
      <c r="I3697">
        <v>0.17205085498275</v>
      </c>
      <c r="J3697">
        <v>0.140804440693229</v>
      </c>
      <c r="K3697">
        <v>7.4210482785469198E-2</v>
      </c>
      <c r="L3697">
        <v>682.045314186258</v>
      </c>
      <c r="M3697">
        <v>12.622081525596601</v>
      </c>
      <c r="N3697">
        <v>54.035865428020301</v>
      </c>
      <c r="O3697">
        <v>52.733368845462202</v>
      </c>
      <c r="P3697">
        <v>-5.9851022489638098E-2</v>
      </c>
      <c r="Q3697">
        <v>0</v>
      </c>
      <c r="R3697">
        <v>0.98087321063222099</v>
      </c>
      <c r="S3697" t="s">
        <v>9280</v>
      </c>
      <c r="T3697" t="s">
        <v>11164</v>
      </c>
      <c r="U3697" t="s">
        <v>11164</v>
      </c>
      <c r="V3697" t="s">
        <v>11164</v>
      </c>
      <c r="W3697" t="s">
        <v>14818</v>
      </c>
      <c r="X3697">
        <v>3</v>
      </c>
      <c r="Y3697" t="s">
        <v>20296</v>
      </c>
      <c r="Z3697" t="s">
        <v>25847</v>
      </c>
      <c r="AA3697">
        <v>0.58545836915795413</v>
      </c>
      <c r="AB3697" t="str">
        <f>HYPERLINK("Melting_Curves/meltCurve_Q86TN4_TRPT1.pdf", "Melting_Curves/meltCurve_Q86TN4_TRPT1.pdf")</f>
        <v>Melting_Curves/meltCurve_Q86TN4_TRPT1.pdf</v>
      </c>
    </row>
    <row r="3698" spans="1:28" x14ac:dyDescent="0.25">
      <c r="A3698" t="s">
        <v>3702</v>
      </c>
      <c r="B3698">
        <v>0.99796759195183404</v>
      </c>
      <c r="C3698">
        <v>0.99261237149463499</v>
      </c>
      <c r="D3698">
        <v>0.99611677442581703</v>
      </c>
      <c r="E3698">
        <v>0.92291468763303297</v>
      </c>
      <c r="F3698">
        <v>0.76171408289739595</v>
      </c>
      <c r="G3698">
        <v>0.308790815505399</v>
      </c>
      <c r="H3698">
        <v>0.21795872554384299</v>
      </c>
      <c r="I3698">
        <v>0.15908293067693899</v>
      </c>
      <c r="J3698">
        <v>0.10419569209494201</v>
      </c>
      <c r="K3698">
        <v>5.7113826031687999E-2</v>
      </c>
      <c r="L3698">
        <v>1340.9096785465699</v>
      </c>
      <c r="M3698">
        <v>25.873317229257498</v>
      </c>
      <c r="N3698">
        <v>52.297185674714903</v>
      </c>
      <c r="O3698">
        <v>51.519343065429297</v>
      </c>
      <c r="P3698">
        <v>-0.112498154305801</v>
      </c>
      <c r="Q3698">
        <v>0.103978367778352</v>
      </c>
      <c r="R3698">
        <v>0.99344388098002401</v>
      </c>
      <c r="S3698" t="s">
        <v>9281</v>
      </c>
      <c r="T3698" t="s">
        <v>11164</v>
      </c>
      <c r="U3698" t="s">
        <v>11164</v>
      </c>
      <c r="V3698" t="s">
        <v>11164</v>
      </c>
      <c r="W3698" t="s">
        <v>14819</v>
      </c>
      <c r="X3698">
        <v>8</v>
      </c>
      <c r="Y3698" t="s">
        <v>20297</v>
      </c>
      <c r="Z3698" t="s">
        <v>25848</v>
      </c>
      <c r="AA3698">
        <v>0.55424566024194211</v>
      </c>
      <c r="AB3698" t="str">
        <f>HYPERLINK("Melting_Curves/meltCurve_Q86TP1_PRUNE.pdf", "Melting_Curves/meltCurve_Q86TP1_PRUNE.pdf")</f>
        <v>Melting_Curves/meltCurve_Q86TP1_PRUNE.pdf</v>
      </c>
    </row>
    <row r="3699" spans="1:28" x14ac:dyDescent="0.25">
      <c r="A3699" t="s">
        <v>3703</v>
      </c>
      <c r="B3699">
        <v>0.99796759195183404</v>
      </c>
      <c r="C3699">
        <v>0.98996800733693802</v>
      </c>
      <c r="D3699">
        <v>0.98058035004790101</v>
      </c>
      <c r="E3699">
        <v>0.975088526357487</v>
      </c>
      <c r="F3699">
        <v>0.815109622662607</v>
      </c>
      <c r="G3699">
        <v>0.64987548832501096</v>
      </c>
      <c r="H3699">
        <v>0.33298108462245302</v>
      </c>
      <c r="I3699">
        <v>0.18339592032313601</v>
      </c>
      <c r="J3699">
        <v>0.15640991627591999</v>
      </c>
      <c r="K3699">
        <v>0.121981785668452</v>
      </c>
      <c r="L3699">
        <v>1017.88074955406</v>
      </c>
      <c r="M3699">
        <v>18.629374809183801</v>
      </c>
      <c r="N3699">
        <v>55.210692325542503</v>
      </c>
      <c r="O3699">
        <v>54.020577273984699</v>
      </c>
      <c r="P3699">
        <v>-7.8648804205805306E-2</v>
      </c>
      <c r="Q3699">
        <v>8.7791045039086593E-2</v>
      </c>
      <c r="R3699">
        <v>0.99668115837666504</v>
      </c>
      <c r="S3699" t="s">
        <v>9282</v>
      </c>
      <c r="T3699" t="s">
        <v>11164</v>
      </c>
      <c r="U3699" t="s">
        <v>11164</v>
      </c>
      <c r="V3699" t="s">
        <v>11164</v>
      </c>
      <c r="W3699" t="s">
        <v>14820</v>
      </c>
      <c r="X3699">
        <v>11</v>
      </c>
      <c r="Y3699" t="s">
        <v>20298</v>
      </c>
      <c r="Z3699" t="s">
        <v>25849</v>
      </c>
      <c r="AA3699">
        <v>0.63560834737507832</v>
      </c>
      <c r="AB3699" t="str">
        <f>HYPERLINK("Melting_Curves/meltCurve_Q86TU7_SETD3.pdf", "Melting_Curves/meltCurve_Q86TU7_SETD3.pdf")</f>
        <v>Melting_Curves/meltCurve_Q86TU7_SETD3.pdf</v>
      </c>
    </row>
    <row r="3700" spans="1:28" x14ac:dyDescent="0.25">
      <c r="A3700" t="s">
        <v>3704</v>
      </c>
      <c r="B3700">
        <v>0.99796759195183404</v>
      </c>
      <c r="C3700">
        <v>1.0586043257123301</v>
      </c>
      <c r="D3700">
        <v>1.0833265674763799</v>
      </c>
      <c r="E3700">
        <v>1.0544663722048899</v>
      </c>
      <c r="F3700">
        <v>0.78939812591029701</v>
      </c>
      <c r="G3700">
        <v>0.64428706721525897</v>
      </c>
      <c r="H3700">
        <v>0.38392980551952299</v>
      </c>
      <c r="I3700">
        <v>0.21191456963712399</v>
      </c>
      <c r="J3700">
        <v>0.14341507261624101</v>
      </c>
      <c r="K3700">
        <v>0.104548314168565</v>
      </c>
      <c r="L3700">
        <v>971.33385392733305</v>
      </c>
      <c r="M3700">
        <v>17.638422606994801</v>
      </c>
      <c r="N3700">
        <v>55.551515429458497</v>
      </c>
      <c r="O3700">
        <v>54.3759674091772</v>
      </c>
      <c r="P3700">
        <v>-7.5341403653369096E-2</v>
      </c>
      <c r="Q3700">
        <v>7.0995407943340499E-2</v>
      </c>
      <c r="R3700">
        <v>0.98318137247930504</v>
      </c>
      <c r="S3700" t="s">
        <v>9283</v>
      </c>
      <c r="T3700" t="s">
        <v>11164</v>
      </c>
      <c r="U3700" t="s">
        <v>11164</v>
      </c>
      <c r="V3700" t="s">
        <v>11164</v>
      </c>
      <c r="W3700" t="s">
        <v>14821</v>
      </c>
      <c r="X3700">
        <v>4</v>
      </c>
      <c r="Y3700" t="s">
        <v>20299</v>
      </c>
      <c r="Z3700" t="s">
        <v>25850</v>
      </c>
      <c r="AA3700">
        <v>0.64232485470721123</v>
      </c>
      <c r="AB3700" t="str">
        <f>HYPERLINK("Melting_Curves/meltCurve_Q86TV3_LGMN.pdf", "Melting_Curves/meltCurve_Q86TV3_LGMN.pdf")</f>
        <v>Melting_Curves/meltCurve_Q86TV3_LGMN.pdf</v>
      </c>
    </row>
    <row r="3701" spans="1:28" x14ac:dyDescent="0.25">
      <c r="A3701" t="s">
        <v>3705</v>
      </c>
      <c r="B3701">
        <v>0.99796759195183404</v>
      </c>
      <c r="C3701">
        <v>0.92619203071399603</v>
      </c>
      <c r="D3701">
        <v>1.1707098005246901</v>
      </c>
      <c r="E3701">
        <v>0.814069213031413</v>
      </c>
      <c r="F3701">
        <v>0.89442967617815305</v>
      </c>
      <c r="G3701">
        <v>0.82594882635520095</v>
      </c>
      <c r="H3701">
        <v>0.75694414517993802</v>
      </c>
      <c r="I3701">
        <v>0.43927789599436401</v>
      </c>
      <c r="J3701">
        <v>8.9216390852544805E-2</v>
      </c>
      <c r="K3701">
        <v>0</v>
      </c>
      <c r="L3701">
        <v>1468.74070935539</v>
      </c>
      <c r="M3701">
        <v>24.592250031583301</v>
      </c>
      <c r="N3701">
        <v>59.723731578583298</v>
      </c>
      <c r="O3701">
        <v>59.333013400681601</v>
      </c>
      <c r="P3701">
        <v>-0.103621083079459</v>
      </c>
      <c r="Q3701">
        <v>0</v>
      </c>
      <c r="R3701">
        <v>0.92340624862377396</v>
      </c>
      <c r="S3701" t="s">
        <v>9284</v>
      </c>
      <c r="T3701" t="s">
        <v>11164</v>
      </c>
      <c r="U3701" t="s">
        <v>11164</v>
      </c>
      <c r="V3701" t="s">
        <v>11164</v>
      </c>
      <c r="W3701" t="s">
        <v>14822</v>
      </c>
      <c r="X3701">
        <v>2</v>
      </c>
      <c r="Y3701" t="s">
        <v>20300</v>
      </c>
      <c r="Z3701" t="s">
        <v>25851</v>
      </c>
      <c r="AA3701">
        <v>0.76099082631393877</v>
      </c>
      <c r="AB3701" t="str">
        <f>HYPERLINK("Melting_Curves/meltCurve_Q86TW2_3_ADCK1.pdf", "Melting_Curves/meltCurve_Q86TW2_3_ADCK1.pdf")</f>
        <v>Melting_Curves/meltCurve_Q86TW2_3_ADCK1.pdf</v>
      </c>
    </row>
    <row r="3702" spans="1:28" x14ac:dyDescent="0.25">
      <c r="A3702" t="s">
        <v>3706</v>
      </c>
      <c r="B3702">
        <v>0.99796759195183404</v>
      </c>
      <c r="C3702">
        <v>0.97071676602355705</v>
      </c>
      <c r="D3702">
        <v>0.92932250013177597</v>
      </c>
      <c r="E3702">
        <v>1.0110475263629299</v>
      </c>
      <c r="F3702">
        <v>0.88092894245512399</v>
      </c>
      <c r="G3702">
        <v>0.629872458665239</v>
      </c>
      <c r="H3702">
        <v>0.33476601269556699</v>
      </c>
      <c r="I3702">
        <v>0.247308412741996</v>
      </c>
      <c r="J3702">
        <v>0.21172883111412799</v>
      </c>
      <c r="K3702">
        <v>0.20476528812523001</v>
      </c>
      <c r="L3702">
        <v>1351.0481374538001</v>
      </c>
      <c r="M3702">
        <v>25.013592727451002</v>
      </c>
      <c r="N3702">
        <v>55.120251990007802</v>
      </c>
      <c r="O3702">
        <v>53.670888422329298</v>
      </c>
      <c r="P3702">
        <v>-9.3498576725452004E-2</v>
      </c>
      <c r="Q3702">
        <v>0.19754280982554501</v>
      </c>
      <c r="R3702">
        <v>0.99396674307072097</v>
      </c>
      <c r="S3702" t="s">
        <v>9285</v>
      </c>
      <c r="T3702" t="s">
        <v>11164</v>
      </c>
      <c r="U3702" t="s">
        <v>11164</v>
      </c>
      <c r="V3702" t="s">
        <v>11164</v>
      </c>
      <c r="W3702" t="s">
        <v>14823</v>
      </c>
      <c r="X3702">
        <v>8</v>
      </c>
      <c r="Y3702" t="s">
        <v>20301</v>
      </c>
      <c r="Z3702" t="s">
        <v>25852</v>
      </c>
      <c r="AA3702">
        <v>0.65960245158874664</v>
      </c>
      <c r="AB3702" t="str">
        <f>HYPERLINK("Melting_Curves/meltCurve_Q86U28_ISCA2.pdf", "Melting_Curves/meltCurve_Q86U28_ISCA2.pdf")</f>
        <v>Melting_Curves/meltCurve_Q86U28_ISCA2.pdf</v>
      </c>
    </row>
    <row r="3703" spans="1:28" x14ac:dyDescent="0.25">
      <c r="A3703" t="s">
        <v>3707</v>
      </c>
      <c r="B3703">
        <v>0.99796759195183404</v>
      </c>
      <c r="C3703">
        <v>0.96286738479115996</v>
      </c>
      <c r="D3703">
        <v>0.93785277627471098</v>
      </c>
      <c r="E3703">
        <v>0.87010987589051902</v>
      </c>
      <c r="F3703">
        <v>0.76690137085867305</v>
      </c>
      <c r="G3703">
        <v>0.64160067615843197</v>
      </c>
      <c r="H3703">
        <v>0.319966819839832</v>
      </c>
      <c r="I3703">
        <v>0.17110299962344699</v>
      </c>
      <c r="J3703">
        <v>0.139180884242259</v>
      </c>
      <c r="K3703">
        <v>0.114910730134894</v>
      </c>
      <c r="L3703">
        <v>715.177544679486</v>
      </c>
      <c r="M3703">
        <v>13.0306925555017</v>
      </c>
      <c r="N3703">
        <v>54.884077911353302</v>
      </c>
      <c r="O3703">
        <v>53.639731152111402</v>
      </c>
      <c r="P3703">
        <v>-6.0743097169131802E-2</v>
      </c>
      <c r="Q3703">
        <v>0</v>
      </c>
      <c r="R3703">
        <v>0.98858085545975405</v>
      </c>
      <c r="S3703" t="s">
        <v>9286</v>
      </c>
      <c r="T3703" t="s">
        <v>11164</v>
      </c>
      <c r="U3703" t="s">
        <v>11164</v>
      </c>
      <c r="V3703" t="s">
        <v>11164</v>
      </c>
      <c r="W3703" t="s">
        <v>14824</v>
      </c>
      <c r="X3703">
        <v>8</v>
      </c>
      <c r="Y3703" t="s">
        <v>20302</v>
      </c>
      <c r="Z3703" t="s">
        <v>25853</v>
      </c>
      <c r="AA3703">
        <v>0.61096482780132633</v>
      </c>
      <c r="AB3703" t="str">
        <f>HYPERLINK("Melting_Curves/meltCurve_Q86U44_METTL3.pdf", "Melting_Curves/meltCurve_Q86U44_METTL3.pdf")</f>
        <v>Melting_Curves/meltCurve_Q86U44_METTL3.pdf</v>
      </c>
    </row>
    <row r="3704" spans="1:28" x14ac:dyDescent="0.25">
      <c r="A3704" t="s">
        <v>3708</v>
      </c>
      <c r="B3704">
        <v>0.99796759195183404</v>
      </c>
      <c r="C3704">
        <v>0.95228709993165095</v>
      </c>
      <c r="D3704">
        <v>0.93003387608419896</v>
      </c>
      <c r="E3704">
        <v>0.88828628234644502</v>
      </c>
      <c r="F3704">
        <v>0.60378630439344405</v>
      </c>
      <c r="G3704">
        <v>0.61647001065945295</v>
      </c>
      <c r="H3704">
        <v>0.41177377760640099</v>
      </c>
      <c r="I3704">
        <v>0.31808602563715799</v>
      </c>
      <c r="J3704">
        <v>0.21655590265708299</v>
      </c>
      <c r="K3704">
        <v>0.24557830488930399</v>
      </c>
      <c r="L3704">
        <v>523.27343787893096</v>
      </c>
      <c r="M3704">
        <v>9.7439872694102103</v>
      </c>
      <c r="N3704">
        <v>55.028275821548299</v>
      </c>
      <c r="O3704">
        <v>51.586744955979299</v>
      </c>
      <c r="P3704">
        <v>-4.2302771547125501E-2</v>
      </c>
      <c r="Q3704">
        <v>0.104640841815964</v>
      </c>
      <c r="R3704">
        <v>0.97737269894094703</v>
      </c>
      <c r="S3704" t="s">
        <v>9287</v>
      </c>
      <c r="T3704" t="s">
        <v>11164</v>
      </c>
      <c r="U3704" t="s">
        <v>11164</v>
      </c>
      <c r="V3704" t="s">
        <v>11164</v>
      </c>
      <c r="W3704" t="s">
        <v>14825</v>
      </c>
      <c r="X3704">
        <v>1</v>
      </c>
      <c r="Y3704" t="s">
        <v>20303</v>
      </c>
      <c r="Z3704" t="s">
        <v>25854</v>
      </c>
      <c r="AA3704">
        <v>0.62010009875298133</v>
      </c>
      <c r="AB3704" t="str">
        <f>HYPERLINK("Melting_Curves/meltCurve_Q86U70_3_LDB1.pdf", "Melting_Curves/meltCurve_Q86U70_3_LDB1.pdf")</f>
        <v>Melting_Curves/meltCurve_Q86U70_3_LDB1.pdf</v>
      </c>
    </row>
    <row r="3705" spans="1:28" x14ac:dyDescent="0.25">
      <c r="A3705" t="s">
        <v>3709</v>
      </c>
      <c r="B3705">
        <v>0.99796759195183404</v>
      </c>
      <c r="C3705">
        <v>0.98355184763055803</v>
      </c>
      <c r="D3705">
        <v>0.96642943988811303</v>
      </c>
      <c r="E3705">
        <v>0.939354262043122</v>
      </c>
      <c r="F3705">
        <v>0.85528388733586502</v>
      </c>
      <c r="G3705">
        <v>0.56945018027300598</v>
      </c>
      <c r="H3705">
        <v>0.36906113889058501</v>
      </c>
      <c r="I3705">
        <v>0.20992149228995899</v>
      </c>
      <c r="J3705">
        <v>0.189713798377531</v>
      </c>
      <c r="K3705">
        <v>9.4049718770503193E-2</v>
      </c>
      <c r="L3705">
        <v>908.76188061330799</v>
      </c>
      <c r="M3705">
        <v>16.6604298370995</v>
      </c>
      <c r="N3705">
        <v>55.143817027558498</v>
      </c>
      <c r="O3705">
        <v>53.7784429584365</v>
      </c>
      <c r="P3705">
        <v>-7.1056310501035502E-2</v>
      </c>
      <c r="Q3705">
        <v>8.2606579338489194E-2</v>
      </c>
      <c r="R3705">
        <v>0.99629125067020896</v>
      </c>
      <c r="S3705" t="s">
        <v>9288</v>
      </c>
      <c r="T3705" t="s">
        <v>11164</v>
      </c>
      <c r="U3705" t="s">
        <v>11164</v>
      </c>
      <c r="V3705" t="s">
        <v>11164</v>
      </c>
      <c r="W3705" t="s">
        <v>14826</v>
      </c>
      <c r="X3705">
        <v>13</v>
      </c>
      <c r="Y3705" t="s">
        <v>20304</v>
      </c>
      <c r="Z3705" t="s">
        <v>25855</v>
      </c>
      <c r="AA3705">
        <v>0.63207107201657886</v>
      </c>
      <c r="AB3705" t="str">
        <f>HYPERLINK("Melting_Curves/meltCurve_Q86U90_YRDC.pdf", "Melting_Curves/meltCurve_Q86U90_YRDC.pdf")</f>
        <v>Melting_Curves/meltCurve_Q86U90_YRDC.pdf</v>
      </c>
    </row>
    <row r="3706" spans="1:28" x14ac:dyDescent="0.25">
      <c r="A3706" t="s">
        <v>3710</v>
      </c>
      <c r="B3706">
        <v>0.99796759195183404</v>
      </c>
      <c r="C3706">
        <v>0.92973996266685299</v>
      </c>
      <c r="D3706">
        <v>0.87382319491680605</v>
      </c>
      <c r="E3706">
        <v>0.92095495840706998</v>
      </c>
      <c r="F3706">
        <v>0.54864753322065696</v>
      </c>
      <c r="G3706">
        <v>0.25582945334990698</v>
      </c>
      <c r="H3706">
        <v>0.20834151819288399</v>
      </c>
      <c r="I3706">
        <v>0.137151226326611</v>
      </c>
      <c r="J3706">
        <v>0.110950121755644</v>
      </c>
      <c r="K3706">
        <v>9.6638848346310105E-2</v>
      </c>
      <c r="L3706">
        <v>1124.16226796365</v>
      </c>
      <c r="M3706">
        <v>22.3740665024892</v>
      </c>
      <c r="N3706">
        <v>50.827737876298997</v>
      </c>
      <c r="O3706">
        <v>49.847786148603603</v>
      </c>
      <c r="P3706">
        <v>-9.9500184170156797E-2</v>
      </c>
      <c r="Q3706">
        <v>0.11330204885579601</v>
      </c>
      <c r="R3706">
        <v>0.98385651418207898</v>
      </c>
      <c r="S3706" t="s">
        <v>9289</v>
      </c>
      <c r="T3706" t="s">
        <v>11164</v>
      </c>
      <c r="U3706" t="s">
        <v>11164</v>
      </c>
      <c r="V3706" t="s">
        <v>11164</v>
      </c>
      <c r="W3706" t="s">
        <v>14827</v>
      </c>
      <c r="X3706">
        <v>9</v>
      </c>
      <c r="Y3706" t="s">
        <v>20305</v>
      </c>
      <c r="Z3706" t="s">
        <v>25856</v>
      </c>
      <c r="AA3706">
        <v>0.5143060406252512</v>
      </c>
      <c r="AB3706" t="str">
        <f>HYPERLINK("Melting_Curves/meltCurve_Q86UA1_PRPF39.pdf", "Melting_Curves/meltCurve_Q86UA1_PRPF39.pdf")</f>
        <v>Melting_Curves/meltCurve_Q86UA1_PRPF39.pdf</v>
      </c>
    </row>
    <row r="3707" spans="1:28" x14ac:dyDescent="0.25">
      <c r="A3707" t="s">
        <v>3711</v>
      </c>
      <c r="B3707">
        <v>0.99796759195183404</v>
      </c>
      <c r="C3707">
        <v>0.99082695671292897</v>
      </c>
      <c r="D3707">
        <v>1.00532717840499</v>
      </c>
      <c r="E3707">
        <v>0.81818196006925803</v>
      </c>
      <c r="F3707">
        <v>0.56320828303438097</v>
      </c>
      <c r="G3707">
        <v>0.30884549099446801</v>
      </c>
      <c r="H3707">
        <v>0.23340277817209201</v>
      </c>
      <c r="I3707">
        <v>0.18443497505808801</v>
      </c>
      <c r="J3707">
        <v>0.14400748860330401</v>
      </c>
      <c r="K3707">
        <v>9.6547426767370201E-2</v>
      </c>
      <c r="L3707">
        <v>919.78582141810705</v>
      </c>
      <c r="M3707">
        <v>18.320134438714401</v>
      </c>
      <c r="N3707">
        <v>51.016258140326897</v>
      </c>
      <c r="O3707">
        <v>49.619543795141297</v>
      </c>
      <c r="P3707">
        <v>-8.0658857487094601E-2</v>
      </c>
      <c r="Q3707">
        <v>0.12619167642487999</v>
      </c>
      <c r="R3707">
        <v>0.99610521358237403</v>
      </c>
      <c r="S3707" t="s">
        <v>9290</v>
      </c>
      <c r="T3707" t="s">
        <v>11164</v>
      </c>
      <c r="U3707" t="s">
        <v>11164</v>
      </c>
      <c r="V3707" t="s">
        <v>11164</v>
      </c>
      <c r="W3707" t="s">
        <v>14828</v>
      </c>
      <c r="X3707">
        <v>3</v>
      </c>
      <c r="Y3707" t="s">
        <v>20306</v>
      </c>
      <c r="Z3707" t="s">
        <v>25857</v>
      </c>
      <c r="AA3707">
        <v>0.52418980800458781</v>
      </c>
      <c r="AB3707" t="str">
        <f>HYPERLINK("Melting_Curves/meltCurve_Q86UD0_SAPCD2.pdf", "Melting_Curves/meltCurve_Q86UD0_SAPCD2.pdf")</f>
        <v>Melting_Curves/meltCurve_Q86UD0_SAPCD2.pdf</v>
      </c>
    </row>
    <row r="3708" spans="1:28" x14ac:dyDescent="0.25">
      <c r="A3708" t="s">
        <v>3712</v>
      </c>
      <c r="B3708">
        <v>0.99796759195183404</v>
      </c>
      <c r="C3708">
        <v>0.979902753783084</v>
      </c>
      <c r="D3708">
        <v>0.85291591998852301</v>
      </c>
      <c r="E3708">
        <v>0.87336048960013601</v>
      </c>
      <c r="F3708">
        <v>0.73433374163319998</v>
      </c>
      <c r="G3708">
        <v>1.0488653331714199</v>
      </c>
      <c r="H3708">
        <v>0.83770957283504</v>
      </c>
      <c r="I3708">
        <v>0.68810020605355304</v>
      </c>
      <c r="J3708">
        <v>0.49242126062712699</v>
      </c>
      <c r="K3708">
        <v>0.30141439653678598</v>
      </c>
      <c r="L3708">
        <v>986.49745932862197</v>
      </c>
      <c r="M3708">
        <v>15.454913487563999</v>
      </c>
      <c r="N3708">
        <v>63.830680998518602</v>
      </c>
      <c r="O3708">
        <v>62.790618465413601</v>
      </c>
      <c r="P3708">
        <v>-6.1539048453842497E-2</v>
      </c>
      <c r="Q3708">
        <v>0</v>
      </c>
      <c r="R3708">
        <v>0.77686444804617905</v>
      </c>
      <c r="S3708" t="s">
        <v>9291</v>
      </c>
      <c r="T3708" t="s">
        <v>11164</v>
      </c>
      <c r="U3708" t="s">
        <v>11164</v>
      </c>
      <c r="V3708" t="s">
        <v>11164</v>
      </c>
      <c r="W3708" t="s">
        <v>14829</v>
      </c>
      <c r="X3708">
        <v>9</v>
      </c>
      <c r="Y3708" t="s">
        <v>20307</v>
      </c>
      <c r="Z3708" t="s">
        <v>25858</v>
      </c>
      <c r="AA3708">
        <v>0.8543342224910212</v>
      </c>
      <c r="AB3708" t="str">
        <f>HYPERLINK("Melting_Curves/meltCurve_Q86UE4_MTDH.pdf", "Melting_Curves/meltCurve_Q86UE4_MTDH.pdf")</f>
        <v>Melting_Curves/meltCurve_Q86UE4_MTDH.pdf</v>
      </c>
    </row>
    <row r="3709" spans="1:28" x14ac:dyDescent="0.25">
      <c r="A3709" t="s">
        <v>3713</v>
      </c>
      <c r="B3709">
        <v>0.99796759195183404</v>
      </c>
      <c r="C3709">
        <v>0.99434129987455699</v>
      </c>
      <c r="D3709">
        <v>0.98317205753600001</v>
      </c>
      <c r="E3709">
        <v>0.94730645634871402</v>
      </c>
      <c r="F3709">
        <v>0.84060570523852396</v>
      </c>
      <c r="G3709">
        <v>0.53721534096505896</v>
      </c>
      <c r="H3709">
        <v>0.27532149836360098</v>
      </c>
      <c r="I3709">
        <v>0.179027943152369</v>
      </c>
      <c r="J3709">
        <v>0.15273195675489401</v>
      </c>
      <c r="K3709">
        <v>0.119194304611336</v>
      </c>
      <c r="L3709">
        <v>1163.19921096593</v>
      </c>
      <c r="M3709">
        <v>21.7239521824829</v>
      </c>
      <c r="N3709">
        <v>54.212120293696401</v>
      </c>
      <c r="O3709">
        <v>53.097022218637903</v>
      </c>
      <c r="P3709">
        <v>-9.0282403323510604E-2</v>
      </c>
      <c r="Q3709">
        <v>0.117358710284995</v>
      </c>
      <c r="R3709">
        <v>0.99930699955103297</v>
      </c>
      <c r="S3709" t="s">
        <v>9292</v>
      </c>
      <c r="T3709" t="s">
        <v>11164</v>
      </c>
      <c r="U3709" t="s">
        <v>11164</v>
      </c>
      <c r="V3709" t="s">
        <v>11164</v>
      </c>
      <c r="W3709" t="s">
        <v>14830</v>
      </c>
      <c r="X3709">
        <v>10</v>
      </c>
      <c r="Y3709" t="s">
        <v>20308</v>
      </c>
      <c r="Z3709" t="s">
        <v>25859</v>
      </c>
      <c r="AA3709">
        <v>0.61380968925637702</v>
      </c>
      <c r="AB3709" t="str">
        <f>HYPERLINK("Melting_Curves/meltCurve_Q86UE8_2_TLK2.pdf", "Melting_Curves/meltCurve_Q86UE8_2_TLK2.pdf")</f>
        <v>Melting_Curves/meltCurve_Q86UE8_2_TLK2.pdf</v>
      </c>
    </row>
    <row r="3710" spans="1:28" x14ac:dyDescent="0.25">
      <c r="A3710" t="s">
        <v>3714</v>
      </c>
      <c r="B3710">
        <v>0.99796759195183404</v>
      </c>
      <c r="C3710">
        <v>0.97859886563770304</v>
      </c>
      <c r="D3710">
        <v>0.91030918625575297</v>
      </c>
      <c r="E3710">
        <v>0.86431802326359297</v>
      </c>
      <c r="F3710">
        <v>0.68519327331680602</v>
      </c>
      <c r="G3710">
        <v>0.33218132762678099</v>
      </c>
      <c r="H3710">
        <v>0.24141019256927501</v>
      </c>
      <c r="I3710">
        <v>0.18431216457956501</v>
      </c>
      <c r="J3710">
        <v>0.14468711339896001</v>
      </c>
      <c r="K3710">
        <v>0.11930152858986701</v>
      </c>
      <c r="L3710">
        <v>908.699707419932</v>
      </c>
      <c r="M3710">
        <v>17.7353448034237</v>
      </c>
      <c r="N3710">
        <v>52.017415866667797</v>
      </c>
      <c r="O3710">
        <v>50.598565096310203</v>
      </c>
      <c r="P3710">
        <v>-7.7391799771691E-2</v>
      </c>
      <c r="Q3710">
        <v>0.11685752161700599</v>
      </c>
      <c r="R3710">
        <v>0.99260451829105401</v>
      </c>
      <c r="S3710" t="s">
        <v>9293</v>
      </c>
      <c r="T3710" t="s">
        <v>11164</v>
      </c>
      <c r="U3710" t="s">
        <v>11164</v>
      </c>
      <c r="V3710" t="s">
        <v>11164</v>
      </c>
      <c r="W3710" t="s">
        <v>14831</v>
      </c>
      <c r="X3710">
        <v>21</v>
      </c>
      <c r="Y3710" t="s">
        <v>20309</v>
      </c>
      <c r="Z3710" t="s">
        <v>25860</v>
      </c>
      <c r="AA3710">
        <v>0.54989414327854214</v>
      </c>
      <c r="AB3710" t="str">
        <f>HYPERLINK("Melting_Curves/meltCurve_Q86UK7_3_ZNF598.pdf", "Melting_Curves/meltCurve_Q86UK7_3_ZNF598.pdf")</f>
        <v>Melting_Curves/meltCurve_Q86UK7_3_ZNF598.pdf</v>
      </c>
    </row>
    <row r="3711" spans="1:28" x14ac:dyDescent="0.25">
      <c r="A3711" t="s">
        <v>3715</v>
      </c>
      <c r="B3711">
        <v>0.99796759195183404</v>
      </c>
      <c r="C3711">
        <v>1.02544963255025</v>
      </c>
      <c r="D3711">
        <v>1.0050427752783599</v>
      </c>
      <c r="E3711">
        <v>0.98745020891757396</v>
      </c>
      <c r="F3711">
        <v>0.820469001818531</v>
      </c>
      <c r="G3711">
        <v>0.65865850789041402</v>
      </c>
      <c r="H3711">
        <v>0.38219691563362701</v>
      </c>
      <c r="I3711">
        <v>0.26295524265841502</v>
      </c>
      <c r="J3711">
        <v>0.16619846144009201</v>
      </c>
      <c r="K3711">
        <v>0.137371295041398</v>
      </c>
      <c r="L3711">
        <v>920.14783845686304</v>
      </c>
      <c r="M3711">
        <v>16.700177985218598</v>
      </c>
      <c r="N3711">
        <v>55.796771160800098</v>
      </c>
      <c r="O3711">
        <v>54.326238539270499</v>
      </c>
      <c r="P3711">
        <v>-6.9604992601978305E-2</v>
      </c>
      <c r="Q3711">
        <v>9.4350535241513794E-2</v>
      </c>
      <c r="R3711">
        <v>0.99687765193162503</v>
      </c>
      <c r="S3711" t="s">
        <v>9294</v>
      </c>
      <c r="T3711" t="s">
        <v>11164</v>
      </c>
      <c r="U3711" t="s">
        <v>11164</v>
      </c>
      <c r="V3711" t="s">
        <v>11164</v>
      </c>
      <c r="W3711" t="s">
        <v>14832</v>
      </c>
      <c r="X3711">
        <v>3</v>
      </c>
      <c r="Y3711" t="s">
        <v>20310</v>
      </c>
      <c r="Z3711" t="s">
        <v>25861</v>
      </c>
      <c r="AA3711">
        <v>0.65260553742283833</v>
      </c>
      <c r="AB3711" t="str">
        <f>HYPERLINK("Melting_Curves/meltCurve_Q86UL3_AGPAT6.pdf", "Melting_Curves/meltCurve_Q86UL3_AGPAT6.pdf")</f>
        <v>Melting_Curves/meltCurve_Q86UL3_AGPAT6.pdf</v>
      </c>
    </row>
    <row r="3712" spans="1:28" x14ac:dyDescent="0.25">
      <c r="A3712" t="s">
        <v>3716</v>
      </c>
      <c r="B3712">
        <v>0.99796759195183404</v>
      </c>
      <c r="C3712">
        <v>1.0577609822916101</v>
      </c>
      <c r="D3712">
        <v>0.94898809460614597</v>
      </c>
      <c r="E3712">
        <v>0.92838621966553303</v>
      </c>
      <c r="F3712">
        <v>0.98634945576786903</v>
      </c>
      <c r="G3712">
        <v>0.81106110575694201</v>
      </c>
      <c r="H3712">
        <v>0.76020666449979901</v>
      </c>
      <c r="I3712">
        <v>0.67648521285286201</v>
      </c>
      <c r="J3712">
        <v>0.57440498118271099</v>
      </c>
      <c r="K3712">
        <v>0.27686782188515102</v>
      </c>
      <c r="L3712">
        <v>690.66581076293596</v>
      </c>
      <c r="M3712">
        <v>10.8090702724095</v>
      </c>
      <c r="N3712">
        <v>63.896871475568297</v>
      </c>
      <c r="O3712">
        <v>61.8264669970429</v>
      </c>
      <c r="P3712">
        <v>-4.3723076370859502E-2</v>
      </c>
      <c r="Q3712">
        <v>0</v>
      </c>
      <c r="R3712">
        <v>0.93307238705189799</v>
      </c>
      <c r="S3712" t="s">
        <v>9295</v>
      </c>
      <c r="T3712" t="s">
        <v>11164</v>
      </c>
      <c r="U3712" t="s">
        <v>11164</v>
      </c>
      <c r="V3712" t="s">
        <v>11164</v>
      </c>
      <c r="W3712" t="s">
        <v>14833</v>
      </c>
      <c r="X3712">
        <v>4</v>
      </c>
      <c r="Y3712" t="s">
        <v>20311</v>
      </c>
      <c r="Z3712" t="s">
        <v>25862</v>
      </c>
      <c r="AA3712">
        <v>0.82852671020727675</v>
      </c>
      <c r="AB3712" t="str">
        <f>HYPERLINK("Melting_Curves/meltCurve_Q86UN3_RTN4RL2.pdf", "Melting_Curves/meltCurve_Q86UN3_RTN4RL2.pdf")</f>
        <v>Melting_Curves/meltCurve_Q86UN3_RTN4RL2.pdf</v>
      </c>
    </row>
    <row r="3713" spans="1:28" x14ac:dyDescent="0.25">
      <c r="A3713" t="s">
        <v>3717</v>
      </c>
      <c r="B3713">
        <v>0.99796759195183404</v>
      </c>
      <c r="C3713">
        <v>0.97409156296191501</v>
      </c>
      <c r="D3713">
        <v>0.978193530351957</v>
      </c>
      <c r="E3713">
        <v>0.91372817528540096</v>
      </c>
      <c r="F3713">
        <v>0.772593452435827</v>
      </c>
      <c r="G3713">
        <v>0.39069368397814402</v>
      </c>
      <c r="H3713">
        <v>0.29074390820587298</v>
      </c>
      <c r="I3713">
        <v>0.19696109438335599</v>
      </c>
      <c r="J3713">
        <v>0.130105032322099</v>
      </c>
      <c r="K3713">
        <v>9.5148845599501403E-2</v>
      </c>
      <c r="L3713">
        <v>1001.70847073806</v>
      </c>
      <c r="M3713">
        <v>19.109092734630501</v>
      </c>
      <c r="N3713">
        <v>53.1136003594806</v>
      </c>
      <c r="O3713">
        <v>51.856564687457599</v>
      </c>
      <c r="P3713">
        <v>-8.1962106233520196E-2</v>
      </c>
      <c r="Q3713">
        <v>0.110348735145835</v>
      </c>
      <c r="R3713">
        <v>0.99336178726762203</v>
      </c>
      <c r="S3713" t="s">
        <v>9296</v>
      </c>
      <c r="T3713" t="s">
        <v>11164</v>
      </c>
      <c r="U3713" t="s">
        <v>11164</v>
      </c>
      <c r="V3713" t="s">
        <v>11164</v>
      </c>
      <c r="W3713" t="s">
        <v>14834</v>
      </c>
      <c r="X3713">
        <v>34</v>
      </c>
      <c r="Y3713" t="s">
        <v>20312</v>
      </c>
      <c r="Z3713" t="s">
        <v>25863</v>
      </c>
      <c r="AA3713">
        <v>0.57983007461799774</v>
      </c>
      <c r="AB3713" t="str">
        <f>HYPERLINK("Melting_Curves/meltCurve_Q86UP2_KTN1.pdf", "Melting_Curves/meltCurve_Q86UP2_KTN1.pdf")</f>
        <v>Melting_Curves/meltCurve_Q86UP2_KTN1.pdf</v>
      </c>
    </row>
    <row r="3714" spans="1:28" x14ac:dyDescent="0.25">
      <c r="A3714" t="s">
        <v>3718</v>
      </c>
      <c r="B3714">
        <v>0.99796759195183404</v>
      </c>
      <c r="C3714">
        <v>0.98703247711853903</v>
      </c>
      <c r="D3714">
        <v>1.1690794417046499</v>
      </c>
      <c r="E3714">
        <v>0.86132595522064703</v>
      </c>
      <c r="F3714">
        <v>0.88700111539679105</v>
      </c>
      <c r="G3714">
        <v>0.356720031433367</v>
      </c>
      <c r="H3714">
        <v>0.267469613126886</v>
      </c>
      <c r="I3714">
        <v>0.30213962899236002</v>
      </c>
      <c r="J3714">
        <v>0.21355789946887899</v>
      </c>
      <c r="K3714">
        <v>0.22899364653917101</v>
      </c>
      <c r="L3714">
        <v>2518.9196416510399</v>
      </c>
      <c r="M3714">
        <v>48.542852808733898</v>
      </c>
      <c r="N3714">
        <v>52.641863024313103</v>
      </c>
      <c r="O3714">
        <v>51.802803344276903</v>
      </c>
      <c r="P3714">
        <v>-0.175725675882</v>
      </c>
      <c r="Q3714">
        <v>0.24989378903619999</v>
      </c>
      <c r="R3714">
        <v>0.96073826460428702</v>
      </c>
      <c r="S3714" t="s">
        <v>9297</v>
      </c>
      <c r="T3714" t="s">
        <v>11164</v>
      </c>
      <c r="U3714" t="s">
        <v>11164</v>
      </c>
      <c r="V3714" t="s">
        <v>11164</v>
      </c>
      <c r="W3714" t="s">
        <v>14835</v>
      </c>
      <c r="X3714">
        <v>2</v>
      </c>
      <c r="Y3714" t="s">
        <v>20313</v>
      </c>
      <c r="Z3714" t="s">
        <v>25864</v>
      </c>
      <c r="AA3714">
        <v>0.62403383024958581</v>
      </c>
      <c r="AB3714" t="str">
        <f>HYPERLINK("Melting_Curves/meltCurve_Q86US8_SMG6.pdf", "Melting_Curves/meltCurve_Q86US8_SMG6.pdf")</f>
        <v>Melting_Curves/meltCurve_Q86US8_SMG6.pdf</v>
      </c>
    </row>
    <row r="3715" spans="1:28" x14ac:dyDescent="0.25">
      <c r="A3715" t="s">
        <v>3719</v>
      </c>
      <c r="B3715">
        <v>0.99796759195183404</v>
      </c>
      <c r="C3715">
        <v>1.15962829266315</v>
      </c>
      <c r="D3715">
        <v>1.1894689359017301</v>
      </c>
      <c r="E3715">
        <v>1.2300894855146201</v>
      </c>
      <c r="F3715">
        <v>1.0774260327154099</v>
      </c>
      <c r="G3715">
        <v>0.77482389453540401</v>
      </c>
      <c r="H3715">
        <v>0.77589548108833095</v>
      </c>
      <c r="I3715">
        <v>0.79299998386719905</v>
      </c>
      <c r="J3715">
        <v>1.02238735164126</v>
      </c>
      <c r="K3715">
        <v>0.71771233051331496</v>
      </c>
      <c r="L3715">
        <v>4166.0100137365798</v>
      </c>
      <c r="M3715">
        <v>79.939110150640005</v>
      </c>
      <c r="O3715">
        <v>52.082190241816001</v>
      </c>
      <c r="P3715">
        <v>-7.0765801055252597E-2</v>
      </c>
      <c r="Q3715">
        <v>0.81557771319254002</v>
      </c>
      <c r="R3715">
        <v>0.46917561046209499</v>
      </c>
      <c r="S3715" t="s">
        <v>9298</v>
      </c>
      <c r="T3715" t="s">
        <v>11164</v>
      </c>
      <c r="U3715" t="s">
        <v>11164</v>
      </c>
      <c r="V3715" t="s">
        <v>11164</v>
      </c>
      <c r="W3715" t="s">
        <v>14836</v>
      </c>
      <c r="X3715">
        <v>7</v>
      </c>
      <c r="Y3715" t="s">
        <v>20314</v>
      </c>
      <c r="Z3715" t="s">
        <v>25865</v>
      </c>
      <c r="AA3715">
        <v>0.90865981687477759</v>
      </c>
      <c r="AB3715" t="str">
        <f>HYPERLINK("Melting_Curves/meltCurve_Q86UU0_4_BCL9L.pdf", "Melting_Curves/meltCurve_Q86UU0_4_BCL9L.pdf")</f>
        <v>Melting_Curves/meltCurve_Q86UU0_4_BCL9L.pdf</v>
      </c>
    </row>
    <row r="3716" spans="1:28" x14ac:dyDescent="0.25">
      <c r="A3716" t="s">
        <v>3720</v>
      </c>
      <c r="B3716">
        <v>0.99796759195183404</v>
      </c>
      <c r="C3716">
        <v>1.0265670264198501</v>
      </c>
      <c r="D3716">
        <v>1.02001481794404</v>
      </c>
      <c r="E3716">
        <v>0.88382552657052404</v>
      </c>
      <c r="F3716">
        <v>0.65737967789324403</v>
      </c>
      <c r="G3716">
        <v>0.340927521477222</v>
      </c>
      <c r="H3716">
        <v>0.19317611100894599</v>
      </c>
      <c r="I3716">
        <v>0.141457586989161</v>
      </c>
      <c r="J3716">
        <v>0.100021372812481</v>
      </c>
      <c r="K3716">
        <v>6.6935327764127001E-2</v>
      </c>
      <c r="L3716">
        <v>1021.93461341137</v>
      </c>
      <c r="M3716">
        <v>19.863284826231201</v>
      </c>
      <c r="N3716">
        <v>51.909046805473601</v>
      </c>
      <c r="O3716">
        <v>50.935474080391103</v>
      </c>
      <c r="P3716">
        <v>-8.9618125444454105E-2</v>
      </c>
      <c r="Q3716">
        <v>8.0798753866145004E-2</v>
      </c>
      <c r="R3716">
        <v>0.99759099344001501</v>
      </c>
      <c r="S3716" t="s">
        <v>9299</v>
      </c>
      <c r="T3716" t="s">
        <v>11164</v>
      </c>
      <c r="U3716" t="s">
        <v>11164</v>
      </c>
      <c r="V3716" t="s">
        <v>11164</v>
      </c>
      <c r="W3716" t="s">
        <v>14837</v>
      </c>
      <c r="X3716">
        <v>6</v>
      </c>
      <c r="Y3716" t="s">
        <v>20315</v>
      </c>
      <c r="Z3716" t="s">
        <v>25866</v>
      </c>
      <c r="AA3716">
        <v>0.5356074066047094</v>
      </c>
      <c r="AB3716" t="str">
        <f>HYPERLINK("Melting_Curves/meltCurve_Q86UU1_2_PHLDB1.pdf", "Melting_Curves/meltCurve_Q86UU1_2_PHLDB1.pdf")</f>
        <v>Melting_Curves/meltCurve_Q86UU1_2_PHLDB1.pdf</v>
      </c>
    </row>
    <row r="3717" spans="1:28" x14ac:dyDescent="0.25">
      <c r="A3717" t="s">
        <v>3721</v>
      </c>
      <c r="B3717">
        <v>0.99796759195183404</v>
      </c>
      <c r="C3717">
        <v>1.0990461971715599</v>
      </c>
      <c r="D3717">
        <v>1.0321180659484399</v>
      </c>
      <c r="E3717">
        <v>1.01819164148894</v>
      </c>
      <c r="F3717">
        <v>0.59774623347574196</v>
      </c>
      <c r="G3717">
        <v>0.27357564704030102</v>
      </c>
      <c r="H3717">
        <v>0.17250758316547499</v>
      </c>
      <c r="I3717">
        <v>0.156015466682284</v>
      </c>
      <c r="J3717">
        <v>0.16430773832995099</v>
      </c>
      <c r="K3717">
        <v>0.124303974642079</v>
      </c>
      <c r="L3717">
        <v>1827.39093774873</v>
      </c>
      <c r="M3717">
        <v>36.200140535656502</v>
      </c>
      <c r="N3717">
        <v>51.011549082213499</v>
      </c>
      <c r="O3717">
        <v>50.326918644909199</v>
      </c>
      <c r="P3717">
        <v>-0.15158179717786299</v>
      </c>
      <c r="Q3717">
        <v>0.15706182757346199</v>
      </c>
      <c r="R3717">
        <v>0.98962836742301397</v>
      </c>
      <c r="S3717" t="s">
        <v>9300</v>
      </c>
      <c r="T3717" t="s">
        <v>11164</v>
      </c>
      <c r="U3717" t="s">
        <v>11164</v>
      </c>
      <c r="V3717" t="s">
        <v>11164</v>
      </c>
      <c r="W3717" t="s">
        <v>14838</v>
      </c>
      <c r="X3717">
        <v>11</v>
      </c>
      <c r="Y3717" t="s">
        <v>20316</v>
      </c>
      <c r="Z3717" t="s">
        <v>25867</v>
      </c>
      <c r="AA3717">
        <v>0.5394175687258278</v>
      </c>
      <c r="AB3717" t="str">
        <f>HYPERLINK("Melting_Curves/meltCurve_Q86UV5_USP48.pdf", "Melting_Curves/meltCurve_Q86UV5_USP48.pdf")</f>
        <v>Melting_Curves/meltCurve_Q86UV5_USP48.pdf</v>
      </c>
    </row>
    <row r="3718" spans="1:28" x14ac:dyDescent="0.25">
      <c r="A3718" t="s">
        <v>3722</v>
      </c>
      <c r="B3718">
        <v>0.99796759195183404</v>
      </c>
      <c r="C3718">
        <v>1.0157260531179699</v>
      </c>
      <c r="D3718">
        <v>0.94944044919081505</v>
      </c>
      <c r="E3718">
        <v>0.78294102494356899</v>
      </c>
      <c r="F3718">
        <v>0.68689281029118798</v>
      </c>
      <c r="G3718">
        <v>0.718922454170557</v>
      </c>
      <c r="H3718">
        <v>0.79047173542273297</v>
      </c>
      <c r="I3718">
        <v>1.01224699237769</v>
      </c>
      <c r="J3718">
        <v>0.48588743546961799</v>
      </c>
      <c r="K3718">
        <v>0.14627533126536399</v>
      </c>
      <c r="L3718">
        <v>390.41928515765898</v>
      </c>
      <c r="M3718">
        <v>6.0217472629460804</v>
      </c>
      <c r="N3718">
        <v>64.834883979714107</v>
      </c>
      <c r="O3718">
        <v>58.770434633873002</v>
      </c>
      <c r="P3718">
        <v>-2.5697434314335899E-2</v>
      </c>
      <c r="Q3718">
        <v>0</v>
      </c>
      <c r="R3718">
        <v>0.51649660305173495</v>
      </c>
      <c r="S3718" t="s">
        <v>9301</v>
      </c>
      <c r="T3718" t="s">
        <v>11164</v>
      </c>
      <c r="U3718" t="s">
        <v>11164</v>
      </c>
      <c r="V3718" t="s">
        <v>11164</v>
      </c>
      <c r="W3718" t="s">
        <v>14839</v>
      </c>
      <c r="X3718">
        <v>2</v>
      </c>
      <c r="Y3718" t="s">
        <v>20317</v>
      </c>
      <c r="Z3718" t="s">
        <v>25868</v>
      </c>
      <c r="AA3718">
        <v>0.77985321319366208</v>
      </c>
      <c r="AB3718" t="str">
        <f>HYPERLINK("Melting_Curves/meltCurve_Q86UX7_2_FERMT3.pdf", "Melting_Curves/meltCurve_Q86UX7_2_FERMT3.pdf")</f>
        <v>Melting_Curves/meltCurve_Q86UX7_2_FERMT3.pdf</v>
      </c>
    </row>
    <row r="3719" spans="1:28" x14ac:dyDescent="0.25">
      <c r="A3719" t="s">
        <v>3723</v>
      </c>
      <c r="B3719">
        <v>0.99796759195183404</v>
      </c>
      <c r="C3719">
        <v>1.03631449328578</v>
      </c>
      <c r="D3719">
        <v>1.0398746368788101</v>
      </c>
      <c r="E3719">
        <v>0.97160129450746002</v>
      </c>
      <c r="F3719">
        <v>0.861567528833864</v>
      </c>
      <c r="G3719">
        <v>0.68120059144432699</v>
      </c>
      <c r="H3719">
        <v>0.57227229060638496</v>
      </c>
      <c r="I3719">
        <v>0.38266574923178698</v>
      </c>
      <c r="J3719">
        <v>0.26777201657223698</v>
      </c>
      <c r="K3719">
        <v>0.178542620669256</v>
      </c>
      <c r="L3719">
        <v>681.13617599043096</v>
      </c>
      <c r="M3719">
        <v>11.7123126280284</v>
      </c>
      <c r="N3719">
        <v>58.313157939408804</v>
      </c>
      <c r="O3719">
        <v>56.537840308858399</v>
      </c>
      <c r="P3719">
        <v>-5.0996389627178798E-2</v>
      </c>
      <c r="Q3719">
        <v>1.5578415683815201E-2</v>
      </c>
      <c r="R3719">
        <v>0.99186020361697702</v>
      </c>
      <c r="S3719" t="s">
        <v>9302</v>
      </c>
      <c r="T3719" t="s">
        <v>11164</v>
      </c>
      <c r="U3719" t="s">
        <v>11164</v>
      </c>
      <c r="V3719" t="s">
        <v>11164</v>
      </c>
      <c r="W3719" t="s">
        <v>14840</v>
      </c>
      <c r="X3719">
        <v>25</v>
      </c>
      <c r="Y3719" t="s">
        <v>20318</v>
      </c>
      <c r="Z3719" t="s">
        <v>25869</v>
      </c>
      <c r="AA3719">
        <v>0.70661849284232281</v>
      </c>
      <c r="AB3719" t="str">
        <f>HYPERLINK("Melting_Curves/meltCurve_Q86UY0_TXNDC5.pdf", "Melting_Curves/meltCurve_Q86UY0_TXNDC5.pdf")</f>
        <v>Melting_Curves/meltCurve_Q86UY0_TXNDC5.pdf</v>
      </c>
    </row>
    <row r="3720" spans="1:28" x14ac:dyDescent="0.25">
      <c r="A3720" t="s">
        <v>3724</v>
      </c>
      <c r="B3720">
        <v>0.99796759195183404</v>
      </c>
      <c r="C3720">
        <v>1.1127328838796799</v>
      </c>
      <c r="D3720">
        <v>1.00606483182947</v>
      </c>
      <c r="E3720">
        <v>1.0681805084182301</v>
      </c>
      <c r="F3720">
        <v>0.94907313344487199</v>
      </c>
      <c r="G3720">
        <v>1.2274778142898699</v>
      </c>
      <c r="H3720">
        <v>1.1120880628541401</v>
      </c>
      <c r="I3720">
        <v>0.71752192448340901</v>
      </c>
      <c r="J3720">
        <v>0.21825343643702599</v>
      </c>
      <c r="K3720">
        <v>0.16082536753051699</v>
      </c>
      <c r="L3720">
        <v>4909.7183724416</v>
      </c>
      <c r="M3720">
        <v>79.808207851922106</v>
      </c>
      <c r="N3720">
        <v>61.846143842297401</v>
      </c>
      <c r="O3720">
        <v>61.480378167315799</v>
      </c>
      <c r="P3720">
        <v>-0.26864426259950303</v>
      </c>
      <c r="Q3720">
        <v>0.17219808324918601</v>
      </c>
      <c r="R3720">
        <v>0.93310863399338295</v>
      </c>
      <c r="S3720" t="s">
        <v>9303</v>
      </c>
      <c r="T3720" t="s">
        <v>11164</v>
      </c>
      <c r="U3720" t="s">
        <v>11164</v>
      </c>
      <c r="V3720" t="s">
        <v>11164</v>
      </c>
      <c r="W3720" t="s">
        <v>14841</v>
      </c>
      <c r="X3720">
        <v>4</v>
      </c>
      <c r="Y3720" t="s">
        <v>20319</v>
      </c>
      <c r="Z3720" t="s">
        <v>25870</v>
      </c>
      <c r="AA3720">
        <v>0.8496004644763111</v>
      </c>
      <c r="AB3720" t="str">
        <f>HYPERLINK("Melting_Curves/meltCurve_Q86UY8_2_NT5DC3.pdf", "Melting_Curves/meltCurve_Q86UY8_2_NT5DC3.pdf")</f>
        <v>Melting_Curves/meltCurve_Q86UY8_2_NT5DC3.pdf</v>
      </c>
    </row>
    <row r="3721" spans="1:28" x14ac:dyDescent="0.25">
      <c r="A3721" t="s">
        <v>3725</v>
      </c>
      <c r="B3721">
        <v>0.99796759195183404</v>
      </c>
      <c r="C3721">
        <v>1.0251129287643601</v>
      </c>
      <c r="D3721">
        <v>1.0277257064156899</v>
      </c>
      <c r="E3721">
        <v>0.90570747361642201</v>
      </c>
      <c r="F3721">
        <v>0.42244007703191899</v>
      </c>
      <c r="G3721">
        <v>0.23651807217732701</v>
      </c>
      <c r="H3721">
        <v>0.17030619030733399</v>
      </c>
      <c r="I3721">
        <v>0.149762850676044</v>
      </c>
      <c r="J3721">
        <v>0.10351058334011699</v>
      </c>
      <c r="K3721">
        <v>8.1023811457081096E-2</v>
      </c>
      <c r="L3721">
        <v>1581.0685988258101</v>
      </c>
      <c r="M3721">
        <v>32.048465932743603</v>
      </c>
      <c r="N3721">
        <v>49.806095185767099</v>
      </c>
      <c r="O3721">
        <v>49.1427968842805</v>
      </c>
      <c r="P3721">
        <v>-0.14166978005145001</v>
      </c>
      <c r="Q3721">
        <v>0.131064463811705</v>
      </c>
      <c r="R3721">
        <v>0.99385631128499996</v>
      </c>
      <c r="S3721" t="s">
        <v>9304</v>
      </c>
      <c r="T3721" t="s">
        <v>11164</v>
      </c>
      <c r="U3721" t="s">
        <v>11164</v>
      </c>
      <c r="V3721" t="s">
        <v>11164</v>
      </c>
      <c r="W3721" t="s">
        <v>14842</v>
      </c>
      <c r="X3721">
        <v>8</v>
      </c>
      <c r="Y3721" t="s">
        <v>20320</v>
      </c>
      <c r="Z3721" t="s">
        <v>25871</v>
      </c>
      <c r="AA3721">
        <v>0.49292514067768001</v>
      </c>
      <c r="AB3721" t="str">
        <f>HYPERLINK("Melting_Curves/meltCurve_Q86V21_AACS.pdf", "Melting_Curves/meltCurve_Q86V21_AACS.pdf")</f>
        <v>Melting_Curves/meltCurve_Q86V21_AACS.pdf</v>
      </c>
    </row>
    <row r="3722" spans="1:28" x14ac:dyDescent="0.25">
      <c r="A3722" t="s">
        <v>3726</v>
      </c>
      <c r="B3722">
        <v>0.99796759195183404</v>
      </c>
      <c r="C3722">
        <v>1.0070643409117701</v>
      </c>
      <c r="D3722">
        <v>0.82207304713253204</v>
      </c>
      <c r="E3722">
        <v>0.96163430254109905</v>
      </c>
      <c r="F3722">
        <v>0.85605130405113705</v>
      </c>
      <c r="G3722">
        <v>0.60997199793523504</v>
      </c>
      <c r="H3722">
        <v>0.69363913166810798</v>
      </c>
      <c r="I3722">
        <v>0.63778526139097602</v>
      </c>
      <c r="J3722">
        <v>0.66633841867269605</v>
      </c>
      <c r="K3722">
        <v>0.60667806695330395</v>
      </c>
      <c r="L3722">
        <v>625.24853635780903</v>
      </c>
      <c r="M3722">
        <v>12.5180660813734</v>
      </c>
      <c r="O3722">
        <v>48.724437019487802</v>
      </c>
      <c r="P3722">
        <v>-2.5395339470069E-2</v>
      </c>
      <c r="Q3722">
        <v>0.60469277801334398</v>
      </c>
      <c r="R3722">
        <v>0.82647017383985799</v>
      </c>
      <c r="S3722" t="s">
        <v>9305</v>
      </c>
      <c r="T3722" t="s">
        <v>11164</v>
      </c>
      <c r="U3722" t="s">
        <v>11164</v>
      </c>
      <c r="V3722" t="s">
        <v>11164</v>
      </c>
      <c r="W3722" t="s">
        <v>14843</v>
      </c>
      <c r="X3722">
        <v>2</v>
      </c>
      <c r="Y3722" t="s">
        <v>20321</v>
      </c>
      <c r="Z3722" t="s">
        <v>25872</v>
      </c>
      <c r="AA3722">
        <v>0.7858556263983959</v>
      </c>
      <c r="AB3722" t="str">
        <f>HYPERLINK("Melting_Curves/meltCurve_Q86V24_ADIPOR2.pdf", "Melting_Curves/meltCurve_Q86V24_ADIPOR2.pdf")</f>
        <v>Melting_Curves/meltCurve_Q86V24_ADIPOR2.pdf</v>
      </c>
    </row>
    <row r="3723" spans="1:28" x14ac:dyDescent="0.25">
      <c r="A3723" t="s">
        <v>3727</v>
      </c>
      <c r="B3723">
        <v>0.99796759195183404</v>
      </c>
      <c r="C3723">
        <v>0.95048483529366801</v>
      </c>
      <c r="D3723">
        <v>0.88322760626899499</v>
      </c>
      <c r="E3723">
        <v>0.83752552647352296</v>
      </c>
      <c r="F3723">
        <v>0.60223333293640402</v>
      </c>
      <c r="G3723">
        <v>0.32155144843014899</v>
      </c>
      <c r="H3723">
        <v>0.266915759855127</v>
      </c>
      <c r="I3723">
        <v>0.198175624421846</v>
      </c>
      <c r="J3723">
        <v>0.151091291593208</v>
      </c>
      <c r="K3723">
        <v>0.115621834156603</v>
      </c>
      <c r="L3723">
        <v>722.46098808610805</v>
      </c>
      <c r="M3723">
        <v>14.2591383884191</v>
      </c>
      <c r="N3723">
        <v>51.513097263336498</v>
      </c>
      <c r="O3723">
        <v>49.701258718296103</v>
      </c>
      <c r="P3723">
        <v>-6.4240401131323302E-2</v>
      </c>
      <c r="Q3723">
        <v>0.10445217207308399</v>
      </c>
      <c r="R3723">
        <v>0.99175094386588003</v>
      </c>
      <c r="S3723" t="s">
        <v>9306</v>
      </c>
      <c r="T3723" t="s">
        <v>11164</v>
      </c>
      <c r="U3723" t="s">
        <v>11164</v>
      </c>
      <c r="V3723" t="s">
        <v>11164</v>
      </c>
      <c r="W3723" t="s">
        <v>14844</v>
      </c>
      <c r="X3723">
        <v>14</v>
      </c>
      <c r="Y3723" t="s">
        <v>20322</v>
      </c>
      <c r="Z3723" t="s">
        <v>25873</v>
      </c>
      <c r="AA3723">
        <v>0.53196584238150268</v>
      </c>
      <c r="AB3723" t="str">
        <f>HYPERLINK("Melting_Curves/meltCurve_Q86V48_LUZP1.pdf", "Melting_Curves/meltCurve_Q86V48_LUZP1.pdf")</f>
        <v>Melting_Curves/meltCurve_Q86V48_LUZP1.pdf</v>
      </c>
    </row>
    <row r="3724" spans="1:28" x14ac:dyDescent="0.25">
      <c r="A3724" t="s">
        <v>3728</v>
      </c>
      <c r="B3724">
        <v>0.99796759195183404</v>
      </c>
      <c r="C3724">
        <v>0.72321350102609505</v>
      </c>
      <c r="D3724">
        <v>0.73158276999829397</v>
      </c>
      <c r="E3724">
        <v>0.90655740191240997</v>
      </c>
      <c r="F3724">
        <v>0.62825384001099505</v>
      </c>
      <c r="G3724">
        <v>0.48130745607451603</v>
      </c>
      <c r="H3724">
        <v>0.16867163738281599</v>
      </c>
      <c r="I3724">
        <v>0</v>
      </c>
      <c r="J3724">
        <v>7.8067545273390299E-2</v>
      </c>
      <c r="K3724">
        <v>0</v>
      </c>
      <c r="L3724">
        <v>703.34118475159801</v>
      </c>
      <c r="M3724">
        <v>13.540107861891901</v>
      </c>
      <c r="N3724">
        <v>51.945038747164404</v>
      </c>
      <c r="O3724">
        <v>50.851236913562801</v>
      </c>
      <c r="P3724">
        <v>-6.6577278470160706E-2</v>
      </c>
      <c r="Q3724">
        <v>0</v>
      </c>
      <c r="R3724">
        <v>0.88805292596608598</v>
      </c>
      <c r="S3724" t="s">
        <v>9307</v>
      </c>
      <c r="T3724" t="s">
        <v>11164</v>
      </c>
      <c r="U3724" t="s">
        <v>11164</v>
      </c>
      <c r="V3724" t="s">
        <v>11164</v>
      </c>
      <c r="W3724" t="s">
        <v>14845</v>
      </c>
      <c r="X3724">
        <v>1</v>
      </c>
      <c r="Y3724" t="s">
        <v>20323</v>
      </c>
      <c r="Z3724" t="s">
        <v>25874</v>
      </c>
      <c r="AA3724">
        <v>0.51960686012809554</v>
      </c>
      <c r="AB3724" t="str">
        <f>HYPERLINK("Melting_Curves/meltCurve_Q86V85_GPR180.pdf", "Melting_Curves/meltCurve_Q86V85_GPR180.pdf")</f>
        <v>Melting_Curves/meltCurve_Q86V85_GPR180.pdf</v>
      </c>
    </row>
    <row r="3725" spans="1:28" x14ac:dyDescent="0.25">
      <c r="A3725" t="s">
        <v>3729</v>
      </c>
      <c r="B3725">
        <v>0.99796759195183404</v>
      </c>
      <c r="C3725">
        <v>0.87365591442469603</v>
      </c>
      <c r="D3725">
        <v>1.0297229574719799</v>
      </c>
      <c r="E3725">
        <v>0.73626063405838604</v>
      </c>
      <c r="F3725">
        <v>0.64851849435954101</v>
      </c>
      <c r="G3725">
        <v>0.43110792421483002</v>
      </c>
      <c r="H3725">
        <v>0.106465685687729</v>
      </c>
      <c r="I3725">
        <v>0.12821325955173801</v>
      </c>
      <c r="J3725">
        <v>0</v>
      </c>
      <c r="K3725">
        <v>9.35481809191714E-2</v>
      </c>
      <c r="L3725">
        <v>733.08668522269602</v>
      </c>
      <c r="M3725">
        <v>14.1661274345074</v>
      </c>
      <c r="N3725">
        <v>51.749265199337998</v>
      </c>
      <c r="O3725">
        <v>50.750774208959498</v>
      </c>
      <c r="P3725">
        <v>-6.9791612434604106E-2</v>
      </c>
      <c r="Q3725">
        <v>0</v>
      </c>
      <c r="R3725">
        <v>0.96635500670172503</v>
      </c>
      <c r="S3725" t="s">
        <v>9308</v>
      </c>
      <c r="T3725" t="s">
        <v>11164</v>
      </c>
      <c r="U3725" t="s">
        <v>11164</v>
      </c>
      <c r="V3725" t="s">
        <v>11164</v>
      </c>
      <c r="W3725" t="s">
        <v>14846</v>
      </c>
      <c r="X3725">
        <v>1</v>
      </c>
      <c r="Y3725" t="s">
        <v>20324</v>
      </c>
      <c r="Z3725" t="s">
        <v>25875</v>
      </c>
      <c r="AA3725">
        <v>0.51237096813047245</v>
      </c>
      <c r="AB3725" t="str">
        <f>HYPERLINK("Melting_Curves/meltCurve_Q86V87_FAM160B2.pdf", "Melting_Curves/meltCurve_Q86V87_FAM160B2.pdf")</f>
        <v>Melting_Curves/meltCurve_Q86V87_FAM160B2.pdf</v>
      </c>
    </row>
    <row r="3726" spans="1:28" x14ac:dyDescent="0.25">
      <c r="A3726" t="s">
        <v>3730</v>
      </c>
      <c r="B3726">
        <v>0.99796759195183404</v>
      </c>
      <c r="C3726">
        <v>0.96788382941291196</v>
      </c>
      <c r="D3726">
        <v>0.97716793085223497</v>
      </c>
      <c r="E3726">
        <v>0.95510025842467905</v>
      </c>
      <c r="F3726">
        <v>0.87729186783394197</v>
      </c>
      <c r="G3726">
        <v>0.55665493601316896</v>
      </c>
      <c r="H3726">
        <v>0.82807827478123397</v>
      </c>
      <c r="I3726">
        <v>0.73654367780794106</v>
      </c>
      <c r="J3726">
        <v>0.84809606699347495</v>
      </c>
      <c r="K3726">
        <v>0.98848694098039203</v>
      </c>
      <c r="L3726">
        <v>12531.9920286897</v>
      </c>
      <c r="M3726">
        <v>250</v>
      </c>
      <c r="O3726">
        <v>50.124760267790002</v>
      </c>
      <c r="P3726">
        <v>-0.25988655036800101</v>
      </c>
      <c r="Q3726">
        <v>0.79157198374366</v>
      </c>
      <c r="R3726">
        <v>0.40592955024557698</v>
      </c>
      <c r="S3726" t="s">
        <v>9309</v>
      </c>
      <c r="T3726" t="s">
        <v>11164</v>
      </c>
      <c r="U3726" t="s">
        <v>11164</v>
      </c>
      <c r="V3726" t="s">
        <v>11164</v>
      </c>
      <c r="W3726" t="s">
        <v>14847</v>
      </c>
      <c r="X3726">
        <v>3</v>
      </c>
      <c r="Y3726" t="s">
        <v>20325</v>
      </c>
      <c r="Z3726" t="s">
        <v>25876</v>
      </c>
      <c r="AA3726">
        <v>0.88279819833694018</v>
      </c>
      <c r="AB3726" t="str">
        <f>HYPERLINK("Melting_Curves/meltCurve_Q86VG3_C11orf74.pdf", "Melting_Curves/meltCurve_Q86VG3_C11orf74.pdf")</f>
        <v>Melting_Curves/meltCurve_Q86VG3_C11orf74.pdf</v>
      </c>
    </row>
    <row r="3727" spans="1:28" x14ac:dyDescent="0.25">
      <c r="A3727" t="s">
        <v>3731</v>
      </c>
      <c r="B3727">
        <v>0.99796759195183404</v>
      </c>
      <c r="C3727">
        <v>1.0362161947624799</v>
      </c>
      <c r="D3727">
        <v>1.0036257220053899</v>
      </c>
      <c r="E3727">
        <v>0.97625700384262604</v>
      </c>
      <c r="F3727">
        <v>0.86534900024806305</v>
      </c>
      <c r="G3727">
        <v>0.67469519257597699</v>
      </c>
      <c r="H3727">
        <v>0.27028098478712298</v>
      </c>
      <c r="I3727">
        <v>0.182913102790868</v>
      </c>
      <c r="J3727">
        <v>0.14757606030586901</v>
      </c>
      <c r="K3727">
        <v>0.120213830179162</v>
      </c>
      <c r="L3727">
        <v>1380.6814598306901</v>
      </c>
      <c r="M3727">
        <v>25.321597985111801</v>
      </c>
      <c r="N3727">
        <v>55.099476576562097</v>
      </c>
      <c r="O3727">
        <v>54.189179293394098</v>
      </c>
      <c r="P3727">
        <v>-0.10328589832339299</v>
      </c>
      <c r="Q3727">
        <v>0.115868347097524</v>
      </c>
      <c r="R3727">
        <v>0.99504727635618795</v>
      </c>
      <c r="S3727" t="s">
        <v>9310</v>
      </c>
      <c r="T3727" t="s">
        <v>11164</v>
      </c>
      <c r="U3727" t="s">
        <v>11164</v>
      </c>
      <c r="V3727" t="s">
        <v>11164</v>
      </c>
      <c r="W3727" t="s">
        <v>14848</v>
      </c>
      <c r="X3727">
        <v>6</v>
      </c>
      <c r="Y3727" t="s">
        <v>20326</v>
      </c>
      <c r="Z3727" t="s">
        <v>25877</v>
      </c>
      <c r="AA3727">
        <v>0.63985218614940653</v>
      </c>
      <c r="AB3727" t="str">
        <f>HYPERLINK("Melting_Curves/meltCurve_Q86VN1_2_VPS36.pdf", "Melting_Curves/meltCurve_Q86VN1_2_VPS36.pdf")</f>
        <v>Melting_Curves/meltCurve_Q86VN1_2_VPS36.pdf</v>
      </c>
    </row>
    <row r="3728" spans="1:28" x14ac:dyDescent="0.25">
      <c r="A3728" t="s">
        <v>3732</v>
      </c>
      <c r="B3728">
        <v>0.99796759195183404</v>
      </c>
      <c r="C3728">
        <v>1.03260983940539</v>
      </c>
      <c r="D3728">
        <v>0.98875662836745803</v>
      </c>
      <c r="E3728">
        <v>0.98207633735998201</v>
      </c>
      <c r="F3728">
        <v>0.89095183004773104</v>
      </c>
      <c r="G3728">
        <v>1.3266040180966601</v>
      </c>
      <c r="H3728">
        <v>1.3391671132693701</v>
      </c>
      <c r="I3728">
        <v>1.33370840121784</v>
      </c>
      <c r="J3728">
        <v>0.34341286877071198</v>
      </c>
      <c r="K3728">
        <v>0.126723929214208</v>
      </c>
      <c r="L3728">
        <v>15000</v>
      </c>
      <c r="M3728">
        <v>235.11757567898101</v>
      </c>
      <c r="N3728">
        <v>63.877235504592299</v>
      </c>
      <c r="O3728">
        <v>63.793252004270599</v>
      </c>
      <c r="P3728">
        <v>-0.80467046275989795</v>
      </c>
      <c r="Q3728">
        <v>0.12669147999500599</v>
      </c>
      <c r="R3728">
        <v>0.76893064487290397</v>
      </c>
      <c r="S3728" t="s">
        <v>9311</v>
      </c>
      <c r="T3728" t="s">
        <v>11164</v>
      </c>
      <c r="U3728" t="s">
        <v>11164</v>
      </c>
      <c r="V3728" t="s">
        <v>11164</v>
      </c>
      <c r="W3728" t="s">
        <v>14849</v>
      </c>
      <c r="X3728">
        <v>47</v>
      </c>
      <c r="Y3728" t="s">
        <v>20327</v>
      </c>
      <c r="Z3728" t="s">
        <v>25878</v>
      </c>
      <c r="AA3728">
        <v>0.9068954578356424</v>
      </c>
      <c r="AB3728" t="str">
        <f>HYPERLINK("Melting_Curves/meltCurve_Q86VP6_CAND1.pdf", "Melting_Curves/meltCurve_Q86VP6_CAND1.pdf")</f>
        <v>Melting_Curves/meltCurve_Q86VP6_CAND1.pdf</v>
      </c>
    </row>
    <row r="3729" spans="1:28" x14ac:dyDescent="0.25">
      <c r="A3729" t="s">
        <v>3733</v>
      </c>
      <c r="B3729">
        <v>0.99796759195183404</v>
      </c>
      <c r="C3729">
        <v>1.0414848372168699</v>
      </c>
      <c r="D3729">
        <v>0.96773541797479001</v>
      </c>
      <c r="E3729">
        <v>0.95767607788529596</v>
      </c>
      <c r="F3729">
        <v>0.858909481701566</v>
      </c>
      <c r="G3729">
        <v>0.72028242600512504</v>
      </c>
      <c r="H3729">
        <v>0.56077630670955403</v>
      </c>
      <c r="I3729">
        <v>0.52103287595233905</v>
      </c>
      <c r="J3729">
        <v>0.45362235563240699</v>
      </c>
      <c r="K3729">
        <v>0.33668835778452899</v>
      </c>
      <c r="L3729">
        <v>655.05711743362394</v>
      </c>
      <c r="M3729">
        <v>11.6771266334893</v>
      </c>
      <c r="N3729">
        <v>60.421244777696799</v>
      </c>
      <c r="O3729">
        <v>54.528012194365303</v>
      </c>
      <c r="P3729">
        <v>-3.8385913469759801E-2</v>
      </c>
      <c r="Q3729">
        <v>0.283197967327458</v>
      </c>
      <c r="R3729">
        <v>0.98637742957255603</v>
      </c>
      <c r="S3729" t="s">
        <v>9312</v>
      </c>
      <c r="T3729" t="s">
        <v>11164</v>
      </c>
      <c r="U3729" t="s">
        <v>11164</v>
      </c>
      <c r="V3729" t="s">
        <v>11164</v>
      </c>
      <c r="W3729" t="s">
        <v>14850</v>
      </c>
      <c r="X3729">
        <v>4</v>
      </c>
      <c r="Y3729" t="s">
        <v>20328</v>
      </c>
      <c r="Z3729" t="s">
        <v>25879</v>
      </c>
      <c r="AA3729">
        <v>0.74587209533510679</v>
      </c>
      <c r="AB3729" t="str">
        <f>HYPERLINK("Melting_Curves/meltCurve_Q86VQ1_GLCCI1.pdf", "Melting_Curves/meltCurve_Q86VQ1_GLCCI1.pdf")</f>
        <v>Melting_Curves/meltCurve_Q86VQ1_GLCCI1.pdf</v>
      </c>
    </row>
    <row r="3730" spans="1:28" x14ac:dyDescent="0.25">
      <c r="A3730" t="s">
        <v>3734</v>
      </c>
      <c r="B3730">
        <v>0.99796759195183404</v>
      </c>
      <c r="C3730">
        <v>1.31437778142248</v>
      </c>
      <c r="D3730">
        <v>1.33738868634362</v>
      </c>
      <c r="E3730">
        <v>1.2835272681205501</v>
      </c>
      <c r="F3730">
        <v>1.018682432906</v>
      </c>
      <c r="G3730">
        <v>0.77192756703179499</v>
      </c>
      <c r="H3730">
        <v>0.66234449996617595</v>
      </c>
      <c r="I3730">
        <v>0.48351869272111098</v>
      </c>
      <c r="J3730">
        <v>0.33958398062435702</v>
      </c>
      <c r="K3730">
        <v>0.55993705769139301</v>
      </c>
      <c r="L3730">
        <v>1556.7424990555101</v>
      </c>
      <c r="M3730">
        <v>28.098070699177001</v>
      </c>
      <c r="N3730">
        <v>60.498326233820102</v>
      </c>
      <c r="O3730">
        <v>55.1255379266834</v>
      </c>
      <c r="P3730">
        <v>-6.9693843990749793E-2</v>
      </c>
      <c r="Q3730">
        <v>0.45307588494398099</v>
      </c>
      <c r="R3730">
        <v>0.725419651303432</v>
      </c>
      <c r="S3730" t="s">
        <v>9313</v>
      </c>
      <c r="T3730" t="s">
        <v>11164</v>
      </c>
      <c r="U3730" t="s">
        <v>11164</v>
      </c>
      <c r="V3730" t="s">
        <v>11164</v>
      </c>
      <c r="W3730" t="s">
        <v>14851</v>
      </c>
      <c r="X3730">
        <v>1</v>
      </c>
      <c r="Y3730" t="s">
        <v>20329</v>
      </c>
      <c r="Z3730" t="s">
        <v>25880</v>
      </c>
      <c r="AA3730">
        <v>0.79243436990645577</v>
      </c>
      <c r="AB3730" t="str">
        <f>HYPERLINK("Melting_Curves/meltCurve_Q86VQ2_WASF3.pdf", "Melting_Curves/meltCurve_Q86VQ2_WASF3.pdf")</f>
        <v>Melting_Curves/meltCurve_Q86VQ2_WASF3.pdf</v>
      </c>
    </row>
    <row r="3731" spans="1:28" x14ac:dyDescent="0.25">
      <c r="A3731" t="s">
        <v>3735</v>
      </c>
      <c r="B3731">
        <v>0.99796759195183404</v>
      </c>
      <c r="C3731">
        <v>1.0130632289268899</v>
      </c>
      <c r="D3731">
        <v>0.91219485791351995</v>
      </c>
      <c r="E3731">
        <v>0.85342576695390204</v>
      </c>
      <c r="F3731">
        <v>0.86960753119731404</v>
      </c>
      <c r="G3731">
        <v>0.67713591394378803</v>
      </c>
      <c r="H3731">
        <v>0.58053529611602495</v>
      </c>
      <c r="I3731">
        <v>0.455049528957222</v>
      </c>
      <c r="J3731">
        <v>0.417857426326746</v>
      </c>
      <c r="K3731">
        <v>0.241496486041784</v>
      </c>
      <c r="L3731">
        <v>468.50501943302498</v>
      </c>
      <c r="M3731">
        <v>7.8583322762570198</v>
      </c>
      <c r="N3731">
        <v>59.618883250845499</v>
      </c>
      <c r="O3731">
        <v>56.128256191125999</v>
      </c>
      <c r="P3731">
        <v>-3.5043991079318597E-2</v>
      </c>
      <c r="Q3731">
        <v>0</v>
      </c>
      <c r="R3731">
        <v>0.97775048282396504</v>
      </c>
      <c r="S3731" t="s">
        <v>9314</v>
      </c>
      <c r="T3731" t="s">
        <v>11164</v>
      </c>
      <c r="U3731" t="s">
        <v>11164</v>
      </c>
      <c r="V3731" t="s">
        <v>11164</v>
      </c>
      <c r="W3731" t="s">
        <v>14852</v>
      </c>
      <c r="X3731">
        <v>3</v>
      </c>
      <c r="Y3731" t="s">
        <v>20330</v>
      </c>
      <c r="Z3731" t="s">
        <v>25881</v>
      </c>
      <c r="AA3731">
        <v>0.71371431048279688</v>
      </c>
      <c r="AB3731" t="str">
        <f>HYPERLINK("Melting_Curves/meltCurve_Q86VR2_FAM134C.pdf", "Melting_Curves/meltCurve_Q86VR2_FAM134C.pdf")</f>
        <v>Melting_Curves/meltCurve_Q86VR2_FAM134C.pdf</v>
      </c>
    </row>
    <row r="3732" spans="1:28" x14ac:dyDescent="0.25">
      <c r="A3732" t="s">
        <v>3736</v>
      </c>
      <c r="B3732">
        <v>0.99796759195183404</v>
      </c>
      <c r="C3732">
        <v>1.05282210760964</v>
      </c>
      <c r="D3732">
        <v>1.02104302337569</v>
      </c>
      <c r="E3732">
        <v>0.93781096651943097</v>
      </c>
      <c r="F3732">
        <v>0.79732443154001198</v>
      </c>
      <c r="G3732">
        <v>0.638985072069162</v>
      </c>
      <c r="H3732">
        <v>0.42155391091740102</v>
      </c>
      <c r="I3732">
        <v>0.21931638909156601</v>
      </c>
      <c r="J3732">
        <v>0.167697340385382</v>
      </c>
      <c r="K3732">
        <v>0.215920870219275</v>
      </c>
      <c r="L3732">
        <v>885.71193757670699</v>
      </c>
      <c r="M3732">
        <v>16.229168638849799</v>
      </c>
      <c r="N3732">
        <v>55.587053592698801</v>
      </c>
      <c r="O3732">
        <v>53.766870586132001</v>
      </c>
      <c r="P3732">
        <v>-6.5816035966011502E-2</v>
      </c>
      <c r="Q3732">
        <v>0.12787649904338999</v>
      </c>
      <c r="R3732">
        <v>0.99041638157918799</v>
      </c>
      <c r="S3732" t="s">
        <v>9315</v>
      </c>
      <c r="T3732" t="s">
        <v>11164</v>
      </c>
      <c r="U3732" t="s">
        <v>11164</v>
      </c>
      <c r="V3732" t="s">
        <v>11164</v>
      </c>
      <c r="W3732" t="s">
        <v>14853</v>
      </c>
      <c r="X3732">
        <v>18</v>
      </c>
      <c r="Y3732" t="s">
        <v>20331</v>
      </c>
      <c r="Z3732" t="s">
        <v>25882</v>
      </c>
      <c r="AA3732">
        <v>0.65128512517237547</v>
      </c>
      <c r="AB3732" t="str">
        <f>HYPERLINK("Melting_Curves/meltCurve_Q86VS8_HOOK3.pdf", "Melting_Curves/meltCurve_Q86VS8_HOOK3.pdf")</f>
        <v>Melting_Curves/meltCurve_Q86VS8_HOOK3.pdf</v>
      </c>
    </row>
    <row r="3733" spans="1:28" x14ac:dyDescent="0.25">
      <c r="A3733" t="s">
        <v>3737</v>
      </c>
      <c r="B3733">
        <v>0.99796759195183404</v>
      </c>
      <c r="C3733">
        <v>1.20700291547998</v>
      </c>
      <c r="D3733">
        <v>1.1068259297444401</v>
      </c>
      <c r="E3733">
        <v>1.1545175615580801</v>
      </c>
      <c r="F3733">
        <v>1.0846094018577299</v>
      </c>
      <c r="G3733">
        <v>0.72905456824103498</v>
      </c>
      <c r="H3733">
        <v>0.217408526850527</v>
      </c>
      <c r="I3733">
        <v>0.13131401234833401</v>
      </c>
      <c r="J3733">
        <v>0.106030570362782</v>
      </c>
      <c r="K3733">
        <v>8.1943433575838498E-2</v>
      </c>
      <c r="L3733">
        <v>2568.3926677116701</v>
      </c>
      <c r="M3733">
        <v>46.837449596317803</v>
      </c>
      <c r="N3733">
        <v>55.117787460664701</v>
      </c>
      <c r="O3733">
        <v>54.7366265100299</v>
      </c>
      <c r="P3733">
        <v>-0.191167586992677</v>
      </c>
      <c r="Q3733">
        <v>0.10636840157563</v>
      </c>
      <c r="R3733">
        <v>0.95882100011950699</v>
      </c>
      <c r="S3733" t="s">
        <v>9316</v>
      </c>
      <c r="T3733" t="s">
        <v>11164</v>
      </c>
      <c r="U3733" t="s">
        <v>11164</v>
      </c>
      <c r="V3733" t="s">
        <v>11164</v>
      </c>
      <c r="W3733" t="s">
        <v>14854</v>
      </c>
      <c r="X3733">
        <v>3</v>
      </c>
      <c r="Y3733" t="s">
        <v>20332</v>
      </c>
      <c r="Z3733" t="s">
        <v>25883</v>
      </c>
      <c r="AA3733">
        <v>0.64012536781585105</v>
      </c>
      <c r="AB3733" t="str">
        <f>HYPERLINK("Melting_Curves/meltCurve_Q86VU5_COMTD1.pdf", "Melting_Curves/meltCurve_Q86VU5_COMTD1.pdf")</f>
        <v>Melting_Curves/meltCurve_Q86VU5_COMTD1.pdf</v>
      </c>
    </row>
    <row r="3734" spans="1:28" x14ac:dyDescent="0.25">
      <c r="A3734" t="s">
        <v>3738</v>
      </c>
      <c r="B3734">
        <v>0.99796759195183404</v>
      </c>
      <c r="C3734">
        <v>0.96439926583077296</v>
      </c>
      <c r="D3734">
        <v>0.94210818817091602</v>
      </c>
      <c r="E3734">
        <v>0.80420166148327199</v>
      </c>
      <c r="F3734">
        <v>1.0555370426402899</v>
      </c>
      <c r="G3734">
        <v>0.73595503965966402</v>
      </c>
      <c r="H3734">
        <v>0.51478844640256005</v>
      </c>
      <c r="I3734">
        <v>0.30723183565616202</v>
      </c>
      <c r="J3734">
        <v>0.29334334952195801</v>
      </c>
      <c r="K3734">
        <v>0.23918961262232</v>
      </c>
      <c r="L3734">
        <v>1344.56977803115</v>
      </c>
      <c r="M3734">
        <v>24.1165898622165</v>
      </c>
      <c r="N3734">
        <v>57.304042831505299</v>
      </c>
      <c r="O3734">
        <v>55.373796991018899</v>
      </c>
      <c r="P3734">
        <v>-8.2782535795193402E-2</v>
      </c>
      <c r="Q3734">
        <v>0.239708049673208</v>
      </c>
      <c r="R3734">
        <v>0.94085865236448396</v>
      </c>
      <c r="S3734" t="s">
        <v>9317</v>
      </c>
      <c r="T3734" t="s">
        <v>11164</v>
      </c>
      <c r="U3734" t="s">
        <v>11164</v>
      </c>
      <c r="V3734" t="s">
        <v>11164</v>
      </c>
      <c r="W3734" t="s">
        <v>14855</v>
      </c>
      <c r="X3734">
        <v>1</v>
      </c>
      <c r="Y3734" t="s">
        <v>20333</v>
      </c>
      <c r="Z3734" t="s">
        <v>25884</v>
      </c>
      <c r="AA3734">
        <v>0.72151945011071494</v>
      </c>
      <c r="AB3734" t="str">
        <f>HYPERLINK("Melting_Curves/meltCurve_Q86W33_TPRA1.pdf", "Melting_Curves/meltCurve_Q86W33_TPRA1.pdf")</f>
        <v>Melting_Curves/meltCurve_Q86W33_TPRA1.pdf</v>
      </c>
    </row>
    <row r="3735" spans="1:28" x14ac:dyDescent="0.25">
      <c r="A3735" t="s">
        <v>3739</v>
      </c>
      <c r="B3735">
        <v>0.99796759195183404</v>
      </c>
      <c r="C3735">
        <v>0.99232030215769396</v>
      </c>
      <c r="D3735">
        <v>0.86006748734907801</v>
      </c>
      <c r="E3735">
        <v>0.91255457421270403</v>
      </c>
      <c r="F3735">
        <v>0.82494713614058401</v>
      </c>
      <c r="G3735">
        <v>0.89668836145478104</v>
      </c>
      <c r="H3735">
        <v>0.53969773599278004</v>
      </c>
      <c r="I3735">
        <v>0.36096639527673902</v>
      </c>
      <c r="J3735">
        <v>0.33738628391432302</v>
      </c>
      <c r="K3735">
        <v>0.37546412493512299</v>
      </c>
      <c r="L3735">
        <v>1547.4804239940199</v>
      </c>
      <c r="M3735">
        <v>27.648761756956301</v>
      </c>
      <c r="N3735">
        <v>58.232213159077503</v>
      </c>
      <c r="O3735">
        <v>55.678921491871598</v>
      </c>
      <c r="P3735">
        <v>-8.3268903802513505E-2</v>
      </c>
      <c r="Q3735">
        <v>0.32926027229795701</v>
      </c>
      <c r="R3735">
        <v>0.91796346339317203</v>
      </c>
      <c r="S3735" t="s">
        <v>9318</v>
      </c>
      <c r="T3735" t="s">
        <v>11164</v>
      </c>
      <c r="U3735" t="s">
        <v>11164</v>
      </c>
      <c r="V3735" t="s">
        <v>11164</v>
      </c>
      <c r="W3735" t="s">
        <v>14856</v>
      </c>
      <c r="X3735">
        <v>3</v>
      </c>
      <c r="Y3735" t="s">
        <v>20334</v>
      </c>
      <c r="Z3735" t="s">
        <v>25885</v>
      </c>
      <c r="AA3735">
        <v>0.75811265674227435</v>
      </c>
      <c r="AB3735" t="str">
        <f>HYPERLINK("Melting_Curves/meltCurve_Q86W42_THOC6.pdf", "Melting_Curves/meltCurve_Q86W42_THOC6.pdf")</f>
        <v>Melting_Curves/meltCurve_Q86W42_THOC6.pdf</v>
      </c>
    </row>
    <row r="3736" spans="1:28" x14ac:dyDescent="0.25">
      <c r="A3736" t="s">
        <v>3740</v>
      </c>
      <c r="B3736">
        <v>0.99796759195183404</v>
      </c>
      <c r="C3736">
        <v>0.95273671205456301</v>
      </c>
      <c r="D3736">
        <v>0.97153028935778796</v>
      </c>
      <c r="E3736">
        <v>0.89701415074508595</v>
      </c>
      <c r="F3736">
        <v>0.76487559116604598</v>
      </c>
      <c r="G3736">
        <v>0.54919915100488004</v>
      </c>
      <c r="H3736">
        <v>0.27214416287218002</v>
      </c>
      <c r="I3736">
        <v>0.15531454070169801</v>
      </c>
      <c r="J3736">
        <v>0.12507894522337901</v>
      </c>
      <c r="K3736">
        <v>9.3200734626202902E-2</v>
      </c>
      <c r="L3736">
        <v>843.05639328602797</v>
      </c>
      <c r="M3736">
        <v>15.685820014171201</v>
      </c>
      <c r="N3736">
        <v>54.053827077335697</v>
      </c>
      <c r="O3736">
        <v>52.895599185119899</v>
      </c>
      <c r="P3736">
        <v>-7.0978115679047604E-2</v>
      </c>
      <c r="Q3736">
        <v>4.2673833779294401E-2</v>
      </c>
      <c r="R3736">
        <v>0.99636092608720395</v>
      </c>
      <c r="S3736" t="s">
        <v>9319</v>
      </c>
      <c r="T3736" t="s">
        <v>11164</v>
      </c>
      <c r="U3736" t="s">
        <v>11164</v>
      </c>
      <c r="V3736" t="s">
        <v>11164</v>
      </c>
      <c r="W3736" t="s">
        <v>14857</v>
      </c>
      <c r="X3736">
        <v>8</v>
      </c>
      <c r="Y3736" t="s">
        <v>20335</v>
      </c>
      <c r="Z3736" t="s">
        <v>25886</v>
      </c>
      <c r="AA3736">
        <v>0.59242669469094134</v>
      </c>
      <c r="AB3736" t="str">
        <f>HYPERLINK("Melting_Curves/meltCurve_Q86W50_METTL16.pdf", "Melting_Curves/meltCurve_Q86W50_METTL16.pdf")</f>
        <v>Melting_Curves/meltCurve_Q86W50_METTL16.pdf</v>
      </c>
    </row>
    <row r="3737" spans="1:28" x14ac:dyDescent="0.25">
      <c r="A3737" t="s">
        <v>3741</v>
      </c>
      <c r="B3737">
        <v>0.99796759195183404</v>
      </c>
      <c r="C3737">
        <v>1.0343763797927099</v>
      </c>
      <c r="D3737">
        <v>1.0107877125294999</v>
      </c>
      <c r="E3737">
        <v>1.0233528123248099</v>
      </c>
      <c r="F3737">
        <v>0.87122768215561297</v>
      </c>
      <c r="G3737">
        <v>0.445465197865685</v>
      </c>
      <c r="H3737">
        <v>0.32419839617578899</v>
      </c>
      <c r="I3737">
        <v>0.247378006388945</v>
      </c>
      <c r="J3737">
        <v>0.20678522929545101</v>
      </c>
      <c r="K3737">
        <v>0.142077103854793</v>
      </c>
      <c r="L3737">
        <v>1601.2188395913299</v>
      </c>
      <c r="M3737">
        <v>30.4017618189337</v>
      </c>
      <c r="N3737">
        <v>53.599002683367303</v>
      </c>
      <c r="O3737">
        <v>52.442320638967402</v>
      </c>
      <c r="P3737">
        <v>-0.11521594014268299</v>
      </c>
      <c r="Q3737">
        <v>0.205025921669826</v>
      </c>
      <c r="R3737">
        <v>0.99053412425967502</v>
      </c>
      <c r="S3737" t="s">
        <v>9320</v>
      </c>
      <c r="T3737" t="s">
        <v>11164</v>
      </c>
      <c r="U3737" t="s">
        <v>11164</v>
      </c>
      <c r="V3737" t="s">
        <v>11164</v>
      </c>
      <c r="W3737" t="s">
        <v>14858</v>
      </c>
      <c r="X3737">
        <v>17</v>
      </c>
      <c r="Y3737" t="s">
        <v>20336</v>
      </c>
      <c r="Z3737" t="s">
        <v>25887</v>
      </c>
      <c r="AA3737">
        <v>0.62515360805757259</v>
      </c>
      <c r="AB3737" t="str">
        <f>HYPERLINK("Melting_Curves/meltCurve_Q86W56_PARG.pdf", "Melting_Curves/meltCurve_Q86W56_PARG.pdf")</f>
        <v>Melting_Curves/meltCurve_Q86W56_PARG.pdf</v>
      </c>
    </row>
    <row r="3738" spans="1:28" x14ac:dyDescent="0.25">
      <c r="A3738" t="s">
        <v>3742</v>
      </c>
      <c r="B3738">
        <v>0.99796759195183404</v>
      </c>
      <c r="C3738">
        <v>0.92778023402932797</v>
      </c>
      <c r="D3738">
        <v>0.93756624325295601</v>
      </c>
      <c r="E3738">
        <v>0.86069037755677003</v>
      </c>
      <c r="F3738">
        <v>0.76380748495189299</v>
      </c>
      <c r="G3738">
        <v>0.41960252978724399</v>
      </c>
      <c r="H3738">
        <v>0.34581848883045002</v>
      </c>
      <c r="I3738">
        <v>0.30687184902209302</v>
      </c>
      <c r="J3738">
        <v>0.34272928946090297</v>
      </c>
      <c r="K3738">
        <v>0.28113093664268501</v>
      </c>
      <c r="L3738">
        <v>1030.9610570222601</v>
      </c>
      <c r="M3738">
        <v>20.238489034766602</v>
      </c>
      <c r="N3738">
        <v>53.202035489568502</v>
      </c>
      <c r="O3738">
        <v>50.451089995675801</v>
      </c>
      <c r="P3738">
        <v>-7.1359442814113896E-2</v>
      </c>
      <c r="Q3738">
        <v>0.28847456899024398</v>
      </c>
      <c r="R3738">
        <v>0.97794871914491599</v>
      </c>
      <c r="S3738" t="s">
        <v>9321</v>
      </c>
      <c r="T3738" t="s">
        <v>11164</v>
      </c>
      <c r="U3738" t="s">
        <v>11164</v>
      </c>
      <c r="V3738" t="s">
        <v>11164</v>
      </c>
      <c r="W3738" t="s">
        <v>14859</v>
      </c>
      <c r="X3738">
        <v>10</v>
      </c>
      <c r="Y3738" t="s">
        <v>20337</v>
      </c>
      <c r="Z3738" t="s">
        <v>25888</v>
      </c>
      <c r="AA3738">
        <v>0.62824858243875503</v>
      </c>
      <c r="AB3738" t="str">
        <f>HYPERLINK("Melting_Curves/meltCurve_Q86W92_4_PPFIBP1.pdf", "Melting_Curves/meltCurve_Q86W92_4_PPFIBP1.pdf")</f>
        <v>Melting_Curves/meltCurve_Q86W92_4_PPFIBP1.pdf</v>
      </c>
    </row>
    <row r="3739" spans="1:28" x14ac:dyDescent="0.25">
      <c r="A3739" t="s">
        <v>3743</v>
      </c>
      <c r="B3739">
        <v>0.99796759195183404</v>
      </c>
      <c r="C3739">
        <v>0.97485480859585305</v>
      </c>
      <c r="D3739">
        <v>0.99354850141052897</v>
      </c>
      <c r="E3739">
        <v>0.99080593586348498</v>
      </c>
      <c r="F3739">
        <v>0.76534562512086901</v>
      </c>
      <c r="G3739">
        <v>0.58111537494003296</v>
      </c>
      <c r="H3739">
        <v>0.32474825296020599</v>
      </c>
      <c r="I3739">
        <v>0.17393645339340499</v>
      </c>
      <c r="J3739">
        <v>0.12514247153934599</v>
      </c>
      <c r="K3739">
        <v>8.3925119495420294E-2</v>
      </c>
      <c r="L3739">
        <v>900.26713495527497</v>
      </c>
      <c r="M3739">
        <v>16.568796805548502</v>
      </c>
      <c r="N3739">
        <v>54.662077315858902</v>
      </c>
      <c r="O3739">
        <v>53.562088764895599</v>
      </c>
      <c r="P3739">
        <v>-7.3690933574631204E-2</v>
      </c>
      <c r="Q3739">
        <v>4.71797128563285E-2</v>
      </c>
      <c r="R3739">
        <v>0.99640273166328697</v>
      </c>
      <c r="S3739" t="s">
        <v>9322</v>
      </c>
      <c r="T3739" t="s">
        <v>11164</v>
      </c>
      <c r="U3739" t="s">
        <v>11164</v>
      </c>
      <c r="V3739" t="s">
        <v>11164</v>
      </c>
      <c r="W3739" t="s">
        <v>14860</v>
      </c>
      <c r="X3739">
        <v>4</v>
      </c>
      <c r="Y3739" t="s">
        <v>20338</v>
      </c>
      <c r="Z3739" t="s">
        <v>25889</v>
      </c>
      <c r="AA3739">
        <v>0.61152222132242195</v>
      </c>
      <c r="AB3739" t="str">
        <f>HYPERLINK("Melting_Curves/meltCurve_Q86WA6_2_BPHL.pdf", "Melting_Curves/meltCurve_Q86WA6_2_BPHL.pdf")</f>
        <v>Melting_Curves/meltCurve_Q86WA6_2_BPHL.pdf</v>
      </c>
    </row>
    <row r="3740" spans="1:28" x14ac:dyDescent="0.25">
      <c r="A3740" t="s">
        <v>3744</v>
      </c>
      <c r="B3740">
        <v>0.99796759195183404</v>
      </c>
      <c r="C3740">
        <v>1.0801604209676601</v>
      </c>
      <c r="D3740">
        <v>1.0707850768904299</v>
      </c>
      <c r="E3740">
        <v>0.894374521416337</v>
      </c>
      <c r="F3740">
        <v>0.61072592899563005</v>
      </c>
      <c r="G3740">
        <v>0.30386710273478201</v>
      </c>
      <c r="H3740">
        <v>0.20962069899635999</v>
      </c>
      <c r="I3740">
        <v>0.167536707823987</v>
      </c>
      <c r="J3740">
        <v>0.11983870632169701</v>
      </c>
      <c r="K3740">
        <v>0.102151257957366</v>
      </c>
      <c r="L3740">
        <v>1187.69736745714</v>
      </c>
      <c r="M3740">
        <v>23.4143175513993</v>
      </c>
      <c r="N3740">
        <v>51.372525792824803</v>
      </c>
      <c r="O3740">
        <v>50.3596016814435</v>
      </c>
      <c r="P3740">
        <v>-0.10138934350765801</v>
      </c>
      <c r="Q3740">
        <v>0.127740968061341</v>
      </c>
      <c r="R3740">
        <v>0.98980182579967901</v>
      </c>
      <c r="S3740" t="s">
        <v>9323</v>
      </c>
      <c r="T3740" t="s">
        <v>11164</v>
      </c>
      <c r="U3740" t="s">
        <v>11164</v>
      </c>
      <c r="V3740" t="s">
        <v>11164</v>
      </c>
      <c r="W3740" t="s">
        <v>14861</v>
      </c>
      <c r="X3740">
        <v>9</v>
      </c>
      <c r="Y3740" t="s">
        <v>20339</v>
      </c>
      <c r="Z3740" t="s">
        <v>25890</v>
      </c>
      <c r="AA3740">
        <v>0.53547709635394647</v>
      </c>
      <c r="AB3740" t="str">
        <f>HYPERLINK("Melting_Curves/meltCurve_Q86WJ1_2_CHD1L.pdf", "Melting_Curves/meltCurve_Q86WJ1_2_CHD1L.pdf")</f>
        <v>Melting_Curves/meltCurve_Q86WJ1_2_CHD1L.pdf</v>
      </c>
    </row>
    <row r="3741" spans="1:28" x14ac:dyDescent="0.25">
      <c r="A3741" t="s">
        <v>3745</v>
      </c>
      <c r="B3741">
        <v>0.99796759195183404</v>
      </c>
      <c r="C3741">
        <v>0.98820497445867705</v>
      </c>
      <c r="D3741">
        <v>0.92818630394642199</v>
      </c>
      <c r="E3741">
        <v>0.89545989337932197</v>
      </c>
      <c r="F3741">
        <v>0.80287742525625705</v>
      </c>
      <c r="G3741">
        <v>0.59430937128788397</v>
      </c>
      <c r="H3741">
        <v>0.37144544129325602</v>
      </c>
      <c r="I3741">
        <v>0.26826796115655499</v>
      </c>
      <c r="J3741">
        <v>0.23850017226270301</v>
      </c>
      <c r="K3741">
        <v>0.19297481139394901</v>
      </c>
      <c r="L3741">
        <v>760.362510889492</v>
      </c>
      <c r="M3741">
        <v>14.087961695263701</v>
      </c>
      <c r="N3741">
        <v>55.238366646387497</v>
      </c>
      <c r="O3741">
        <v>52.919912547676503</v>
      </c>
      <c r="P3741">
        <v>-5.7379270528269001E-2</v>
      </c>
      <c r="Q3741">
        <v>0.13795508942663101</v>
      </c>
      <c r="R3741">
        <v>0.99516758538015904</v>
      </c>
      <c r="S3741" t="s">
        <v>9324</v>
      </c>
      <c r="T3741" t="s">
        <v>11164</v>
      </c>
      <c r="U3741" t="s">
        <v>11164</v>
      </c>
      <c r="V3741" t="s">
        <v>11164</v>
      </c>
      <c r="W3741" t="s">
        <v>14862</v>
      </c>
      <c r="X3741">
        <v>6</v>
      </c>
      <c r="Y3741" t="s">
        <v>20340</v>
      </c>
      <c r="Z3741" t="s">
        <v>25891</v>
      </c>
      <c r="AA3741">
        <v>0.64025144728598371</v>
      </c>
      <c r="AB3741" t="str">
        <f>HYPERLINK("Melting_Curves/meltCurve_Q86WQ0_NR2C2AP.pdf", "Melting_Curves/meltCurve_Q86WQ0_NR2C2AP.pdf")</f>
        <v>Melting_Curves/meltCurve_Q86WQ0_NR2C2AP.pdf</v>
      </c>
    </row>
    <row r="3742" spans="1:28" x14ac:dyDescent="0.25">
      <c r="A3742" t="s">
        <v>3746</v>
      </c>
      <c r="B3742">
        <v>0.99796759195183404</v>
      </c>
      <c r="C3742">
        <v>0.91213990591512994</v>
      </c>
      <c r="D3742">
        <v>0.97600648654231603</v>
      </c>
      <c r="E3742">
        <v>0.89852420002270905</v>
      </c>
      <c r="F3742">
        <v>0.74477396674232599</v>
      </c>
      <c r="G3742">
        <v>0.42784761960572798</v>
      </c>
      <c r="H3742">
        <v>0.22385515957274901</v>
      </c>
      <c r="I3742">
        <v>0.194754804992398</v>
      </c>
      <c r="J3742">
        <v>0.16536049185191401</v>
      </c>
      <c r="K3742">
        <v>0.15813789790421701</v>
      </c>
      <c r="L3742">
        <v>1079.9855920279099</v>
      </c>
      <c r="M3742">
        <v>20.7813712327867</v>
      </c>
      <c r="N3742">
        <v>52.843854678480398</v>
      </c>
      <c r="O3742">
        <v>51.4948884547915</v>
      </c>
      <c r="P3742">
        <v>-8.6207100091861097E-2</v>
      </c>
      <c r="Q3742">
        <v>0.14556156869154499</v>
      </c>
      <c r="R3742">
        <v>0.99188409217718598</v>
      </c>
      <c r="S3742" t="s">
        <v>9325</v>
      </c>
      <c r="T3742" t="s">
        <v>11164</v>
      </c>
      <c r="U3742" t="s">
        <v>11164</v>
      </c>
      <c r="V3742" t="s">
        <v>11164</v>
      </c>
      <c r="W3742" t="s">
        <v>14863</v>
      </c>
      <c r="X3742">
        <v>5</v>
      </c>
      <c r="Y3742" t="s">
        <v>20341</v>
      </c>
      <c r="Z3742" t="s">
        <v>25892</v>
      </c>
      <c r="AA3742">
        <v>0.58228312650899239</v>
      </c>
      <c r="AB3742" t="str">
        <f>HYPERLINK("Melting_Curves/meltCurve_Q86WR0_CCDC25.pdf", "Melting_Curves/meltCurve_Q86WR0_CCDC25.pdf")</f>
        <v>Melting_Curves/meltCurve_Q86WR0_CCDC25.pdf</v>
      </c>
    </row>
    <row r="3743" spans="1:28" x14ac:dyDescent="0.25">
      <c r="A3743" t="s">
        <v>3747</v>
      </c>
      <c r="B3743">
        <v>0.99796759195183404</v>
      </c>
      <c r="C3743">
        <v>0.98176882967991996</v>
      </c>
      <c r="D3743">
        <v>0.88774279671641199</v>
      </c>
      <c r="E3743">
        <v>0.90160236741446698</v>
      </c>
      <c r="F3743">
        <v>0.70774848976513904</v>
      </c>
      <c r="G3743">
        <v>0.35273918150838102</v>
      </c>
      <c r="H3743">
        <v>0.23013709472953101</v>
      </c>
      <c r="I3743">
        <v>0.17243069183305801</v>
      </c>
      <c r="J3743">
        <v>0.164948255633383</v>
      </c>
      <c r="K3743">
        <v>0.18424250203234099</v>
      </c>
      <c r="L3743">
        <v>1131.8897249254201</v>
      </c>
      <c r="M3743">
        <v>22.0826874134377</v>
      </c>
      <c r="N3743">
        <v>52.154474860842797</v>
      </c>
      <c r="O3743">
        <v>50.842097549383404</v>
      </c>
      <c r="P3743">
        <v>-9.1420964822696404E-2</v>
      </c>
      <c r="Q3743">
        <v>0.158085913411984</v>
      </c>
      <c r="R3743">
        <v>0.98946697169405895</v>
      </c>
      <c r="S3743" t="s">
        <v>9326</v>
      </c>
      <c r="T3743" t="s">
        <v>11164</v>
      </c>
      <c r="U3743" t="s">
        <v>11164</v>
      </c>
      <c r="V3743" t="s">
        <v>11164</v>
      </c>
      <c r="W3743" t="s">
        <v>14864</v>
      </c>
      <c r="X3743">
        <v>7</v>
      </c>
      <c r="Y3743" t="s">
        <v>20342</v>
      </c>
      <c r="Z3743" t="s">
        <v>25893</v>
      </c>
      <c r="AA3743">
        <v>0.56748414865169372</v>
      </c>
      <c r="AB3743" t="str">
        <f>HYPERLINK("Melting_Curves/meltCurve_Q86WR7_PROSER2.pdf", "Melting_Curves/meltCurve_Q86WR7_PROSER2.pdf")</f>
        <v>Melting_Curves/meltCurve_Q86WR7_PROSER2.pdf</v>
      </c>
    </row>
    <row r="3744" spans="1:28" x14ac:dyDescent="0.25">
      <c r="A3744" t="s">
        <v>3748</v>
      </c>
      <c r="B3744">
        <v>0.99796759195183404</v>
      </c>
      <c r="C3744">
        <v>1.0451213298790201</v>
      </c>
      <c r="D3744">
        <v>1.0004856181721899</v>
      </c>
      <c r="E3744">
        <v>1.1106103888432</v>
      </c>
      <c r="F3744">
        <v>0.85490502680791802</v>
      </c>
      <c r="G3744">
        <v>0.56813122709124497</v>
      </c>
      <c r="H3744">
        <v>0.27069834889494598</v>
      </c>
      <c r="I3744">
        <v>0.274948664720291</v>
      </c>
      <c r="J3744">
        <v>5.8691807246956801E-2</v>
      </c>
      <c r="K3744">
        <v>3.5215390081107002E-2</v>
      </c>
      <c r="L3744">
        <v>1150.4750192096201</v>
      </c>
      <c r="M3744">
        <v>21.135128349153799</v>
      </c>
      <c r="N3744">
        <v>54.785031512736502</v>
      </c>
      <c r="O3744">
        <v>53.953968014949297</v>
      </c>
      <c r="P3744">
        <v>-9.1736263005045199E-2</v>
      </c>
      <c r="Q3744">
        <v>6.3283494505834495E-2</v>
      </c>
      <c r="R3744">
        <v>0.97513479779010803</v>
      </c>
      <c r="S3744" t="s">
        <v>9327</v>
      </c>
      <c r="T3744" t="s">
        <v>11164</v>
      </c>
      <c r="U3744" t="s">
        <v>11164</v>
      </c>
      <c r="V3744" t="s">
        <v>11164</v>
      </c>
      <c r="W3744" t="s">
        <v>14865</v>
      </c>
      <c r="X3744">
        <v>1</v>
      </c>
      <c r="Y3744" t="s">
        <v>20343</v>
      </c>
      <c r="Z3744" t="s">
        <v>25894</v>
      </c>
      <c r="AA3744">
        <v>0.61796369394143824</v>
      </c>
      <c r="AB3744" t="str">
        <f>HYPERLINK("Melting_Curves/meltCurve_Q86WV6_TMEM173.pdf", "Melting_Curves/meltCurve_Q86WV6_TMEM173.pdf")</f>
        <v>Melting_Curves/meltCurve_Q86WV6_TMEM173.pdf</v>
      </c>
    </row>
    <row r="3745" spans="1:28" x14ac:dyDescent="0.25">
      <c r="A3745" t="s">
        <v>3749</v>
      </c>
      <c r="B3745">
        <v>0.99796759195183404</v>
      </c>
      <c r="C3745">
        <v>1.05937770837312</v>
      </c>
      <c r="D3745">
        <v>0.97423790636711205</v>
      </c>
      <c r="E3745">
        <v>0.96693576690499305</v>
      </c>
      <c r="F3745">
        <v>0.93161575034567201</v>
      </c>
      <c r="G3745">
        <v>0.65218242194543496</v>
      </c>
      <c r="H3745">
        <v>0.66488155313101704</v>
      </c>
      <c r="I3745">
        <v>0.49876311376571297</v>
      </c>
      <c r="J3745">
        <v>0.51234700261508903</v>
      </c>
      <c r="K3745">
        <v>0.45788794555142598</v>
      </c>
      <c r="L3745">
        <v>969.88891693716698</v>
      </c>
      <c r="M3745">
        <v>18.0563665435483</v>
      </c>
      <c r="N3745">
        <v>63.175423379448702</v>
      </c>
      <c r="O3745">
        <v>53.068685958829398</v>
      </c>
      <c r="P3745">
        <v>-4.5379611439153603E-2</v>
      </c>
      <c r="Q3745">
        <v>0.46653315324938299</v>
      </c>
      <c r="R3745">
        <v>0.96257906733007803</v>
      </c>
      <c r="S3745" t="s">
        <v>9328</v>
      </c>
      <c r="T3745" t="s">
        <v>11164</v>
      </c>
      <c r="U3745" t="s">
        <v>11164</v>
      </c>
      <c r="V3745" t="s">
        <v>11164</v>
      </c>
      <c r="W3745" t="s">
        <v>14866</v>
      </c>
      <c r="X3745">
        <v>3</v>
      </c>
      <c r="Y3745" t="s">
        <v>20344</v>
      </c>
      <c r="Z3745" t="s">
        <v>25895</v>
      </c>
      <c r="AA3745">
        <v>0.77118482236540409</v>
      </c>
      <c r="AB3745" t="str">
        <f>HYPERLINK("Melting_Curves/meltCurve_Q86WV7_CCDC43.pdf", "Melting_Curves/meltCurve_Q86WV7_CCDC43.pdf")</f>
        <v>Melting_Curves/meltCurve_Q86WV7_CCDC43.pdf</v>
      </c>
    </row>
    <row r="3746" spans="1:28" x14ac:dyDescent="0.25">
      <c r="A3746" t="s">
        <v>3750</v>
      </c>
      <c r="B3746">
        <v>0.99796759195183404</v>
      </c>
      <c r="C3746">
        <v>1.0077935184404001</v>
      </c>
      <c r="D3746">
        <v>0.92880929700452397</v>
      </c>
      <c r="E3746">
        <v>0.87795986450443597</v>
      </c>
      <c r="F3746">
        <v>0.93132492344392603</v>
      </c>
      <c r="G3746">
        <v>0.56727291226203702</v>
      </c>
      <c r="H3746">
        <v>0.33703650748152703</v>
      </c>
      <c r="I3746">
        <v>0.306199426617207</v>
      </c>
      <c r="J3746">
        <v>0.19519283070802601</v>
      </c>
      <c r="K3746">
        <v>0.150352220109982</v>
      </c>
      <c r="L3746">
        <v>1092.6796933124101</v>
      </c>
      <c r="M3746">
        <v>20.229344210141399</v>
      </c>
      <c r="N3746">
        <v>55.116661261945602</v>
      </c>
      <c r="O3746">
        <v>53.495063229220101</v>
      </c>
      <c r="P3746">
        <v>-7.8815059957272796E-2</v>
      </c>
      <c r="Q3746">
        <v>0.16634264226412501</v>
      </c>
      <c r="R3746">
        <v>0.97731776148778304</v>
      </c>
      <c r="S3746" t="s">
        <v>9329</v>
      </c>
      <c r="T3746" t="s">
        <v>11164</v>
      </c>
      <c r="U3746" t="s">
        <v>11164</v>
      </c>
      <c r="V3746" t="s">
        <v>11164</v>
      </c>
      <c r="W3746" t="s">
        <v>14867</v>
      </c>
      <c r="X3746">
        <v>5</v>
      </c>
      <c r="Y3746" t="s">
        <v>20345</v>
      </c>
      <c r="Z3746" t="s">
        <v>25896</v>
      </c>
      <c r="AA3746">
        <v>0.64908029799765798</v>
      </c>
      <c r="AB3746" t="str">
        <f>HYPERLINK("Melting_Curves/meltCurve_Q86X02_CDR2L.pdf", "Melting_Curves/meltCurve_Q86X02_CDR2L.pdf")</f>
        <v>Melting_Curves/meltCurve_Q86X02_CDR2L.pdf</v>
      </c>
    </row>
    <row r="3747" spans="1:28" x14ac:dyDescent="0.25">
      <c r="A3747" t="s">
        <v>3751</v>
      </c>
      <c r="B3747">
        <v>0.99796759195183404</v>
      </c>
      <c r="C3747">
        <v>1.03381158701857</v>
      </c>
      <c r="D3747">
        <v>1.0137993418637601</v>
      </c>
      <c r="E3747">
        <v>0.97863066522287701</v>
      </c>
      <c r="F3747">
        <v>0.84299790350638903</v>
      </c>
      <c r="G3747">
        <v>0.54264923987349201</v>
      </c>
      <c r="H3747">
        <v>0.25805722022713301</v>
      </c>
      <c r="I3747">
        <v>0.16275729624160801</v>
      </c>
      <c r="J3747">
        <v>0.13459648382025599</v>
      </c>
      <c r="K3747">
        <v>6.6441778612014502E-2</v>
      </c>
      <c r="L3747">
        <v>1190.4162625441099</v>
      </c>
      <c r="M3747">
        <v>22.129713492300201</v>
      </c>
      <c r="N3747">
        <v>54.251524481900397</v>
      </c>
      <c r="O3747">
        <v>53.359188169888697</v>
      </c>
      <c r="P3747">
        <v>-9.4835524831464096E-2</v>
      </c>
      <c r="Q3747">
        <v>8.5349976702967303E-2</v>
      </c>
      <c r="R3747">
        <v>0.99781305969740997</v>
      </c>
      <c r="S3747" t="s">
        <v>9330</v>
      </c>
      <c r="T3747" t="s">
        <v>11164</v>
      </c>
      <c r="U3747" t="s">
        <v>11164</v>
      </c>
      <c r="V3747" t="s">
        <v>11164</v>
      </c>
      <c r="W3747" t="s">
        <v>14868</v>
      </c>
      <c r="X3747">
        <v>5</v>
      </c>
      <c r="Y3747" t="s">
        <v>20346</v>
      </c>
      <c r="Z3747" t="s">
        <v>25897</v>
      </c>
      <c r="AA3747">
        <v>0.60702501642764239</v>
      </c>
      <c r="AB3747" t="str">
        <f>HYPERLINK("Melting_Curves/meltCurve_Q86X27_RALGPS2.pdf", "Melting_Curves/meltCurve_Q86X27_RALGPS2.pdf")</f>
        <v>Melting_Curves/meltCurve_Q86X27_RALGPS2.pdf</v>
      </c>
    </row>
    <row r="3748" spans="1:28" x14ac:dyDescent="0.25">
      <c r="A3748" t="s">
        <v>3752</v>
      </c>
      <c r="B3748">
        <v>0.99796759195183404</v>
      </c>
      <c r="C3748">
        <v>0.99098066399954399</v>
      </c>
      <c r="D3748">
        <v>0.94939811670651197</v>
      </c>
      <c r="E3748">
        <v>0.790997358928481</v>
      </c>
      <c r="F3748">
        <v>0.63251735065707604</v>
      </c>
      <c r="G3748">
        <v>0.41368383355489602</v>
      </c>
      <c r="H3748">
        <v>0.357795844292701</v>
      </c>
      <c r="I3748">
        <v>0.31624606762671498</v>
      </c>
      <c r="J3748">
        <v>0.236830316473988</v>
      </c>
      <c r="K3748">
        <v>0.16816486945637901</v>
      </c>
      <c r="L3748">
        <v>641.63527272562305</v>
      </c>
      <c r="M3748">
        <v>12.604396589034801</v>
      </c>
      <c r="N3748">
        <v>52.713728351115797</v>
      </c>
      <c r="O3748">
        <v>49.675275509885097</v>
      </c>
      <c r="P3748">
        <v>-5.2311659883847499E-2</v>
      </c>
      <c r="Q3748">
        <v>0.17550054124261</v>
      </c>
      <c r="R3748">
        <v>0.99202711319788806</v>
      </c>
      <c r="S3748" t="s">
        <v>9331</v>
      </c>
      <c r="T3748" t="s">
        <v>11164</v>
      </c>
      <c r="U3748" t="s">
        <v>11164</v>
      </c>
      <c r="V3748" t="s">
        <v>11164</v>
      </c>
      <c r="W3748" t="s">
        <v>14869</v>
      </c>
      <c r="X3748">
        <v>4</v>
      </c>
      <c r="Y3748" t="s">
        <v>20347</v>
      </c>
      <c r="Z3748" t="s">
        <v>25898</v>
      </c>
      <c r="AA3748">
        <v>0.57821834545451811</v>
      </c>
      <c r="AB3748" t="str">
        <f>HYPERLINK("Melting_Curves/meltCurve_Q86X53_ERICH1.pdf", "Melting_Curves/meltCurve_Q86X53_ERICH1.pdf")</f>
        <v>Melting_Curves/meltCurve_Q86X53_ERICH1.pdf</v>
      </c>
    </row>
    <row r="3749" spans="1:28" x14ac:dyDescent="0.25">
      <c r="A3749" t="s">
        <v>3753</v>
      </c>
      <c r="B3749">
        <v>0.99796759195183404</v>
      </c>
      <c r="C3749">
        <v>0.99412160049857001</v>
      </c>
      <c r="D3749">
        <v>0.96302303643336995</v>
      </c>
      <c r="E3749">
        <v>0.94284728675561402</v>
      </c>
      <c r="F3749">
        <v>0.93868358526853402</v>
      </c>
      <c r="G3749">
        <v>1.31144504569464</v>
      </c>
      <c r="H3749">
        <v>0.92356724164256798</v>
      </c>
      <c r="I3749">
        <v>0.77995552571302895</v>
      </c>
      <c r="J3749">
        <v>0.22599846078841801</v>
      </c>
      <c r="K3749">
        <v>0.167790274105483</v>
      </c>
      <c r="L3749">
        <v>4252.8042472379002</v>
      </c>
      <c r="M3749">
        <v>68.703571170619796</v>
      </c>
      <c r="N3749">
        <v>62.247110230721802</v>
      </c>
      <c r="O3749">
        <v>61.848391954429999</v>
      </c>
      <c r="P3749">
        <v>-0.23359637594904301</v>
      </c>
      <c r="Q3749">
        <v>0.15884682488447199</v>
      </c>
      <c r="R3749">
        <v>0.90311721814533197</v>
      </c>
      <c r="S3749" t="s">
        <v>9332</v>
      </c>
      <c r="T3749" t="s">
        <v>11164</v>
      </c>
      <c r="U3749" t="s">
        <v>11164</v>
      </c>
      <c r="V3749" t="s">
        <v>11164</v>
      </c>
      <c r="W3749" t="s">
        <v>14870</v>
      </c>
      <c r="X3749">
        <v>11</v>
      </c>
      <c r="Y3749" t="s">
        <v>20348</v>
      </c>
      <c r="Z3749" t="s">
        <v>25899</v>
      </c>
      <c r="AA3749">
        <v>0.85807547261631456</v>
      </c>
      <c r="AB3749" t="str">
        <f>HYPERLINK("Melting_Curves/meltCurve_Q86X55_1_CARM1.pdf", "Melting_Curves/meltCurve_Q86X55_1_CARM1.pdf")</f>
        <v>Melting_Curves/meltCurve_Q86X55_1_CARM1.pdf</v>
      </c>
    </row>
    <row r="3750" spans="1:28" x14ac:dyDescent="0.25">
      <c r="A3750" t="s">
        <v>3754</v>
      </c>
      <c r="B3750">
        <v>0.99796759195183404</v>
      </c>
      <c r="C3750">
        <v>1.0772861526353199</v>
      </c>
      <c r="D3750">
        <v>0.99821195800927898</v>
      </c>
      <c r="E3750">
        <v>0.94589896280903796</v>
      </c>
      <c r="F3750">
        <v>0.93382329641322803</v>
      </c>
      <c r="G3750">
        <v>0.80494513724586503</v>
      </c>
      <c r="H3750">
        <v>0.75673486623709996</v>
      </c>
      <c r="I3750">
        <v>0.67577253461412701</v>
      </c>
      <c r="J3750">
        <v>0.92916671585838695</v>
      </c>
      <c r="K3750">
        <v>0.851444098871183</v>
      </c>
      <c r="L3750">
        <v>2709.4222618850899</v>
      </c>
      <c r="M3750">
        <v>53.364005744600703</v>
      </c>
      <c r="O3750">
        <v>50.701318057100004</v>
      </c>
      <c r="P3750">
        <v>-5.2125923212229003E-2</v>
      </c>
      <c r="Q3750">
        <v>0.80190008480436803</v>
      </c>
      <c r="R3750">
        <v>0.668142329490647</v>
      </c>
      <c r="S3750" t="s">
        <v>9333</v>
      </c>
      <c r="T3750" t="s">
        <v>11164</v>
      </c>
      <c r="U3750" t="s">
        <v>11164</v>
      </c>
      <c r="V3750" t="s">
        <v>11164</v>
      </c>
      <c r="W3750" t="s">
        <v>14871</v>
      </c>
      <c r="X3750">
        <v>7</v>
      </c>
      <c r="Y3750" t="s">
        <v>20349</v>
      </c>
      <c r="Z3750" t="s">
        <v>25900</v>
      </c>
      <c r="AA3750">
        <v>0.89323343638219554</v>
      </c>
      <c r="AB3750" t="str">
        <f>HYPERLINK("Melting_Curves/meltCurve_Q86X76_2_NIT1.pdf", "Melting_Curves/meltCurve_Q86X76_2_NIT1.pdf")</f>
        <v>Melting_Curves/meltCurve_Q86X76_2_NIT1.pdf</v>
      </c>
    </row>
    <row r="3751" spans="1:28" x14ac:dyDescent="0.25">
      <c r="A3751" t="s">
        <v>3755</v>
      </c>
      <c r="B3751">
        <v>0.99796759195183404</v>
      </c>
      <c r="C3751">
        <v>1.16272069586143</v>
      </c>
      <c r="D3751">
        <v>1.0441634440629</v>
      </c>
      <c r="E3751">
        <v>0.82002577540250798</v>
      </c>
      <c r="F3751">
        <v>0.77451964284388997</v>
      </c>
      <c r="G3751">
        <v>0.27660858424875601</v>
      </c>
      <c r="H3751">
        <v>0.138144419259037</v>
      </c>
      <c r="I3751">
        <v>6.2952077887307598E-2</v>
      </c>
      <c r="J3751">
        <v>4.40532760668483E-2</v>
      </c>
      <c r="K3751">
        <v>0</v>
      </c>
      <c r="L3751">
        <v>1205.7057159605999</v>
      </c>
      <c r="M3751">
        <v>23.1868672645972</v>
      </c>
      <c r="N3751">
        <v>52.084569647986399</v>
      </c>
      <c r="O3751">
        <v>51.617366908931402</v>
      </c>
      <c r="P3751">
        <v>-0.110216934478993</v>
      </c>
      <c r="Q3751">
        <v>1.8581683184405302E-2</v>
      </c>
      <c r="R3751">
        <v>0.97353505073819502</v>
      </c>
      <c r="S3751" t="s">
        <v>9334</v>
      </c>
      <c r="T3751" t="s">
        <v>11164</v>
      </c>
      <c r="U3751" t="s">
        <v>11164</v>
      </c>
      <c r="V3751" t="s">
        <v>11164</v>
      </c>
      <c r="W3751" t="s">
        <v>14872</v>
      </c>
      <c r="X3751">
        <v>3</v>
      </c>
      <c r="Y3751" t="s">
        <v>20350</v>
      </c>
      <c r="Z3751" t="s">
        <v>25901</v>
      </c>
      <c r="AA3751">
        <v>0.51920445724270337</v>
      </c>
      <c r="AB3751" t="str">
        <f>HYPERLINK("Melting_Curves/meltCurve_Q86X83_COMMD2.pdf", "Melting_Curves/meltCurve_Q86X83_COMMD2.pdf")</f>
        <v>Melting_Curves/meltCurve_Q86X83_COMMD2.pdf</v>
      </c>
    </row>
    <row r="3752" spans="1:28" x14ac:dyDescent="0.25">
      <c r="A3752" t="s">
        <v>3756</v>
      </c>
      <c r="B3752">
        <v>0.99796759195183404</v>
      </c>
      <c r="C3752">
        <v>1.03898689065157</v>
      </c>
      <c r="D3752">
        <v>0.95819559935537002</v>
      </c>
      <c r="E3752">
        <v>0.97803154471046505</v>
      </c>
      <c r="F3752">
        <v>0.71310039991188401</v>
      </c>
      <c r="G3752">
        <v>0.21044785666024499</v>
      </c>
      <c r="H3752">
        <v>0.144301918976179</v>
      </c>
      <c r="I3752">
        <v>0.13274828742915601</v>
      </c>
      <c r="J3752">
        <v>8.2588236906131901E-2</v>
      </c>
      <c r="K3752">
        <v>7.3380676394639105E-2</v>
      </c>
      <c r="L3752">
        <v>1982.08079687548</v>
      </c>
      <c r="M3752">
        <v>38.742871080326303</v>
      </c>
      <c r="N3752">
        <v>51.465017437451202</v>
      </c>
      <c r="O3752">
        <v>51.024150712187797</v>
      </c>
      <c r="P3752">
        <v>-0.170348148017545</v>
      </c>
      <c r="Q3752">
        <v>0.102611745536429</v>
      </c>
      <c r="R3752">
        <v>0.99637191783532097</v>
      </c>
      <c r="S3752" t="s">
        <v>9335</v>
      </c>
      <c r="T3752" t="s">
        <v>11164</v>
      </c>
      <c r="U3752" t="s">
        <v>11164</v>
      </c>
      <c r="V3752" t="s">
        <v>11164</v>
      </c>
      <c r="W3752" t="s">
        <v>14873</v>
      </c>
      <c r="X3752">
        <v>3</v>
      </c>
      <c r="Y3752" t="s">
        <v>20351</v>
      </c>
      <c r="Z3752" t="s">
        <v>25902</v>
      </c>
      <c r="AA3752">
        <v>0.52955358116201168</v>
      </c>
      <c r="AB3752" t="str">
        <f>HYPERLINK("Melting_Curves/meltCurve_Q86XK3_3_SFR1.pdf", "Melting_Curves/meltCurve_Q86XK3_3_SFR1.pdf")</f>
        <v>Melting_Curves/meltCurve_Q86XK3_3_SFR1.pdf</v>
      </c>
    </row>
    <row r="3753" spans="1:28" x14ac:dyDescent="0.25">
      <c r="A3753" t="s">
        <v>3757</v>
      </c>
      <c r="B3753">
        <v>0.99796759195183404</v>
      </c>
      <c r="C3753">
        <v>0.96843079351966299</v>
      </c>
      <c r="D3753">
        <v>0.96818903702474002</v>
      </c>
      <c r="E3753">
        <v>0.91285586670621699</v>
      </c>
      <c r="F3753">
        <v>0.69406426488024497</v>
      </c>
      <c r="G3753">
        <v>0.211866036525719</v>
      </c>
      <c r="H3753">
        <v>0.17801291590311</v>
      </c>
      <c r="I3753">
        <v>0.149232132491361</v>
      </c>
      <c r="J3753">
        <v>0.122122149595749</v>
      </c>
      <c r="K3753">
        <v>9.4907452747881899E-2</v>
      </c>
      <c r="L3753">
        <v>1768.72023176634</v>
      </c>
      <c r="M3753">
        <v>34.721095472458501</v>
      </c>
      <c r="N3753">
        <v>51.366827007754402</v>
      </c>
      <c r="O3753">
        <v>50.772705956955903</v>
      </c>
      <c r="P3753">
        <v>-0.14957465757316599</v>
      </c>
      <c r="Q3753">
        <v>0.125110300754041</v>
      </c>
      <c r="R3753">
        <v>0.99398469244985999</v>
      </c>
      <c r="S3753" t="s">
        <v>9336</v>
      </c>
      <c r="T3753" t="s">
        <v>11164</v>
      </c>
      <c r="U3753" t="s">
        <v>11164</v>
      </c>
      <c r="V3753" t="s">
        <v>11164</v>
      </c>
      <c r="W3753" t="s">
        <v>14874</v>
      </c>
      <c r="X3753">
        <v>28</v>
      </c>
      <c r="Y3753" t="s">
        <v>20352</v>
      </c>
      <c r="Z3753" t="s">
        <v>25903</v>
      </c>
      <c r="AA3753">
        <v>0.5357478814850164</v>
      </c>
      <c r="AB3753" t="str">
        <f>HYPERLINK("Melting_Curves/meltCurve_Q86XP3_DDX42.pdf", "Melting_Curves/meltCurve_Q86XP3_DDX42.pdf")</f>
        <v>Melting_Curves/meltCurve_Q86XP3_DDX42.pdf</v>
      </c>
    </row>
    <row r="3754" spans="1:28" x14ac:dyDescent="0.25">
      <c r="A3754" t="s">
        <v>3758</v>
      </c>
      <c r="B3754">
        <v>0.99796759195183404</v>
      </c>
      <c r="C3754">
        <v>1.31941662109999</v>
      </c>
      <c r="D3754">
        <v>1.11456721142367</v>
      </c>
      <c r="E3754">
        <v>0.96861010881254495</v>
      </c>
      <c r="F3754">
        <v>0.64088329868715399</v>
      </c>
      <c r="G3754">
        <v>0.248213977454353</v>
      </c>
      <c r="H3754">
        <v>0.196440475637294</v>
      </c>
      <c r="I3754">
        <v>0.15801128579873899</v>
      </c>
      <c r="J3754">
        <v>0.12759018252367901</v>
      </c>
      <c r="K3754">
        <v>8.3745580463936597E-2</v>
      </c>
      <c r="L3754">
        <v>1676.7537975017899</v>
      </c>
      <c r="M3754">
        <v>33.027304240958003</v>
      </c>
      <c r="N3754">
        <v>51.254517857806398</v>
      </c>
      <c r="O3754">
        <v>50.583687426701502</v>
      </c>
      <c r="P3754">
        <v>-0.14129505393035799</v>
      </c>
      <c r="Q3754">
        <v>0.13438998808375999</v>
      </c>
      <c r="R3754">
        <v>0.94098024190451002</v>
      </c>
      <c r="S3754" t="s">
        <v>9337</v>
      </c>
      <c r="T3754" t="s">
        <v>11164</v>
      </c>
      <c r="U3754" t="s">
        <v>11164</v>
      </c>
      <c r="V3754" t="s">
        <v>11164</v>
      </c>
      <c r="W3754" t="s">
        <v>14875</v>
      </c>
      <c r="X3754">
        <v>6</v>
      </c>
      <c r="Y3754" t="s">
        <v>20353</v>
      </c>
      <c r="Z3754" t="s">
        <v>25904</v>
      </c>
      <c r="AA3754">
        <v>0.53611545979672792</v>
      </c>
      <c r="AB3754" t="str">
        <f>HYPERLINK("Melting_Curves/meltCurve_Q86Y37_CACUL1.pdf", "Melting_Curves/meltCurve_Q86Y37_CACUL1.pdf")</f>
        <v>Melting_Curves/meltCurve_Q86Y37_CACUL1.pdf</v>
      </c>
    </row>
    <row r="3755" spans="1:28" x14ac:dyDescent="0.25">
      <c r="A3755" t="s">
        <v>3759</v>
      </c>
      <c r="B3755">
        <v>0.99796759195183404</v>
      </c>
      <c r="C3755">
        <v>1.0017915543731899</v>
      </c>
      <c r="D3755">
        <v>0.97942413738214795</v>
      </c>
      <c r="E3755">
        <v>0.93372910917566798</v>
      </c>
      <c r="F3755">
        <v>0.414429656947986</v>
      </c>
      <c r="G3755">
        <v>0.18827913083406</v>
      </c>
      <c r="H3755">
        <v>0.15420962449623299</v>
      </c>
      <c r="I3755">
        <v>0.117609542950367</v>
      </c>
      <c r="J3755">
        <v>9.7271305973406497E-2</v>
      </c>
      <c r="K3755">
        <v>7.8596353990549594E-2</v>
      </c>
      <c r="L3755">
        <v>1852.9592199548799</v>
      </c>
      <c r="M3755">
        <v>37.519732932829598</v>
      </c>
      <c r="N3755">
        <v>49.738150192344598</v>
      </c>
      <c r="O3755">
        <v>49.246571932760901</v>
      </c>
      <c r="P3755">
        <v>-0.168266404729735</v>
      </c>
      <c r="Q3755">
        <v>0.116568917272831</v>
      </c>
      <c r="R3755">
        <v>0.99704020033682395</v>
      </c>
      <c r="S3755" t="s">
        <v>9338</v>
      </c>
      <c r="T3755" t="s">
        <v>11164</v>
      </c>
      <c r="U3755" t="s">
        <v>11164</v>
      </c>
      <c r="V3755" t="s">
        <v>11164</v>
      </c>
      <c r="W3755" t="s">
        <v>14876</v>
      </c>
      <c r="X3755">
        <v>23</v>
      </c>
      <c r="Y3755" t="s">
        <v>20354</v>
      </c>
      <c r="Z3755" t="s">
        <v>25905</v>
      </c>
      <c r="AA3755">
        <v>0.48474468788626768</v>
      </c>
      <c r="AB3755" t="str">
        <f>HYPERLINK("Melting_Curves/meltCurve_Q86Y56_HEATR2.pdf", "Melting_Curves/meltCurve_Q86Y56_HEATR2.pdf")</f>
        <v>Melting_Curves/meltCurve_Q86Y56_HEATR2.pdf</v>
      </c>
    </row>
    <row r="3756" spans="1:28" x14ac:dyDescent="0.25">
      <c r="A3756" t="s">
        <v>3760</v>
      </c>
      <c r="B3756">
        <v>0.99796759195183404</v>
      </c>
      <c r="C3756">
        <v>1.1899656443870701</v>
      </c>
      <c r="D3756">
        <v>1.1586426798357199</v>
      </c>
      <c r="E3756">
        <v>0.99941233062924095</v>
      </c>
      <c r="F3756">
        <v>1.10194577318725</v>
      </c>
      <c r="G3756">
        <v>0.63302076029403798</v>
      </c>
      <c r="H3756">
        <v>0.64190114672519605</v>
      </c>
      <c r="I3756">
        <v>0.50053245727953599</v>
      </c>
      <c r="J3756">
        <v>0.73058751847137304</v>
      </c>
      <c r="K3756">
        <v>0.60823173993356106</v>
      </c>
      <c r="L3756">
        <v>13269.0756444256</v>
      </c>
      <c r="M3756">
        <v>250</v>
      </c>
      <c r="O3756">
        <v>53.072898222834503</v>
      </c>
      <c r="P3756">
        <v>-0.44712934758473599</v>
      </c>
      <c r="Q3756">
        <v>0.62031273863663905</v>
      </c>
      <c r="R3756">
        <v>0.83629957713973402</v>
      </c>
      <c r="S3756" t="s">
        <v>9339</v>
      </c>
      <c r="T3756" t="s">
        <v>11164</v>
      </c>
      <c r="U3756" t="s">
        <v>11164</v>
      </c>
      <c r="V3756" t="s">
        <v>11164</v>
      </c>
      <c r="W3756" t="s">
        <v>14877</v>
      </c>
      <c r="X3756">
        <v>6</v>
      </c>
      <c r="Y3756" t="s">
        <v>20355</v>
      </c>
      <c r="Z3756" t="s">
        <v>25906</v>
      </c>
      <c r="AA3756">
        <v>0.82381368239714281</v>
      </c>
      <c r="AB3756" t="str">
        <f>HYPERLINK("Melting_Curves/meltCurve_Q86Y82_STX12.pdf", "Melting_Curves/meltCurve_Q86Y82_STX12.pdf")</f>
        <v>Melting_Curves/meltCurve_Q86Y82_STX12.pdf</v>
      </c>
    </row>
    <row r="3757" spans="1:28" x14ac:dyDescent="0.25">
      <c r="A3757" t="s">
        <v>3761</v>
      </c>
      <c r="B3757">
        <v>0.99796759195183404</v>
      </c>
      <c r="C3757">
        <v>1.0044069046063799</v>
      </c>
      <c r="D3757">
        <v>0.80529655363603003</v>
      </c>
      <c r="E3757">
        <v>0.82844645594036903</v>
      </c>
      <c r="F3757">
        <v>0.74417936023551801</v>
      </c>
      <c r="G3757">
        <v>0.38520742515053802</v>
      </c>
      <c r="H3757">
        <v>0.22144908926774401</v>
      </c>
      <c r="I3757">
        <v>0.171502674132472</v>
      </c>
      <c r="J3757">
        <v>6.6926243271416899E-2</v>
      </c>
      <c r="K3757">
        <v>4.8714547204202298E-2</v>
      </c>
      <c r="L3757">
        <v>680.18146148552796</v>
      </c>
      <c r="M3757">
        <v>12.944223417188001</v>
      </c>
      <c r="N3757">
        <v>52.547113674903201</v>
      </c>
      <c r="O3757">
        <v>51.340377294661202</v>
      </c>
      <c r="P3757">
        <v>-6.3042724320452007E-2</v>
      </c>
      <c r="Q3757">
        <v>0</v>
      </c>
      <c r="R3757">
        <v>0.974871215299977</v>
      </c>
      <c r="S3757" t="s">
        <v>9340</v>
      </c>
      <c r="T3757" t="s">
        <v>11164</v>
      </c>
      <c r="U3757" t="s">
        <v>11164</v>
      </c>
      <c r="V3757" t="s">
        <v>11164</v>
      </c>
      <c r="W3757" t="s">
        <v>14878</v>
      </c>
      <c r="X3757">
        <v>2</v>
      </c>
      <c r="Y3757" t="s">
        <v>20356</v>
      </c>
      <c r="Z3757" t="s">
        <v>25907</v>
      </c>
      <c r="AA3757">
        <v>0.53939734113875715</v>
      </c>
      <c r="AB3757" t="str">
        <f>HYPERLINK("Melting_Curves/meltCurve_Q86YB8_ERO1LB.pdf", "Melting_Curves/meltCurve_Q86YB8_ERO1LB.pdf")</f>
        <v>Melting_Curves/meltCurve_Q86YB8_ERO1LB.pdf</v>
      </c>
    </row>
    <row r="3758" spans="1:28" x14ac:dyDescent="0.25">
      <c r="A3758" t="s">
        <v>3762</v>
      </c>
      <c r="B3758">
        <v>0.99796759195183404</v>
      </c>
      <c r="C3758">
        <v>1.07746791378818</v>
      </c>
      <c r="D3758">
        <v>0.98059410264015201</v>
      </c>
      <c r="E3758">
        <v>0.93242646185241695</v>
      </c>
      <c r="F3758">
        <v>0.82345867509066495</v>
      </c>
      <c r="G3758">
        <v>0.75891215253761202</v>
      </c>
      <c r="H3758">
        <v>0.53518421131293203</v>
      </c>
      <c r="I3758">
        <v>0.32304581830760598</v>
      </c>
      <c r="J3758">
        <v>0.214779400073978</v>
      </c>
      <c r="K3758">
        <v>0.109167848738635</v>
      </c>
      <c r="L3758">
        <v>761.49441659022796</v>
      </c>
      <c r="M3758">
        <v>13.1928344733717</v>
      </c>
      <c r="N3758">
        <v>57.720304158345499</v>
      </c>
      <c r="O3758">
        <v>56.442456665556698</v>
      </c>
      <c r="P3758">
        <v>-5.84446359855324E-2</v>
      </c>
      <c r="Q3758">
        <v>0</v>
      </c>
      <c r="R3758">
        <v>0.98878580189298204</v>
      </c>
      <c r="S3758" t="s">
        <v>9341</v>
      </c>
      <c r="T3758" t="s">
        <v>11164</v>
      </c>
      <c r="U3758" t="s">
        <v>11164</v>
      </c>
      <c r="V3758" t="s">
        <v>11164</v>
      </c>
      <c r="W3758" t="s">
        <v>14879</v>
      </c>
      <c r="X3758">
        <v>5</v>
      </c>
      <c r="Y3758" t="s">
        <v>20357</v>
      </c>
      <c r="Z3758" t="s">
        <v>25908</v>
      </c>
      <c r="AA3758">
        <v>0.69361987438621397</v>
      </c>
      <c r="AB3758" t="str">
        <f>HYPERLINK("Melting_Curves/meltCurve_Q86YH6_PDSS2.pdf", "Melting_Curves/meltCurve_Q86YH6_PDSS2.pdf")</f>
        <v>Melting_Curves/meltCurve_Q86YH6_PDSS2.pdf</v>
      </c>
    </row>
    <row r="3759" spans="1:28" x14ac:dyDescent="0.25">
      <c r="A3759" t="s">
        <v>3763</v>
      </c>
      <c r="B3759">
        <v>0.99796759195183404</v>
      </c>
      <c r="C3759">
        <v>1.6166098385387999</v>
      </c>
      <c r="D3759">
        <v>1.2116076764295001</v>
      </c>
      <c r="E3759">
        <v>1.50479022993609</v>
      </c>
      <c r="F3759">
        <v>1.08203422984256</v>
      </c>
      <c r="G3759">
        <v>0.51236131339392099</v>
      </c>
      <c r="H3759">
        <v>0.52889272364497097</v>
      </c>
      <c r="I3759">
        <v>0.58568607537560502</v>
      </c>
      <c r="J3759">
        <v>0.73903194906217395</v>
      </c>
      <c r="K3759">
        <v>0.69734848170444397</v>
      </c>
      <c r="L3759">
        <v>4884.7167359744999</v>
      </c>
      <c r="M3759">
        <v>94.122780754777807</v>
      </c>
      <c r="O3759">
        <v>51.873868596686698</v>
      </c>
      <c r="P3759">
        <v>-0.176211456751867</v>
      </c>
      <c r="Q3759">
        <v>0.61153848273491596</v>
      </c>
      <c r="R3759">
        <v>0.49446566434307399</v>
      </c>
      <c r="S3759" t="s">
        <v>9342</v>
      </c>
      <c r="T3759" t="s">
        <v>11164</v>
      </c>
      <c r="U3759" t="s">
        <v>11164</v>
      </c>
      <c r="V3759" t="s">
        <v>11164</v>
      </c>
      <c r="W3759" t="s">
        <v>14880</v>
      </c>
      <c r="X3759">
        <v>1</v>
      </c>
      <c r="Y3759" t="s">
        <v>20358</v>
      </c>
      <c r="Z3759" t="s">
        <v>25909</v>
      </c>
      <c r="AA3759">
        <v>0.80468915032356547</v>
      </c>
      <c r="AB3759" t="str">
        <f>HYPERLINK("Melting_Curves/meltCurve_Q86YL5_TDRP.pdf", "Melting_Curves/meltCurve_Q86YL5_TDRP.pdf")</f>
        <v>Melting_Curves/meltCurve_Q86YL5_TDRP.pdf</v>
      </c>
    </row>
    <row r="3760" spans="1:28" x14ac:dyDescent="0.25">
      <c r="A3760" t="s">
        <v>3764</v>
      </c>
      <c r="B3760">
        <v>0.99796759195183404</v>
      </c>
      <c r="C3760">
        <v>0.95819208544260204</v>
      </c>
      <c r="D3760">
        <v>0.95945776421367202</v>
      </c>
      <c r="E3760">
        <v>0.80126878435702198</v>
      </c>
      <c r="F3760">
        <v>0.35132387626946998</v>
      </c>
      <c r="G3760">
        <v>0.27176078552653699</v>
      </c>
      <c r="H3760">
        <v>0.23092160734751699</v>
      </c>
      <c r="I3760">
        <v>0.20075328861236899</v>
      </c>
      <c r="J3760">
        <v>0.157166109981077</v>
      </c>
      <c r="K3760">
        <v>0.112805757509139</v>
      </c>
      <c r="L3760">
        <v>1353.5414632617501</v>
      </c>
      <c r="M3760">
        <v>28.043362503864</v>
      </c>
      <c r="N3760">
        <v>49.038559491885103</v>
      </c>
      <c r="O3760">
        <v>48.022595767304203</v>
      </c>
      <c r="P3760">
        <v>-0.119923691673506</v>
      </c>
      <c r="Q3760">
        <v>0.178558322464241</v>
      </c>
      <c r="R3760">
        <v>0.98963800138695601</v>
      </c>
      <c r="S3760" t="s">
        <v>9343</v>
      </c>
      <c r="T3760" t="s">
        <v>11164</v>
      </c>
      <c r="U3760" t="s">
        <v>11164</v>
      </c>
      <c r="V3760" t="s">
        <v>11164</v>
      </c>
      <c r="W3760" t="s">
        <v>14881</v>
      </c>
      <c r="X3760">
        <v>24</v>
      </c>
      <c r="Y3760" t="s">
        <v>20359</v>
      </c>
      <c r="Z3760" t="s">
        <v>25910</v>
      </c>
      <c r="AA3760">
        <v>0.49263272745512149</v>
      </c>
      <c r="AB3760" t="str">
        <f>HYPERLINK("Melting_Curves/meltCurve_Q86YR5_4_GPSM1.pdf", "Melting_Curves/meltCurve_Q86YR5_4_GPSM1.pdf")</f>
        <v>Melting_Curves/meltCurve_Q86YR5_4_GPSM1.pdf</v>
      </c>
    </row>
    <row r="3761" spans="1:28" x14ac:dyDescent="0.25">
      <c r="A3761" t="s">
        <v>3765</v>
      </c>
      <c r="B3761">
        <v>0.99796759195183404</v>
      </c>
      <c r="C3761">
        <v>1.1550310139898701</v>
      </c>
      <c r="D3761">
        <v>1.1933767433267299</v>
      </c>
      <c r="E3761">
        <v>1.0894384083073501</v>
      </c>
      <c r="F3761">
        <v>0.70050264254517702</v>
      </c>
      <c r="G3761">
        <v>0.37512113322660101</v>
      </c>
      <c r="H3761">
        <v>0.28167825329454499</v>
      </c>
      <c r="I3761">
        <v>0.19888468128129799</v>
      </c>
      <c r="J3761">
        <v>0.150759400904562</v>
      </c>
      <c r="K3761">
        <v>0.17051194174787601</v>
      </c>
      <c r="L3761">
        <v>1579.2562997334701</v>
      </c>
      <c r="M3761">
        <v>30.67989020277</v>
      </c>
      <c r="N3761">
        <v>52.290751444018703</v>
      </c>
      <c r="O3761">
        <v>51.258077200814299</v>
      </c>
      <c r="P3761">
        <v>-0.121186079953377</v>
      </c>
      <c r="Q3761">
        <v>0.190123776488169</v>
      </c>
      <c r="R3761">
        <v>0.95184395159643997</v>
      </c>
      <c r="S3761" t="s">
        <v>9344</v>
      </c>
      <c r="T3761" t="s">
        <v>11164</v>
      </c>
      <c r="U3761" t="s">
        <v>11164</v>
      </c>
      <c r="V3761" t="s">
        <v>11164</v>
      </c>
      <c r="W3761" t="s">
        <v>14882</v>
      </c>
      <c r="X3761">
        <v>3</v>
      </c>
      <c r="Y3761" t="s">
        <v>20360</v>
      </c>
      <c r="Z3761" t="s">
        <v>25911</v>
      </c>
      <c r="AA3761">
        <v>0.58575900214168752</v>
      </c>
      <c r="AB3761" t="str">
        <f>HYPERLINK("Melting_Curves/meltCurve_Q86YS3_2_RAB11FIP4.pdf", "Melting_Curves/meltCurve_Q86YS3_2_RAB11FIP4.pdf")</f>
        <v>Melting_Curves/meltCurve_Q86YS3_2_RAB11FIP4.pdf</v>
      </c>
    </row>
    <row r="3762" spans="1:28" x14ac:dyDescent="0.25">
      <c r="A3762" t="s">
        <v>3766</v>
      </c>
      <c r="B3762">
        <v>0.99796759195183404</v>
      </c>
      <c r="C3762">
        <v>0.91075831932085904</v>
      </c>
      <c r="D3762">
        <v>0.97993694155814703</v>
      </c>
      <c r="E3762">
        <v>1.0684609632633699</v>
      </c>
      <c r="F3762">
        <v>0.63630066983063005</v>
      </c>
      <c r="G3762">
        <v>0.59476891892015604</v>
      </c>
      <c r="H3762">
        <v>0.53018203109429696</v>
      </c>
      <c r="I3762">
        <v>0.44937146298461</v>
      </c>
      <c r="J3762">
        <v>0.386840865970352</v>
      </c>
      <c r="K3762">
        <v>0.21811165797552301</v>
      </c>
      <c r="L3762">
        <v>590.95050811550402</v>
      </c>
      <c r="M3762">
        <v>10.8530896601638</v>
      </c>
      <c r="N3762">
        <v>57.288974069636197</v>
      </c>
      <c r="O3762">
        <v>52.699182316102501</v>
      </c>
      <c r="P3762">
        <v>-4.0791756683340903E-2</v>
      </c>
      <c r="Q3762">
        <v>0.20799359601789</v>
      </c>
      <c r="R3762">
        <v>0.90883317864786195</v>
      </c>
      <c r="S3762" t="s">
        <v>9345</v>
      </c>
      <c r="T3762" t="s">
        <v>11164</v>
      </c>
      <c r="U3762" t="s">
        <v>11164</v>
      </c>
      <c r="V3762" t="s">
        <v>11164</v>
      </c>
      <c r="W3762" t="s">
        <v>14883</v>
      </c>
      <c r="X3762">
        <v>1</v>
      </c>
      <c r="Y3762" t="s">
        <v>20361</v>
      </c>
      <c r="Z3762" t="s">
        <v>25912</v>
      </c>
      <c r="AA3762">
        <v>0.6813153345655365</v>
      </c>
      <c r="AB3762" t="str">
        <f>HYPERLINK("Melting_Curves/meltCurve_Q86YV5_SGK223.pdf", "Melting_Curves/meltCurve_Q86YV5_SGK223.pdf")</f>
        <v>Melting_Curves/meltCurve_Q86YV5_SGK223.pdf</v>
      </c>
    </row>
    <row r="3763" spans="1:28" x14ac:dyDescent="0.25">
      <c r="A3763" t="s">
        <v>3767</v>
      </c>
      <c r="B3763">
        <v>0.99796759195183404</v>
      </c>
      <c r="C3763">
        <v>0.91860299372582199</v>
      </c>
      <c r="D3763">
        <v>0.99048056804500195</v>
      </c>
      <c r="E3763">
        <v>1.20044748025287</v>
      </c>
      <c r="F3763">
        <v>0.44314264397300401</v>
      </c>
      <c r="G3763">
        <v>0.27793285370016702</v>
      </c>
      <c r="H3763">
        <v>0.471115945374391</v>
      </c>
      <c r="I3763">
        <v>0.18085153685667599</v>
      </c>
      <c r="J3763">
        <v>0</v>
      </c>
      <c r="K3763">
        <v>0.15453867500403801</v>
      </c>
      <c r="L3763">
        <v>12504.787521296799</v>
      </c>
      <c r="M3763">
        <v>250</v>
      </c>
      <c r="N3763">
        <v>50.133203139314602</v>
      </c>
      <c r="O3763">
        <v>50.015949202880002</v>
      </c>
      <c r="P3763">
        <v>-0.97857810768222397</v>
      </c>
      <c r="Q3763">
        <v>0.216887794300266</v>
      </c>
      <c r="R3763">
        <v>0.89779106597946901</v>
      </c>
      <c r="S3763" t="s">
        <v>9346</v>
      </c>
      <c r="T3763" t="s">
        <v>11164</v>
      </c>
      <c r="U3763" t="s">
        <v>11164</v>
      </c>
      <c r="V3763" t="s">
        <v>11164</v>
      </c>
      <c r="W3763" t="s">
        <v>14884</v>
      </c>
      <c r="X3763">
        <v>2</v>
      </c>
      <c r="Y3763" t="s">
        <v>20362</v>
      </c>
      <c r="Z3763" t="s">
        <v>25913</v>
      </c>
      <c r="AA3763">
        <v>0.55680504942406117</v>
      </c>
      <c r="AB3763" t="str">
        <f>HYPERLINK("Melting_Curves/meltCurve_Q86YV9_HPS6.pdf", "Melting_Curves/meltCurve_Q86YV9_HPS6.pdf")</f>
        <v>Melting_Curves/meltCurve_Q86YV9_HPS6.pdf</v>
      </c>
    </row>
    <row r="3764" spans="1:28" x14ac:dyDescent="0.25">
      <c r="A3764" t="s">
        <v>3768</v>
      </c>
      <c r="B3764">
        <v>0.99796759195183404</v>
      </c>
      <c r="C3764">
        <v>0.98914126400844404</v>
      </c>
      <c r="D3764">
        <v>0.99040668094379503</v>
      </c>
      <c r="E3764">
        <v>0.80544528832155204</v>
      </c>
      <c r="F3764">
        <v>0.45069335098409602</v>
      </c>
      <c r="G3764">
        <v>0.29861727361156898</v>
      </c>
      <c r="H3764">
        <v>0.21353116560586499</v>
      </c>
      <c r="I3764">
        <v>0.15517707961268801</v>
      </c>
      <c r="J3764">
        <v>0.12261791453189901</v>
      </c>
      <c r="K3764">
        <v>0.100064537823259</v>
      </c>
      <c r="L3764">
        <v>976.20055705875404</v>
      </c>
      <c r="M3764">
        <v>19.784275280666598</v>
      </c>
      <c r="N3764">
        <v>50.089134316197502</v>
      </c>
      <c r="O3764">
        <v>48.846447383445998</v>
      </c>
      <c r="P3764">
        <v>-8.8326093473373904E-2</v>
      </c>
      <c r="Q3764">
        <v>0.127738084332642</v>
      </c>
      <c r="R3764">
        <v>0.99532288644056999</v>
      </c>
      <c r="S3764" t="s">
        <v>9347</v>
      </c>
      <c r="T3764" t="s">
        <v>11164</v>
      </c>
      <c r="U3764" t="s">
        <v>11164</v>
      </c>
      <c r="V3764" t="s">
        <v>11164</v>
      </c>
      <c r="W3764" t="s">
        <v>14885</v>
      </c>
      <c r="X3764">
        <v>14</v>
      </c>
      <c r="Y3764" t="s">
        <v>20363</v>
      </c>
      <c r="Z3764" t="s">
        <v>25914</v>
      </c>
      <c r="AA3764">
        <v>0.49831518597479568</v>
      </c>
      <c r="AB3764" t="str">
        <f>HYPERLINK("Melting_Curves/meltCurve_Q8IU81_IRF2BP1.pdf", "Melting_Curves/meltCurve_Q8IU81_IRF2BP1.pdf")</f>
        <v>Melting_Curves/meltCurve_Q8IU81_IRF2BP1.pdf</v>
      </c>
    </row>
    <row r="3765" spans="1:28" x14ac:dyDescent="0.25">
      <c r="A3765" t="s">
        <v>3769</v>
      </c>
      <c r="B3765">
        <v>0.99796759195183404</v>
      </c>
      <c r="C3765">
        <v>0.93577980714263798</v>
      </c>
      <c r="D3765">
        <v>0.81691828408233602</v>
      </c>
      <c r="E3765">
        <v>0.82120051848324305</v>
      </c>
      <c r="F3765">
        <v>0.61500369639460395</v>
      </c>
      <c r="G3765">
        <v>0.41384191665385001</v>
      </c>
      <c r="H3765">
        <v>0.30139673479425999</v>
      </c>
      <c r="I3765">
        <v>0.36417301105821398</v>
      </c>
      <c r="J3765">
        <v>0.28276037618087502</v>
      </c>
      <c r="K3765">
        <v>0.221355449704496</v>
      </c>
      <c r="L3765">
        <v>549.14338771514701</v>
      </c>
      <c r="M3765">
        <v>10.9681275950801</v>
      </c>
      <c r="N3765">
        <v>52.493800930283697</v>
      </c>
      <c r="O3765">
        <v>48.4891889067598</v>
      </c>
      <c r="P3765">
        <v>-4.5319694203007903E-2</v>
      </c>
      <c r="Q3765">
        <v>0.19885477640312499</v>
      </c>
      <c r="R3765">
        <v>0.97400592105350303</v>
      </c>
      <c r="S3765" t="s">
        <v>9348</v>
      </c>
      <c r="T3765" t="s">
        <v>11164</v>
      </c>
      <c r="U3765" t="s">
        <v>11164</v>
      </c>
      <c r="V3765" t="s">
        <v>11164</v>
      </c>
      <c r="W3765" t="s">
        <v>14886</v>
      </c>
      <c r="X3765">
        <v>2</v>
      </c>
      <c r="Y3765" t="s">
        <v>20364</v>
      </c>
      <c r="Z3765" t="s">
        <v>25915</v>
      </c>
      <c r="AA3765">
        <v>0.57246344542238836</v>
      </c>
      <c r="AB3765" t="str">
        <f>HYPERLINK("Melting_Curves/meltCurve_Q8IU85_2_CAMK1D.pdf", "Melting_Curves/meltCurve_Q8IU85_2_CAMK1D.pdf")</f>
        <v>Melting_Curves/meltCurve_Q8IU85_2_CAMK1D.pdf</v>
      </c>
    </row>
    <row r="3766" spans="1:28" x14ac:dyDescent="0.25">
      <c r="A3766" t="s">
        <v>3770</v>
      </c>
      <c r="B3766">
        <v>0.99796759195183404</v>
      </c>
      <c r="C3766">
        <v>1.1130404082583301</v>
      </c>
      <c r="D3766">
        <v>1.04741501257466</v>
      </c>
      <c r="E3766">
        <v>0.99703106921138196</v>
      </c>
      <c r="F3766">
        <v>0.758127342352511</v>
      </c>
      <c r="G3766">
        <v>0.67359921067363104</v>
      </c>
      <c r="H3766">
        <v>0.20111248754588701</v>
      </c>
      <c r="I3766">
        <v>0.27599654704446502</v>
      </c>
      <c r="J3766">
        <v>5.7780219111224301E-2</v>
      </c>
      <c r="K3766">
        <v>8.23430376238347E-2</v>
      </c>
      <c r="L3766">
        <v>1023.08331101572</v>
      </c>
      <c r="M3766">
        <v>18.794837481937002</v>
      </c>
      <c r="N3766">
        <v>54.771351101094297</v>
      </c>
      <c r="O3766">
        <v>53.829271004574402</v>
      </c>
      <c r="P3766">
        <v>-8.2525251386578499E-2</v>
      </c>
      <c r="Q3766">
        <v>5.4615049705981598E-2</v>
      </c>
      <c r="R3766">
        <v>0.96313642837385804</v>
      </c>
      <c r="S3766" t="s">
        <v>9349</v>
      </c>
      <c r="T3766" t="s">
        <v>11164</v>
      </c>
      <c r="U3766" t="s">
        <v>11164</v>
      </c>
      <c r="V3766" t="s">
        <v>11164</v>
      </c>
      <c r="W3766" t="s">
        <v>14887</v>
      </c>
      <c r="X3766">
        <v>2</v>
      </c>
      <c r="Y3766" t="s">
        <v>20365</v>
      </c>
      <c r="Z3766" t="s">
        <v>25916</v>
      </c>
      <c r="AA3766">
        <v>0.61600108226460948</v>
      </c>
      <c r="AB3766" t="str">
        <f>HYPERLINK("Melting_Curves/meltCurve_Q8IUC8_2_GALNT13.pdf", "Melting_Curves/meltCurve_Q8IUC8_2_GALNT13.pdf")</f>
        <v>Melting_Curves/meltCurve_Q8IUC8_2_GALNT13.pdf</v>
      </c>
    </row>
    <row r="3767" spans="1:28" x14ac:dyDescent="0.25">
      <c r="A3767" t="s">
        <v>3771</v>
      </c>
      <c r="B3767">
        <v>0.99796759195183404</v>
      </c>
      <c r="C3767">
        <v>0.94396897061529195</v>
      </c>
      <c r="D3767">
        <v>1.0877728521665999</v>
      </c>
      <c r="E3767">
        <v>0.90648453356296599</v>
      </c>
      <c r="F3767">
        <v>1.10954536947691</v>
      </c>
      <c r="G3767">
        <v>0.47630707341191098</v>
      </c>
      <c r="H3767">
        <v>0.41595501693707299</v>
      </c>
      <c r="I3767">
        <v>0.26548654794436599</v>
      </c>
      <c r="J3767">
        <v>0.265882005842211</v>
      </c>
      <c r="K3767">
        <v>0.20018013414007699</v>
      </c>
      <c r="L3767">
        <v>11978.931761211499</v>
      </c>
      <c r="M3767">
        <v>223.67360058454099</v>
      </c>
      <c r="N3767">
        <v>53.760345705174998</v>
      </c>
      <c r="O3767">
        <v>53.551130385570303</v>
      </c>
      <c r="P3767">
        <v>-0.74464841835864204</v>
      </c>
      <c r="Q3767">
        <v>0.28687579854259199</v>
      </c>
      <c r="R3767">
        <v>0.95487853469970196</v>
      </c>
      <c r="S3767" t="s">
        <v>9350</v>
      </c>
      <c r="T3767" t="s">
        <v>11164</v>
      </c>
      <c r="U3767" t="s">
        <v>11164</v>
      </c>
      <c r="V3767" t="s">
        <v>11164</v>
      </c>
      <c r="W3767" t="s">
        <v>14888</v>
      </c>
      <c r="X3767">
        <v>1</v>
      </c>
      <c r="Y3767" t="s">
        <v>20366</v>
      </c>
      <c r="Z3767" t="s">
        <v>25917</v>
      </c>
      <c r="AA3767">
        <v>0.68049502646688576</v>
      </c>
      <c r="AB3767" t="str">
        <f>HYPERLINK("Melting_Curves/meltCurve_Q8IUF8_2_MINA.pdf", "Melting_Curves/meltCurve_Q8IUF8_2_MINA.pdf")</f>
        <v>Melting_Curves/meltCurve_Q8IUF8_2_MINA.pdf</v>
      </c>
    </row>
    <row r="3768" spans="1:28" x14ac:dyDescent="0.25">
      <c r="A3768" t="s">
        <v>3772</v>
      </c>
      <c r="B3768">
        <v>0.99796759195183404</v>
      </c>
      <c r="C3768">
        <v>0.82255519342474603</v>
      </c>
      <c r="D3768">
        <v>0.97784335365103403</v>
      </c>
      <c r="E3768">
        <v>0.80991902727083398</v>
      </c>
      <c r="F3768">
        <v>0.83893762625944701</v>
      </c>
      <c r="G3768">
        <v>0.381795979110229</v>
      </c>
      <c r="H3768">
        <v>0.239084337993348</v>
      </c>
      <c r="I3768">
        <v>0.18701232161371401</v>
      </c>
      <c r="J3768">
        <v>0.25203570995292002</v>
      </c>
      <c r="K3768">
        <v>8.2006373180512099E-2</v>
      </c>
      <c r="L3768">
        <v>1085.5454047681501</v>
      </c>
      <c r="M3768">
        <v>20.819742060268201</v>
      </c>
      <c r="N3768">
        <v>52.9933049589673</v>
      </c>
      <c r="O3768">
        <v>51.666316194224699</v>
      </c>
      <c r="P3768">
        <v>-8.6399189573679994E-2</v>
      </c>
      <c r="Q3768">
        <v>0.142390192182859</v>
      </c>
      <c r="R3768">
        <v>0.93704065233328704</v>
      </c>
      <c r="S3768" t="s">
        <v>9351</v>
      </c>
      <c r="T3768" t="s">
        <v>11164</v>
      </c>
      <c r="U3768" t="s">
        <v>11164</v>
      </c>
      <c r="V3768" t="s">
        <v>11164</v>
      </c>
      <c r="W3768" t="s">
        <v>14889</v>
      </c>
      <c r="X3768">
        <v>2</v>
      </c>
      <c r="Y3768" t="s">
        <v>20367</v>
      </c>
      <c r="Z3768" t="s">
        <v>25918</v>
      </c>
      <c r="AA3768">
        <v>0.58557106225434119</v>
      </c>
      <c r="AB3768" t="str">
        <f>HYPERLINK("Melting_Curves/meltCurve_Q8IUH4_ZDHHC13.pdf", "Melting_Curves/meltCurve_Q8IUH4_ZDHHC13.pdf")</f>
        <v>Melting_Curves/meltCurve_Q8IUH4_ZDHHC13.pdf</v>
      </c>
    </row>
    <row r="3769" spans="1:28" x14ac:dyDescent="0.25">
      <c r="A3769" t="s">
        <v>3773</v>
      </c>
      <c r="B3769">
        <v>0.99796759195183404</v>
      </c>
      <c r="C3769">
        <v>1.0276755280034799</v>
      </c>
      <c r="D3769">
        <v>1.0271452026372301</v>
      </c>
      <c r="E3769">
        <v>0.98609729887145603</v>
      </c>
      <c r="F3769">
        <v>0.81352763367054504</v>
      </c>
      <c r="G3769">
        <v>0.368089320436153</v>
      </c>
      <c r="H3769">
        <v>0.25739442245162297</v>
      </c>
      <c r="I3769">
        <v>0.20845359577736999</v>
      </c>
      <c r="J3769">
        <v>0.147332054782811</v>
      </c>
      <c r="K3769">
        <v>0.10156036886466401</v>
      </c>
      <c r="L3769">
        <v>1575.3782009439999</v>
      </c>
      <c r="M3769">
        <v>30.209705073083398</v>
      </c>
      <c r="N3769">
        <v>52.809564720545801</v>
      </c>
      <c r="O3769">
        <v>51.921175838651202</v>
      </c>
      <c r="P3769">
        <v>-0.122547071044907</v>
      </c>
      <c r="Q3769">
        <v>0.15752269899027799</v>
      </c>
      <c r="R3769">
        <v>0.99319635887860902</v>
      </c>
      <c r="S3769" t="s">
        <v>9352</v>
      </c>
      <c r="T3769" t="s">
        <v>11164</v>
      </c>
      <c r="U3769" t="s">
        <v>11164</v>
      </c>
      <c r="V3769" t="s">
        <v>11164</v>
      </c>
      <c r="W3769" t="s">
        <v>14890</v>
      </c>
      <c r="X3769">
        <v>13</v>
      </c>
      <c r="Y3769" t="s">
        <v>20368</v>
      </c>
      <c r="Z3769" t="s">
        <v>25919</v>
      </c>
      <c r="AA3769">
        <v>0.58817347181268076</v>
      </c>
      <c r="AB3769" t="str">
        <f>HYPERLINK("Melting_Curves/meltCurve_Q8IUI8_CRLF3.pdf", "Melting_Curves/meltCurve_Q8IUI8_CRLF3.pdf")</f>
        <v>Melting_Curves/meltCurve_Q8IUI8_CRLF3.pdf</v>
      </c>
    </row>
    <row r="3770" spans="1:28" x14ac:dyDescent="0.25">
      <c r="A3770" t="s">
        <v>3774</v>
      </c>
      <c r="B3770">
        <v>0.99796759195183404</v>
      </c>
      <c r="C3770">
        <v>0.97826116807369701</v>
      </c>
      <c r="D3770">
        <v>0.95686208595821098</v>
      </c>
      <c r="E3770">
        <v>0.96653127401486405</v>
      </c>
      <c r="F3770">
        <v>0.76373652021775296</v>
      </c>
      <c r="G3770">
        <v>0.39342625313423502</v>
      </c>
      <c r="H3770">
        <v>0.222593274972505</v>
      </c>
      <c r="I3770">
        <v>0.166174599820856</v>
      </c>
      <c r="J3770">
        <v>0.142113612550132</v>
      </c>
      <c r="K3770">
        <v>0.103613506116365</v>
      </c>
      <c r="L3770">
        <v>1281.8712350430701</v>
      </c>
      <c r="M3770">
        <v>24.575684346503799</v>
      </c>
      <c r="N3770">
        <v>52.785473260255799</v>
      </c>
      <c r="O3770">
        <v>51.8184581688691</v>
      </c>
      <c r="P3770">
        <v>-0.103593692536643</v>
      </c>
      <c r="Q3770">
        <v>0.12629279882848701</v>
      </c>
      <c r="R3770">
        <v>0.99757611129750501</v>
      </c>
      <c r="S3770" t="s">
        <v>9353</v>
      </c>
      <c r="T3770" t="s">
        <v>11164</v>
      </c>
      <c r="U3770" t="s">
        <v>11164</v>
      </c>
      <c r="V3770" t="s">
        <v>11164</v>
      </c>
      <c r="W3770" t="s">
        <v>14891</v>
      </c>
      <c r="X3770">
        <v>3</v>
      </c>
      <c r="Y3770" t="s">
        <v>20369</v>
      </c>
      <c r="Z3770" t="s">
        <v>25920</v>
      </c>
      <c r="AA3770">
        <v>0.57579089393158267</v>
      </c>
      <c r="AB3770" t="str">
        <f>HYPERLINK("Melting_Curves/meltCurve_Q8IUR0_TRAPPC5.pdf", "Melting_Curves/meltCurve_Q8IUR0_TRAPPC5.pdf")</f>
        <v>Melting_Curves/meltCurve_Q8IUR0_TRAPPC5.pdf</v>
      </c>
    </row>
    <row r="3771" spans="1:28" x14ac:dyDescent="0.25">
      <c r="A3771" t="s">
        <v>3775</v>
      </c>
      <c r="B3771">
        <v>0.99796759195183404</v>
      </c>
      <c r="C3771">
        <v>0.87768696362083698</v>
      </c>
      <c r="D3771">
        <v>0.80223338465133798</v>
      </c>
      <c r="E3771">
        <v>0.85447224511224396</v>
      </c>
      <c r="F3771">
        <v>0.97850464105488999</v>
      </c>
      <c r="G3771">
        <v>0.56957429850754604</v>
      </c>
      <c r="H3771">
        <v>0.66781236123888399</v>
      </c>
      <c r="I3771">
        <v>0.56279893776466705</v>
      </c>
      <c r="J3771">
        <v>0.63476403056591202</v>
      </c>
      <c r="K3771">
        <v>0.68668035814944794</v>
      </c>
      <c r="L3771">
        <v>327.40009771541298</v>
      </c>
      <c r="M3771">
        <v>6.5343127268159202</v>
      </c>
      <c r="O3771">
        <v>46.033011781858903</v>
      </c>
      <c r="P3771">
        <v>-1.64533173831331E-2</v>
      </c>
      <c r="Q3771">
        <v>0.53745995508493605</v>
      </c>
      <c r="R3771">
        <v>0.61138250077185596</v>
      </c>
      <c r="S3771" t="s">
        <v>9354</v>
      </c>
      <c r="T3771" t="s">
        <v>11164</v>
      </c>
      <c r="U3771" t="s">
        <v>11164</v>
      </c>
      <c r="V3771" t="s">
        <v>11164</v>
      </c>
      <c r="W3771" t="s">
        <v>14892</v>
      </c>
      <c r="X3771">
        <v>3</v>
      </c>
      <c r="Y3771" t="s">
        <v>20370</v>
      </c>
      <c r="Z3771" t="s">
        <v>25921</v>
      </c>
      <c r="AA3771">
        <v>0.76040575572813451</v>
      </c>
      <c r="AB3771" t="str">
        <f>HYPERLINK("Melting_Curves/meltCurve_Q8IUW5_RELL1.pdf", "Melting_Curves/meltCurve_Q8IUW5_RELL1.pdf")</f>
        <v>Melting_Curves/meltCurve_Q8IUW5_RELL1.pdf</v>
      </c>
    </row>
    <row r="3772" spans="1:28" x14ac:dyDescent="0.25">
      <c r="A3772" t="s">
        <v>3776</v>
      </c>
      <c r="B3772">
        <v>0.99796759195183404</v>
      </c>
      <c r="C3772">
        <v>1.02811945632867</v>
      </c>
      <c r="D3772">
        <v>0.985747147594769</v>
      </c>
      <c r="E3772">
        <v>0.95492863453495103</v>
      </c>
      <c r="F3772">
        <v>0.755851105170535</v>
      </c>
      <c r="G3772">
        <v>0.92140601417109502</v>
      </c>
      <c r="H3772">
        <v>0.97920967182700902</v>
      </c>
      <c r="I3772">
        <v>0.88004675711034497</v>
      </c>
      <c r="J3772">
        <v>0.740234592054547</v>
      </c>
      <c r="K3772">
        <v>0.35143723893731699</v>
      </c>
      <c r="L3772">
        <v>2069.6233779034501</v>
      </c>
      <c r="M3772">
        <v>31.422278589291398</v>
      </c>
      <c r="N3772">
        <v>65.864820688390907</v>
      </c>
      <c r="O3772">
        <v>65.599796334080594</v>
      </c>
      <c r="P3772">
        <v>-0.11975055785702</v>
      </c>
      <c r="Q3772">
        <v>0</v>
      </c>
      <c r="R3772">
        <v>0.80649823339304505</v>
      </c>
      <c r="S3772" t="s">
        <v>9355</v>
      </c>
      <c r="T3772" t="s">
        <v>11164</v>
      </c>
      <c r="U3772" t="s">
        <v>11164</v>
      </c>
      <c r="V3772" t="s">
        <v>11164</v>
      </c>
      <c r="W3772" t="s">
        <v>14893</v>
      </c>
      <c r="X3772">
        <v>3</v>
      </c>
      <c r="Y3772" t="s">
        <v>20371</v>
      </c>
      <c r="Z3772" t="s">
        <v>25922</v>
      </c>
      <c r="AA3772">
        <v>0.93346617808731225</v>
      </c>
      <c r="AB3772" t="str">
        <f>HYPERLINK("Melting_Curves/meltCurve_Q8IUX1_4_TMEM126B.pdf", "Melting_Curves/meltCurve_Q8IUX1_4_TMEM126B.pdf")</f>
        <v>Melting_Curves/meltCurve_Q8IUX1_4_TMEM126B.pdf</v>
      </c>
    </row>
    <row r="3773" spans="1:28" x14ac:dyDescent="0.25">
      <c r="A3773" t="s">
        <v>3777</v>
      </c>
      <c r="B3773">
        <v>0.99796759195183404</v>
      </c>
      <c r="C3773">
        <v>1.3802642109576799</v>
      </c>
      <c r="D3773">
        <v>1.1842180761471099</v>
      </c>
      <c r="E3773">
        <v>1.33141869139071</v>
      </c>
      <c r="F3773">
        <v>1.0319449548977899</v>
      </c>
      <c r="G3773">
        <v>0.37549365747598201</v>
      </c>
      <c r="H3773">
        <v>0.16023396325116501</v>
      </c>
      <c r="I3773">
        <v>9.51129696016733E-2</v>
      </c>
      <c r="J3773">
        <v>6.0185156765900499E-2</v>
      </c>
      <c r="K3773">
        <v>7.7698596895098906E-2</v>
      </c>
      <c r="L3773">
        <v>6618.5314667534403</v>
      </c>
      <c r="M3773">
        <v>123.83251408077</v>
      </c>
      <c r="N3773">
        <v>53.542037452048397</v>
      </c>
      <c r="O3773">
        <v>53.433509165771397</v>
      </c>
      <c r="P3773">
        <v>-0.52245641196607995</v>
      </c>
      <c r="Q3773">
        <v>9.8243977599324794E-2</v>
      </c>
      <c r="R3773">
        <v>0.89625677289141004</v>
      </c>
      <c r="S3773" t="s">
        <v>9356</v>
      </c>
      <c r="T3773" t="s">
        <v>11164</v>
      </c>
      <c r="U3773" t="s">
        <v>11164</v>
      </c>
      <c r="V3773" t="s">
        <v>11164</v>
      </c>
      <c r="W3773" t="s">
        <v>14894</v>
      </c>
      <c r="X3773">
        <v>1</v>
      </c>
      <c r="Y3773" t="s">
        <v>20372</v>
      </c>
      <c r="Z3773" t="s">
        <v>25923</v>
      </c>
      <c r="AA3773">
        <v>0.59297504060060813</v>
      </c>
      <c r="AB3773" t="str">
        <f>HYPERLINK("Melting_Curves/meltCurve_Q8IV04_TBC1D10C.pdf", "Melting_Curves/meltCurve_Q8IV04_TBC1D10C.pdf")</f>
        <v>Melting_Curves/meltCurve_Q8IV04_TBC1D10C.pdf</v>
      </c>
    </row>
    <row r="3774" spans="1:28" x14ac:dyDescent="0.25">
      <c r="A3774" t="s">
        <v>3778</v>
      </c>
      <c r="B3774">
        <v>0.99796759195183404</v>
      </c>
      <c r="C3774">
        <v>0.94281695970975099</v>
      </c>
      <c r="D3774">
        <v>0.89140989382060798</v>
      </c>
      <c r="E3774">
        <v>0.87262350858069904</v>
      </c>
      <c r="F3774">
        <v>0.80901438545801996</v>
      </c>
      <c r="G3774">
        <v>0.66774590816600699</v>
      </c>
      <c r="H3774">
        <v>0.57648869664348601</v>
      </c>
      <c r="I3774">
        <v>0.54511593317802098</v>
      </c>
      <c r="J3774">
        <v>0.35211424043297102</v>
      </c>
      <c r="K3774">
        <v>0.13280876985548801</v>
      </c>
      <c r="L3774">
        <v>484.08740172593798</v>
      </c>
      <c r="M3774">
        <v>8.2164479237597199</v>
      </c>
      <c r="N3774">
        <v>58.916865485522102</v>
      </c>
      <c r="O3774">
        <v>55.735764237414202</v>
      </c>
      <c r="P3774">
        <v>-3.6892189431628503E-2</v>
      </c>
      <c r="Q3774">
        <v>0</v>
      </c>
      <c r="R3774">
        <v>0.94432886998343901</v>
      </c>
      <c r="S3774" t="s">
        <v>9357</v>
      </c>
      <c r="T3774" t="s">
        <v>11164</v>
      </c>
      <c r="U3774" t="s">
        <v>11164</v>
      </c>
      <c r="V3774" t="s">
        <v>11164</v>
      </c>
      <c r="W3774" t="s">
        <v>14895</v>
      </c>
      <c r="X3774">
        <v>8</v>
      </c>
      <c r="Y3774" t="s">
        <v>20373</v>
      </c>
      <c r="Z3774" t="s">
        <v>25924</v>
      </c>
      <c r="AA3774">
        <v>0.70168794685505864</v>
      </c>
      <c r="AB3774" t="str">
        <f>HYPERLINK("Melting_Curves/meltCurve_Q8IV08_PLD3.pdf", "Melting_Curves/meltCurve_Q8IV08_PLD3.pdf")</f>
        <v>Melting_Curves/meltCurve_Q8IV08_PLD3.pdf</v>
      </c>
    </row>
    <row r="3775" spans="1:28" x14ac:dyDescent="0.25">
      <c r="A3775" t="s">
        <v>3779</v>
      </c>
      <c r="B3775">
        <v>0.99796759195183404</v>
      </c>
      <c r="C3775">
        <v>0.97642528607777002</v>
      </c>
      <c r="D3775">
        <v>0.93767718635753206</v>
      </c>
      <c r="E3775">
        <v>0.92506774820441495</v>
      </c>
      <c r="F3775">
        <v>0.78576571293675102</v>
      </c>
      <c r="G3775">
        <v>0.36272611588220999</v>
      </c>
      <c r="H3775">
        <v>0.178851081085495</v>
      </c>
      <c r="I3775">
        <v>0.117680623542479</v>
      </c>
      <c r="J3775">
        <v>9.1203583376125594E-2</v>
      </c>
      <c r="K3775">
        <v>7.2601561424480696E-2</v>
      </c>
      <c r="L3775">
        <v>1311.7350674522299</v>
      </c>
      <c r="M3775">
        <v>25.0958621560399</v>
      </c>
      <c r="N3775">
        <v>52.6413367713292</v>
      </c>
      <c r="O3775">
        <v>51.940479012440399</v>
      </c>
      <c r="P3775">
        <v>-0.11096943652496501</v>
      </c>
      <c r="Q3775">
        <v>8.1325945808017094E-2</v>
      </c>
      <c r="R3775">
        <v>0.99569672912741503</v>
      </c>
      <c r="S3775" t="s">
        <v>9358</v>
      </c>
      <c r="T3775" t="s">
        <v>11164</v>
      </c>
      <c r="U3775" t="s">
        <v>11164</v>
      </c>
      <c r="V3775" t="s">
        <v>11164</v>
      </c>
      <c r="W3775" t="s">
        <v>14896</v>
      </c>
      <c r="X3775">
        <v>2</v>
      </c>
      <c r="Y3775" t="s">
        <v>20374</v>
      </c>
      <c r="Z3775" t="s">
        <v>25925</v>
      </c>
      <c r="AA3775">
        <v>0.55698391662276403</v>
      </c>
      <c r="AB3775" t="str">
        <f>HYPERLINK("Melting_Curves/meltCurve_Q8IV38_ANKMY2.pdf", "Melting_Curves/meltCurve_Q8IV38_ANKMY2.pdf")</f>
        <v>Melting_Curves/meltCurve_Q8IV38_ANKMY2.pdf</v>
      </c>
    </row>
    <row r="3776" spans="1:28" x14ac:dyDescent="0.25">
      <c r="A3776" t="s">
        <v>3780</v>
      </c>
      <c r="B3776">
        <v>0.99796759195183404</v>
      </c>
      <c r="C3776">
        <v>0.94976466442373597</v>
      </c>
      <c r="D3776">
        <v>0.91378178781363795</v>
      </c>
      <c r="E3776">
        <v>0.77514648316836798</v>
      </c>
      <c r="F3776">
        <v>0.82870714026718995</v>
      </c>
      <c r="G3776">
        <v>0.28002384468667801</v>
      </c>
      <c r="H3776">
        <v>0.17711968915474399</v>
      </c>
      <c r="I3776">
        <v>0.124364364275376</v>
      </c>
      <c r="J3776">
        <v>0.10344924193114</v>
      </c>
      <c r="K3776">
        <v>7.5348800499589599E-2</v>
      </c>
      <c r="L3776">
        <v>1171.3135619996499</v>
      </c>
      <c r="M3776">
        <v>22.585771296992199</v>
      </c>
      <c r="N3776">
        <v>52.249478468167702</v>
      </c>
      <c r="O3776">
        <v>51.459263522172002</v>
      </c>
      <c r="P3776">
        <v>-0.10124122860950301</v>
      </c>
      <c r="Q3776">
        <v>7.7349332779236099E-2</v>
      </c>
      <c r="R3776">
        <v>0.96077023439792997</v>
      </c>
      <c r="S3776" t="s">
        <v>9359</v>
      </c>
      <c r="T3776" t="s">
        <v>11164</v>
      </c>
      <c r="U3776" t="s">
        <v>11164</v>
      </c>
      <c r="V3776" t="s">
        <v>11164</v>
      </c>
      <c r="W3776" t="s">
        <v>14897</v>
      </c>
      <c r="X3776">
        <v>1</v>
      </c>
      <c r="Y3776" t="s">
        <v>20375</v>
      </c>
      <c r="Z3776" t="s">
        <v>25926</v>
      </c>
      <c r="AA3776">
        <v>0.54416384503524495</v>
      </c>
      <c r="AB3776" t="str">
        <f>HYPERLINK("Melting_Curves/meltCurve_Q8IV63_3_VRK3.pdf", "Melting_Curves/meltCurve_Q8IV63_3_VRK3.pdf")</f>
        <v>Melting_Curves/meltCurve_Q8IV63_3_VRK3.pdf</v>
      </c>
    </row>
    <row r="3777" spans="1:28" x14ac:dyDescent="0.25">
      <c r="A3777" t="s">
        <v>3781</v>
      </c>
      <c r="B3777">
        <v>0.99796759195183404</v>
      </c>
      <c r="C3777">
        <v>0.93806874094940595</v>
      </c>
      <c r="D3777">
        <v>0.77570733102446998</v>
      </c>
      <c r="E3777">
        <v>0.90825486614115802</v>
      </c>
      <c r="F3777">
        <v>0.76262806572863195</v>
      </c>
      <c r="G3777">
        <v>0.35093301622922901</v>
      </c>
      <c r="H3777">
        <v>0.32441879104377802</v>
      </c>
      <c r="I3777">
        <v>0.21127090208247601</v>
      </c>
      <c r="J3777">
        <v>0.136772670075549</v>
      </c>
      <c r="K3777">
        <v>0.13086135776409599</v>
      </c>
      <c r="L3777">
        <v>658.41083982529995</v>
      </c>
      <c r="M3777">
        <v>12.5255789451863</v>
      </c>
      <c r="N3777">
        <v>53.094015020362697</v>
      </c>
      <c r="O3777">
        <v>51.279419404675203</v>
      </c>
      <c r="P3777">
        <v>-5.7496649390921799E-2</v>
      </c>
      <c r="Q3777">
        <v>5.8632566511648797E-2</v>
      </c>
      <c r="R3777">
        <v>0.94848094068197097</v>
      </c>
      <c r="S3777" t="s">
        <v>9360</v>
      </c>
      <c r="T3777" t="s">
        <v>11164</v>
      </c>
      <c r="U3777" t="s">
        <v>11164</v>
      </c>
      <c r="V3777" t="s">
        <v>11164</v>
      </c>
      <c r="W3777" t="s">
        <v>14898</v>
      </c>
      <c r="X3777">
        <v>4</v>
      </c>
      <c r="Y3777" t="s">
        <v>20376</v>
      </c>
      <c r="Z3777" t="s">
        <v>25927</v>
      </c>
      <c r="AA3777">
        <v>0.56743727687987999</v>
      </c>
      <c r="AB3777" t="str">
        <f>HYPERLINK("Melting_Curves/meltCurve_Q8IVB5_LIX1L.pdf", "Melting_Curves/meltCurve_Q8IVB5_LIX1L.pdf")</f>
        <v>Melting_Curves/meltCurve_Q8IVB5_LIX1L.pdf</v>
      </c>
    </row>
    <row r="3778" spans="1:28" x14ac:dyDescent="0.25">
      <c r="A3778" t="s">
        <v>3782</v>
      </c>
      <c r="B3778">
        <v>0.99796759195183404</v>
      </c>
      <c r="C3778">
        <v>0.92192587690926397</v>
      </c>
      <c r="D3778">
        <v>0.99625548504098604</v>
      </c>
      <c r="E3778">
        <v>0.94364276562004201</v>
      </c>
      <c r="F3778">
        <v>0.71661919542725205</v>
      </c>
      <c r="G3778">
        <v>0.31539065383450698</v>
      </c>
      <c r="H3778">
        <v>0.216275812624351</v>
      </c>
      <c r="I3778">
        <v>0.16515905308975101</v>
      </c>
      <c r="J3778">
        <v>0.117160575506412</v>
      </c>
      <c r="K3778">
        <v>9.3596388415362705E-2</v>
      </c>
      <c r="L3778">
        <v>1330.3819220232001</v>
      </c>
      <c r="M3778">
        <v>25.825715226067398</v>
      </c>
      <c r="N3778">
        <v>52.083337104496998</v>
      </c>
      <c r="O3778">
        <v>51.207955483551899</v>
      </c>
      <c r="P3778">
        <v>-0.11057466937501</v>
      </c>
      <c r="Q3778">
        <v>0.123008090958918</v>
      </c>
      <c r="R3778">
        <v>0.993010468691366</v>
      </c>
      <c r="S3778" t="s">
        <v>9361</v>
      </c>
      <c r="T3778" t="s">
        <v>11164</v>
      </c>
      <c r="U3778" t="s">
        <v>11164</v>
      </c>
      <c r="V3778" t="s">
        <v>11164</v>
      </c>
      <c r="W3778" t="s">
        <v>14899</v>
      </c>
      <c r="X3778">
        <v>7</v>
      </c>
      <c r="Y3778" t="s">
        <v>20377</v>
      </c>
      <c r="Z3778" t="s">
        <v>25928</v>
      </c>
      <c r="AA3778">
        <v>0.55460113763312602</v>
      </c>
      <c r="AB3778" t="str">
        <f>HYPERLINK("Melting_Curves/meltCurve_Q8IVD9_NUDCD3.pdf", "Melting_Curves/meltCurve_Q8IVD9_NUDCD3.pdf")</f>
        <v>Melting_Curves/meltCurve_Q8IVD9_NUDCD3.pdf</v>
      </c>
    </row>
    <row r="3779" spans="1:28" x14ac:dyDescent="0.25">
      <c r="A3779" t="s">
        <v>3783</v>
      </c>
      <c r="B3779">
        <v>0.99796759195183404</v>
      </c>
      <c r="C3779">
        <v>0.85243094883319803</v>
      </c>
      <c r="D3779">
        <v>0.89621159951876705</v>
      </c>
      <c r="E3779">
        <v>0.86221380345487497</v>
      </c>
      <c r="F3779">
        <v>0.72915898939915902</v>
      </c>
      <c r="G3779">
        <v>0.59882983371065002</v>
      </c>
      <c r="H3779">
        <v>0.74663141328037397</v>
      </c>
      <c r="I3779">
        <v>0.566494929066925</v>
      </c>
      <c r="J3779">
        <v>0.84121465611480495</v>
      </c>
      <c r="K3779">
        <v>0.41998551153258201</v>
      </c>
      <c r="L3779">
        <v>297.81608920131998</v>
      </c>
      <c r="M3779">
        <v>5.8123820688080601</v>
      </c>
      <c r="O3779">
        <v>46.149467428503698</v>
      </c>
      <c r="P3779">
        <v>-1.63568526861993E-2</v>
      </c>
      <c r="Q3779">
        <v>0.48239254767829898</v>
      </c>
      <c r="R3779">
        <v>0.58565510202451698</v>
      </c>
      <c r="S3779" t="s">
        <v>9362</v>
      </c>
      <c r="T3779" t="s">
        <v>11164</v>
      </c>
      <c r="U3779" t="s">
        <v>11164</v>
      </c>
      <c r="V3779" t="s">
        <v>11164</v>
      </c>
      <c r="W3779" t="s">
        <v>14900</v>
      </c>
      <c r="X3779">
        <v>1</v>
      </c>
      <c r="Y3779" t="s">
        <v>20378</v>
      </c>
      <c r="Z3779" t="s">
        <v>25929</v>
      </c>
      <c r="AA3779">
        <v>0.74665291080037977</v>
      </c>
      <c r="AB3779" t="str">
        <f>HYPERLINK("Melting_Curves/meltCurve_Q8IVF2_3_AHNAK2.pdf", "Melting_Curves/meltCurve_Q8IVF2_3_AHNAK2.pdf")</f>
        <v>Melting_Curves/meltCurve_Q8IVF2_3_AHNAK2.pdf</v>
      </c>
    </row>
    <row r="3780" spans="1:28" x14ac:dyDescent="0.25">
      <c r="A3780" t="s">
        <v>3784</v>
      </c>
      <c r="B3780">
        <v>0.99796759195183404</v>
      </c>
      <c r="C3780">
        <v>1.03865901216323</v>
      </c>
      <c r="D3780">
        <v>0.98420233423067005</v>
      </c>
      <c r="E3780">
        <v>0.97837912835810903</v>
      </c>
      <c r="F3780">
        <v>0.831347928177819</v>
      </c>
      <c r="G3780">
        <v>0.77709573454937897</v>
      </c>
      <c r="H3780">
        <v>0.73371913117529697</v>
      </c>
      <c r="I3780">
        <v>0.66270758801835905</v>
      </c>
      <c r="J3780">
        <v>0.67867134225801795</v>
      </c>
      <c r="K3780">
        <v>0.54760672050519998</v>
      </c>
      <c r="L3780">
        <v>583.40051167624597</v>
      </c>
      <c r="M3780">
        <v>10.6506105505685</v>
      </c>
      <c r="O3780">
        <v>52.9510812987943</v>
      </c>
      <c r="P3780">
        <v>-2.2974366514667902E-2</v>
      </c>
      <c r="Q3780">
        <v>0.54329281927717898</v>
      </c>
      <c r="R3780">
        <v>0.95330044824189197</v>
      </c>
      <c r="S3780" t="s">
        <v>9363</v>
      </c>
      <c r="T3780" t="s">
        <v>11164</v>
      </c>
      <c r="U3780" t="s">
        <v>11164</v>
      </c>
      <c r="V3780" t="s">
        <v>11164</v>
      </c>
      <c r="W3780" t="s">
        <v>14901</v>
      </c>
      <c r="X3780">
        <v>1</v>
      </c>
      <c r="Y3780" t="s">
        <v>20379</v>
      </c>
      <c r="Z3780" t="s">
        <v>25930</v>
      </c>
      <c r="AA3780">
        <v>0.8204125213707345</v>
      </c>
      <c r="AB3780" t="str">
        <f>HYPERLINK("Melting_Curves/meltCurve_Q8IVF6_ANKRD18A.pdf", "Melting_Curves/meltCurve_Q8IVF6_ANKRD18A.pdf")</f>
        <v>Melting_Curves/meltCurve_Q8IVF6_ANKRD18A.pdf</v>
      </c>
    </row>
    <row r="3781" spans="1:28" x14ac:dyDescent="0.25">
      <c r="A3781" t="s">
        <v>3785</v>
      </c>
      <c r="B3781">
        <v>0.99796759195183404</v>
      </c>
      <c r="C3781">
        <v>1.0286991292252301</v>
      </c>
      <c r="D3781">
        <v>0.98567536334864003</v>
      </c>
      <c r="E3781">
        <v>0.99084702133494695</v>
      </c>
      <c r="F3781">
        <v>0.70374915186382803</v>
      </c>
      <c r="G3781">
        <v>0.43900600875304602</v>
      </c>
      <c r="H3781">
        <v>0.220202653868496</v>
      </c>
      <c r="I3781">
        <v>0.12232267035279699</v>
      </c>
      <c r="J3781">
        <v>0.15396218220559499</v>
      </c>
      <c r="K3781">
        <v>7.4720910241319299E-2</v>
      </c>
      <c r="L3781">
        <v>1106.1446604681601</v>
      </c>
      <c r="M3781">
        <v>21.130973351397198</v>
      </c>
      <c r="N3781">
        <v>52.8793422889052</v>
      </c>
      <c r="O3781">
        <v>51.885016964147503</v>
      </c>
      <c r="P3781">
        <v>-9.2064799881751896E-2</v>
      </c>
      <c r="Q3781">
        <v>9.5799499145577505E-2</v>
      </c>
      <c r="R3781">
        <v>0.99471139183126001</v>
      </c>
      <c r="S3781" t="s">
        <v>9364</v>
      </c>
      <c r="T3781" t="s">
        <v>11164</v>
      </c>
      <c r="U3781" t="s">
        <v>11164</v>
      </c>
      <c r="V3781" t="s">
        <v>11164</v>
      </c>
      <c r="W3781" t="s">
        <v>14902</v>
      </c>
      <c r="X3781">
        <v>3</v>
      </c>
      <c r="Y3781" t="s">
        <v>20380</v>
      </c>
      <c r="Z3781" t="s">
        <v>25931</v>
      </c>
      <c r="AA3781">
        <v>0.56900039241763367</v>
      </c>
      <c r="AB3781" t="str">
        <f>HYPERLINK("Melting_Curves/meltCurve_Q8IVH8_3_MAP4K3.pdf", "Melting_Curves/meltCurve_Q8IVH8_3_MAP4K3.pdf")</f>
        <v>Melting_Curves/meltCurve_Q8IVH8_3_MAP4K3.pdf</v>
      </c>
    </row>
    <row r="3782" spans="1:28" x14ac:dyDescent="0.25">
      <c r="A3782" t="s">
        <v>3786</v>
      </c>
      <c r="B3782">
        <v>0.99796759195183404</v>
      </c>
      <c r="C3782">
        <v>1.0256715216965</v>
      </c>
      <c r="D3782">
        <v>1.03308955784569</v>
      </c>
      <c r="E3782">
        <v>1.0161990332353099</v>
      </c>
      <c r="F3782">
        <v>0.88505626574881102</v>
      </c>
      <c r="G3782">
        <v>0.68203058310262599</v>
      </c>
      <c r="H3782">
        <v>0.71970903714321299</v>
      </c>
      <c r="I3782">
        <v>0.62328469362157002</v>
      </c>
      <c r="J3782">
        <v>0.80563750121383904</v>
      </c>
      <c r="K3782">
        <v>0.76282187345441699</v>
      </c>
      <c r="L3782">
        <v>12568.559361539201</v>
      </c>
      <c r="M3782">
        <v>250</v>
      </c>
      <c r="O3782">
        <v>50.2710202283575</v>
      </c>
      <c r="P3782">
        <v>-0.34973338547530802</v>
      </c>
      <c r="Q3782">
        <v>0.71869673479718599</v>
      </c>
      <c r="R3782">
        <v>0.900574240592661</v>
      </c>
      <c r="S3782" t="s">
        <v>9365</v>
      </c>
      <c r="T3782" t="s">
        <v>11164</v>
      </c>
      <c r="U3782" t="s">
        <v>11164</v>
      </c>
      <c r="V3782" t="s">
        <v>11164</v>
      </c>
      <c r="W3782" t="s">
        <v>14903</v>
      </c>
      <c r="X3782">
        <v>22</v>
      </c>
      <c r="Y3782" t="s">
        <v>20381</v>
      </c>
      <c r="Z3782" t="s">
        <v>25932</v>
      </c>
      <c r="AA3782">
        <v>0.8431910988821758</v>
      </c>
      <c r="AB3782" t="str">
        <f>HYPERLINK("Melting_Curves/meltCurve_Q8IVM0_CCDC50.pdf", "Melting_Curves/meltCurve_Q8IVM0_CCDC50.pdf")</f>
        <v>Melting_Curves/meltCurve_Q8IVM0_CCDC50.pdf</v>
      </c>
    </row>
    <row r="3783" spans="1:28" x14ac:dyDescent="0.25">
      <c r="A3783" t="s">
        <v>3787</v>
      </c>
      <c r="B3783">
        <v>0.99796759195183404</v>
      </c>
      <c r="C3783">
        <v>1.2358308384187999</v>
      </c>
      <c r="D3783">
        <v>1.06356696687921</v>
      </c>
      <c r="E3783">
        <v>1.2059258949792999</v>
      </c>
      <c r="F3783">
        <v>1.40178110416049</v>
      </c>
      <c r="G3783">
        <v>0.57835447802591899</v>
      </c>
      <c r="H3783">
        <v>0.77872665761186999</v>
      </c>
      <c r="I3783">
        <v>0.66791603450828696</v>
      </c>
      <c r="J3783">
        <v>0.77192052140224399</v>
      </c>
      <c r="K3783">
        <v>0.53143825257082999</v>
      </c>
      <c r="L3783">
        <v>13025.8461527087</v>
      </c>
      <c r="M3783">
        <v>250</v>
      </c>
      <c r="O3783">
        <v>52.100044532787201</v>
      </c>
      <c r="P3783">
        <v>-0.40108078673528702</v>
      </c>
      <c r="Q3783">
        <v>0.66565873345891202</v>
      </c>
      <c r="R3783">
        <v>0.61484764333842801</v>
      </c>
      <c r="S3783" t="s">
        <v>9366</v>
      </c>
      <c r="T3783" t="s">
        <v>11164</v>
      </c>
      <c r="U3783" t="s">
        <v>11164</v>
      </c>
      <c r="V3783" t="s">
        <v>11164</v>
      </c>
      <c r="W3783" t="s">
        <v>14904</v>
      </c>
      <c r="X3783">
        <v>22</v>
      </c>
      <c r="Y3783" t="s">
        <v>20381</v>
      </c>
      <c r="Z3783" t="s">
        <v>25933</v>
      </c>
      <c r="AA3783">
        <v>0.83401213049622691</v>
      </c>
      <c r="AB3783" t="str">
        <f>HYPERLINK("Melting_Curves/meltCurve_Q8IVM0_2_CCDC50.pdf", "Melting_Curves/meltCurve_Q8IVM0_2_CCDC50.pdf")</f>
        <v>Melting_Curves/meltCurve_Q8IVM0_2_CCDC50.pdf</v>
      </c>
    </row>
    <row r="3784" spans="1:28" x14ac:dyDescent="0.25">
      <c r="A3784" t="s">
        <v>3788</v>
      </c>
      <c r="B3784">
        <v>0.99796759195183404</v>
      </c>
      <c r="C3784">
        <v>0.90092875679005502</v>
      </c>
      <c r="D3784">
        <v>0.873762127033063</v>
      </c>
      <c r="E3784">
        <v>0.79396385063669295</v>
      </c>
      <c r="F3784">
        <v>0.74984306690524005</v>
      </c>
      <c r="G3784">
        <v>0.63362946928105301</v>
      </c>
      <c r="H3784">
        <v>0.37241691856327702</v>
      </c>
      <c r="I3784">
        <v>0.23875763206717299</v>
      </c>
      <c r="J3784">
        <v>0.139590242099598</v>
      </c>
      <c r="K3784">
        <v>0.11954656726678101</v>
      </c>
      <c r="L3784">
        <v>556.01303500804795</v>
      </c>
      <c r="M3784">
        <v>10.154631861369699</v>
      </c>
      <c r="N3784">
        <v>54.754621393887298</v>
      </c>
      <c r="O3784">
        <v>52.758480607486597</v>
      </c>
      <c r="P3784">
        <v>-4.8140554043100303E-2</v>
      </c>
      <c r="Q3784">
        <v>0</v>
      </c>
      <c r="R3784">
        <v>0.97385847678872095</v>
      </c>
      <c r="S3784" t="s">
        <v>9367</v>
      </c>
      <c r="T3784" t="s">
        <v>11164</v>
      </c>
      <c r="U3784" t="s">
        <v>11164</v>
      </c>
      <c r="V3784" t="s">
        <v>11164</v>
      </c>
      <c r="W3784" t="s">
        <v>14905</v>
      </c>
      <c r="X3784">
        <v>4</v>
      </c>
      <c r="Y3784" t="s">
        <v>20382</v>
      </c>
      <c r="Z3784" t="s">
        <v>25934</v>
      </c>
      <c r="AA3784">
        <v>0.60559573504229169</v>
      </c>
      <c r="AB3784" t="str">
        <f>HYPERLINK("Melting_Curves/meltCurve_Q8IVS2_MCAT.pdf", "Melting_Curves/meltCurve_Q8IVS2_MCAT.pdf")</f>
        <v>Melting_Curves/meltCurve_Q8IVS2_MCAT.pdf</v>
      </c>
    </row>
    <row r="3785" spans="1:28" x14ac:dyDescent="0.25">
      <c r="A3785" t="s">
        <v>3789</v>
      </c>
      <c r="B3785">
        <v>0.99796759195183404</v>
      </c>
      <c r="C3785">
        <v>0.88647092668500305</v>
      </c>
      <c r="D3785">
        <v>0.84824468712108403</v>
      </c>
      <c r="E3785">
        <v>0.80679974046785297</v>
      </c>
      <c r="F3785">
        <v>0.49648572214054798</v>
      </c>
      <c r="G3785">
        <v>0.27963004252190998</v>
      </c>
      <c r="H3785">
        <v>0.25604193461095198</v>
      </c>
      <c r="I3785">
        <v>0.21092653872912701</v>
      </c>
      <c r="J3785">
        <v>0.21362190581367199</v>
      </c>
      <c r="K3785">
        <v>0.20107513508597799</v>
      </c>
      <c r="L3785">
        <v>758.68980787619</v>
      </c>
      <c r="M3785">
        <v>15.5580291340468</v>
      </c>
      <c r="N3785">
        <v>50.185924365966997</v>
      </c>
      <c r="O3785">
        <v>47.980810374325301</v>
      </c>
      <c r="P3785">
        <v>-6.6630076058320303E-2</v>
      </c>
      <c r="Q3785">
        <v>0.178125864936966</v>
      </c>
      <c r="R3785">
        <v>0.97884699363574401</v>
      </c>
      <c r="S3785" t="s">
        <v>9368</v>
      </c>
      <c r="T3785" t="s">
        <v>11164</v>
      </c>
      <c r="U3785" t="s">
        <v>11164</v>
      </c>
      <c r="V3785" t="s">
        <v>11164</v>
      </c>
      <c r="W3785" t="s">
        <v>14906</v>
      </c>
      <c r="X3785">
        <v>2</v>
      </c>
      <c r="Y3785" t="s">
        <v>20383</v>
      </c>
      <c r="Z3785" t="s">
        <v>25935</v>
      </c>
      <c r="AA3785">
        <v>0.51720791513863495</v>
      </c>
      <c r="AB3785" t="str">
        <f>HYPERLINK("Melting_Curves/meltCurve_Q8IVW6_4_ARID3B.pdf", "Melting_Curves/meltCurve_Q8IVW6_4_ARID3B.pdf")</f>
        <v>Melting_Curves/meltCurve_Q8IVW6_4_ARID3B.pdf</v>
      </c>
    </row>
    <row r="3786" spans="1:28" x14ac:dyDescent="0.25">
      <c r="A3786" t="s">
        <v>3790</v>
      </c>
      <c r="B3786">
        <v>0.99796759195183404</v>
      </c>
      <c r="C3786">
        <v>1.0711618452799001</v>
      </c>
      <c r="D3786">
        <v>0.98420637229631602</v>
      </c>
      <c r="E3786">
        <v>0.90368054745488202</v>
      </c>
      <c r="F3786">
        <v>0.71967484579597796</v>
      </c>
      <c r="G3786">
        <v>0.38027951397982201</v>
      </c>
      <c r="H3786">
        <v>0.213635887772651</v>
      </c>
      <c r="I3786">
        <v>0.13966213416979301</v>
      </c>
      <c r="J3786">
        <v>0.202906750124901</v>
      </c>
      <c r="K3786">
        <v>0.192756279632362</v>
      </c>
      <c r="L3786">
        <v>1259.1058200534701</v>
      </c>
      <c r="M3786">
        <v>24.4843954952579</v>
      </c>
      <c r="N3786">
        <v>52.292842965414103</v>
      </c>
      <c r="O3786">
        <v>51.085469748752899</v>
      </c>
      <c r="P3786">
        <v>-9.9813980506012701E-2</v>
      </c>
      <c r="Q3786">
        <v>0.16698461681337201</v>
      </c>
      <c r="R3786">
        <v>0.99243809781179604</v>
      </c>
      <c r="S3786" t="s">
        <v>9369</v>
      </c>
      <c r="T3786" t="s">
        <v>11164</v>
      </c>
      <c r="U3786" t="s">
        <v>11164</v>
      </c>
      <c r="V3786" t="s">
        <v>11164</v>
      </c>
      <c r="W3786" t="s">
        <v>14907</v>
      </c>
      <c r="X3786">
        <v>3</v>
      </c>
      <c r="Y3786" t="s">
        <v>20384</v>
      </c>
      <c r="Z3786" t="s">
        <v>25936</v>
      </c>
      <c r="AA3786">
        <v>0.57517440283293686</v>
      </c>
      <c r="AB3786" t="str">
        <f>HYPERLINK("Melting_Curves/meltCurve_Q8IW45_CARKD.pdf", "Melting_Curves/meltCurve_Q8IW45_CARKD.pdf")</f>
        <v>Melting_Curves/meltCurve_Q8IW45_CARKD.pdf</v>
      </c>
    </row>
    <row r="3787" spans="1:28" x14ac:dyDescent="0.25">
      <c r="A3787" t="s">
        <v>3791</v>
      </c>
      <c r="B3787">
        <v>0.99796759195183404</v>
      </c>
      <c r="C3787">
        <v>1.0475038267040899</v>
      </c>
      <c r="D3787">
        <v>0.98450859109571598</v>
      </c>
      <c r="E3787">
        <v>0.89407293520938502</v>
      </c>
      <c r="F3787">
        <v>0.85603844680119701</v>
      </c>
      <c r="G3787">
        <v>0.549799682964076</v>
      </c>
      <c r="H3787">
        <v>0.205733092198955</v>
      </c>
      <c r="I3787">
        <v>0.17656693339684301</v>
      </c>
      <c r="J3787">
        <v>0.148805175850036</v>
      </c>
      <c r="K3787">
        <v>0.101302046433596</v>
      </c>
      <c r="L3787">
        <v>1284.0255224729001</v>
      </c>
      <c r="M3787">
        <v>24.004289901304301</v>
      </c>
      <c r="N3787">
        <v>54.049638123389499</v>
      </c>
      <c r="O3787">
        <v>53.124394973122399</v>
      </c>
      <c r="P3787">
        <v>-0.100564107909103</v>
      </c>
      <c r="Q3787">
        <v>0.109771777898652</v>
      </c>
      <c r="R3787">
        <v>0.99070950088863896</v>
      </c>
      <c r="S3787" t="s">
        <v>9370</v>
      </c>
      <c r="T3787" t="s">
        <v>11164</v>
      </c>
      <c r="U3787" t="s">
        <v>11164</v>
      </c>
      <c r="V3787" t="s">
        <v>11164</v>
      </c>
      <c r="W3787" t="s">
        <v>14908</v>
      </c>
      <c r="X3787">
        <v>8</v>
      </c>
      <c r="Y3787" t="s">
        <v>20385</v>
      </c>
      <c r="Z3787" t="s">
        <v>25937</v>
      </c>
      <c r="AA3787">
        <v>0.60751912746569303</v>
      </c>
      <c r="AB3787" t="str">
        <f>HYPERLINK("Melting_Curves/meltCurve_Q8IWA4_MFN1.pdf", "Melting_Curves/meltCurve_Q8IWA4_MFN1.pdf")</f>
        <v>Melting_Curves/meltCurve_Q8IWA4_MFN1.pdf</v>
      </c>
    </row>
    <row r="3788" spans="1:28" x14ac:dyDescent="0.25">
      <c r="A3788" t="s">
        <v>3792</v>
      </c>
      <c r="B3788">
        <v>0.99796759195183404</v>
      </c>
      <c r="C3788">
        <v>0.99981451321911996</v>
      </c>
      <c r="D3788">
        <v>1.0129871802605099</v>
      </c>
      <c r="E3788">
        <v>1.0182470339255001</v>
      </c>
      <c r="F3788">
        <v>0.80065040399704002</v>
      </c>
      <c r="G3788">
        <v>0.75592449856574495</v>
      </c>
      <c r="H3788">
        <v>0.10803646873535901</v>
      </c>
      <c r="I3788">
        <v>4.0192692739796199E-2</v>
      </c>
      <c r="J3788">
        <v>2.6631631221933801E-2</v>
      </c>
      <c r="K3788">
        <v>2.6878954922917801E-2</v>
      </c>
      <c r="L3788">
        <v>2580.1853252144801</v>
      </c>
      <c r="M3788">
        <v>46.9856000826585</v>
      </c>
      <c r="N3788">
        <v>54.9656259903199</v>
      </c>
      <c r="O3788">
        <v>54.815178721772</v>
      </c>
      <c r="P3788">
        <v>-0.20970047483745</v>
      </c>
      <c r="Q3788">
        <v>2.1422909227112701E-2</v>
      </c>
      <c r="R3788">
        <v>0.98081391555390296</v>
      </c>
      <c r="S3788" t="s">
        <v>9371</v>
      </c>
      <c r="T3788" t="s">
        <v>11164</v>
      </c>
      <c r="U3788" t="s">
        <v>11164</v>
      </c>
      <c r="V3788" t="s">
        <v>11164</v>
      </c>
      <c r="W3788" t="s">
        <v>14909</v>
      </c>
      <c r="X3788">
        <v>5</v>
      </c>
      <c r="Y3788" t="s">
        <v>20386</v>
      </c>
      <c r="Z3788" t="s">
        <v>25938</v>
      </c>
      <c r="AA3788">
        <v>0.60845028123749689</v>
      </c>
      <c r="AB3788" t="str">
        <f>HYPERLINK("Melting_Curves/meltCurve_Q8IWB1_ITPRIP.pdf", "Melting_Curves/meltCurve_Q8IWB1_ITPRIP.pdf")</f>
        <v>Melting_Curves/meltCurve_Q8IWB1_ITPRIP.pdf</v>
      </c>
    </row>
    <row r="3789" spans="1:28" x14ac:dyDescent="0.25">
      <c r="A3789" t="s">
        <v>3793</v>
      </c>
      <c r="B3789">
        <v>0.99796759195183404</v>
      </c>
      <c r="C3789">
        <v>1.0124598731504699</v>
      </c>
      <c r="D3789">
        <v>0.99007967251255802</v>
      </c>
      <c r="E3789">
        <v>0.94299816339916598</v>
      </c>
      <c r="F3789">
        <v>0.85241712843207296</v>
      </c>
      <c r="G3789">
        <v>0.60395189272365501</v>
      </c>
      <c r="H3789">
        <v>0.57746691285104101</v>
      </c>
      <c r="I3789">
        <v>0.49483460594350698</v>
      </c>
      <c r="J3789">
        <v>0.372254664253718</v>
      </c>
      <c r="K3789">
        <v>0.20441926453639001</v>
      </c>
      <c r="L3789">
        <v>520.01301638862697</v>
      </c>
      <c r="M3789">
        <v>8.7905478706301494</v>
      </c>
      <c r="N3789">
        <v>59.155913536301398</v>
      </c>
      <c r="O3789">
        <v>56.334217103710799</v>
      </c>
      <c r="P3789">
        <v>-3.9041663387356602E-2</v>
      </c>
      <c r="Q3789">
        <v>0</v>
      </c>
      <c r="R3789">
        <v>0.97185231595914101</v>
      </c>
      <c r="S3789" t="s">
        <v>9372</v>
      </c>
      <c r="T3789" t="s">
        <v>11164</v>
      </c>
      <c r="U3789" t="s">
        <v>11164</v>
      </c>
      <c r="V3789" t="s">
        <v>11164</v>
      </c>
      <c r="W3789" t="s">
        <v>14910</v>
      </c>
      <c r="X3789">
        <v>5</v>
      </c>
      <c r="Y3789" t="s">
        <v>20387</v>
      </c>
      <c r="Z3789" t="s">
        <v>25939</v>
      </c>
      <c r="AA3789">
        <v>0.71176346735268414</v>
      </c>
      <c r="AB3789" t="str">
        <f>HYPERLINK("Melting_Curves/meltCurve_Q8IWB7_WDFY1.pdf", "Melting_Curves/meltCurve_Q8IWB7_WDFY1.pdf")</f>
        <v>Melting_Curves/meltCurve_Q8IWB7_WDFY1.pdf</v>
      </c>
    </row>
    <row r="3790" spans="1:28" x14ac:dyDescent="0.25">
      <c r="A3790" t="s">
        <v>3794</v>
      </c>
      <c r="B3790">
        <v>0.99796759195183404</v>
      </c>
      <c r="C3790">
        <v>1.0380323406643399</v>
      </c>
      <c r="D3790">
        <v>1.0648335578921</v>
      </c>
      <c r="E3790">
        <v>1.1442017516265699</v>
      </c>
      <c r="F3790">
        <v>0.96240559166195605</v>
      </c>
      <c r="G3790">
        <v>0.150870282900364</v>
      </c>
      <c r="H3790">
        <v>0.14923695380756399</v>
      </c>
      <c r="I3790">
        <v>4.3627720571728E-2</v>
      </c>
      <c r="J3790">
        <v>3.5886271891479297E-2</v>
      </c>
      <c r="K3790">
        <v>0</v>
      </c>
      <c r="L3790">
        <v>3989.6582325117001</v>
      </c>
      <c r="M3790">
        <v>76.332595382631197</v>
      </c>
      <c r="N3790">
        <v>52.349015623220502</v>
      </c>
      <c r="O3790">
        <v>52.230931357285698</v>
      </c>
      <c r="P3790">
        <v>-0.34471649159671303</v>
      </c>
      <c r="Q3790">
        <v>5.6504754425040202E-2</v>
      </c>
      <c r="R3790">
        <v>0.98367805972329303</v>
      </c>
      <c r="S3790" t="s">
        <v>9373</v>
      </c>
      <c r="T3790" t="s">
        <v>11164</v>
      </c>
      <c r="U3790" t="s">
        <v>11164</v>
      </c>
      <c r="V3790" t="s">
        <v>11164</v>
      </c>
      <c r="W3790" t="s">
        <v>14911</v>
      </c>
      <c r="X3790">
        <v>4</v>
      </c>
      <c r="Y3790" t="s">
        <v>20388</v>
      </c>
      <c r="Z3790" t="s">
        <v>25940</v>
      </c>
      <c r="AA3790">
        <v>0.53757258982623524</v>
      </c>
      <c r="AB3790" t="str">
        <f>HYPERLINK("Melting_Curves/meltCurve_Q8IWB9_TEX2.pdf", "Melting_Curves/meltCurve_Q8IWB9_TEX2.pdf")</f>
        <v>Melting_Curves/meltCurve_Q8IWB9_TEX2.pdf</v>
      </c>
    </row>
    <row r="3791" spans="1:28" x14ac:dyDescent="0.25">
      <c r="A3791" t="s">
        <v>3795</v>
      </c>
      <c r="B3791">
        <v>0.99796759195183404</v>
      </c>
      <c r="C3791">
        <v>1.0736553077383699</v>
      </c>
      <c r="D3791">
        <v>1.04676155120901</v>
      </c>
      <c r="E3791">
        <v>0.95726849035389205</v>
      </c>
      <c r="F3791">
        <v>0.79691165722617396</v>
      </c>
      <c r="G3791">
        <v>0.43357668838660401</v>
      </c>
      <c r="H3791">
        <v>0.32803478773834799</v>
      </c>
      <c r="I3791">
        <v>0.27340420848603503</v>
      </c>
      <c r="J3791">
        <v>0.16334666384212501</v>
      </c>
      <c r="K3791">
        <v>0.15281270083520401</v>
      </c>
      <c r="L3791">
        <v>1168.4634962177099</v>
      </c>
      <c r="M3791">
        <v>22.284300465757799</v>
      </c>
      <c r="N3791">
        <v>53.523778357828498</v>
      </c>
      <c r="O3791">
        <v>52.0175858859876</v>
      </c>
      <c r="P3791">
        <v>-8.7575196862149998E-2</v>
      </c>
      <c r="Q3791">
        <v>0.182320177893005</v>
      </c>
      <c r="R3791">
        <v>0.98655328729549796</v>
      </c>
      <c r="S3791" t="s">
        <v>9374</v>
      </c>
      <c r="T3791" t="s">
        <v>11164</v>
      </c>
      <c r="U3791" t="s">
        <v>11164</v>
      </c>
      <c r="V3791" t="s">
        <v>11164</v>
      </c>
      <c r="W3791" t="s">
        <v>14912</v>
      </c>
      <c r="X3791">
        <v>5</v>
      </c>
      <c r="Y3791" t="s">
        <v>20389</v>
      </c>
      <c r="Z3791" t="s">
        <v>25941</v>
      </c>
      <c r="AA3791">
        <v>0.61181570137544095</v>
      </c>
      <c r="AB3791" t="str">
        <f>HYPERLINK("Melting_Curves/meltCurve_Q8IWC1_2_MAP7D3.pdf", "Melting_Curves/meltCurve_Q8IWC1_2_MAP7D3.pdf")</f>
        <v>Melting_Curves/meltCurve_Q8IWC1_2_MAP7D3.pdf</v>
      </c>
    </row>
    <row r="3792" spans="1:28" x14ac:dyDescent="0.25">
      <c r="A3792" t="s">
        <v>3796</v>
      </c>
      <c r="B3792">
        <v>0.99796759195183404</v>
      </c>
      <c r="C3792">
        <v>1.19835474399881</v>
      </c>
      <c r="D3792">
        <v>0.99209293126416698</v>
      </c>
      <c r="E3792">
        <v>0.89614524256088202</v>
      </c>
      <c r="F3792">
        <v>0.69335241539477799</v>
      </c>
      <c r="G3792">
        <v>0.35122551615081599</v>
      </c>
      <c r="H3792">
        <v>0.268911354393643</v>
      </c>
      <c r="I3792">
        <v>0.25256658742174598</v>
      </c>
      <c r="J3792">
        <v>0.150904465927859</v>
      </c>
      <c r="K3792">
        <v>0.132495032877049</v>
      </c>
      <c r="L3792">
        <v>1100.96073156434</v>
      </c>
      <c r="M3792">
        <v>21.483377031565698</v>
      </c>
      <c r="N3792">
        <v>52.225498824196102</v>
      </c>
      <c r="O3792">
        <v>50.8092718088661</v>
      </c>
      <c r="P3792">
        <v>-8.81961054553735E-2</v>
      </c>
      <c r="Q3792">
        <v>0.16566760894339</v>
      </c>
      <c r="R3792">
        <v>0.96713299606459402</v>
      </c>
      <c r="S3792" t="s">
        <v>9375</v>
      </c>
      <c r="T3792" t="s">
        <v>11164</v>
      </c>
      <c r="U3792" t="s">
        <v>11164</v>
      </c>
      <c r="V3792" t="s">
        <v>11164</v>
      </c>
      <c r="W3792" t="s">
        <v>14913</v>
      </c>
      <c r="X3792">
        <v>1</v>
      </c>
      <c r="Y3792" t="s">
        <v>20390</v>
      </c>
      <c r="Z3792" t="s">
        <v>25942</v>
      </c>
      <c r="AA3792">
        <v>0.57155633209479029</v>
      </c>
      <c r="AB3792" t="str">
        <f>HYPERLINK("Melting_Curves/meltCurve_Q8IWE4_DCUN1D3.pdf", "Melting_Curves/meltCurve_Q8IWE4_DCUN1D3.pdf")</f>
        <v>Melting_Curves/meltCurve_Q8IWE4_DCUN1D3.pdf</v>
      </c>
    </row>
    <row r="3793" spans="1:28" x14ac:dyDescent="0.25">
      <c r="A3793" t="s">
        <v>3797</v>
      </c>
      <c r="B3793">
        <v>0.99796759195183404</v>
      </c>
      <c r="C3793">
        <v>0.94962439532982901</v>
      </c>
      <c r="D3793">
        <v>0.96336842122296995</v>
      </c>
      <c r="E3793">
        <v>0.85224939590970905</v>
      </c>
      <c r="F3793">
        <v>0.85530527975349502</v>
      </c>
      <c r="G3793">
        <v>0.44177835327842901</v>
      </c>
      <c r="H3793">
        <v>0.38936144700338798</v>
      </c>
      <c r="I3793">
        <v>0.23956333277740699</v>
      </c>
      <c r="J3793">
        <v>0.192044733816742</v>
      </c>
      <c r="K3793">
        <v>0.145679039717583</v>
      </c>
      <c r="L3793">
        <v>790.37525488415804</v>
      </c>
      <c r="M3793">
        <v>14.801153980342001</v>
      </c>
      <c r="N3793">
        <v>54.374192192726198</v>
      </c>
      <c r="O3793">
        <v>52.453230535440397</v>
      </c>
      <c r="P3793">
        <v>-6.23317650851445E-2</v>
      </c>
      <c r="Q3793">
        <v>0.116513587612843</v>
      </c>
      <c r="R3793">
        <v>0.97641611073947299</v>
      </c>
      <c r="S3793" t="s">
        <v>9376</v>
      </c>
      <c r="T3793" t="s">
        <v>11164</v>
      </c>
      <c r="U3793" t="s">
        <v>11164</v>
      </c>
      <c r="V3793" t="s">
        <v>11164</v>
      </c>
      <c r="W3793" t="s">
        <v>14914</v>
      </c>
      <c r="X3793">
        <v>3</v>
      </c>
      <c r="Y3793" t="s">
        <v>20391</v>
      </c>
      <c r="Z3793" t="s">
        <v>25943</v>
      </c>
      <c r="AA3793">
        <v>0.6148771229307014</v>
      </c>
      <c r="AB3793" t="str">
        <f>HYPERLINK("Melting_Curves/meltCurve_Q8IWF6_DENND6A.pdf", "Melting_Curves/meltCurve_Q8IWF6_DENND6A.pdf")</f>
        <v>Melting_Curves/meltCurve_Q8IWF6_DENND6A.pdf</v>
      </c>
    </row>
    <row r="3794" spans="1:28" x14ac:dyDescent="0.25">
      <c r="A3794" t="s">
        <v>3798</v>
      </c>
      <c r="B3794">
        <v>0.99796759195183404</v>
      </c>
      <c r="C3794">
        <v>1.28073201941836</v>
      </c>
      <c r="D3794">
        <v>1.15448059153761</v>
      </c>
      <c r="E3794">
        <v>0.98461261268123001</v>
      </c>
      <c r="F3794">
        <v>0.67548639995402904</v>
      </c>
      <c r="G3794">
        <v>0.342238991246129</v>
      </c>
      <c r="H3794">
        <v>0.254694677332446</v>
      </c>
      <c r="I3794">
        <v>0.19318478772417899</v>
      </c>
      <c r="J3794">
        <v>0.27522810917037799</v>
      </c>
      <c r="K3794">
        <v>7.8510532113671594E-2</v>
      </c>
      <c r="L3794">
        <v>1522.91533926498</v>
      </c>
      <c r="M3794">
        <v>29.836826378699602</v>
      </c>
      <c r="N3794">
        <v>51.8782565761665</v>
      </c>
      <c r="O3794">
        <v>50.813851756278197</v>
      </c>
      <c r="P3794">
        <v>-0.118757872038882</v>
      </c>
      <c r="Q3794">
        <v>0.19099947651286101</v>
      </c>
      <c r="R3794">
        <v>0.93031647685426599</v>
      </c>
      <c r="S3794" t="s">
        <v>9377</v>
      </c>
      <c r="T3794" t="s">
        <v>11164</v>
      </c>
      <c r="U3794" t="s">
        <v>11164</v>
      </c>
      <c r="V3794" t="s">
        <v>11164</v>
      </c>
      <c r="W3794" t="s">
        <v>14915</v>
      </c>
      <c r="X3794">
        <v>1</v>
      </c>
      <c r="Y3794" t="s">
        <v>20392</v>
      </c>
      <c r="Z3794" t="s">
        <v>25944</v>
      </c>
      <c r="AA3794">
        <v>0.57474820895062662</v>
      </c>
      <c r="AB3794" t="str">
        <f>HYPERLINK("Melting_Curves/meltCurve_Q8IWI9_MGA.pdf", "Melting_Curves/meltCurve_Q8IWI9_MGA.pdf")</f>
        <v>Melting_Curves/meltCurve_Q8IWI9_MGA.pdf</v>
      </c>
    </row>
    <row r="3795" spans="1:28" x14ac:dyDescent="0.25">
      <c r="A3795" t="s">
        <v>3799</v>
      </c>
      <c r="B3795">
        <v>0.99796759195183404</v>
      </c>
      <c r="C3795">
        <v>0.95781917898625601</v>
      </c>
      <c r="D3795">
        <v>0.95789041945320896</v>
      </c>
      <c r="E3795">
        <v>0.90858172320176001</v>
      </c>
      <c r="F3795">
        <v>0.428696814260355</v>
      </c>
      <c r="G3795">
        <v>0.24582835663331301</v>
      </c>
      <c r="H3795">
        <v>0.194104047676356</v>
      </c>
      <c r="I3795">
        <v>0.15342876151888701</v>
      </c>
      <c r="J3795">
        <v>0.13119258295397301</v>
      </c>
      <c r="K3795">
        <v>9.6926873234458005E-2</v>
      </c>
      <c r="L3795">
        <v>1525.89366435584</v>
      </c>
      <c r="M3795">
        <v>30.956342851356201</v>
      </c>
      <c r="N3795">
        <v>49.849092654716898</v>
      </c>
      <c r="O3795">
        <v>49.087466647082898</v>
      </c>
      <c r="P3795">
        <v>-0.13459846753761801</v>
      </c>
      <c r="Q3795">
        <v>0.14627387217677601</v>
      </c>
      <c r="R3795">
        <v>0.99273043220344404</v>
      </c>
      <c r="S3795" t="s">
        <v>9378</v>
      </c>
      <c r="T3795" t="s">
        <v>11164</v>
      </c>
      <c r="U3795" t="s">
        <v>11164</v>
      </c>
      <c r="V3795" t="s">
        <v>11164</v>
      </c>
      <c r="W3795" t="s">
        <v>14916</v>
      </c>
      <c r="X3795">
        <v>22</v>
      </c>
      <c r="Y3795" t="s">
        <v>20393</v>
      </c>
      <c r="Z3795" t="s">
        <v>25945</v>
      </c>
      <c r="AA3795">
        <v>0.50093053761006634</v>
      </c>
      <c r="AB3795" t="str">
        <f>HYPERLINK("Melting_Curves/meltCurve_Q8IWJ2_GCC2.pdf", "Melting_Curves/meltCurve_Q8IWJ2_GCC2.pdf")</f>
        <v>Melting_Curves/meltCurve_Q8IWJ2_GCC2.pdf</v>
      </c>
    </row>
    <row r="3796" spans="1:28" x14ac:dyDescent="0.25">
      <c r="A3796" t="s">
        <v>3800</v>
      </c>
      <c r="B3796">
        <v>0.99796759195183404</v>
      </c>
      <c r="C3796">
        <v>0.98142551995496397</v>
      </c>
      <c r="D3796">
        <v>0.99667446856686104</v>
      </c>
      <c r="E3796">
        <v>0.93021790142720695</v>
      </c>
      <c r="F3796">
        <v>0.83996791543562799</v>
      </c>
      <c r="G3796">
        <v>0.41225584381281299</v>
      </c>
      <c r="H3796">
        <v>0.34212283660738901</v>
      </c>
      <c r="I3796">
        <v>0.32742979951104301</v>
      </c>
      <c r="J3796">
        <v>0.31733477429284002</v>
      </c>
      <c r="K3796">
        <v>0.22742451626445701</v>
      </c>
      <c r="L3796">
        <v>1910.1352029274201</v>
      </c>
      <c r="M3796">
        <v>36.947190727438802</v>
      </c>
      <c r="N3796">
        <v>52.979780205157702</v>
      </c>
      <c r="O3796">
        <v>51.548312261900598</v>
      </c>
      <c r="P3796">
        <v>-0.12627040700256201</v>
      </c>
      <c r="Q3796">
        <v>0.295317702479994</v>
      </c>
      <c r="R3796">
        <v>0.98903656594254297</v>
      </c>
      <c r="S3796" t="s">
        <v>9379</v>
      </c>
      <c r="T3796" t="s">
        <v>11164</v>
      </c>
      <c r="U3796" t="s">
        <v>11164</v>
      </c>
      <c r="V3796" t="s">
        <v>11164</v>
      </c>
      <c r="W3796" t="s">
        <v>14917</v>
      </c>
      <c r="X3796">
        <v>4</v>
      </c>
      <c r="Y3796" t="s">
        <v>20394</v>
      </c>
      <c r="Z3796" t="s">
        <v>25946</v>
      </c>
      <c r="AA3796">
        <v>0.64353414910843054</v>
      </c>
      <c r="AB3796" t="str">
        <f>HYPERLINK("Melting_Curves/meltCurve_Q8IWL3_HSCB.pdf", "Melting_Curves/meltCurve_Q8IWL3_HSCB.pdf")</f>
        <v>Melting_Curves/meltCurve_Q8IWL3_HSCB.pdf</v>
      </c>
    </row>
    <row r="3797" spans="1:28" x14ac:dyDescent="0.25">
      <c r="A3797" t="s">
        <v>3801</v>
      </c>
      <c r="B3797">
        <v>0.99796759195183404</v>
      </c>
      <c r="C3797">
        <v>1.0504258686721799</v>
      </c>
      <c r="D3797">
        <v>1.0481465111416699</v>
      </c>
      <c r="E3797">
        <v>0.96343277239320502</v>
      </c>
      <c r="F3797">
        <v>0.78321552903407698</v>
      </c>
      <c r="G3797">
        <v>0.46003119334881898</v>
      </c>
      <c r="H3797">
        <v>0.41855944021406899</v>
      </c>
      <c r="I3797">
        <v>0.29590524045734301</v>
      </c>
      <c r="J3797">
        <v>0.32899887548385898</v>
      </c>
      <c r="K3797">
        <v>0.235192947038074</v>
      </c>
      <c r="L3797">
        <v>1248.77335103475</v>
      </c>
      <c r="M3797">
        <v>24.1022117955442</v>
      </c>
      <c r="N3797">
        <v>53.7465036159806</v>
      </c>
      <c r="O3797">
        <v>51.458828799288</v>
      </c>
      <c r="P3797">
        <v>-8.3133384425060797E-2</v>
      </c>
      <c r="Q3797">
        <v>0.29004327213785303</v>
      </c>
      <c r="R3797">
        <v>0.98484607628625997</v>
      </c>
      <c r="S3797" t="s">
        <v>9380</v>
      </c>
      <c r="T3797" t="s">
        <v>11164</v>
      </c>
      <c r="U3797" t="s">
        <v>11164</v>
      </c>
      <c r="V3797" t="s">
        <v>11164</v>
      </c>
      <c r="W3797" t="s">
        <v>14918</v>
      </c>
      <c r="X3797">
        <v>2</v>
      </c>
      <c r="Y3797" t="s">
        <v>20395</v>
      </c>
      <c r="Z3797" t="s">
        <v>25947</v>
      </c>
      <c r="AA3797">
        <v>0.64727639347989341</v>
      </c>
      <c r="AB3797" t="str">
        <f>HYPERLINK("Melting_Curves/meltCurve_Q8IWP9_CCDC28A.pdf", "Melting_Curves/meltCurve_Q8IWP9_CCDC28A.pdf")</f>
        <v>Melting_Curves/meltCurve_Q8IWP9_CCDC28A.pdf</v>
      </c>
    </row>
    <row r="3798" spans="1:28" x14ac:dyDescent="0.25">
      <c r="A3798" t="s">
        <v>3802</v>
      </c>
      <c r="B3798">
        <v>0.99796759195183404</v>
      </c>
      <c r="C3798">
        <v>1.1797756130964501</v>
      </c>
      <c r="D3798">
        <v>1.0428264792855499</v>
      </c>
      <c r="E3798">
        <v>1.0852692381745701</v>
      </c>
      <c r="F3798">
        <v>0.93300450446628502</v>
      </c>
      <c r="G3798">
        <v>0.76576964950306503</v>
      </c>
      <c r="H3798">
        <v>0.50452984686882096</v>
      </c>
      <c r="I3798">
        <v>0.30709668764898701</v>
      </c>
      <c r="J3798">
        <v>0.21925656214424</v>
      </c>
      <c r="K3798">
        <v>0.135378589480946</v>
      </c>
      <c r="L3798">
        <v>1124.2242588776201</v>
      </c>
      <c r="M3798">
        <v>19.808249029668801</v>
      </c>
      <c r="N3798">
        <v>57.533851953143703</v>
      </c>
      <c r="O3798">
        <v>56.186406931230898</v>
      </c>
      <c r="P3798">
        <v>-7.7777957471651601E-2</v>
      </c>
      <c r="Q3798">
        <v>0.117556317073051</v>
      </c>
      <c r="R3798">
        <v>0.96747868583934205</v>
      </c>
      <c r="S3798" t="s">
        <v>9381</v>
      </c>
      <c r="T3798" t="s">
        <v>11164</v>
      </c>
      <c r="U3798" t="s">
        <v>11164</v>
      </c>
      <c r="V3798" t="s">
        <v>11164</v>
      </c>
      <c r="W3798" t="s">
        <v>14919</v>
      </c>
      <c r="X3798">
        <v>3</v>
      </c>
      <c r="Y3798" t="s">
        <v>20396</v>
      </c>
      <c r="Z3798" t="s">
        <v>25948</v>
      </c>
      <c r="AA3798">
        <v>0.70681321669472985</v>
      </c>
      <c r="AB3798" t="str">
        <f>HYPERLINK("Melting_Curves/meltCurve_Q8IWU2_LMTK2.pdf", "Melting_Curves/meltCurve_Q8IWU2_LMTK2.pdf")</f>
        <v>Melting_Curves/meltCurve_Q8IWU2_LMTK2.pdf</v>
      </c>
    </row>
    <row r="3799" spans="1:28" x14ac:dyDescent="0.25">
      <c r="A3799" t="s">
        <v>3803</v>
      </c>
      <c r="B3799">
        <v>0.99796759195183404</v>
      </c>
      <c r="C3799">
        <v>0.87588382671976295</v>
      </c>
      <c r="D3799">
        <v>0.94310864573818898</v>
      </c>
      <c r="E3799">
        <v>0.87247981529570495</v>
      </c>
      <c r="F3799">
        <v>0.73306170906352197</v>
      </c>
      <c r="G3799">
        <v>0.92043827821001001</v>
      </c>
      <c r="H3799">
        <v>0.64807441426567702</v>
      </c>
      <c r="I3799">
        <v>0.59163020736178495</v>
      </c>
      <c r="J3799">
        <v>0.189994624011008</v>
      </c>
      <c r="K3799">
        <v>0.163999071367536</v>
      </c>
      <c r="L3799">
        <v>791.62344646689598</v>
      </c>
      <c r="M3799">
        <v>13.1637930787948</v>
      </c>
      <c r="N3799">
        <v>60.136431477791596</v>
      </c>
      <c r="O3799">
        <v>58.799422258015902</v>
      </c>
      <c r="P3799">
        <v>-5.5978475391224601E-2</v>
      </c>
      <c r="Q3799">
        <v>0</v>
      </c>
      <c r="R3799">
        <v>0.86340200581260795</v>
      </c>
      <c r="S3799" t="s">
        <v>9382</v>
      </c>
      <c r="T3799" t="s">
        <v>11164</v>
      </c>
      <c r="U3799" t="s">
        <v>11164</v>
      </c>
      <c r="V3799" t="s">
        <v>11164</v>
      </c>
      <c r="W3799" t="s">
        <v>14920</v>
      </c>
      <c r="X3799">
        <v>2</v>
      </c>
      <c r="Y3799" t="s">
        <v>20397</v>
      </c>
      <c r="Z3799" t="s">
        <v>25949</v>
      </c>
      <c r="AA3799">
        <v>0.75827700380725171</v>
      </c>
      <c r="AB3799" t="str">
        <f>HYPERLINK("Melting_Curves/meltCurve_Q8IWV8_4_UBR2.pdf", "Melting_Curves/meltCurve_Q8IWV8_4_UBR2.pdf")</f>
        <v>Melting_Curves/meltCurve_Q8IWV8_4_UBR2.pdf</v>
      </c>
    </row>
    <row r="3800" spans="1:28" x14ac:dyDescent="0.25">
      <c r="A3800" t="s">
        <v>3804</v>
      </c>
      <c r="B3800">
        <v>0.99796759195183404</v>
      </c>
      <c r="C3800">
        <v>1.072744001544</v>
      </c>
      <c r="D3800">
        <v>1.0026026355328701</v>
      </c>
      <c r="E3800">
        <v>0.95673422775654104</v>
      </c>
      <c r="F3800">
        <v>0.81221643008058197</v>
      </c>
      <c r="G3800">
        <v>0.52005085502912096</v>
      </c>
      <c r="H3800">
        <v>0.40657428026249998</v>
      </c>
      <c r="I3800">
        <v>0.50395345091653398</v>
      </c>
      <c r="J3800">
        <v>0.49001088006012899</v>
      </c>
      <c r="K3800">
        <v>0.38803011266694998</v>
      </c>
      <c r="L3800">
        <v>1884.57629884328</v>
      </c>
      <c r="M3800">
        <v>36.913199517351103</v>
      </c>
      <c r="N3800">
        <v>54.306619692030097</v>
      </c>
      <c r="O3800">
        <v>50.905121319952599</v>
      </c>
      <c r="P3800">
        <v>-0.100579145956676</v>
      </c>
      <c r="Q3800">
        <v>0.44518719900584602</v>
      </c>
      <c r="R3800">
        <v>0.97559232016731301</v>
      </c>
      <c r="S3800" t="s">
        <v>9383</v>
      </c>
      <c r="T3800" t="s">
        <v>11164</v>
      </c>
      <c r="U3800" t="s">
        <v>11164</v>
      </c>
      <c r="V3800" t="s">
        <v>11164</v>
      </c>
      <c r="W3800" t="s">
        <v>14921</v>
      </c>
      <c r="X3800">
        <v>6</v>
      </c>
      <c r="Y3800" t="s">
        <v>20398</v>
      </c>
      <c r="Z3800" t="s">
        <v>25950</v>
      </c>
      <c r="AA3800">
        <v>0.70739949309827987</v>
      </c>
      <c r="AB3800" t="str">
        <f>HYPERLINK("Melting_Curves/meltCurve_Q8IWW6_4_ARHGAP12.pdf", "Melting_Curves/meltCurve_Q8IWW6_4_ARHGAP12.pdf")</f>
        <v>Melting_Curves/meltCurve_Q8IWW6_4_ARHGAP12.pdf</v>
      </c>
    </row>
    <row r="3801" spans="1:28" x14ac:dyDescent="0.25">
      <c r="A3801" t="s">
        <v>3805</v>
      </c>
      <c r="B3801">
        <v>0.99796759195183404</v>
      </c>
      <c r="C3801">
        <v>1.01408146558046</v>
      </c>
      <c r="D3801">
        <v>0.94987597940198898</v>
      </c>
      <c r="E3801">
        <v>0.79327713948805101</v>
      </c>
      <c r="F3801">
        <v>0.46235489837122301</v>
      </c>
      <c r="G3801">
        <v>0.223331673575411</v>
      </c>
      <c r="H3801">
        <v>0.17484955288861201</v>
      </c>
      <c r="I3801">
        <v>0.12511914917723799</v>
      </c>
      <c r="J3801">
        <v>0.11860973172598201</v>
      </c>
      <c r="K3801">
        <v>7.1438940046837193E-2</v>
      </c>
      <c r="L3801">
        <v>1010.57346369151</v>
      </c>
      <c r="M3801">
        <v>20.512871240202301</v>
      </c>
      <c r="N3801">
        <v>49.809921581402698</v>
      </c>
      <c r="O3801">
        <v>48.804306155146399</v>
      </c>
      <c r="P3801">
        <v>-9.4524978176930494E-2</v>
      </c>
      <c r="Q3801">
        <v>0.100449849088253</v>
      </c>
      <c r="R3801">
        <v>0.99811987214534004</v>
      </c>
      <c r="S3801" t="s">
        <v>9384</v>
      </c>
      <c r="T3801" t="s">
        <v>11164</v>
      </c>
      <c r="U3801" t="s">
        <v>11164</v>
      </c>
      <c r="V3801" t="s">
        <v>11164</v>
      </c>
      <c r="W3801" t="s">
        <v>14922</v>
      </c>
      <c r="X3801">
        <v>17</v>
      </c>
      <c r="Y3801" t="s">
        <v>20399</v>
      </c>
      <c r="Z3801" t="s">
        <v>25951</v>
      </c>
      <c r="AA3801">
        <v>0.47954834000534391</v>
      </c>
      <c r="AB3801" t="str">
        <f>HYPERLINK("Melting_Curves/meltCurve_Q8IWZ3_6_ANKHD1.pdf", "Melting_Curves/meltCurve_Q8IWZ3_6_ANKHD1.pdf")</f>
        <v>Melting_Curves/meltCurve_Q8IWZ3_6_ANKHD1.pdf</v>
      </c>
    </row>
    <row r="3802" spans="1:28" x14ac:dyDescent="0.25">
      <c r="A3802" t="s">
        <v>3806</v>
      </c>
      <c r="B3802">
        <v>0.99796759195183404</v>
      </c>
      <c r="C3802">
        <v>1.05447676037809</v>
      </c>
      <c r="D3802">
        <v>1.06334014206294</v>
      </c>
      <c r="E3802">
        <v>0.953296425849537</v>
      </c>
      <c r="F3802">
        <v>0.66792367718095003</v>
      </c>
      <c r="G3802">
        <v>0.39444866946498103</v>
      </c>
      <c r="H3802">
        <v>0.29728916129334099</v>
      </c>
      <c r="I3802">
        <v>0.188568151679088</v>
      </c>
      <c r="J3802">
        <v>0.15227471309094701</v>
      </c>
      <c r="K3802">
        <v>0.117607983553389</v>
      </c>
      <c r="L3802">
        <v>1064.12030754786</v>
      </c>
      <c r="M3802">
        <v>20.589707852040299</v>
      </c>
      <c r="N3802">
        <v>52.553049802929301</v>
      </c>
      <c r="O3802">
        <v>51.202038230528103</v>
      </c>
      <c r="P3802">
        <v>-8.6002667823534301E-2</v>
      </c>
      <c r="Q3802">
        <v>0.14454655874223499</v>
      </c>
      <c r="R3802">
        <v>0.98907323399937996</v>
      </c>
      <c r="S3802" t="s">
        <v>9385</v>
      </c>
      <c r="T3802" t="s">
        <v>11164</v>
      </c>
      <c r="U3802" t="s">
        <v>11164</v>
      </c>
      <c r="V3802" t="s">
        <v>11164</v>
      </c>
      <c r="W3802" t="s">
        <v>14923</v>
      </c>
      <c r="X3802">
        <v>6</v>
      </c>
      <c r="Y3802" t="s">
        <v>20400</v>
      </c>
      <c r="Z3802" t="s">
        <v>25952</v>
      </c>
      <c r="AA3802">
        <v>0.57380738573677414</v>
      </c>
      <c r="AB3802" t="str">
        <f>HYPERLINK("Melting_Curves/meltCurve_Q8IWZ8_SUGP1.pdf", "Melting_Curves/meltCurve_Q8IWZ8_SUGP1.pdf")</f>
        <v>Melting_Curves/meltCurve_Q8IWZ8_SUGP1.pdf</v>
      </c>
    </row>
    <row r="3803" spans="1:28" x14ac:dyDescent="0.25">
      <c r="A3803" t="s">
        <v>3807</v>
      </c>
      <c r="B3803">
        <v>0.99796759195183404</v>
      </c>
      <c r="C3803">
        <v>0.90082586211922699</v>
      </c>
      <c r="D3803">
        <v>0.81311430440821397</v>
      </c>
      <c r="E3803">
        <v>0.89036535121321103</v>
      </c>
      <c r="F3803">
        <v>0.95546461003777805</v>
      </c>
      <c r="G3803">
        <v>0.83278099385595905</v>
      </c>
      <c r="H3803">
        <v>0.36282932244730798</v>
      </c>
      <c r="I3803">
        <v>0.349983802734952</v>
      </c>
      <c r="J3803">
        <v>0.18164434559628301</v>
      </c>
      <c r="K3803">
        <v>0.16494526909924601</v>
      </c>
      <c r="L3803">
        <v>1848.75203848315</v>
      </c>
      <c r="M3803">
        <v>33.250500523089798</v>
      </c>
      <c r="N3803">
        <v>56.488253963066803</v>
      </c>
      <c r="O3803">
        <v>55.400771728736402</v>
      </c>
      <c r="P3803">
        <v>-0.119517569099853</v>
      </c>
      <c r="Q3803">
        <v>0.203460182686728</v>
      </c>
      <c r="R3803">
        <v>0.92730331960787005</v>
      </c>
      <c r="S3803" t="s">
        <v>9386</v>
      </c>
      <c r="T3803" t="s">
        <v>11164</v>
      </c>
      <c r="U3803" t="s">
        <v>11164</v>
      </c>
      <c r="V3803" t="s">
        <v>11164</v>
      </c>
      <c r="W3803" t="s">
        <v>14924</v>
      </c>
      <c r="X3803">
        <v>5</v>
      </c>
      <c r="Y3803" t="s">
        <v>20401</v>
      </c>
      <c r="Z3803" t="s">
        <v>25953</v>
      </c>
      <c r="AA3803">
        <v>0.70154046123883584</v>
      </c>
      <c r="AB3803" t="str">
        <f>HYPERLINK("Melting_Curves/meltCurve_Q8IX12_2_CCAR1.pdf", "Melting_Curves/meltCurve_Q8IX12_2_CCAR1.pdf")</f>
        <v>Melting_Curves/meltCurve_Q8IX12_2_CCAR1.pdf</v>
      </c>
    </row>
    <row r="3804" spans="1:28" x14ac:dyDescent="0.25">
      <c r="A3804" t="s">
        <v>3808</v>
      </c>
      <c r="B3804">
        <v>0.99796759195183404</v>
      </c>
      <c r="C3804">
        <v>1.1451830491797199</v>
      </c>
      <c r="D3804">
        <v>0.99307530628766505</v>
      </c>
      <c r="E3804">
        <v>0.88407595432735797</v>
      </c>
      <c r="F3804">
        <v>0.789995013945195</v>
      </c>
      <c r="G3804">
        <v>0.383368899855902</v>
      </c>
      <c r="H3804">
        <v>0.38417316735915702</v>
      </c>
      <c r="I3804">
        <v>0.21417753124533701</v>
      </c>
      <c r="J3804">
        <v>0.13418705992100299</v>
      </c>
      <c r="K3804">
        <v>0.126620924748159</v>
      </c>
      <c r="L3804">
        <v>890.42341118423303</v>
      </c>
      <c r="M3804">
        <v>16.9040280559439</v>
      </c>
      <c r="N3804">
        <v>53.542806435733802</v>
      </c>
      <c r="O3804">
        <v>51.954628318081703</v>
      </c>
      <c r="P3804">
        <v>-7.1600480071577294E-2</v>
      </c>
      <c r="Q3804">
        <v>0.119798070200791</v>
      </c>
      <c r="R3804">
        <v>0.96777580884732495</v>
      </c>
      <c r="S3804" t="s">
        <v>9387</v>
      </c>
      <c r="T3804" t="s">
        <v>11164</v>
      </c>
      <c r="U3804" t="s">
        <v>11164</v>
      </c>
      <c r="V3804" t="s">
        <v>11164</v>
      </c>
      <c r="W3804" t="s">
        <v>14925</v>
      </c>
      <c r="X3804">
        <v>1</v>
      </c>
      <c r="Y3804" t="s">
        <v>20402</v>
      </c>
      <c r="Z3804" t="s">
        <v>25954</v>
      </c>
      <c r="AA3804">
        <v>0.59378441788596581</v>
      </c>
      <c r="AB3804" t="str">
        <f>HYPERLINK("Melting_Curves/meltCurve_Q8IX18_3_DHX40.pdf", "Melting_Curves/meltCurve_Q8IX18_3_DHX40.pdf")</f>
        <v>Melting_Curves/meltCurve_Q8IX18_3_DHX40.pdf</v>
      </c>
    </row>
    <row r="3805" spans="1:28" x14ac:dyDescent="0.25">
      <c r="A3805" t="s">
        <v>3809</v>
      </c>
      <c r="B3805">
        <v>0.99796759195183404</v>
      </c>
      <c r="C3805">
        <v>1.2372948188117301</v>
      </c>
      <c r="D3805">
        <v>0.99853666874524105</v>
      </c>
      <c r="E3805">
        <v>0.96047009435680897</v>
      </c>
      <c r="F3805">
        <v>0.60122718100698302</v>
      </c>
      <c r="G3805">
        <v>0.440307871742465</v>
      </c>
      <c r="H3805">
        <v>0.35956083714999898</v>
      </c>
      <c r="I3805">
        <v>0.33204587185631401</v>
      </c>
      <c r="J3805">
        <v>0.39570173958813598</v>
      </c>
      <c r="K3805">
        <v>0.26759275145134198</v>
      </c>
      <c r="L3805">
        <v>1584.5680355793099</v>
      </c>
      <c r="M3805">
        <v>31.842282435013999</v>
      </c>
      <c r="N3805">
        <v>51.6380332120563</v>
      </c>
      <c r="O3805">
        <v>49.567980818543901</v>
      </c>
      <c r="P3805">
        <v>-0.105568371494768</v>
      </c>
      <c r="Q3805">
        <v>0.342662182463779</v>
      </c>
      <c r="R3805">
        <v>0.93933357574935294</v>
      </c>
      <c r="S3805" t="s">
        <v>9388</v>
      </c>
      <c r="T3805" t="s">
        <v>11164</v>
      </c>
      <c r="U3805" t="s">
        <v>11164</v>
      </c>
      <c r="V3805" t="s">
        <v>11164</v>
      </c>
      <c r="W3805" t="s">
        <v>14926</v>
      </c>
      <c r="X3805">
        <v>5</v>
      </c>
      <c r="Y3805" t="s">
        <v>20403</v>
      </c>
      <c r="Z3805" t="s">
        <v>25955</v>
      </c>
      <c r="AA3805">
        <v>0.62588509345334353</v>
      </c>
      <c r="AB3805" t="str">
        <f>HYPERLINK("Melting_Curves/meltCurve_Q8IX90_SKA3.pdf", "Melting_Curves/meltCurve_Q8IX90_SKA3.pdf")</f>
        <v>Melting_Curves/meltCurve_Q8IX90_SKA3.pdf</v>
      </c>
    </row>
    <row r="3806" spans="1:28" x14ac:dyDescent="0.25">
      <c r="A3806" t="s">
        <v>3810</v>
      </c>
      <c r="B3806">
        <v>0.99796759195183404</v>
      </c>
      <c r="C3806">
        <v>1.05267214844068</v>
      </c>
      <c r="D3806">
        <v>1.0513234384992101</v>
      </c>
      <c r="E3806">
        <v>1.06797448978568</v>
      </c>
      <c r="F3806">
        <v>0.84269552498373801</v>
      </c>
      <c r="G3806">
        <v>0.760770642013051</v>
      </c>
      <c r="H3806">
        <v>0.42786816532524002</v>
      </c>
      <c r="I3806">
        <v>0.340476502620983</v>
      </c>
      <c r="J3806">
        <v>0.17773261691066999</v>
      </c>
      <c r="K3806">
        <v>9.9831150088361006E-2</v>
      </c>
      <c r="L3806">
        <v>926.20890960105703</v>
      </c>
      <c r="M3806">
        <v>16.3109695265101</v>
      </c>
      <c r="N3806">
        <v>57.150556702639904</v>
      </c>
      <c r="O3806">
        <v>55.951461022308699</v>
      </c>
      <c r="P3806">
        <v>-6.9269383811251597E-2</v>
      </c>
      <c r="Q3806">
        <v>4.9610968356654003E-2</v>
      </c>
      <c r="R3806">
        <v>0.98014848388831599</v>
      </c>
      <c r="S3806" t="s">
        <v>9389</v>
      </c>
      <c r="T3806" t="s">
        <v>11164</v>
      </c>
      <c r="U3806" t="s">
        <v>11164</v>
      </c>
      <c r="V3806" t="s">
        <v>11164</v>
      </c>
      <c r="W3806" t="s">
        <v>14927</v>
      </c>
      <c r="X3806">
        <v>12</v>
      </c>
      <c r="Y3806" t="s">
        <v>20404</v>
      </c>
      <c r="Z3806" t="s">
        <v>25956</v>
      </c>
      <c r="AA3806">
        <v>0.68529118522485655</v>
      </c>
      <c r="AB3806" t="str">
        <f>HYPERLINK("Melting_Curves/meltCurve_Q8IXB1_2_DNAJC10.pdf", "Melting_Curves/meltCurve_Q8IXB1_2_DNAJC10.pdf")</f>
        <v>Melting_Curves/meltCurve_Q8IXB1_2_DNAJC10.pdf</v>
      </c>
    </row>
    <row r="3807" spans="1:28" x14ac:dyDescent="0.25">
      <c r="A3807" t="s">
        <v>3811</v>
      </c>
      <c r="B3807">
        <v>0.99796759195183404</v>
      </c>
      <c r="C3807">
        <v>1.0217375603136301</v>
      </c>
      <c r="D3807">
        <v>0.95161378378150197</v>
      </c>
      <c r="E3807">
        <v>0.68425502598088095</v>
      </c>
      <c r="F3807">
        <v>0.50121904709483101</v>
      </c>
      <c r="G3807">
        <v>0.26983548651042299</v>
      </c>
      <c r="H3807">
        <v>0.19170040410740299</v>
      </c>
      <c r="I3807">
        <v>0.186645594570271</v>
      </c>
      <c r="J3807">
        <v>0.12903825174287101</v>
      </c>
      <c r="K3807">
        <v>6.4467436682193402E-2</v>
      </c>
      <c r="L3807">
        <v>768.00642856113996</v>
      </c>
      <c r="M3807">
        <v>15.6250795078758</v>
      </c>
      <c r="N3807">
        <v>49.860949666438202</v>
      </c>
      <c r="O3807">
        <v>48.368164151559</v>
      </c>
      <c r="P3807">
        <v>-7.2724571710374802E-2</v>
      </c>
      <c r="Q3807">
        <v>9.9587947977000393E-2</v>
      </c>
      <c r="R3807">
        <v>0.99162914027349403</v>
      </c>
      <c r="S3807" t="s">
        <v>9390</v>
      </c>
      <c r="T3807" t="s">
        <v>11164</v>
      </c>
      <c r="U3807" t="s">
        <v>11164</v>
      </c>
      <c r="V3807" t="s">
        <v>11164</v>
      </c>
      <c r="W3807" t="s">
        <v>14928</v>
      </c>
      <c r="X3807">
        <v>7</v>
      </c>
      <c r="Y3807" t="s">
        <v>20405</v>
      </c>
      <c r="Z3807" t="s">
        <v>25957</v>
      </c>
      <c r="AA3807">
        <v>0.48241362287755929</v>
      </c>
      <c r="AB3807" t="str">
        <f>HYPERLINK("Melting_Curves/meltCurve_Q8IXI1_RHOT2.pdf", "Melting_Curves/meltCurve_Q8IXI1_RHOT2.pdf")</f>
        <v>Melting_Curves/meltCurve_Q8IXI1_RHOT2.pdf</v>
      </c>
    </row>
    <row r="3808" spans="1:28" x14ac:dyDescent="0.25">
      <c r="A3808" t="s">
        <v>3812</v>
      </c>
      <c r="B3808">
        <v>0.99796759195183404</v>
      </c>
      <c r="C3808">
        <v>1.0851623650889499</v>
      </c>
      <c r="D3808">
        <v>1.03568569129487</v>
      </c>
      <c r="E3808">
        <v>0.98169018136632802</v>
      </c>
      <c r="F3808">
        <v>0.91326007918282304</v>
      </c>
      <c r="G3808">
        <v>0.77137426982285795</v>
      </c>
      <c r="H3808">
        <v>0.41323151998292801</v>
      </c>
      <c r="I3808">
        <v>0.13960018365969001</v>
      </c>
      <c r="J3808">
        <v>8.9405110520353603E-2</v>
      </c>
      <c r="K3808">
        <v>6.9644112038061506E-2</v>
      </c>
      <c r="L3808">
        <v>1358.9603322348801</v>
      </c>
      <c r="M3808">
        <v>24.161900450151599</v>
      </c>
      <c r="N3808">
        <v>56.429249413562403</v>
      </c>
      <c r="O3808">
        <v>55.8629362624823</v>
      </c>
      <c r="P3808">
        <v>-0.10400808067143499</v>
      </c>
      <c r="Q3808">
        <v>3.81377885466277E-2</v>
      </c>
      <c r="R3808">
        <v>0.99313881679917804</v>
      </c>
      <c r="S3808" t="s">
        <v>9391</v>
      </c>
      <c r="T3808" t="s">
        <v>11164</v>
      </c>
      <c r="U3808" t="s">
        <v>11164</v>
      </c>
      <c r="V3808" t="s">
        <v>11164</v>
      </c>
      <c r="W3808" t="s">
        <v>14929</v>
      </c>
      <c r="X3808">
        <v>5</v>
      </c>
      <c r="Y3808" t="s">
        <v>20406</v>
      </c>
      <c r="Z3808" t="s">
        <v>25958</v>
      </c>
      <c r="AA3808">
        <v>0.66313291807429409</v>
      </c>
      <c r="AB3808" t="str">
        <f>HYPERLINK("Melting_Curves/meltCurve_Q8IXI2_4_RHOT1.pdf", "Melting_Curves/meltCurve_Q8IXI2_4_RHOT1.pdf")</f>
        <v>Melting_Curves/meltCurve_Q8IXI2_4_RHOT1.pdf</v>
      </c>
    </row>
    <row r="3809" spans="1:28" x14ac:dyDescent="0.25">
      <c r="A3809" t="s">
        <v>3813</v>
      </c>
      <c r="B3809">
        <v>0.99796759195183404</v>
      </c>
      <c r="C3809">
        <v>0.96975284374126303</v>
      </c>
      <c r="D3809">
        <v>0.957023111227568</v>
      </c>
      <c r="E3809">
        <v>0.91350882418675705</v>
      </c>
      <c r="F3809">
        <v>0.81147815797189005</v>
      </c>
      <c r="G3809">
        <v>0.55717697906940999</v>
      </c>
      <c r="H3809">
        <v>0.25835012217266201</v>
      </c>
      <c r="I3809">
        <v>0.14382343689524199</v>
      </c>
      <c r="J3809">
        <v>0.100604444881953</v>
      </c>
      <c r="K3809">
        <v>7.5973198077628798E-2</v>
      </c>
      <c r="L3809">
        <v>971.27957931752201</v>
      </c>
      <c r="M3809">
        <v>17.995582292116399</v>
      </c>
      <c r="N3809">
        <v>54.230691884217499</v>
      </c>
      <c r="O3809">
        <v>53.319987559985002</v>
      </c>
      <c r="P3809">
        <v>-8.0924727026328303E-2</v>
      </c>
      <c r="Q3809">
        <v>4.0944478081295199E-2</v>
      </c>
      <c r="R3809">
        <v>0.99680918215604097</v>
      </c>
      <c r="S3809" t="s">
        <v>9392</v>
      </c>
      <c r="T3809" t="s">
        <v>11164</v>
      </c>
      <c r="U3809" t="s">
        <v>11164</v>
      </c>
      <c r="V3809" t="s">
        <v>11164</v>
      </c>
      <c r="W3809" t="s">
        <v>14930</v>
      </c>
      <c r="X3809">
        <v>6</v>
      </c>
      <c r="Y3809" t="s">
        <v>20407</v>
      </c>
      <c r="Z3809" t="s">
        <v>25959</v>
      </c>
      <c r="AA3809">
        <v>0.59673396618891805</v>
      </c>
      <c r="AB3809" t="str">
        <f>HYPERLINK("Melting_Curves/meltCurve_Q8IXJ6_2_SIRT2.pdf", "Melting_Curves/meltCurve_Q8IXJ6_2_SIRT2.pdf")</f>
        <v>Melting_Curves/meltCurve_Q8IXJ6_2_SIRT2.pdf</v>
      </c>
    </row>
    <row r="3810" spans="1:28" x14ac:dyDescent="0.25">
      <c r="A3810" t="s">
        <v>3814</v>
      </c>
      <c r="B3810">
        <v>0.99796759195183404</v>
      </c>
      <c r="C3810">
        <v>1.03461701379625</v>
      </c>
      <c r="D3810">
        <v>0.999492327825105</v>
      </c>
      <c r="E3810">
        <v>0.99090739441814901</v>
      </c>
      <c r="F3810">
        <v>0.78318294160114799</v>
      </c>
      <c r="G3810">
        <v>0.55639140946811905</v>
      </c>
      <c r="H3810">
        <v>0.55514608943171995</v>
      </c>
      <c r="I3810">
        <v>0.45051813052348499</v>
      </c>
      <c r="J3810">
        <v>0.57160730103699398</v>
      </c>
      <c r="K3810">
        <v>0.57678382171478804</v>
      </c>
      <c r="L3810">
        <v>2450.9088200588299</v>
      </c>
      <c r="M3810">
        <v>48.700144327714</v>
      </c>
      <c r="O3810">
        <v>50.241880147775497</v>
      </c>
      <c r="P3810">
        <v>-0.111949800625028</v>
      </c>
      <c r="Q3810">
        <v>0.538024928525214</v>
      </c>
      <c r="R3810">
        <v>0.97603783290619595</v>
      </c>
      <c r="S3810" t="s">
        <v>9393</v>
      </c>
      <c r="T3810" t="s">
        <v>11164</v>
      </c>
      <c r="U3810" t="s">
        <v>11164</v>
      </c>
      <c r="V3810" t="s">
        <v>11164</v>
      </c>
      <c r="W3810" t="s">
        <v>14931</v>
      </c>
      <c r="X3810">
        <v>4</v>
      </c>
      <c r="Y3810" t="s">
        <v>20408</v>
      </c>
      <c r="Z3810" t="s">
        <v>25960</v>
      </c>
      <c r="AA3810">
        <v>0.74432346702435959</v>
      </c>
      <c r="AB3810" t="str">
        <f>HYPERLINK("Melting_Curves/meltCurve_Q8IXQ3_C9orf40.pdf", "Melting_Curves/meltCurve_Q8IXQ3_C9orf40.pdf")</f>
        <v>Melting_Curves/meltCurve_Q8IXQ3_C9orf40.pdf</v>
      </c>
    </row>
    <row r="3811" spans="1:28" x14ac:dyDescent="0.25">
      <c r="A3811" t="s">
        <v>3815</v>
      </c>
      <c r="B3811">
        <v>0.99796759195183404</v>
      </c>
      <c r="C3811">
        <v>1.04695091364517</v>
      </c>
      <c r="D3811">
        <v>0.95368961094446303</v>
      </c>
      <c r="E3811">
        <v>0.95452288972294297</v>
      </c>
      <c r="F3811">
        <v>0.78452138467559795</v>
      </c>
      <c r="G3811">
        <v>0.72968805175152596</v>
      </c>
      <c r="H3811">
        <v>0.75847359400292802</v>
      </c>
      <c r="I3811">
        <v>0.705291070074332</v>
      </c>
      <c r="J3811">
        <v>0.92111716857457904</v>
      </c>
      <c r="K3811">
        <v>0.88657916415097704</v>
      </c>
      <c r="L3811">
        <v>11707.7127254652</v>
      </c>
      <c r="M3811">
        <v>250</v>
      </c>
      <c r="O3811">
        <v>46.827856965377201</v>
      </c>
      <c r="P3811">
        <v>-0.27012270126583199</v>
      </c>
      <c r="Q3811">
        <v>0.79761173738920799</v>
      </c>
      <c r="R3811">
        <v>0.67695725725003097</v>
      </c>
      <c r="S3811" t="s">
        <v>9394</v>
      </c>
      <c r="T3811" t="s">
        <v>11164</v>
      </c>
      <c r="U3811" t="s">
        <v>11164</v>
      </c>
      <c r="V3811" t="s">
        <v>11164</v>
      </c>
      <c r="W3811" t="s">
        <v>14932</v>
      </c>
      <c r="X3811">
        <v>10</v>
      </c>
      <c r="Y3811" t="s">
        <v>20409</v>
      </c>
      <c r="Z3811" t="s">
        <v>25961</v>
      </c>
      <c r="AA3811">
        <v>0.86394999895765978</v>
      </c>
      <c r="AB3811" t="str">
        <f>HYPERLINK("Melting_Curves/meltCurve_Q8IXQ4_KIAA1704.pdf", "Melting_Curves/meltCurve_Q8IXQ4_KIAA1704.pdf")</f>
        <v>Melting_Curves/meltCurve_Q8IXQ4_KIAA1704.pdf</v>
      </c>
    </row>
    <row r="3812" spans="1:28" x14ac:dyDescent="0.25">
      <c r="A3812" t="s">
        <v>3816</v>
      </c>
      <c r="B3812">
        <v>0.99796759195183404</v>
      </c>
      <c r="C3812">
        <v>0.92342521145462197</v>
      </c>
      <c r="D3812">
        <v>0.86839008929917505</v>
      </c>
      <c r="E3812">
        <v>0.79370289200755795</v>
      </c>
      <c r="F3812">
        <v>0.71190517993960301</v>
      </c>
      <c r="G3812">
        <v>0.52327340332983197</v>
      </c>
      <c r="H3812">
        <v>0.39774797844465898</v>
      </c>
      <c r="I3812">
        <v>0.54437836534280903</v>
      </c>
      <c r="J3812">
        <v>0.28070479782041002</v>
      </c>
      <c r="K3812">
        <v>0.26709857583487201</v>
      </c>
      <c r="L3812">
        <v>377.98047114240899</v>
      </c>
      <c r="M3812">
        <v>6.9265683867569203</v>
      </c>
      <c r="N3812">
        <v>56.228992095491797</v>
      </c>
      <c r="O3812">
        <v>50.5657429267007</v>
      </c>
      <c r="P3812">
        <v>-3.11398175878429E-2</v>
      </c>
      <c r="Q3812">
        <v>9.2433917950758296E-2</v>
      </c>
      <c r="R3812">
        <v>0.94185693147546301</v>
      </c>
      <c r="S3812" t="s">
        <v>9395</v>
      </c>
      <c r="T3812" t="s">
        <v>11164</v>
      </c>
      <c r="U3812" t="s">
        <v>11164</v>
      </c>
      <c r="V3812" t="s">
        <v>11164</v>
      </c>
      <c r="W3812" t="s">
        <v>14933</v>
      </c>
      <c r="X3812">
        <v>1</v>
      </c>
      <c r="Y3812" t="s">
        <v>20410</v>
      </c>
      <c r="Z3812" t="s">
        <v>25962</v>
      </c>
      <c r="AA3812">
        <v>0.62923601321542633</v>
      </c>
      <c r="AB3812" t="str">
        <f>HYPERLINK("Melting_Curves/meltCurve_Q8IXQ9_METTL20.pdf", "Melting_Curves/meltCurve_Q8IXQ9_METTL20.pdf")</f>
        <v>Melting_Curves/meltCurve_Q8IXQ9_METTL20.pdf</v>
      </c>
    </row>
    <row r="3813" spans="1:28" x14ac:dyDescent="0.25">
      <c r="A3813" t="s">
        <v>3817</v>
      </c>
      <c r="B3813">
        <v>0.99796759195183404</v>
      </c>
      <c r="C3813">
        <v>1.0996030475194001</v>
      </c>
      <c r="D3813">
        <v>1.1002641687233701</v>
      </c>
      <c r="E3813">
        <v>0.95493235787180697</v>
      </c>
      <c r="F3813">
        <v>0.55841506642533001</v>
      </c>
      <c r="G3813">
        <v>0.303027155635679</v>
      </c>
      <c r="H3813">
        <v>0.18723715698167101</v>
      </c>
      <c r="I3813">
        <v>0.20314654534034501</v>
      </c>
      <c r="J3813">
        <v>0.14271875248475799</v>
      </c>
      <c r="K3813">
        <v>0.123524520495589</v>
      </c>
      <c r="L3813">
        <v>1500.7798483184599</v>
      </c>
      <c r="M3813">
        <v>29.867383986730001</v>
      </c>
      <c r="N3813">
        <v>50.9213328306517</v>
      </c>
      <c r="O3813">
        <v>50.024457792255298</v>
      </c>
      <c r="P3813">
        <v>-0.12491748166505701</v>
      </c>
      <c r="Q3813">
        <v>0.16311518267688599</v>
      </c>
      <c r="R3813">
        <v>0.98302711950170996</v>
      </c>
      <c r="S3813" t="s">
        <v>9396</v>
      </c>
      <c r="T3813" t="s">
        <v>11164</v>
      </c>
      <c r="U3813" t="s">
        <v>11164</v>
      </c>
      <c r="V3813" t="s">
        <v>11164</v>
      </c>
      <c r="W3813" t="s">
        <v>14934</v>
      </c>
      <c r="X3813">
        <v>1</v>
      </c>
      <c r="Y3813" t="s">
        <v>20411</v>
      </c>
      <c r="Z3813" t="s">
        <v>25963</v>
      </c>
      <c r="AA3813">
        <v>0.53788733371932029</v>
      </c>
      <c r="AB3813" t="str">
        <f>HYPERLINK("Melting_Curves/meltCurve_Q8IXW5_2_RPAP2.pdf", "Melting_Curves/meltCurve_Q8IXW5_2_RPAP2.pdf")</f>
        <v>Melting_Curves/meltCurve_Q8IXW5_2_RPAP2.pdf</v>
      </c>
    </row>
    <row r="3814" spans="1:28" x14ac:dyDescent="0.25">
      <c r="A3814" t="s">
        <v>3818</v>
      </c>
      <c r="B3814">
        <v>0.99796759195183404</v>
      </c>
      <c r="C3814">
        <v>1.03490035982382</v>
      </c>
      <c r="D3814">
        <v>0.84971875943211905</v>
      </c>
      <c r="E3814">
        <v>1.25114774753518</v>
      </c>
      <c r="F3814">
        <v>0.98237831987655</v>
      </c>
      <c r="G3814">
        <v>1.0210420879164599</v>
      </c>
      <c r="H3814">
        <v>1.1039169946432399</v>
      </c>
      <c r="I3814">
        <v>0.94063158628459298</v>
      </c>
      <c r="J3814">
        <v>0.99598405131228296</v>
      </c>
      <c r="K3814">
        <v>0.52845519825102605</v>
      </c>
      <c r="L3814">
        <v>7907.8071667652903</v>
      </c>
      <c r="M3814">
        <v>117.91301963984399</v>
      </c>
      <c r="Q3814">
        <v>0</v>
      </c>
      <c r="R3814">
        <v>0.67703664577769396</v>
      </c>
      <c r="S3814" t="s">
        <v>9397</v>
      </c>
      <c r="T3814" t="s">
        <v>11164</v>
      </c>
      <c r="U3814" t="s">
        <v>11164</v>
      </c>
      <c r="V3814" t="s">
        <v>11164</v>
      </c>
      <c r="W3814" t="s">
        <v>14935</v>
      </c>
      <c r="X3814">
        <v>1</v>
      </c>
      <c r="Y3814" t="s">
        <v>20412</v>
      </c>
      <c r="Z3814" t="s">
        <v>25964</v>
      </c>
      <c r="AA3814">
        <v>0.98816455398598324</v>
      </c>
      <c r="AB3814" t="str">
        <f>HYPERLINK("Melting_Curves/meltCurve_Q8IY26_PPAPDC2.pdf", "Melting_Curves/meltCurve_Q8IY26_PPAPDC2.pdf")</f>
        <v>Melting_Curves/meltCurve_Q8IY26_PPAPDC2.pdf</v>
      </c>
    </row>
    <row r="3815" spans="1:28" x14ac:dyDescent="0.25">
      <c r="A3815" t="s">
        <v>3819</v>
      </c>
      <c r="B3815">
        <v>0.99796759195183404</v>
      </c>
      <c r="C3815">
        <v>0.97511491240699399</v>
      </c>
      <c r="D3815">
        <v>0.89360503874348896</v>
      </c>
      <c r="E3815">
        <v>0.90778597807236605</v>
      </c>
      <c r="F3815">
        <v>0.837518645954758</v>
      </c>
      <c r="G3815">
        <v>0.54346036252730701</v>
      </c>
      <c r="H3815">
        <v>0.37318627675299998</v>
      </c>
      <c r="I3815">
        <v>0.27360828304298801</v>
      </c>
      <c r="J3815">
        <v>0.23480305963533199</v>
      </c>
      <c r="K3815">
        <v>0.13076650543782101</v>
      </c>
      <c r="L3815">
        <v>731.01493465108797</v>
      </c>
      <c r="M3815">
        <v>13.4526500333091</v>
      </c>
      <c r="N3815">
        <v>55.189709580243999</v>
      </c>
      <c r="O3815">
        <v>53.181239673646097</v>
      </c>
      <c r="P3815">
        <v>-5.7332179982473599E-2</v>
      </c>
      <c r="Q3815">
        <v>9.3554043764112096E-2</v>
      </c>
      <c r="R3815">
        <v>0.986055484781172</v>
      </c>
      <c r="S3815" t="s">
        <v>9398</v>
      </c>
      <c r="T3815" t="s">
        <v>11164</v>
      </c>
      <c r="U3815" t="s">
        <v>11164</v>
      </c>
      <c r="V3815" t="s">
        <v>11164</v>
      </c>
      <c r="W3815" t="s">
        <v>14936</v>
      </c>
      <c r="X3815">
        <v>1</v>
      </c>
      <c r="Y3815" t="s">
        <v>20413</v>
      </c>
      <c r="Z3815" t="s">
        <v>25965</v>
      </c>
      <c r="AA3815">
        <v>0.63232038314937122</v>
      </c>
      <c r="AB3815" t="str">
        <f>HYPERLINK("Melting_Curves/meltCurve_Q8IY37_DHX37.pdf", "Melting_Curves/meltCurve_Q8IY37_DHX37.pdf")</f>
        <v>Melting_Curves/meltCurve_Q8IY37_DHX37.pdf</v>
      </c>
    </row>
    <row r="3816" spans="1:28" x14ac:dyDescent="0.25">
      <c r="A3816" t="s">
        <v>3820</v>
      </c>
      <c r="B3816">
        <v>0.99796759195183404</v>
      </c>
      <c r="C3816">
        <v>0.91244128775217503</v>
      </c>
      <c r="D3816">
        <v>0.99614128627165899</v>
      </c>
      <c r="E3816">
        <v>0.89529716914155799</v>
      </c>
      <c r="F3816">
        <v>0.88755503526587098</v>
      </c>
      <c r="G3816">
        <v>0.64524756469463496</v>
      </c>
      <c r="H3816">
        <v>0.55409667929948103</v>
      </c>
      <c r="I3816">
        <v>0.45547814653562102</v>
      </c>
      <c r="J3816">
        <v>0.43655677476571197</v>
      </c>
      <c r="K3816">
        <v>0.29784770797891402</v>
      </c>
      <c r="L3816">
        <v>582.44614498515205</v>
      </c>
      <c r="M3816">
        <v>10.3654151823898</v>
      </c>
      <c r="N3816">
        <v>59.333948076545298</v>
      </c>
      <c r="O3816">
        <v>54.220516743343801</v>
      </c>
      <c r="P3816">
        <v>-3.7713136666732601E-2</v>
      </c>
      <c r="Q3816">
        <v>0.21123890836915099</v>
      </c>
      <c r="R3816">
        <v>0.97026467812505002</v>
      </c>
      <c r="S3816" t="s">
        <v>9399</v>
      </c>
      <c r="T3816" t="s">
        <v>11164</v>
      </c>
      <c r="U3816" t="s">
        <v>11164</v>
      </c>
      <c r="V3816" t="s">
        <v>11164</v>
      </c>
      <c r="W3816" t="s">
        <v>14937</v>
      </c>
      <c r="X3816">
        <v>5</v>
      </c>
      <c r="Y3816" t="s">
        <v>20414</v>
      </c>
      <c r="Z3816" t="s">
        <v>25966</v>
      </c>
      <c r="AA3816">
        <v>0.72038152010951018</v>
      </c>
      <c r="AB3816" t="str">
        <f>HYPERLINK("Melting_Curves/meltCurve_Q8IY95_2_TMEM192.pdf", "Melting_Curves/meltCurve_Q8IY95_2_TMEM192.pdf")</f>
        <v>Melting_Curves/meltCurve_Q8IY95_2_TMEM192.pdf</v>
      </c>
    </row>
    <row r="3817" spans="1:28" x14ac:dyDescent="0.25">
      <c r="A3817" t="s">
        <v>3821</v>
      </c>
      <c r="B3817">
        <v>0.99796759195183404</v>
      </c>
      <c r="C3817">
        <v>1.0710535639732801</v>
      </c>
      <c r="D3817">
        <v>0.903502409461448</v>
      </c>
      <c r="E3817">
        <v>0.870718148850258</v>
      </c>
      <c r="F3817">
        <v>0.76496660431529595</v>
      </c>
      <c r="G3817">
        <v>0.65808636626356998</v>
      </c>
      <c r="H3817">
        <v>0.69504172412952703</v>
      </c>
      <c r="I3817">
        <v>0.64145638040785502</v>
      </c>
      <c r="J3817">
        <v>0.64778657765227698</v>
      </c>
      <c r="K3817">
        <v>0.36915390056271302</v>
      </c>
      <c r="L3817">
        <v>310.09172872888098</v>
      </c>
      <c r="M3817">
        <v>4.7104023834962998</v>
      </c>
      <c r="N3817">
        <v>65.831262510217599</v>
      </c>
      <c r="O3817">
        <v>56.6254619287796</v>
      </c>
      <c r="P3817">
        <v>-2.0952385469963301E-2</v>
      </c>
      <c r="Q3817">
        <v>0</v>
      </c>
      <c r="R3817">
        <v>0.86203123725872199</v>
      </c>
      <c r="S3817" t="s">
        <v>9400</v>
      </c>
      <c r="T3817" t="s">
        <v>11164</v>
      </c>
      <c r="U3817" t="s">
        <v>11164</v>
      </c>
      <c r="V3817" t="s">
        <v>11164</v>
      </c>
      <c r="W3817" t="s">
        <v>14938</v>
      </c>
      <c r="X3817">
        <v>5</v>
      </c>
      <c r="Y3817" t="s">
        <v>20415</v>
      </c>
      <c r="Z3817" t="s">
        <v>25967</v>
      </c>
      <c r="AA3817">
        <v>0.76015005836828342</v>
      </c>
      <c r="AB3817" t="str">
        <f>HYPERLINK("Melting_Curves/meltCurve_Q8IYB1_MB21D2.pdf", "Melting_Curves/meltCurve_Q8IYB1_MB21D2.pdf")</f>
        <v>Melting_Curves/meltCurve_Q8IYB1_MB21D2.pdf</v>
      </c>
    </row>
    <row r="3818" spans="1:28" x14ac:dyDescent="0.25">
      <c r="A3818" t="s">
        <v>3822</v>
      </c>
      <c r="B3818">
        <v>0.99796759195183404</v>
      </c>
      <c r="C3818">
        <v>0.95565409047099503</v>
      </c>
      <c r="D3818">
        <v>1.0329319240817401</v>
      </c>
      <c r="E3818">
        <v>0.94908716795236003</v>
      </c>
      <c r="F3818">
        <v>0.82595955696782497</v>
      </c>
      <c r="G3818">
        <v>0.49550570475522898</v>
      </c>
      <c r="H3818">
        <v>0.254241595295158</v>
      </c>
      <c r="I3818">
        <v>0.17116506754324901</v>
      </c>
      <c r="J3818">
        <v>0.124632852933291</v>
      </c>
      <c r="K3818">
        <v>0.112820888431491</v>
      </c>
      <c r="L3818">
        <v>1195.89956919523</v>
      </c>
      <c r="M3818">
        <v>22.470695550588701</v>
      </c>
      <c r="N3818">
        <v>53.814826784138603</v>
      </c>
      <c r="O3818">
        <v>52.804299786772503</v>
      </c>
      <c r="P3818">
        <v>-9.4696734593593096E-2</v>
      </c>
      <c r="Q3818">
        <v>0.109900126825448</v>
      </c>
      <c r="R3818">
        <v>0.99725561483743197</v>
      </c>
      <c r="S3818" t="s">
        <v>9401</v>
      </c>
      <c r="T3818" t="s">
        <v>11164</v>
      </c>
      <c r="U3818" t="s">
        <v>11164</v>
      </c>
      <c r="V3818" t="s">
        <v>11164</v>
      </c>
      <c r="W3818" t="s">
        <v>14939</v>
      </c>
      <c r="X3818">
        <v>5</v>
      </c>
      <c r="Y3818" t="s">
        <v>20416</v>
      </c>
      <c r="Z3818" t="s">
        <v>25968</v>
      </c>
      <c r="AA3818">
        <v>0.60051071349813512</v>
      </c>
      <c r="AB3818" t="str">
        <f>HYPERLINK("Melting_Curves/meltCurve_Q8IYB5_3_SMAP1.pdf", "Melting_Curves/meltCurve_Q8IYB5_3_SMAP1.pdf")</f>
        <v>Melting_Curves/meltCurve_Q8IYB5_3_SMAP1.pdf</v>
      </c>
    </row>
    <row r="3819" spans="1:28" x14ac:dyDescent="0.25">
      <c r="A3819" t="s">
        <v>3823</v>
      </c>
      <c r="B3819">
        <v>0.99796759195183404</v>
      </c>
      <c r="C3819">
        <v>1.05080343923872</v>
      </c>
      <c r="D3819">
        <v>1.0128074151691999</v>
      </c>
      <c r="E3819">
        <v>0.87025790247310397</v>
      </c>
      <c r="F3819">
        <v>0.68943776264281598</v>
      </c>
      <c r="G3819">
        <v>0.44588488263349702</v>
      </c>
      <c r="H3819">
        <v>0.21950989297447401</v>
      </c>
      <c r="I3819">
        <v>0.12466563737740501</v>
      </c>
      <c r="J3819">
        <v>7.1857502587912694E-2</v>
      </c>
      <c r="K3819">
        <v>7.0612759314335E-2</v>
      </c>
      <c r="L3819">
        <v>858.14298861182999</v>
      </c>
      <c r="M3819">
        <v>16.315779044849201</v>
      </c>
      <c r="N3819">
        <v>52.811848180255303</v>
      </c>
      <c r="O3819">
        <v>51.824824676060501</v>
      </c>
      <c r="P3819">
        <v>-7.6172053535610698E-2</v>
      </c>
      <c r="Q3819">
        <v>3.22701514400641E-2</v>
      </c>
      <c r="R3819">
        <v>0.99627531686443704</v>
      </c>
      <c r="S3819" t="s">
        <v>9402</v>
      </c>
      <c r="T3819" t="s">
        <v>11164</v>
      </c>
      <c r="U3819" t="s">
        <v>11164</v>
      </c>
      <c r="V3819" t="s">
        <v>11164</v>
      </c>
      <c r="W3819" t="s">
        <v>14940</v>
      </c>
      <c r="X3819">
        <v>12</v>
      </c>
      <c r="Y3819" t="s">
        <v>20417</v>
      </c>
      <c r="Z3819" t="s">
        <v>25969</v>
      </c>
      <c r="AA3819">
        <v>0.55157698966448421</v>
      </c>
      <c r="AB3819" t="str">
        <f>HYPERLINK("Melting_Curves/meltCurve_Q8IYB7_DIS3L2.pdf", "Melting_Curves/meltCurve_Q8IYB7_DIS3L2.pdf")</f>
        <v>Melting_Curves/meltCurve_Q8IYB7_DIS3L2.pdf</v>
      </c>
    </row>
    <row r="3820" spans="1:28" x14ac:dyDescent="0.25">
      <c r="A3820" t="s">
        <v>3824</v>
      </c>
      <c r="B3820">
        <v>0.99796759195183404</v>
      </c>
      <c r="C3820">
        <v>0.97669873123045503</v>
      </c>
      <c r="D3820">
        <v>0.89792609545372304</v>
      </c>
      <c r="E3820">
        <v>0.84156936542433902</v>
      </c>
      <c r="F3820">
        <v>0.77786404570304202</v>
      </c>
      <c r="G3820">
        <v>0.56034946743171798</v>
      </c>
      <c r="H3820">
        <v>0.27367628767029401</v>
      </c>
      <c r="I3820">
        <v>0.16764970596644699</v>
      </c>
      <c r="J3820">
        <v>0.116175098431633</v>
      </c>
      <c r="K3820">
        <v>8.3353609729873504E-2</v>
      </c>
      <c r="L3820">
        <v>711.36976938054499</v>
      </c>
      <c r="M3820">
        <v>13.1491764121599</v>
      </c>
      <c r="N3820">
        <v>54.099957765900101</v>
      </c>
      <c r="O3820">
        <v>52.894577602643402</v>
      </c>
      <c r="P3820">
        <v>-6.2158538823140499E-2</v>
      </c>
      <c r="Q3820">
        <v>0</v>
      </c>
      <c r="R3820">
        <v>0.98918029675457997</v>
      </c>
      <c r="S3820" t="s">
        <v>9403</v>
      </c>
      <c r="T3820" t="s">
        <v>11164</v>
      </c>
      <c r="U3820" t="s">
        <v>11164</v>
      </c>
      <c r="V3820" t="s">
        <v>11164</v>
      </c>
      <c r="W3820" t="s">
        <v>14941</v>
      </c>
      <c r="X3820">
        <v>11</v>
      </c>
      <c r="Y3820" t="s">
        <v>20418</v>
      </c>
      <c r="Z3820" t="s">
        <v>25970</v>
      </c>
      <c r="AA3820">
        <v>0.5871732609133713</v>
      </c>
      <c r="AB3820" t="str">
        <f>HYPERLINK("Melting_Curves/meltCurve_Q8IYB8_SUPV3L1.pdf", "Melting_Curves/meltCurve_Q8IYB8_SUPV3L1.pdf")</f>
        <v>Melting_Curves/meltCurve_Q8IYB8_SUPV3L1.pdf</v>
      </c>
    </row>
    <row r="3821" spans="1:28" x14ac:dyDescent="0.25">
      <c r="A3821" t="s">
        <v>3825</v>
      </c>
      <c r="B3821">
        <v>0.99796759195183404</v>
      </c>
      <c r="C3821">
        <v>1.1306857830013299</v>
      </c>
      <c r="D3821">
        <v>0.96475744562260801</v>
      </c>
      <c r="E3821">
        <v>1.2310341407502701</v>
      </c>
      <c r="F3821">
        <v>1.04114570635971</v>
      </c>
      <c r="G3821">
        <v>1.5486323522543299</v>
      </c>
      <c r="H3821">
        <v>0.36951466417418299</v>
      </c>
      <c r="I3821">
        <v>0.24357170967498401</v>
      </c>
      <c r="J3821">
        <v>0.21022575146788799</v>
      </c>
      <c r="K3821">
        <v>0.148115894166745</v>
      </c>
      <c r="L3821">
        <v>14274.386249482901</v>
      </c>
      <c r="M3821">
        <v>250</v>
      </c>
      <c r="N3821">
        <v>57.214939710676902</v>
      </c>
      <c r="O3821">
        <v>57.093891150331601</v>
      </c>
      <c r="P3821">
        <v>-0.87505248233310395</v>
      </c>
      <c r="Q3821">
        <v>0.20063758233435899</v>
      </c>
      <c r="R3821">
        <v>0.83125406201683905</v>
      </c>
      <c r="S3821" t="s">
        <v>9404</v>
      </c>
      <c r="T3821" t="s">
        <v>11164</v>
      </c>
      <c r="U3821" t="s">
        <v>11164</v>
      </c>
      <c r="V3821" t="s">
        <v>11164</v>
      </c>
      <c r="W3821" t="s">
        <v>14942</v>
      </c>
      <c r="X3821">
        <v>3</v>
      </c>
      <c r="Y3821" t="s">
        <v>20419</v>
      </c>
      <c r="Z3821" t="s">
        <v>25971</v>
      </c>
      <c r="AA3821">
        <v>0.73622508797718533</v>
      </c>
      <c r="AB3821" t="str">
        <f>HYPERLINK("Melting_Curves/meltCurve_Q8IYB9_ZNF595.pdf", "Melting_Curves/meltCurve_Q8IYB9_ZNF595.pdf")</f>
        <v>Melting_Curves/meltCurve_Q8IYB9_ZNF595.pdf</v>
      </c>
    </row>
    <row r="3822" spans="1:28" x14ac:dyDescent="0.25">
      <c r="A3822" t="s">
        <v>3826</v>
      </c>
      <c r="B3822">
        <v>0.99796759195183404</v>
      </c>
      <c r="C3822">
        <v>1.05887263908118</v>
      </c>
      <c r="D3822">
        <v>0.87690908488611996</v>
      </c>
      <c r="E3822">
        <v>0.896227969241428</v>
      </c>
      <c r="F3822">
        <v>0.778881055647903</v>
      </c>
      <c r="G3822">
        <v>0.474583483922139</v>
      </c>
      <c r="H3822">
        <v>0.396793226323503</v>
      </c>
      <c r="I3822">
        <v>0.340777076506528</v>
      </c>
      <c r="J3822">
        <v>0.19657490147666801</v>
      </c>
      <c r="K3822">
        <v>0.12310845893135799</v>
      </c>
      <c r="L3822">
        <v>592.40155988799904</v>
      </c>
      <c r="M3822">
        <v>10.8680809589899</v>
      </c>
      <c r="N3822">
        <v>54.967151850502702</v>
      </c>
      <c r="O3822">
        <v>52.7602918482105</v>
      </c>
      <c r="P3822">
        <v>-4.9282057823385197E-2</v>
      </c>
      <c r="Q3822">
        <v>4.3357316784772698E-2</v>
      </c>
      <c r="R3822">
        <v>0.97520957429119604</v>
      </c>
      <c r="S3822" t="s">
        <v>9405</v>
      </c>
      <c r="T3822" t="s">
        <v>11164</v>
      </c>
      <c r="U3822" t="s">
        <v>11164</v>
      </c>
      <c r="V3822" t="s">
        <v>11164</v>
      </c>
      <c r="W3822" t="s">
        <v>14943</v>
      </c>
      <c r="X3822">
        <v>14</v>
      </c>
      <c r="Y3822" t="s">
        <v>20420</v>
      </c>
      <c r="Z3822" t="s">
        <v>25972</v>
      </c>
      <c r="AA3822">
        <v>0.61668364544600252</v>
      </c>
      <c r="AB3822" t="str">
        <f>HYPERLINK("Melting_Curves/meltCurve_Q8IYD1_GSPT2.pdf", "Melting_Curves/meltCurve_Q8IYD1_GSPT2.pdf")</f>
        <v>Melting_Curves/meltCurve_Q8IYD1_GSPT2.pdf</v>
      </c>
    </row>
    <row r="3823" spans="1:28" x14ac:dyDescent="0.25">
      <c r="A3823" t="s">
        <v>3827</v>
      </c>
      <c r="B3823">
        <v>0.99796759195183404</v>
      </c>
      <c r="C3823">
        <v>1.1138747857811899</v>
      </c>
      <c r="D3823">
        <v>1.03982222286113</v>
      </c>
      <c r="E3823">
        <v>0.99160877872161701</v>
      </c>
      <c r="F3823">
        <v>0.82730293092697804</v>
      </c>
      <c r="G3823">
        <v>0.548587312186684</v>
      </c>
      <c r="H3823">
        <v>0.57895076167269599</v>
      </c>
      <c r="I3823">
        <v>0.470494178686437</v>
      </c>
      <c r="J3823">
        <v>0.467419256835927</v>
      </c>
      <c r="K3823">
        <v>0.41400388084681999</v>
      </c>
      <c r="L3823">
        <v>1516.2820401574299</v>
      </c>
      <c r="M3823">
        <v>29.506922364678299</v>
      </c>
      <c r="N3823">
        <v>56.701535594778903</v>
      </c>
      <c r="O3823">
        <v>51.153041068081997</v>
      </c>
      <c r="P3823">
        <v>-7.6643836502947399E-2</v>
      </c>
      <c r="Q3823">
        <v>0.46852634918989</v>
      </c>
      <c r="R3823">
        <v>0.960934508541614</v>
      </c>
      <c r="S3823" t="s">
        <v>9406</v>
      </c>
      <c r="T3823" t="s">
        <v>11164</v>
      </c>
      <c r="U3823" t="s">
        <v>11164</v>
      </c>
      <c r="V3823" t="s">
        <v>11164</v>
      </c>
      <c r="W3823" t="s">
        <v>14944</v>
      </c>
      <c r="X3823">
        <v>2</v>
      </c>
      <c r="Y3823" t="s">
        <v>20421</v>
      </c>
      <c r="Z3823" t="s">
        <v>25973</v>
      </c>
      <c r="AA3823">
        <v>0.72684636903470567</v>
      </c>
      <c r="AB3823" t="str">
        <f>HYPERLINK("Melting_Curves/meltCurve_Q8IYH5_4_ZZZ3.pdf", "Melting_Curves/meltCurve_Q8IYH5_4_ZZZ3.pdf")</f>
        <v>Melting_Curves/meltCurve_Q8IYH5_4_ZZZ3.pdf</v>
      </c>
    </row>
    <row r="3824" spans="1:28" x14ac:dyDescent="0.25">
      <c r="A3824" t="s">
        <v>3828</v>
      </c>
      <c r="B3824">
        <v>0.99796759195183404</v>
      </c>
      <c r="C3824">
        <v>0.95547983026741701</v>
      </c>
      <c r="D3824">
        <v>0.94659482768565095</v>
      </c>
      <c r="E3824">
        <v>0.87399201071643395</v>
      </c>
      <c r="F3824">
        <v>0.713393517139703</v>
      </c>
      <c r="G3824">
        <v>0.28678215723323203</v>
      </c>
      <c r="H3824">
        <v>0.16688329980255501</v>
      </c>
      <c r="I3824">
        <v>0.12603526921595801</v>
      </c>
      <c r="J3824">
        <v>0.106573322871986</v>
      </c>
      <c r="K3824">
        <v>7.1378002344463107E-2</v>
      </c>
      <c r="L3824">
        <v>1180.02334987375</v>
      </c>
      <c r="M3824">
        <v>22.955509111248301</v>
      </c>
      <c r="N3824">
        <v>51.8240469012201</v>
      </c>
      <c r="O3824">
        <v>51.019463252122399</v>
      </c>
      <c r="P3824">
        <v>-0.102954032647585</v>
      </c>
      <c r="Q3824">
        <v>8.4740768780135006E-2</v>
      </c>
      <c r="R3824">
        <v>0.99270049110105096</v>
      </c>
      <c r="S3824" t="s">
        <v>9407</v>
      </c>
      <c r="T3824" t="s">
        <v>11164</v>
      </c>
      <c r="U3824" t="s">
        <v>11164</v>
      </c>
      <c r="V3824" t="s">
        <v>11164</v>
      </c>
      <c r="W3824" t="s">
        <v>14945</v>
      </c>
      <c r="X3824">
        <v>16</v>
      </c>
      <c r="Y3824" t="s">
        <v>20422</v>
      </c>
      <c r="Z3824" t="s">
        <v>25974</v>
      </c>
      <c r="AA3824">
        <v>0.53365037999803411</v>
      </c>
      <c r="AB3824" t="str">
        <f>HYPERLINK("Melting_Curves/meltCurve_Q8IYI6_EXOC8.pdf", "Melting_Curves/meltCurve_Q8IYI6_EXOC8.pdf")</f>
        <v>Melting_Curves/meltCurve_Q8IYI6_EXOC8.pdf</v>
      </c>
    </row>
    <row r="3825" spans="1:28" x14ac:dyDescent="0.25">
      <c r="A3825" t="s">
        <v>3829</v>
      </c>
      <c r="B3825">
        <v>0.99796759195183404</v>
      </c>
      <c r="C3825">
        <v>0.98647179587269096</v>
      </c>
      <c r="D3825">
        <v>0.936303344436761</v>
      </c>
      <c r="E3825">
        <v>0.98207659837566297</v>
      </c>
      <c r="F3825">
        <v>0.82493979786495497</v>
      </c>
      <c r="G3825">
        <v>0.68621540828093197</v>
      </c>
      <c r="H3825">
        <v>0.67763921309905595</v>
      </c>
      <c r="I3825">
        <v>0.62961887199557498</v>
      </c>
      <c r="J3825">
        <v>0.50331140217137005</v>
      </c>
      <c r="K3825">
        <v>0.45030687894979599</v>
      </c>
      <c r="L3825">
        <v>458.78823767229602</v>
      </c>
      <c r="M3825">
        <v>7.8692009074081604</v>
      </c>
      <c r="N3825">
        <v>64.943435864751805</v>
      </c>
      <c r="O3825">
        <v>54.896794085362401</v>
      </c>
      <c r="P3825">
        <v>-2.59621853497513E-2</v>
      </c>
      <c r="Q3825">
        <v>0.27640522636049403</v>
      </c>
      <c r="R3825">
        <v>0.96383044709849597</v>
      </c>
      <c r="S3825" t="s">
        <v>9408</v>
      </c>
      <c r="T3825" t="s">
        <v>11164</v>
      </c>
      <c r="U3825" t="s">
        <v>11164</v>
      </c>
      <c r="V3825" t="s">
        <v>11164</v>
      </c>
      <c r="W3825" t="s">
        <v>14946</v>
      </c>
      <c r="X3825">
        <v>4</v>
      </c>
      <c r="Y3825" t="s">
        <v>20423</v>
      </c>
      <c r="Z3825" t="s">
        <v>25975</v>
      </c>
      <c r="AA3825">
        <v>0.77197857887846866</v>
      </c>
      <c r="AB3825" t="str">
        <f>HYPERLINK("Melting_Curves/meltCurve_Q8IYL3_C1orf174.pdf", "Melting_Curves/meltCurve_Q8IYL3_C1orf174.pdf")</f>
        <v>Melting_Curves/meltCurve_Q8IYL3_C1orf174.pdf</v>
      </c>
    </row>
    <row r="3826" spans="1:28" x14ac:dyDescent="0.25">
      <c r="A3826" t="s">
        <v>3830</v>
      </c>
      <c r="B3826">
        <v>0.99796759195183404</v>
      </c>
      <c r="C3826">
        <v>1.0579002604558001</v>
      </c>
      <c r="D3826">
        <v>1.07731254734693</v>
      </c>
      <c r="E3826">
        <v>1.02345452451528</v>
      </c>
      <c r="F3826">
        <v>1.01976242637565</v>
      </c>
      <c r="G3826">
        <v>0.53320990343074004</v>
      </c>
      <c r="H3826">
        <v>0.391710160194429</v>
      </c>
      <c r="I3826">
        <v>0.42284499297776601</v>
      </c>
      <c r="J3826">
        <v>0.57155676928799004</v>
      </c>
      <c r="K3826">
        <v>0.45001838616759798</v>
      </c>
      <c r="L3826">
        <v>13351.039149825599</v>
      </c>
      <c r="M3826">
        <v>250</v>
      </c>
      <c r="N3826">
        <v>53.943992637622898</v>
      </c>
      <c r="O3826">
        <v>53.400751605298197</v>
      </c>
      <c r="P3826">
        <v>-0.63314599679433003</v>
      </c>
      <c r="Q3826">
        <v>0.45903257330456099</v>
      </c>
      <c r="R3826">
        <v>0.96458962691413097</v>
      </c>
      <c r="S3826" t="s">
        <v>9409</v>
      </c>
      <c r="T3826" t="s">
        <v>11164</v>
      </c>
      <c r="U3826" t="s">
        <v>11164</v>
      </c>
      <c r="V3826" t="s">
        <v>11164</v>
      </c>
      <c r="W3826" t="s">
        <v>14947</v>
      </c>
      <c r="X3826">
        <v>1</v>
      </c>
      <c r="Y3826" t="s">
        <v>20424</v>
      </c>
      <c r="Z3826" t="s">
        <v>25976</v>
      </c>
      <c r="AA3826">
        <v>0.75488708739998267</v>
      </c>
      <c r="AB3826" t="str">
        <f>HYPERLINK("Melting_Curves/meltCurve_Q8IYN2_TCEAL8.pdf", "Melting_Curves/meltCurve_Q8IYN2_TCEAL8.pdf")</f>
        <v>Melting_Curves/meltCurve_Q8IYN2_TCEAL8.pdf</v>
      </c>
    </row>
    <row r="3827" spans="1:28" x14ac:dyDescent="0.25">
      <c r="A3827" t="s">
        <v>3831</v>
      </c>
      <c r="B3827">
        <v>0.99796759195183404</v>
      </c>
      <c r="C3827">
        <v>1.0005399284021099</v>
      </c>
      <c r="D3827">
        <v>1.00750687628937</v>
      </c>
      <c r="E3827">
        <v>0.95151668679280299</v>
      </c>
      <c r="F3827">
        <v>0.78169903242433403</v>
      </c>
      <c r="G3827">
        <v>0.76735247504205395</v>
      </c>
      <c r="H3827">
        <v>0.46159313925663098</v>
      </c>
      <c r="I3827">
        <v>0.32250384719154201</v>
      </c>
      <c r="J3827">
        <v>0.29748675883248799</v>
      </c>
      <c r="K3827">
        <v>0.174843346969483</v>
      </c>
      <c r="L3827">
        <v>713.16991930310405</v>
      </c>
      <c r="M3827">
        <v>12.587082553974099</v>
      </c>
      <c r="N3827">
        <v>57.433366216948201</v>
      </c>
      <c r="O3827">
        <v>55.285825118012198</v>
      </c>
      <c r="P3827">
        <v>-5.2485870918855697E-2</v>
      </c>
      <c r="Q3827">
        <v>7.8056873813490094E-2</v>
      </c>
      <c r="R3827">
        <v>0.98371195103425801</v>
      </c>
      <c r="S3827" t="s">
        <v>9410</v>
      </c>
      <c r="T3827" t="s">
        <v>11164</v>
      </c>
      <c r="U3827" t="s">
        <v>11164</v>
      </c>
      <c r="V3827" t="s">
        <v>11164</v>
      </c>
      <c r="W3827" t="s">
        <v>14948</v>
      </c>
      <c r="X3827">
        <v>6</v>
      </c>
      <c r="Y3827" t="s">
        <v>20425</v>
      </c>
      <c r="Z3827" t="s">
        <v>25977</v>
      </c>
      <c r="AA3827">
        <v>0.68900826483242317</v>
      </c>
      <c r="AB3827" t="str">
        <f>HYPERLINK("Melting_Curves/meltCurve_Q8IYQ7_THNSL1.pdf", "Melting_Curves/meltCurve_Q8IYQ7_THNSL1.pdf")</f>
        <v>Melting_Curves/meltCurve_Q8IYQ7_THNSL1.pdf</v>
      </c>
    </row>
    <row r="3828" spans="1:28" x14ac:dyDescent="0.25">
      <c r="A3828" t="s">
        <v>3832</v>
      </c>
      <c r="B3828">
        <v>0.99796759195183404</v>
      </c>
      <c r="C3828">
        <v>1.04865726198897</v>
      </c>
      <c r="D3828">
        <v>1.0210506585508801</v>
      </c>
      <c r="E3828">
        <v>0.75982127921948694</v>
      </c>
      <c r="F3828">
        <v>0.53256328585085699</v>
      </c>
      <c r="G3828">
        <v>0.317788772090425</v>
      </c>
      <c r="H3828">
        <v>0.27207691397163802</v>
      </c>
      <c r="I3828">
        <v>0.277198483191887</v>
      </c>
      <c r="J3828">
        <v>0.180367944284993</v>
      </c>
      <c r="K3828">
        <v>0.19237342867055501</v>
      </c>
      <c r="L3828">
        <v>991.85399611841206</v>
      </c>
      <c r="M3828">
        <v>20.2119999816736</v>
      </c>
      <c r="N3828">
        <v>50.455079648543602</v>
      </c>
      <c r="O3828">
        <v>48.599742479927301</v>
      </c>
      <c r="P3828">
        <v>-8.1866409984437102E-2</v>
      </c>
      <c r="Q3828">
        <v>0.212633638292725</v>
      </c>
      <c r="R3828">
        <v>0.98816274602218801</v>
      </c>
      <c r="S3828" t="s">
        <v>9411</v>
      </c>
      <c r="T3828" t="s">
        <v>11164</v>
      </c>
      <c r="U3828" t="s">
        <v>11164</v>
      </c>
      <c r="V3828" t="s">
        <v>11164</v>
      </c>
      <c r="W3828" t="s">
        <v>14949</v>
      </c>
      <c r="X3828">
        <v>5</v>
      </c>
      <c r="Y3828" t="s">
        <v>20426</v>
      </c>
      <c r="Z3828" t="s">
        <v>25978</v>
      </c>
      <c r="AA3828">
        <v>0.53966067705869158</v>
      </c>
      <c r="AB3828" t="str">
        <f>HYPERLINK("Melting_Curves/meltCurve_Q8IYR2_SMYD4.pdf", "Melting_Curves/meltCurve_Q8IYR2_SMYD4.pdf")</f>
        <v>Melting_Curves/meltCurve_Q8IYR2_SMYD4.pdf</v>
      </c>
    </row>
    <row r="3829" spans="1:28" x14ac:dyDescent="0.25">
      <c r="A3829" t="s">
        <v>3833</v>
      </c>
      <c r="B3829">
        <v>0.99796759195183404</v>
      </c>
      <c r="C3829">
        <v>1.0491293611079699</v>
      </c>
      <c r="D3829">
        <v>1.0081483238626501</v>
      </c>
      <c r="E3829">
        <v>1.03249420949955</v>
      </c>
      <c r="F3829">
        <v>0.86944845926383796</v>
      </c>
      <c r="G3829">
        <v>0.44318412311516903</v>
      </c>
      <c r="H3829">
        <v>0.33344270301155698</v>
      </c>
      <c r="I3829">
        <v>0.23502851584453399</v>
      </c>
      <c r="J3829">
        <v>0.114615528147079</v>
      </c>
      <c r="K3829">
        <v>9.3613838473908501E-2</v>
      </c>
      <c r="L3829">
        <v>1270.93893746444</v>
      </c>
      <c r="M3829">
        <v>23.8715490446857</v>
      </c>
      <c r="N3829">
        <v>53.955446693478002</v>
      </c>
      <c r="O3829">
        <v>52.871336564754699</v>
      </c>
      <c r="P3829">
        <v>-9.7577384054934199E-2</v>
      </c>
      <c r="Q3829">
        <v>0.135546096855899</v>
      </c>
      <c r="R3829">
        <v>0.98388050131840499</v>
      </c>
      <c r="S3829" t="s">
        <v>9412</v>
      </c>
      <c r="T3829" t="s">
        <v>11164</v>
      </c>
      <c r="U3829" t="s">
        <v>11164</v>
      </c>
      <c r="V3829" t="s">
        <v>11164</v>
      </c>
      <c r="W3829" t="s">
        <v>14950</v>
      </c>
      <c r="X3829">
        <v>16</v>
      </c>
      <c r="Y3829" t="s">
        <v>20427</v>
      </c>
      <c r="Z3829" t="s">
        <v>25979</v>
      </c>
      <c r="AA3829">
        <v>0.61176156541082705</v>
      </c>
      <c r="AB3829" t="str">
        <f>HYPERLINK("Melting_Curves/meltCurve_Q8IYS1_PM20D2.pdf", "Melting_Curves/meltCurve_Q8IYS1_PM20D2.pdf")</f>
        <v>Melting_Curves/meltCurve_Q8IYS1_PM20D2.pdf</v>
      </c>
    </row>
    <row r="3830" spans="1:28" x14ac:dyDescent="0.25">
      <c r="A3830" t="s">
        <v>3834</v>
      </c>
      <c r="B3830">
        <v>0.99796759195183404</v>
      </c>
      <c r="C3830">
        <v>1.0391741591866701</v>
      </c>
      <c r="D3830">
        <v>1.0435743762556799</v>
      </c>
      <c r="E3830">
        <v>0.88395047975108199</v>
      </c>
      <c r="F3830">
        <v>0.89537259157278504</v>
      </c>
      <c r="G3830">
        <v>0.73517853662355603</v>
      </c>
      <c r="H3830">
        <v>0.67909228877494099</v>
      </c>
      <c r="I3830">
        <v>0.62098743228822695</v>
      </c>
      <c r="J3830">
        <v>0.60361062602056303</v>
      </c>
      <c r="K3830">
        <v>0.44868055040244698</v>
      </c>
      <c r="L3830">
        <v>533.129631091997</v>
      </c>
      <c r="M3830">
        <v>9.3012370472749293</v>
      </c>
      <c r="O3830">
        <v>54.855653336032901</v>
      </c>
      <c r="P3830">
        <v>-2.65933317854108E-2</v>
      </c>
      <c r="Q3830">
        <v>0.37304684925602399</v>
      </c>
      <c r="R3830">
        <v>0.94895950209130797</v>
      </c>
      <c r="S3830" t="s">
        <v>9413</v>
      </c>
      <c r="T3830" t="s">
        <v>11164</v>
      </c>
      <c r="U3830" t="s">
        <v>11164</v>
      </c>
      <c r="V3830" t="s">
        <v>11164</v>
      </c>
      <c r="W3830" t="s">
        <v>14951</v>
      </c>
      <c r="X3830">
        <v>2</v>
      </c>
      <c r="Y3830" t="s">
        <v>20428</v>
      </c>
      <c r="Z3830" t="s">
        <v>25980</v>
      </c>
      <c r="AA3830">
        <v>0.79371099336913786</v>
      </c>
      <c r="AB3830" t="str">
        <f>HYPERLINK("Melting_Curves/meltCurve_Q8IYS2_KIAA2013.pdf", "Melting_Curves/meltCurve_Q8IYS2_KIAA2013.pdf")</f>
        <v>Melting_Curves/meltCurve_Q8IYS2_KIAA2013.pdf</v>
      </c>
    </row>
    <row r="3831" spans="1:28" x14ac:dyDescent="0.25">
      <c r="A3831" t="s">
        <v>3835</v>
      </c>
      <c r="B3831">
        <v>0.99796759195183404</v>
      </c>
      <c r="C3831">
        <v>0.93025811408508396</v>
      </c>
      <c r="D3831">
        <v>0.959771508226125</v>
      </c>
      <c r="E3831">
        <v>0.80797075712862698</v>
      </c>
      <c r="F3831">
        <v>0.69268760650407102</v>
      </c>
      <c r="G3831">
        <v>0.43176529864125601</v>
      </c>
      <c r="H3831">
        <v>0.209308970967687</v>
      </c>
      <c r="I3831">
        <v>0.201392600110509</v>
      </c>
      <c r="J3831">
        <v>0.22645060764313299</v>
      </c>
      <c r="K3831">
        <v>0.13106768764920801</v>
      </c>
      <c r="L3831">
        <v>775.75701355610295</v>
      </c>
      <c r="M3831">
        <v>15.0801512241925</v>
      </c>
      <c r="N3831">
        <v>52.445427429970202</v>
      </c>
      <c r="O3831">
        <v>50.563090107099299</v>
      </c>
      <c r="P3831">
        <v>-6.5225885767204103E-2</v>
      </c>
      <c r="Q3831">
        <v>0.12528842705836399</v>
      </c>
      <c r="R3831">
        <v>0.98583682265830497</v>
      </c>
      <c r="S3831" t="s">
        <v>9414</v>
      </c>
      <c r="T3831" t="s">
        <v>11164</v>
      </c>
      <c r="U3831" t="s">
        <v>11164</v>
      </c>
      <c r="V3831" t="s">
        <v>11164</v>
      </c>
      <c r="W3831" t="s">
        <v>14952</v>
      </c>
      <c r="X3831">
        <v>1</v>
      </c>
      <c r="Y3831" t="s">
        <v>20429</v>
      </c>
      <c r="Z3831" t="s">
        <v>25981</v>
      </c>
      <c r="AA3831">
        <v>0.56351950157805131</v>
      </c>
      <c r="AB3831" t="str">
        <f>HYPERLINK("Melting_Curves/meltCurve_Q8IYU2_4_HACE1.pdf", "Melting_Curves/meltCurve_Q8IYU2_4_HACE1.pdf")</f>
        <v>Melting_Curves/meltCurve_Q8IYU2_4_HACE1.pdf</v>
      </c>
    </row>
    <row r="3832" spans="1:28" x14ac:dyDescent="0.25">
      <c r="A3832" t="s">
        <v>3836</v>
      </c>
      <c r="B3832">
        <v>0.99796759195183404</v>
      </c>
      <c r="C3832">
        <v>0.960605457243773</v>
      </c>
      <c r="D3832">
        <v>0.96019805187635598</v>
      </c>
      <c r="E3832">
        <v>0.89418107308242301</v>
      </c>
      <c r="F3832">
        <v>0.80155032258080094</v>
      </c>
      <c r="G3832">
        <v>0.51338496358554997</v>
      </c>
      <c r="H3832">
        <v>0.25121574511398798</v>
      </c>
      <c r="I3832">
        <v>0.18325453592053001</v>
      </c>
      <c r="J3832">
        <v>0.146781802279043</v>
      </c>
      <c r="K3832">
        <v>0.14105649423778799</v>
      </c>
      <c r="L3832">
        <v>1014.02976710002</v>
      </c>
      <c r="M3832">
        <v>19.104056265299999</v>
      </c>
      <c r="N3832">
        <v>53.7984761851787</v>
      </c>
      <c r="O3832">
        <v>52.507952123359999</v>
      </c>
      <c r="P3832">
        <v>-8.0711059189171097E-2</v>
      </c>
      <c r="Q3832">
        <v>0.11268956321519499</v>
      </c>
      <c r="R3832">
        <v>0.99485336203127706</v>
      </c>
      <c r="S3832" t="s">
        <v>9415</v>
      </c>
      <c r="T3832" t="s">
        <v>11164</v>
      </c>
      <c r="U3832" t="s">
        <v>11164</v>
      </c>
      <c r="V3832" t="s">
        <v>11164</v>
      </c>
      <c r="W3832" t="s">
        <v>14953</v>
      </c>
      <c r="X3832">
        <v>7</v>
      </c>
      <c r="Y3832" t="s">
        <v>20430</v>
      </c>
      <c r="Z3832" t="s">
        <v>25982</v>
      </c>
      <c r="AA3832">
        <v>0.60015227471383237</v>
      </c>
      <c r="AB3832" t="str">
        <f>HYPERLINK("Melting_Curves/meltCurve_Q8IZ07_ANKRD13A.pdf", "Melting_Curves/meltCurve_Q8IZ07_ANKRD13A.pdf")</f>
        <v>Melting_Curves/meltCurve_Q8IZ07_ANKRD13A.pdf</v>
      </c>
    </row>
    <row r="3833" spans="1:28" x14ac:dyDescent="0.25">
      <c r="A3833" t="s">
        <v>3837</v>
      </c>
      <c r="B3833">
        <v>0.99796759195183404</v>
      </c>
      <c r="C3833">
        <v>0.89129271798646603</v>
      </c>
      <c r="D3833">
        <v>0.93573254948414097</v>
      </c>
      <c r="E3833">
        <v>0.82929238414230799</v>
      </c>
      <c r="F3833">
        <v>0.78316027481075801</v>
      </c>
      <c r="G3833">
        <v>0.40404207554714899</v>
      </c>
      <c r="H3833">
        <v>0.221909712982025</v>
      </c>
      <c r="I3833">
        <v>0.219831067827507</v>
      </c>
      <c r="J3833">
        <v>0.219299958089088</v>
      </c>
      <c r="K3833">
        <v>0.17875266340217699</v>
      </c>
      <c r="L3833">
        <v>1007.13833871637</v>
      </c>
      <c r="M3833">
        <v>19.4922460666719</v>
      </c>
      <c r="N3833">
        <v>52.782079429295102</v>
      </c>
      <c r="O3833">
        <v>51.134066135027602</v>
      </c>
      <c r="P3833">
        <v>-7.9238252312874999E-2</v>
      </c>
      <c r="Q3833">
        <v>0.16856621648763701</v>
      </c>
      <c r="R3833">
        <v>0.97068478263637603</v>
      </c>
      <c r="S3833" t="s">
        <v>9416</v>
      </c>
      <c r="T3833" t="s">
        <v>11164</v>
      </c>
      <c r="U3833" t="s">
        <v>11164</v>
      </c>
      <c r="V3833" t="s">
        <v>11164</v>
      </c>
      <c r="W3833" t="s">
        <v>14954</v>
      </c>
      <c r="X3833">
        <v>1</v>
      </c>
      <c r="Y3833" t="s">
        <v>20431</v>
      </c>
      <c r="Z3833" t="s">
        <v>25983</v>
      </c>
      <c r="AA3833">
        <v>0.58634733519608795</v>
      </c>
      <c r="AB3833" t="str">
        <f>HYPERLINK("Melting_Curves/meltCurve_Q8IZ13_C5orf54.pdf", "Melting_Curves/meltCurve_Q8IZ13_C5orf54.pdf")</f>
        <v>Melting_Curves/meltCurve_Q8IZ13_C5orf54.pdf</v>
      </c>
    </row>
    <row r="3834" spans="1:28" x14ac:dyDescent="0.25">
      <c r="A3834" t="s">
        <v>3838</v>
      </c>
      <c r="B3834">
        <v>0.99796759195183404</v>
      </c>
      <c r="C3834">
        <v>1.00903730032741</v>
      </c>
      <c r="D3834">
        <v>0.98127174050877797</v>
      </c>
      <c r="E3834">
        <v>0.93079258277381605</v>
      </c>
      <c r="F3834">
        <v>0.87257826323840504</v>
      </c>
      <c r="G3834">
        <v>0.74413878752670803</v>
      </c>
      <c r="H3834">
        <v>0.77605258659013199</v>
      </c>
      <c r="I3834">
        <v>0.70152638951303103</v>
      </c>
      <c r="J3834">
        <v>0.76951905469710602</v>
      </c>
      <c r="K3834">
        <v>0.59339702026836705</v>
      </c>
      <c r="L3834">
        <v>569.73005876355205</v>
      </c>
      <c r="M3834">
        <v>10.8377680148675</v>
      </c>
      <c r="O3834">
        <v>50.874112131603098</v>
      </c>
      <c r="P3834">
        <v>-1.9222075857554501E-2</v>
      </c>
      <c r="Q3834">
        <v>0.63920362411584197</v>
      </c>
      <c r="R3834">
        <v>0.90117009076079702</v>
      </c>
      <c r="S3834" t="s">
        <v>9417</v>
      </c>
      <c r="T3834" t="s">
        <v>11164</v>
      </c>
      <c r="U3834" t="s">
        <v>11164</v>
      </c>
      <c r="V3834" t="s">
        <v>11164</v>
      </c>
      <c r="W3834" t="s">
        <v>14955</v>
      </c>
      <c r="X3834">
        <v>14</v>
      </c>
      <c r="Y3834" t="s">
        <v>20432</v>
      </c>
      <c r="Z3834" t="s">
        <v>25984</v>
      </c>
      <c r="AA3834">
        <v>0.83494745783098445</v>
      </c>
      <c r="AB3834" t="str">
        <f>HYPERLINK("Melting_Curves/meltCurve_Q8IZ21_3_PHACTR4.pdf", "Melting_Curves/meltCurve_Q8IZ21_3_PHACTR4.pdf")</f>
        <v>Melting_Curves/meltCurve_Q8IZ21_3_PHACTR4.pdf</v>
      </c>
    </row>
    <row r="3835" spans="1:28" x14ac:dyDescent="0.25">
      <c r="A3835" t="s">
        <v>3839</v>
      </c>
      <c r="B3835">
        <v>0.99796759195183404</v>
      </c>
      <c r="C3835">
        <v>0.91498258348908301</v>
      </c>
      <c r="D3835">
        <v>1.0638763463768801</v>
      </c>
      <c r="E3835">
        <v>0.89971278112112096</v>
      </c>
      <c r="F3835">
        <v>0.60740223684148698</v>
      </c>
      <c r="G3835">
        <v>0.21200445661217501</v>
      </c>
      <c r="H3835">
        <v>0.22279386256095399</v>
      </c>
      <c r="I3835">
        <v>0.210094038807984</v>
      </c>
      <c r="J3835">
        <v>0.15849332493575399</v>
      </c>
      <c r="K3835">
        <v>7.0880542329728194E-2</v>
      </c>
      <c r="L3835">
        <v>1528.7459947636901</v>
      </c>
      <c r="M3835">
        <v>30.399215673727198</v>
      </c>
      <c r="N3835">
        <v>50.893978763368601</v>
      </c>
      <c r="O3835">
        <v>50.072884379517099</v>
      </c>
      <c r="P3835">
        <v>-0.12876113890440399</v>
      </c>
      <c r="Q3835">
        <v>0.151635894804201</v>
      </c>
      <c r="R3835">
        <v>0.98106730260394204</v>
      </c>
      <c r="S3835" t="s">
        <v>9418</v>
      </c>
      <c r="T3835" t="s">
        <v>11164</v>
      </c>
      <c r="U3835" t="s">
        <v>11164</v>
      </c>
      <c r="V3835" t="s">
        <v>11164</v>
      </c>
      <c r="W3835" t="s">
        <v>14956</v>
      </c>
      <c r="X3835">
        <v>3</v>
      </c>
      <c r="Y3835" t="s">
        <v>20433</v>
      </c>
      <c r="Z3835" t="s">
        <v>25985</v>
      </c>
      <c r="AA3835">
        <v>0.53252779498599345</v>
      </c>
      <c r="AB3835" t="str">
        <f>HYPERLINK("Melting_Curves/meltCurve_Q8IZ41_RASEF.pdf", "Melting_Curves/meltCurve_Q8IZ41_RASEF.pdf")</f>
        <v>Melting_Curves/meltCurve_Q8IZ41_RASEF.pdf</v>
      </c>
    </row>
    <row r="3836" spans="1:28" x14ac:dyDescent="0.25">
      <c r="A3836" t="s">
        <v>3840</v>
      </c>
      <c r="B3836">
        <v>0.99796759195183404</v>
      </c>
      <c r="C3836">
        <v>1.0891326337473199</v>
      </c>
      <c r="D3836">
        <v>1.0168317084507701</v>
      </c>
      <c r="E3836">
        <v>0.97077993436243404</v>
      </c>
      <c r="F3836">
        <v>0.74987139175134598</v>
      </c>
      <c r="G3836">
        <v>0.93523310703342299</v>
      </c>
      <c r="H3836">
        <v>0.42172405845802102</v>
      </c>
      <c r="I3836">
        <v>0.1787813011114</v>
      </c>
      <c r="J3836">
        <v>9.5334410421142102E-2</v>
      </c>
      <c r="K3836">
        <v>7.8541957391498995E-2</v>
      </c>
      <c r="L3836">
        <v>1908.1373523339</v>
      </c>
      <c r="M3836">
        <v>33.649463488803001</v>
      </c>
      <c r="N3836">
        <v>57.000096348555203</v>
      </c>
      <c r="O3836">
        <v>56.5071660308476</v>
      </c>
      <c r="P3836">
        <v>-0.137021361314799</v>
      </c>
      <c r="Q3836">
        <v>7.9610005270551398E-2</v>
      </c>
      <c r="R3836">
        <v>0.95412759324461605</v>
      </c>
      <c r="S3836" t="s">
        <v>9419</v>
      </c>
      <c r="T3836" t="s">
        <v>11164</v>
      </c>
      <c r="U3836" t="s">
        <v>11164</v>
      </c>
      <c r="V3836" t="s">
        <v>11164</v>
      </c>
      <c r="W3836" t="s">
        <v>14957</v>
      </c>
      <c r="X3836">
        <v>5</v>
      </c>
      <c r="Y3836" t="s">
        <v>20434</v>
      </c>
      <c r="Z3836" t="s">
        <v>25986</v>
      </c>
      <c r="AA3836">
        <v>0.6888701714959693</v>
      </c>
      <c r="AB3836" t="str">
        <f>HYPERLINK("Melting_Curves/meltCurve_Q8IZ68_MTX2.pdf", "Melting_Curves/meltCurve_Q8IZ68_MTX2.pdf")</f>
        <v>Melting_Curves/meltCurve_Q8IZ68_MTX2.pdf</v>
      </c>
    </row>
    <row r="3837" spans="1:28" x14ac:dyDescent="0.25">
      <c r="A3837" t="s">
        <v>3841</v>
      </c>
      <c r="B3837">
        <v>0.99796759195183404</v>
      </c>
      <c r="C3837">
        <v>0.93410473391831295</v>
      </c>
      <c r="D3837">
        <v>0.96539667351326897</v>
      </c>
      <c r="E3837">
        <v>0.92039928764643297</v>
      </c>
      <c r="F3837">
        <v>0.81275443835485806</v>
      </c>
      <c r="G3837">
        <v>0.65215260519427498</v>
      </c>
      <c r="H3837">
        <v>0.68262088406382604</v>
      </c>
      <c r="I3837">
        <v>0.43742318621243897</v>
      </c>
      <c r="J3837">
        <v>0.26533370228490599</v>
      </c>
      <c r="K3837">
        <v>0.23200937969869001</v>
      </c>
      <c r="L3837">
        <v>547.61424173767102</v>
      </c>
      <c r="M3837">
        <v>9.2795751285747095</v>
      </c>
      <c r="N3837">
        <v>59.012880336107798</v>
      </c>
      <c r="O3837">
        <v>56.466531874376699</v>
      </c>
      <c r="P3837">
        <v>-4.1110968254958302E-2</v>
      </c>
      <c r="Q3837">
        <v>0</v>
      </c>
      <c r="R3837">
        <v>0.96727083717255202</v>
      </c>
      <c r="S3837" t="s">
        <v>9420</v>
      </c>
      <c r="T3837" t="s">
        <v>11164</v>
      </c>
      <c r="U3837" t="s">
        <v>11164</v>
      </c>
      <c r="V3837" t="s">
        <v>11164</v>
      </c>
      <c r="W3837" t="s">
        <v>14958</v>
      </c>
      <c r="X3837">
        <v>7</v>
      </c>
      <c r="Y3837" t="s">
        <v>20435</v>
      </c>
      <c r="Z3837" t="s">
        <v>25987</v>
      </c>
      <c r="AA3837">
        <v>0.71196805552633746</v>
      </c>
      <c r="AB3837" t="str">
        <f>HYPERLINK("Melting_Curves/meltCurve_Q8IZ73_RPUSD2.pdf", "Melting_Curves/meltCurve_Q8IZ73_RPUSD2.pdf")</f>
        <v>Melting_Curves/meltCurve_Q8IZ73_RPUSD2.pdf</v>
      </c>
    </row>
    <row r="3838" spans="1:28" x14ac:dyDescent="0.25">
      <c r="A3838" t="s">
        <v>3842</v>
      </c>
      <c r="B3838">
        <v>0.99796759195183404</v>
      </c>
      <c r="C3838">
        <v>0.96530572309091101</v>
      </c>
      <c r="D3838">
        <v>0.96231331889224903</v>
      </c>
      <c r="E3838">
        <v>1.0331482253451301</v>
      </c>
      <c r="F3838">
        <v>0.85219794045006203</v>
      </c>
      <c r="G3838">
        <v>0.62900763397561199</v>
      </c>
      <c r="H3838">
        <v>0.65792132041829798</v>
      </c>
      <c r="I3838">
        <v>0.47292334397815899</v>
      </c>
      <c r="J3838">
        <v>0.35775709303247</v>
      </c>
      <c r="K3838">
        <v>0.26722441653415602</v>
      </c>
      <c r="L3838">
        <v>556.43557439990695</v>
      </c>
      <c r="M3838">
        <v>9.3477346050545496</v>
      </c>
      <c r="N3838">
        <v>59.887524585532503</v>
      </c>
      <c r="O3838">
        <v>56.992506725970898</v>
      </c>
      <c r="P3838">
        <v>-3.9905099191830003E-2</v>
      </c>
      <c r="Q3838">
        <v>2.7416946509542101E-2</v>
      </c>
      <c r="R3838">
        <v>0.96286311076405995</v>
      </c>
      <c r="S3838" t="s">
        <v>9421</v>
      </c>
      <c r="T3838" t="s">
        <v>11164</v>
      </c>
      <c r="U3838" t="s">
        <v>11164</v>
      </c>
      <c r="V3838" t="s">
        <v>11164</v>
      </c>
      <c r="W3838" t="s">
        <v>14959</v>
      </c>
      <c r="X3838">
        <v>5</v>
      </c>
      <c r="Y3838" t="s">
        <v>20436</v>
      </c>
      <c r="Z3838" t="s">
        <v>25988</v>
      </c>
      <c r="AA3838">
        <v>0.73193612549949572</v>
      </c>
      <c r="AB3838" t="str">
        <f>HYPERLINK("Melting_Curves/meltCurve_Q8IZA0_KIAA0319L.pdf", "Melting_Curves/meltCurve_Q8IZA0_KIAA0319L.pdf")</f>
        <v>Melting_Curves/meltCurve_Q8IZA0_KIAA0319L.pdf</v>
      </c>
    </row>
    <row r="3839" spans="1:28" x14ac:dyDescent="0.25">
      <c r="A3839" t="s">
        <v>3843</v>
      </c>
      <c r="B3839">
        <v>0.99796759195183404</v>
      </c>
      <c r="C3839">
        <v>1.0544287209716201</v>
      </c>
      <c r="D3839">
        <v>0.96232338042313403</v>
      </c>
      <c r="E3839">
        <v>0.841875168941148</v>
      </c>
      <c r="F3839">
        <v>0.70206911903950797</v>
      </c>
      <c r="G3839">
        <v>0.32798888711783297</v>
      </c>
      <c r="H3839">
        <v>0.238287402535761</v>
      </c>
      <c r="I3839">
        <v>0.100655677726407</v>
      </c>
      <c r="J3839">
        <v>0.21396429736179401</v>
      </c>
      <c r="K3839">
        <v>7.0085194113037097E-2</v>
      </c>
      <c r="L3839">
        <v>973.41122168898301</v>
      </c>
      <c r="M3839">
        <v>18.951337035454301</v>
      </c>
      <c r="N3839">
        <v>52.017334325780098</v>
      </c>
      <c r="O3839">
        <v>50.802065710100599</v>
      </c>
      <c r="P3839">
        <v>-8.3383116284812195E-2</v>
      </c>
      <c r="Q3839">
        <v>0.105949312181413</v>
      </c>
      <c r="R3839">
        <v>0.98371078802212697</v>
      </c>
      <c r="S3839" t="s">
        <v>9422</v>
      </c>
      <c r="T3839" t="s">
        <v>11164</v>
      </c>
      <c r="U3839" t="s">
        <v>11164</v>
      </c>
      <c r="V3839" t="s">
        <v>11164</v>
      </c>
      <c r="W3839" t="s">
        <v>14960</v>
      </c>
      <c r="X3839">
        <v>4</v>
      </c>
      <c r="Y3839" t="s">
        <v>20437</v>
      </c>
      <c r="Z3839" t="s">
        <v>25989</v>
      </c>
      <c r="AA3839">
        <v>0.54672183021347143</v>
      </c>
      <c r="AB3839" t="str">
        <f>HYPERLINK("Melting_Curves/meltCurve_Q8IZD4_DCP1B.pdf", "Melting_Curves/meltCurve_Q8IZD4_DCP1B.pdf")</f>
        <v>Melting_Curves/meltCurve_Q8IZD4_DCP1B.pdf</v>
      </c>
    </row>
    <row r="3840" spans="1:28" x14ac:dyDescent="0.25">
      <c r="A3840" t="s">
        <v>3844</v>
      </c>
      <c r="B3840">
        <v>0.99796759195183404</v>
      </c>
      <c r="C3840">
        <v>0.77852488079790605</v>
      </c>
      <c r="D3840">
        <v>0.93514563978762899</v>
      </c>
      <c r="E3840">
        <v>0.87668663455107998</v>
      </c>
      <c r="F3840">
        <v>0.68516889924296598</v>
      </c>
      <c r="G3840">
        <v>0.37577750907044699</v>
      </c>
      <c r="H3840">
        <v>0.15924725126425801</v>
      </c>
      <c r="I3840">
        <v>0.16045027616497401</v>
      </c>
      <c r="J3840">
        <v>8.5962512333498595E-2</v>
      </c>
      <c r="K3840">
        <v>8.3788948026308804E-2</v>
      </c>
      <c r="L3840">
        <v>872.66266797140304</v>
      </c>
      <c r="M3840">
        <v>16.853954255731999</v>
      </c>
      <c r="N3840">
        <v>52.146203791070803</v>
      </c>
      <c r="O3840">
        <v>51.065457911640699</v>
      </c>
      <c r="P3840">
        <v>-7.7886763456047003E-2</v>
      </c>
      <c r="Q3840">
        <v>5.6110182230986502E-2</v>
      </c>
      <c r="R3840">
        <v>0.95888877057041899</v>
      </c>
      <c r="S3840" t="s">
        <v>9423</v>
      </c>
      <c r="T3840" t="s">
        <v>11164</v>
      </c>
      <c r="U3840" t="s">
        <v>11164</v>
      </c>
      <c r="V3840" t="s">
        <v>11164</v>
      </c>
      <c r="W3840" t="s">
        <v>14961</v>
      </c>
      <c r="X3840">
        <v>2</v>
      </c>
      <c r="Y3840" t="s">
        <v>20438</v>
      </c>
      <c r="Z3840" t="s">
        <v>25990</v>
      </c>
      <c r="AA3840">
        <v>0.53683081275070832</v>
      </c>
      <c r="AB3840" t="str">
        <f>HYPERLINK("Melting_Curves/meltCurve_Q8IZJ1_2_UNC5B.pdf", "Melting_Curves/meltCurve_Q8IZJ1_2_UNC5B.pdf")</f>
        <v>Melting_Curves/meltCurve_Q8IZJ1_2_UNC5B.pdf</v>
      </c>
    </row>
    <row r="3841" spans="1:28" x14ac:dyDescent="0.25">
      <c r="A3841" t="s">
        <v>3845</v>
      </c>
      <c r="B3841">
        <v>0.99796759195183404</v>
      </c>
      <c r="C3841">
        <v>0.93495780429642605</v>
      </c>
      <c r="D3841">
        <v>0.95339634379966398</v>
      </c>
      <c r="E3841">
        <v>0.99448415451153005</v>
      </c>
      <c r="F3841">
        <v>0.979322467475641</v>
      </c>
      <c r="G3841">
        <v>0.77155526913657302</v>
      </c>
      <c r="H3841">
        <v>0.64394331625305301</v>
      </c>
      <c r="I3841">
        <v>0.34514767574604099</v>
      </c>
      <c r="J3841">
        <v>0.44660328899557</v>
      </c>
      <c r="K3841">
        <v>0.219157059143337</v>
      </c>
      <c r="L3841">
        <v>980.87088065477201</v>
      </c>
      <c r="M3841">
        <v>17.1010253386744</v>
      </c>
      <c r="N3841">
        <v>59.342511610020303</v>
      </c>
      <c r="O3841">
        <v>56.590338009030198</v>
      </c>
      <c r="P3841">
        <v>-5.9095574191793399E-2</v>
      </c>
      <c r="Q3841">
        <v>0.21781614124726401</v>
      </c>
      <c r="R3841">
        <v>0.956390820274297</v>
      </c>
      <c r="S3841" t="s">
        <v>9424</v>
      </c>
      <c r="T3841" t="s">
        <v>11164</v>
      </c>
      <c r="U3841" t="s">
        <v>11164</v>
      </c>
      <c r="V3841" t="s">
        <v>11164</v>
      </c>
      <c r="W3841" t="s">
        <v>14962</v>
      </c>
      <c r="X3841">
        <v>1</v>
      </c>
      <c r="Y3841" t="s">
        <v>20439</v>
      </c>
      <c r="Z3841" t="s">
        <v>25991</v>
      </c>
      <c r="AA3841">
        <v>0.75477878662863773</v>
      </c>
      <c r="AB3841" t="str">
        <f>HYPERLINK("Melting_Curves/meltCurve_Q8IZN3_2_ZDHHC14.pdf", "Melting_Curves/meltCurve_Q8IZN3_2_ZDHHC14.pdf")</f>
        <v>Melting_Curves/meltCurve_Q8IZN3_2_ZDHHC14.pdf</v>
      </c>
    </row>
    <row r="3842" spans="1:28" x14ac:dyDescent="0.25">
      <c r="A3842" t="s">
        <v>3846</v>
      </c>
      <c r="B3842">
        <v>0.99796759195183404</v>
      </c>
      <c r="C3842">
        <v>1.0484844654507799</v>
      </c>
      <c r="D3842">
        <v>0.91389417214586999</v>
      </c>
      <c r="E3842">
        <v>0.92680144043707302</v>
      </c>
      <c r="F3842">
        <v>0.85858363019333095</v>
      </c>
      <c r="G3842">
        <v>0.59397794812340599</v>
      </c>
      <c r="H3842">
        <v>0.57069792247328999</v>
      </c>
      <c r="I3842">
        <v>0.61705179644006003</v>
      </c>
      <c r="J3842">
        <v>0.56778397261191005</v>
      </c>
      <c r="K3842">
        <v>0.43426913110645199</v>
      </c>
      <c r="L3842">
        <v>971.94881832009298</v>
      </c>
      <c r="M3842">
        <v>18.9582363041328</v>
      </c>
      <c r="O3842">
        <v>50.707685480128099</v>
      </c>
      <c r="P3842">
        <v>-4.5219666945202901E-2</v>
      </c>
      <c r="Q3842">
        <v>0.51622243028276205</v>
      </c>
      <c r="R3842">
        <v>0.92912001158853197</v>
      </c>
      <c r="S3842" t="s">
        <v>9425</v>
      </c>
      <c r="T3842" t="s">
        <v>11164</v>
      </c>
      <c r="U3842" t="s">
        <v>11164</v>
      </c>
      <c r="V3842" t="s">
        <v>11164</v>
      </c>
      <c r="W3842" t="s">
        <v>14963</v>
      </c>
      <c r="X3842">
        <v>4</v>
      </c>
      <c r="Y3842" t="s">
        <v>20440</v>
      </c>
      <c r="Z3842" t="s">
        <v>25992</v>
      </c>
      <c r="AA3842">
        <v>0.75318993448893934</v>
      </c>
      <c r="AB3842" t="str">
        <f>HYPERLINK("Melting_Curves/meltCurve_Q8IZR5_3_CMTM4.pdf", "Melting_Curves/meltCurve_Q8IZR5_3_CMTM4.pdf")</f>
        <v>Melting_Curves/meltCurve_Q8IZR5_3_CMTM4.pdf</v>
      </c>
    </row>
    <row r="3843" spans="1:28" x14ac:dyDescent="0.25">
      <c r="A3843" t="s">
        <v>3847</v>
      </c>
      <c r="B3843">
        <v>0.99796759195183404</v>
      </c>
      <c r="C3843">
        <v>1.0137434704661901</v>
      </c>
      <c r="D3843">
        <v>1.0212562721843901</v>
      </c>
      <c r="E3843">
        <v>0.88980255584551105</v>
      </c>
      <c r="F3843">
        <v>0.76025274961351497</v>
      </c>
      <c r="G3843">
        <v>0.47824116597805399</v>
      </c>
      <c r="H3843">
        <v>0.28609369891231201</v>
      </c>
      <c r="I3843">
        <v>0.22651161323246199</v>
      </c>
      <c r="J3843">
        <v>0.139731234251397</v>
      </c>
      <c r="K3843">
        <v>0.110435210674716</v>
      </c>
      <c r="L3843">
        <v>879.95831830169595</v>
      </c>
      <c r="M3843">
        <v>16.613564978906702</v>
      </c>
      <c r="N3843">
        <v>53.680827680169799</v>
      </c>
      <c r="O3843">
        <v>52.216715613188697</v>
      </c>
      <c r="P3843">
        <v>-7.1655796092929699E-2</v>
      </c>
      <c r="Q3843">
        <v>9.91997516001146E-2</v>
      </c>
      <c r="R3843">
        <v>0.99637624915915901</v>
      </c>
      <c r="S3843" t="s">
        <v>9426</v>
      </c>
      <c r="T3843" t="s">
        <v>11164</v>
      </c>
      <c r="U3843" t="s">
        <v>11164</v>
      </c>
      <c r="V3843" t="s">
        <v>11164</v>
      </c>
      <c r="W3843" t="s">
        <v>14964</v>
      </c>
      <c r="X3843">
        <v>4</v>
      </c>
      <c r="Y3843" t="s">
        <v>20441</v>
      </c>
      <c r="Z3843" t="s">
        <v>25993</v>
      </c>
      <c r="AA3843">
        <v>0.59307932819499043</v>
      </c>
      <c r="AB3843" t="str">
        <f>HYPERLINK("Melting_Curves/meltCurve_Q8IZV5_RDH10.pdf", "Melting_Curves/meltCurve_Q8IZV5_RDH10.pdf")</f>
        <v>Melting_Curves/meltCurve_Q8IZV5_RDH10.pdf</v>
      </c>
    </row>
    <row r="3844" spans="1:28" x14ac:dyDescent="0.25">
      <c r="A3844" t="s">
        <v>3848</v>
      </c>
      <c r="B3844">
        <v>0.99796759195183404</v>
      </c>
      <c r="C3844">
        <v>1.0395321088168299</v>
      </c>
      <c r="D3844">
        <v>1.03771920717675</v>
      </c>
      <c r="E3844">
        <v>0.98694515958608697</v>
      </c>
      <c r="F3844">
        <v>0.99676935222339003</v>
      </c>
      <c r="G3844">
        <v>0.85696149015685297</v>
      </c>
      <c r="H3844">
        <v>0.74671228983870597</v>
      </c>
      <c r="I3844">
        <v>0.55795536825797099</v>
      </c>
      <c r="J3844">
        <v>0.37942850038869402</v>
      </c>
      <c r="K3844">
        <v>0.23376071312483801</v>
      </c>
      <c r="L3844">
        <v>878.25350048385701</v>
      </c>
      <c r="M3844">
        <v>14.2189278090271</v>
      </c>
      <c r="N3844">
        <v>61.766506939790297</v>
      </c>
      <c r="O3844">
        <v>60.583308547693797</v>
      </c>
      <c r="P3844">
        <v>-5.8682412516353699E-2</v>
      </c>
      <c r="Q3844">
        <v>0</v>
      </c>
      <c r="R3844">
        <v>0.99250831045986898</v>
      </c>
      <c r="S3844" t="s">
        <v>9427</v>
      </c>
      <c r="T3844" t="s">
        <v>11164</v>
      </c>
      <c r="U3844" t="s">
        <v>11164</v>
      </c>
      <c r="V3844" t="s">
        <v>11164</v>
      </c>
      <c r="W3844" t="s">
        <v>14965</v>
      </c>
      <c r="X3844">
        <v>4</v>
      </c>
      <c r="Y3844" t="s">
        <v>20442</v>
      </c>
      <c r="Z3844" t="s">
        <v>25994</v>
      </c>
      <c r="AA3844">
        <v>0.80247177067126763</v>
      </c>
      <c r="AB3844" t="str">
        <f>HYPERLINK("Melting_Curves/meltCurve_Q8N0T1_C8orf59.pdf", "Melting_Curves/meltCurve_Q8N0T1_C8orf59.pdf")</f>
        <v>Melting_Curves/meltCurve_Q8N0T1_C8orf59.pdf</v>
      </c>
    </row>
    <row r="3845" spans="1:28" x14ac:dyDescent="0.25">
      <c r="A3845" t="s">
        <v>3849</v>
      </c>
      <c r="B3845">
        <v>0.99796759195183404</v>
      </c>
      <c r="C3845">
        <v>1.0359676083785501</v>
      </c>
      <c r="D3845">
        <v>0.98429302774414895</v>
      </c>
      <c r="E3845">
        <v>1.0020895626496999</v>
      </c>
      <c r="F3845">
        <v>0.79616724172694997</v>
      </c>
      <c r="G3845">
        <v>0.59864698005419703</v>
      </c>
      <c r="H3845">
        <v>0.59352713334444696</v>
      </c>
      <c r="I3845">
        <v>0.61934668356455402</v>
      </c>
      <c r="J3845">
        <v>0.79996896682356</v>
      </c>
      <c r="K3845">
        <v>1.0005617682257599</v>
      </c>
      <c r="L3845">
        <v>12498.9704420368</v>
      </c>
      <c r="M3845">
        <v>250</v>
      </c>
      <c r="O3845">
        <v>49.992694542762997</v>
      </c>
      <c r="P3845">
        <v>-0.34703790558026099</v>
      </c>
      <c r="Q3845">
        <v>0.72241030756096902</v>
      </c>
      <c r="R3845">
        <v>0.58523436445323995</v>
      </c>
      <c r="S3845" t="s">
        <v>9428</v>
      </c>
      <c r="T3845" t="s">
        <v>11164</v>
      </c>
      <c r="U3845" t="s">
        <v>11164</v>
      </c>
      <c r="V3845" t="s">
        <v>11164</v>
      </c>
      <c r="W3845" t="s">
        <v>14966</v>
      </c>
      <c r="X3845">
        <v>2</v>
      </c>
      <c r="Y3845" t="s">
        <v>20443</v>
      </c>
      <c r="Z3845" t="s">
        <v>25995</v>
      </c>
      <c r="AA3845">
        <v>0.84268542460067331</v>
      </c>
      <c r="AB3845" t="str">
        <f>HYPERLINK("Melting_Curves/meltCurve_Q8N0U8_VKORC1L1.pdf", "Melting_Curves/meltCurve_Q8N0U8_VKORC1L1.pdf")</f>
        <v>Melting_Curves/meltCurve_Q8N0U8_VKORC1L1.pdf</v>
      </c>
    </row>
    <row r="3846" spans="1:28" x14ac:dyDescent="0.25">
      <c r="A3846" t="s">
        <v>3850</v>
      </c>
      <c r="B3846">
        <v>0.99796759195183404</v>
      </c>
      <c r="C3846">
        <v>0.93292359845799799</v>
      </c>
      <c r="D3846">
        <v>0.82031534249119198</v>
      </c>
      <c r="E3846">
        <v>0.91149465475531399</v>
      </c>
      <c r="F3846">
        <v>0.75172813786551995</v>
      </c>
      <c r="G3846">
        <v>1.74288774761579</v>
      </c>
      <c r="H3846">
        <v>1.4597144814759799</v>
      </c>
      <c r="I3846">
        <v>1.3466516425200299</v>
      </c>
      <c r="J3846">
        <v>0.54437339674869001</v>
      </c>
      <c r="K3846">
        <v>4.6312820144532099E-2</v>
      </c>
      <c r="L3846">
        <v>15000</v>
      </c>
      <c r="M3846">
        <v>233.92018821502899</v>
      </c>
      <c r="N3846">
        <v>64.1510657781036</v>
      </c>
      <c r="O3846">
        <v>64.119745615659099</v>
      </c>
      <c r="P3846">
        <v>-0.86984465845612002</v>
      </c>
      <c r="Q3846">
        <v>4.6269225755262898E-2</v>
      </c>
      <c r="R3846">
        <v>0.52577952820350704</v>
      </c>
      <c r="S3846" t="s">
        <v>9429</v>
      </c>
      <c r="T3846" t="s">
        <v>11164</v>
      </c>
      <c r="U3846" t="s">
        <v>11164</v>
      </c>
      <c r="V3846" t="s">
        <v>11164</v>
      </c>
      <c r="W3846" t="s">
        <v>14967</v>
      </c>
      <c r="X3846">
        <v>1</v>
      </c>
      <c r="Y3846" t="s">
        <v>20444</v>
      </c>
      <c r="Z3846" t="s">
        <v>25996</v>
      </c>
      <c r="AA3846">
        <v>0.90870503024507931</v>
      </c>
      <c r="AB3846" t="str">
        <f>HYPERLINK("Melting_Curves/meltCurve_Q8N0W3_FUK.pdf", "Melting_Curves/meltCurve_Q8N0W3_FUK.pdf")</f>
        <v>Melting_Curves/meltCurve_Q8N0W3_FUK.pdf</v>
      </c>
    </row>
    <row r="3847" spans="1:28" x14ac:dyDescent="0.25">
      <c r="A3847" t="s">
        <v>3851</v>
      </c>
      <c r="B3847">
        <v>0.99796759195183404</v>
      </c>
      <c r="C3847">
        <v>1.0640695966995399</v>
      </c>
      <c r="D3847">
        <v>1.0469468545385501</v>
      </c>
      <c r="E3847">
        <v>0.97359999390012197</v>
      </c>
      <c r="F3847">
        <v>0.90057813300422196</v>
      </c>
      <c r="G3847">
        <v>0.71132781670870904</v>
      </c>
      <c r="H3847">
        <v>0.58320968188924605</v>
      </c>
      <c r="I3847">
        <v>0.43772529736294902</v>
      </c>
      <c r="J3847">
        <v>0.26967710673183498</v>
      </c>
      <c r="K3847">
        <v>0.206854161562707</v>
      </c>
      <c r="L3847">
        <v>717.67549084724601</v>
      </c>
      <c r="M3847">
        <v>12.270156278419</v>
      </c>
      <c r="N3847">
        <v>58.927637078575799</v>
      </c>
      <c r="O3847">
        <v>57.001043264927901</v>
      </c>
      <c r="P3847">
        <v>-5.14807858525883E-2</v>
      </c>
      <c r="Q3847">
        <v>4.3595001105428202E-2</v>
      </c>
      <c r="R3847">
        <v>0.98783183200864999</v>
      </c>
      <c r="S3847" t="s">
        <v>9430</v>
      </c>
      <c r="T3847" t="s">
        <v>11164</v>
      </c>
      <c r="U3847" t="s">
        <v>11164</v>
      </c>
      <c r="V3847" t="s">
        <v>11164</v>
      </c>
      <c r="W3847" t="s">
        <v>14968</v>
      </c>
      <c r="X3847">
        <v>1</v>
      </c>
      <c r="Y3847" t="s">
        <v>20445</v>
      </c>
      <c r="Z3847" t="s">
        <v>25997</v>
      </c>
      <c r="AA3847">
        <v>0.72504238917704922</v>
      </c>
      <c r="AB3847" t="str">
        <f>HYPERLINK("Melting_Curves/meltCurve_Q8N0X4_2_CLYBL.pdf", "Melting_Curves/meltCurve_Q8N0X4_2_CLYBL.pdf")</f>
        <v>Melting_Curves/meltCurve_Q8N0X4_2_CLYBL.pdf</v>
      </c>
    </row>
    <row r="3848" spans="1:28" x14ac:dyDescent="0.25">
      <c r="A3848" t="s">
        <v>3852</v>
      </c>
      <c r="B3848">
        <v>0.99796759195183404</v>
      </c>
      <c r="C3848">
        <v>1.0176488079534201</v>
      </c>
      <c r="D3848">
        <v>1.10277784051211</v>
      </c>
      <c r="E3848">
        <v>1.0954682895955901</v>
      </c>
      <c r="F3848">
        <v>0.74210973865650098</v>
      </c>
      <c r="G3848">
        <v>0.32353546174402398</v>
      </c>
      <c r="H3848">
        <v>0.24077267625229601</v>
      </c>
      <c r="I3848">
        <v>0.19627496861299701</v>
      </c>
      <c r="J3848">
        <v>0.101456967300826</v>
      </c>
      <c r="K3848">
        <v>7.2844568281433597E-2</v>
      </c>
      <c r="L3848">
        <v>1678.78549487792</v>
      </c>
      <c r="M3848">
        <v>32.454717068814297</v>
      </c>
      <c r="N3848">
        <v>52.253337818592399</v>
      </c>
      <c r="O3848">
        <v>51.531809618962797</v>
      </c>
      <c r="P3848">
        <v>-0.135498088812364</v>
      </c>
      <c r="Q3848">
        <v>0.13942514949982099</v>
      </c>
      <c r="R3848">
        <v>0.97754323814366195</v>
      </c>
      <c r="S3848" t="s">
        <v>9431</v>
      </c>
      <c r="T3848" t="s">
        <v>11164</v>
      </c>
      <c r="U3848" t="s">
        <v>11164</v>
      </c>
      <c r="V3848" t="s">
        <v>11164</v>
      </c>
      <c r="W3848" t="s">
        <v>14969</v>
      </c>
      <c r="X3848">
        <v>10</v>
      </c>
      <c r="Y3848" t="s">
        <v>20446</v>
      </c>
      <c r="Z3848" t="s">
        <v>25998</v>
      </c>
      <c r="AA3848">
        <v>0.56652771572600502</v>
      </c>
      <c r="AB3848" t="str">
        <f>HYPERLINK("Melting_Curves/meltCurve_Q8N0X7_SPG20.pdf", "Melting_Curves/meltCurve_Q8N0X7_SPG20.pdf")</f>
        <v>Melting_Curves/meltCurve_Q8N0X7_SPG20.pdf</v>
      </c>
    </row>
    <row r="3849" spans="1:28" x14ac:dyDescent="0.25">
      <c r="A3849" t="s">
        <v>3853</v>
      </c>
      <c r="B3849">
        <v>0.99796759195183404</v>
      </c>
      <c r="C3849">
        <v>0.77867734096685404</v>
      </c>
      <c r="D3849">
        <v>1.00008630628928</v>
      </c>
      <c r="E3849">
        <v>0.79846929962882296</v>
      </c>
      <c r="F3849">
        <v>0.89002441598140003</v>
      </c>
      <c r="G3849">
        <v>0.59694743610703604</v>
      </c>
      <c r="H3849">
        <v>0.27479161641660399</v>
      </c>
      <c r="I3849">
        <v>0.39679998939176703</v>
      </c>
      <c r="J3849">
        <v>0.38243992138542598</v>
      </c>
      <c r="K3849">
        <v>7.9618434993624004E-2</v>
      </c>
      <c r="L3849">
        <v>509.04992955448103</v>
      </c>
      <c r="M3849">
        <v>9.0698429782840897</v>
      </c>
      <c r="N3849">
        <v>56.125547809618098</v>
      </c>
      <c r="O3849">
        <v>53.5988250255295</v>
      </c>
      <c r="P3849">
        <v>-4.2334130626365402E-2</v>
      </c>
      <c r="Q3849">
        <v>0</v>
      </c>
      <c r="R3849">
        <v>0.85682607161647595</v>
      </c>
      <c r="S3849" t="s">
        <v>9432</v>
      </c>
      <c r="T3849" t="s">
        <v>11164</v>
      </c>
      <c r="U3849" t="s">
        <v>11164</v>
      </c>
      <c r="V3849" t="s">
        <v>11164</v>
      </c>
      <c r="W3849" t="s">
        <v>14970</v>
      </c>
      <c r="X3849">
        <v>1</v>
      </c>
      <c r="Y3849" t="s">
        <v>20447</v>
      </c>
      <c r="Z3849" t="s">
        <v>25999</v>
      </c>
      <c r="AA3849">
        <v>0.63965609308968052</v>
      </c>
      <c r="AB3849" t="str">
        <f>HYPERLINK("Melting_Curves/meltCurve_Q8N0Z3_SPICE1.pdf", "Melting_Curves/meltCurve_Q8N0Z3_SPICE1.pdf")</f>
        <v>Melting_Curves/meltCurve_Q8N0Z3_SPICE1.pdf</v>
      </c>
    </row>
    <row r="3850" spans="1:28" x14ac:dyDescent="0.25">
      <c r="A3850" t="s">
        <v>3854</v>
      </c>
      <c r="B3850">
        <v>0.99796759195183404</v>
      </c>
      <c r="C3850">
        <v>0.99783369058126203</v>
      </c>
      <c r="D3850">
        <v>1.03086228715965</v>
      </c>
      <c r="E3850">
        <v>0.96907505398072902</v>
      </c>
      <c r="F3850">
        <v>0.65087826595840803</v>
      </c>
      <c r="G3850">
        <v>0.40278903335084199</v>
      </c>
      <c r="H3850">
        <v>0.29260488214603603</v>
      </c>
      <c r="I3850">
        <v>0.24633981039793501</v>
      </c>
      <c r="J3850">
        <v>0.23759680083516299</v>
      </c>
      <c r="K3850">
        <v>0.13142415606497501</v>
      </c>
      <c r="L3850">
        <v>1168.06880344557</v>
      </c>
      <c r="M3850">
        <v>22.839214270243101</v>
      </c>
      <c r="N3850">
        <v>52.330594091126699</v>
      </c>
      <c r="O3850">
        <v>50.755885203733897</v>
      </c>
      <c r="P3850">
        <v>-8.9748079972455902E-2</v>
      </c>
      <c r="Q3850">
        <v>0.20222201038802201</v>
      </c>
      <c r="R3850">
        <v>0.98970282168691404</v>
      </c>
      <c r="S3850" t="s">
        <v>9433</v>
      </c>
      <c r="T3850" t="s">
        <v>11164</v>
      </c>
      <c r="U3850" t="s">
        <v>11164</v>
      </c>
      <c r="V3850" t="s">
        <v>11164</v>
      </c>
      <c r="W3850" t="s">
        <v>14971</v>
      </c>
      <c r="X3850">
        <v>5</v>
      </c>
      <c r="Y3850" t="s">
        <v>20448</v>
      </c>
      <c r="Z3850" t="s">
        <v>26000</v>
      </c>
      <c r="AA3850">
        <v>0.58662663453521668</v>
      </c>
      <c r="AB3850" t="str">
        <f>HYPERLINK("Melting_Curves/meltCurve_Q8N0Z6_TTC5.pdf", "Melting_Curves/meltCurve_Q8N0Z6_TTC5.pdf")</f>
        <v>Melting_Curves/meltCurve_Q8N0Z6_TTC5.pdf</v>
      </c>
    </row>
    <row r="3851" spans="1:28" x14ac:dyDescent="0.25">
      <c r="A3851" t="s">
        <v>3855</v>
      </c>
      <c r="B3851">
        <v>0.99796759195183404</v>
      </c>
      <c r="C3851">
        <v>1.0421869857580699</v>
      </c>
      <c r="D3851">
        <v>1.0819218054159101</v>
      </c>
      <c r="E3851">
        <v>1.1099657843541899</v>
      </c>
      <c r="F3851">
        <v>0.99176761120942003</v>
      </c>
      <c r="G3851">
        <v>0.88736752617937797</v>
      </c>
      <c r="H3851">
        <v>0.70217996435795305</v>
      </c>
      <c r="I3851">
        <v>0.37809799875184902</v>
      </c>
      <c r="J3851">
        <v>0.40115855176960102</v>
      </c>
      <c r="K3851">
        <v>0.34961186970560998</v>
      </c>
      <c r="L3851">
        <v>1790.0788889794401</v>
      </c>
      <c r="M3851">
        <v>31.212082394259099</v>
      </c>
      <c r="N3851">
        <v>59.563562874837402</v>
      </c>
      <c r="O3851">
        <v>57.118230468957996</v>
      </c>
      <c r="P3851">
        <v>-8.9744627603142196E-2</v>
      </c>
      <c r="Q3851">
        <v>0.34307164581169902</v>
      </c>
      <c r="R3851">
        <v>0.96841487800023396</v>
      </c>
      <c r="S3851" t="s">
        <v>9434</v>
      </c>
      <c r="T3851" t="s">
        <v>11164</v>
      </c>
      <c r="U3851" t="s">
        <v>11164</v>
      </c>
      <c r="V3851" t="s">
        <v>11164</v>
      </c>
      <c r="W3851" t="s">
        <v>14972</v>
      </c>
      <c r="X3851">
        <v>2</v>
      </c>
      <c r="Y3851" t="s">
        <v>20449</v>
      </c>
      <c r="Z3851" t="s">
        <v>26001</v>
      </c>
      <c r="AA3851">
        <v>0.79237573945151163</v>
      </c>
      <c r="AB3851" t="str">
        <f>HYPERLINK("Melting_Curves/meltCurve_Q8N108_17_MIER1.pdf", "Melting_Curves/meltCurve_Q8N108_17_MIER1.pdf")</f>
        <v>Melting_Curves/meltCurve_Q8N108_17_MIER1.pdf</v>
      </c>
    </row>
    <row r="3852" spans="1:28" x14ac:dyDescent="0.25">
      <c r="A3852" t="s">
        <v>3856</v>
      </c>
      <c r="B3852">
        <v>0.99796759195183404</v>
      </c>
      <c r="C3852">
        <v>1.05151106354752</v>
      </c>
      <c r="D3852">
        <v>1.0413154226394901</v>
      </c>
      <c r="E3852">
        <v>0.96494155654384695</v>
      </c>
      <c r="F3852">
        <v>0.85146510448769097</v>
      </c>
      <c r="G3852">
        <v>0.68752866812153202</v>
      </c>
      <c r="H3852">
        <v>0.65715903612224802</v>
      </c>
      <c r="I3852">
        <v>0.610904239654393</v>
      </c>
      <c r="J3852">
        <v>0.77842353483451998</v>
      </c>
      <c r="K3852">
        <v>0.75691754779621501</v>
      </c>
      <c r="L3852">
        <v>2772.3375782527301</v>
      </c>
      <c r="M3852">
        <v>55.232055737751999</v>
      </c>
      <c r="O3852">
        <v>50.128686248276701</v>
      </c>
      <c r="P3852">
        <v>-8.3458376631418099E-2</v>
      </c>
      <c r="Q3852">
        <v>0.69701245027001002</v>
      </c>
      <c r="R3852">
        <v>0.89888056482336598</v>
      </c>
      <c r="S3852" t="s">
        <v>9435</v>
      </c>
      <c r="T3852" t="s">
        <v>11164</v>
      </c>
      <c r="U3852" t="s">
        <v>11164</v>
      </c>
      <c r="V3852" t="s">
        <v>11164</v>
      </c>
      <c r="W3852" t="s">
        <v>14973</v>
      </c>
      <c r="X3852">
        <v>8</v>
      </c>
      <c r="Y3852" t="s">
        <v>20450</v>
      </c>
      <c r="Z3852" t="s">
        <v>26002</v>
      </c>
      <c r="AA3852">
        <v>0.8308191825980803</v>
      </c>
      <c r="AB3852" t="str">
        <f>HYPERLINK("Melting_Curves/meltCurve_Q8N129_CNPY4.pdf", "Melting_Curves/meltCurve_Q8N129_CNPY4.pdf")</f>
        <v>Melting_Curves/meltCurve_Q8N129_CNPY4.pdf</v>
      </c>
    </row>
    <row r="3853" spans="1:28" x14ac:dyDescent="0.25">
      <c r="A3853" t="s">
        <v>3857</v>
      </c>
      <c r="B3853">
        <v>0.99796759195183404</v>
      </c>
      <c r="C3853">
        <v>1.0163077755057499</v>
      </c>
      <c r="D3853">
        <v>0.94434512945304006</v>
      </c>
      <c r="E3853">
        <v>0.97451741551245297</v>
      </c>
      <c r="F3853">
        <v>0.84927159794114304</v>
      </c>
      <c r="G3853">
        <v>0.586931994143295</v>
      </c>
      <c r="H3853">
        <v>0.62800164417200399</v>
      </c>
      <c r="I3853">
        <v>0.51031295993422798</v>
      </c>
      <c r="J3853">
        <v>0.602918880580262</v>
      </c>
      <c r="K3853">
        <v>0.58049408109744505</v>
      </c>
      <c r="L3853">
        <v>2793.5571580051101</v>
      </c>
      <c r="M3853">
        <v>55.081353898569901</v>
      </c>
      <c r="O3853">
        <v>50.650211478667202</v>
      </c>
      <c r="P3853">
        <v>-0.114648846912182</v>
      </c>
      <c r="Q3853">
        <v>0.57829759258143798</v>
      </c>
      <c r="R3853">
        <v>0.969213258806217</v>
      </c>
      <c r="S3853" t="s">
        <v>9436</v>
      </c>
      <c r="T3853" t="s">
        <v>11164</v>
      </c>
      <c r="U3853" t="s">
        <v>11164</v>
      </c>
      <c r="V3853" t="s">
        <v>11164</v>
      </c>
      <c r="W3853" t="s">
        <v>14974</v>
      </c>
      <c r="X3853">
        <v>14</v>
      </c>
      <c r="Y3853" t="s">
        <v>20451</v>
      </c>
      <c r="Z3853" t="s">
        <v>26003</v>
      </c>
      <c r="AA3853">
        <v>0.77188957315515005</v>
      </c>
      <c r="AB3853" t="str">
        <f>HYPERLINK("Melting_Curves/meltCurve_Q8N183_NDUFAF2.pdf", "Melting_Curves/meltCurve_Q8N183_NDUFAF2.pdf")</f>
        <v>Melting_Curves/meltCurve_Q8N183_NDUFAF2.pdf</v>
      </c>
    </row>
    <row r="3854" spans="1:28" x14ac:dyDescent="0.25">
      <c r="A3854" t="s">
        <v>3858</v>
      </c>
      <c r="B3854">
        <v>0.99796759195183404</v>
      </c>
      <c r="C3854">
        <v>1.08331106004838</v>
      </c>
      <c r="D3854">
        <v>0.99160399975941405</v>
      </c>
      <c r="E3854">
        <v>0.83574291127221501</v>
      </c>
      <c r="F3854">
        <v>0.78138814950049496</v>
      </c>
      <c r="G3854">
        <v>0.38205198718991201</v>
      </c>
      <c r="H3854">
        <v>0.28226161579832598</v>
      </c>
      <c r="I3854">
        <v>0.31081746089497703</v>
      </c>
      <c r="J3854">
        <v>0.27847443868671001</v>
      </c>
      <c r="K3854">
        <v>0.17486860955418301</v>
      </c>
      <c r="L3854">
        <v>1121.9578074410399</v>
      </c>
      <c r="M3854">
        <v>21.865511656108399</v>
      </c>
      <c r="N3854">
        <v>52.800967403886702</v>
      </c>
      <c r="O3854">
        <v>50.888352814710601</v>
      </c>
      <c r="P3854">
        <v>-8.2699650765079E-2</v>
      </c>
      <c r="Q3854">
        <v>0.23013873399902099</v>
      </c>
      <c r="R3854">
        <v>0.97204421748879299</v>
      </c>
      <c r="S3854" t="s">
        <v>9437</v>
      </c>
      <c r="T3854" t="s">
        <v>11164</v>
      </c>
      <c r="U3854" t="s">
        <v>11164</v>
      </c>
      <c r="V3854" t="s">
        <v>11164</v>
      </c>
      <c r="W3854" t="s">
        <v>14975</v>
      </c>
      <c r="X3854">
        <v>4</v>
      </c>
      <c r="Y3854" t="s">
        <v>20452</v>
      </c>
      <c r="Z3854" t="s">
        <v>26004</v>
      </c>
      <c r="AA3854">
        <v>0.60605339017656235</v>
      </c>
      <c r="AB3854" t="str">
        <f>HYPERLINK("Melting_Curves/meltCurve_Q8N1B4_VPS52.pdf", "Melting_Curves/meltCurve_Q8N1B4_VPS52.pdf")</f>
        <v>Melting_Curves/meltCurve_Q8N1B4_VPS52.pdf</v>
      </c>
    </row>
    <row r="3855" spans="1:28" x14ac:dyDescent="0.25">
      <c r="A3855" t="s">
        <v>3859</v>
      </c>
      <c r="B3855">
        <v>0.99796759195183404</v>
      </c>
      <c r="C3855">
        <v>0.97021701732225296</v>
      </c>
      <c r="D3855">
        <v>0.92531322898784396</v>
      </c>
      <c r="E3855">
        <v>0.838332612430014</v>
      </c>
      <c r="F3855">
        <v>0.581840001762847</v>
      </c>
      <c r="G3855">
        <v>0.45885810246144498</v>
      </c>
      <c r="H3855">
        <v>0.162456728666213</v>
      </c>
      <c r="I3855">
        <v>0.12041750947435099</v>
      </c>
      <c r="J3855">
        <v>0.108344708331768</v>
      </c>
      <c r="K3855">
        <v>8.08147407240076E-2</v>
      </c>
      <c r="L3855">
        <v>710.16801457583801</v>
      </c>
      <c r="M3855">
        <v>13.730305691584199</v>
      </c>
      <c r="N3855">
        <v>51.931532160015998</v>
      </c>
      <c r="O3855">
        <v>50.662520470035702</v>
      </c>
      <c r="P3855">
        <v>-6.5943123798203093E-2</v>
      </c>
      <c r="Q3855">
        <v>2.6862763969568E-2</v>
      </c>
      <c r="R3855">
        <v>0.99149645205491499</v>
      </c>
      <c r="S3855" t="s">
        <v>9438</v>
      </c>
      <c r="T3855" t="s">
        <v>11164</v>
      </c>
      <c r="U3855" t="s">
        <v>11164</v>
      </c>
      <c r="V3855" t="s">
        <v>11164</v>
      </c>
      <c r="W3855" t="s">
        <v>14976</v>
      </c>
      <c r="X3855">
        <v>25</v>
      </c>
      <c r="Y3855" t="s">
        <v>20453</v>
      </c>
      <c r="Z3855" t="s">
        <v>26005</v>
      </c>
      <c r="AA3855">
        <v>0.52533845198647044</v>
      </c>
      <c r="AB3855" t="str">
        <f>HYPERLINK("Melting_Curves/meltCurve_Q8N1F7_NUP93.pdf", "Melting_Curves/meltCurve_Q8N1F7_NUP93.pdf")</f>
        <v>Melting_Curves/meltCurve_Q8N1F7_NUP93.pdf</v>
      </c>
    </row>
    <row r="3856" spans="1:28" x14ac:dyDescent="0.25">
      <c r="A3856" t="s">
        <v>3860</v>
      </c>
      <c r="B3856">
        <v>0.99796759195183404</v>
      </c>
      <c r="C3856">
        <v>1.0475529570222499</v>
      </c>
      <c r="D3856">
        <v>0.99998505240463598</v>
      </c>
      <c r="E3856">
        <v>0.94710487613352801</v>
      </c>
      <c r="F3856">
        <v>0.81892473363196305</v>
      </c>
      <c r="G3856">
        <v>0.40929385885991398</v>
      </c>
      <c r="H3856">
        <v>0.25365959560742601</v>
      </c>
      <c r="I3856">
        <v>0.191267288623443</v>
      </c>
      <c r="J3856">
        <v>0.16269401722589999</v>
      </c>
      <c r="K3856">
        <v>0.124171834006458</v>
      </c>
      <c r="L3856">
        <v>1396.0943272213999</v>
      </c>
      <c r="M3856">
        <v>26.651991366607501</v>
      </c>
      <c r="N3856">
        <v>53.112928011799902</v>
      </c>
      <c r="O3856">
        <v>52.090117599981902</v>
      </c>
      <c r="P3856">
        <v>-0.108285102433369</v>
      </c>
      <c r="Q3856">
        <v>0.15345522308603399</v>
      </c>
      <c r="R3856">
        <v>0.99588722258524498</v>
      </c>
      <c r="S3856" t="s">
        <v>9439</v>
      </c>
      <c r="T3856" t="s">
        <v>11164</v>
      </c>
      <c r="U3856" t="s">
        <v>11164</v>
      </c>
      <c r="V3856" t="s">
        <v>11164</v>
      </c>
      <c r="W3856" t="s">
        <v>14977</v>
      </c>
      <c r="X3856">
        <v>21</v>
      </c>
      <c r="Y3856" t="s">
        <v>20454</v>
      </c>
      <c r="Z3856" t="s">
        <v>26006</v>
      </c>
      <c r="AA3856">
        <v>0.59420220294854953</v>
      </c>
      <c r="AB3856" t="str">
        <f>HYPERLINK("Melting_Curves/meltCurve_Q8N1G2_FTSJD2.pdf", "Melting_Curves/meltCurve_Q8N1G2_FTSJD2.pdf")</f>
        <v>Melting_Curves/meltCurve_Q8N1G2_FTSJD2.pdf</v>
      </c>
    </row>
    <row r="3857" spans="1:28" x14ac:dyDescent="0.25">
      <c r="A3857" t="s">
        <v>3861</v>
      </c>
      <c r="B3857">
        <v>0.99796759195183404</v>
      </c>
      <c r="C3857">
        <v>1.0254052927720601</v>
      </c>
      <c r="D3857">
        <v>1.04508479424435</v>
      </c>
      <c r="E3857">
        <v>0.99275477205705598</v>
      </c>
      <c r="F3857">
        <v>0.71045692733777099</v>
      </c>
      <c r="G3857">
        <v>0.36368313598341201</v>
      </c>
      <c r="H3857">
        <v>0.38900918722692002</v>
      </c>
      <c r="I3857">
        <v>0.172406269079801</v>
      </c>
      <c r="J3857">
        <v>9.5777481472563403E-2</v>
      </c>
      <c r="K3857">
        <v>6.4498386444302794E-2</v>
      </c>
      <c r="L3857">
        <v>925.97602608010504</v>
      </c>
      <c r="M3857">
        <v>17.5778718148647</v>
      </c>
      <c r="N3857">
        <v>53.232060105382502</v>
      </c>
      <c r="O3857">
        <v>52.010900902534701</v>
      </c>
      <c r="P3857">
        <v>-7.7438075494714306E-2</v>
      </c>
      <c r="Q3857">
        <v>8.3528218878292093E-2</v>
      </c>
      <c r="R3857">
        <v>0.974106568752095</v>
      </c>
      <c r="S3857" t="s">
        <v>9440</v>
      </c>
      <c r="T3857" t="s">
        <v>11164</v>
      </c>
      <c r="U3857" t="s">
        <v>11164</v>
      </c>
      <c r="V3857" t="s">
        <v>11164</v>
      </c>
      <c r="W3857" t="s">
        <v>14978</v>
      </c>
      <c r="X3857">
        <v>22</v>
      </c>
      <c r="Y3857" t="s">
        <v>20455</v>
      </c>
      <c r="Z3857" t="s">
        <v>26007</v>
      </c>
      <c r="AA3857">
        <v>0.5764385391290302</v>
      </c>
      <c r="AB3857" t="str">
        <f>HYPERLINK("Melting_Curves/meltCurve_Q8N1G4_LRRC47.pdf", "Melting_Curves/meltCurve_Q8N1G4_LRRC47.pdf")</f>
        <v>Melting_Curves/meltCurve_Q8N1G4_LRRC47.pdf</v>
      </c>
    </row>
    <row r="3858" spans="1:28" x14ac:dyDescent="0.25">
      <c r="A3858" t="s">
        <v>3862</v>
      </c>
      <c r="B3858">
        <v>0.99796759195183404</v>
      </c>
      <c r="C3858">
        <v>0.94888123866394303</v>
      </c>
      <c r="D3858">
        <v>0.96698537583978394</v>
      </c>
      <c r="E3858">
        <v>0.912004065548216</v>
      </c>
      <c r="F3858">
        <v>0.76799689888856204</v>
      </c>
      <c r="G3858">
        <v>0.57117497088789804</v>
      </c>
      <c r="H3858">
        <v>0.37261329323213699</v>
      </c>
      <c r="I3858">
        <v>0.23439630815993401</v>
      </c>
      <c r="J3858">
        <v>0.120884387548483</v>
      </c>
      <c r="K3858">
        <v>0.106494806442653</v>
      </c>
      <c r="L3858">
        <v>690.54403591822995</v>
      </c>
      <c r="M3858">
        <v>12.5541362193255</v>
      </c>
      <c r="N3858">
        <v>55.005300592594097</v>
      </c>
      <c r="O3858">
        <v>53.665598593296501</v>
      </c>
      <c r="P3858">
        <v>-5.8494998511146999E-2</v>
      </c>
      <c r="Q3858">
        <v>0</v>
      </c>
      <c r="R3858">
        <v>0.99782737087117401</v>
      </c>
      <c r="S3858" t="s">
        <v>9441</v>
      </c>
      <c r="T3858" t="s">
        <v>11164</v>
      </c>
      <c r="U3858" t="s">
        <v>11164</v>
      </c>
      <c r="V3858" t="s">
        <v>11164</v>
      </c>
      <c r="W3858" t="s">
        <v>14979</v>
      </c>
      <c r="X3858">
        <v>2</v>
      </c>
      <c r="Y3858" t="s">
        <v>20456</v>
      </c>
      <c r="Z3858" t="s">
        <v>26008</v>
      </c>
      <c r="AA3858">
        <v>0.61452934373238755</v>
      </c>
      <c r="AB3858" t="str">
        <f>HYPERLINK("Melting_Curves/meltCurve_Q8N1Q1_CA13.pdf", "Melting_Curves/meltCurve_Q8N1Q1_CA13.pdf")</f>
        <v>Melting_Curves/meltCurve_Q8N1Q1_CA13.pdf</v>
      </c>
    </row>
    <row r="3859" spans="1:28" x14ac:dyDescent="0.25">
      <c r="A3859" t="s">
        <v>3863</v>
      </c>
      <c r="B3859">
        <v>0.99796759195183404</v>
      </c>
      <c r="C3859">
        <v>1.03677187087468</v>
      </c>
      <c r="D3859">
        <v>0.98176589608889997</v>
      </c>
      <c r="E3859">
        <v>0.92278138666074205</v>
      </c>
      <c r="F3859">
        <v>0.72547209544303703</v>
      </c>
      <c r="G3859">
        <v>0.22190383460045099</v>
      </c>
      <c r="H3859">
        <v>0.13922451959061199</v>
      </c>
      <c r="I3859">
        <v>0.11547323921026301</v>
      </c>
      <c r="J3859">
        <v>0.10384699106947699</v>
      </c>
      <c r="K3859">
        <v>7.6603306590070905E-2</v>
      </c>
      <c r="L3859">
        <v>1812.01406588791</v>
      </c>
      <c r="M3859">
        <v>35.355946447704298</v>
      </c>
      <c r="N3859">
        <v>51.574184854374103</v>
      </c>
      <c r="O3859">
        <v>51.087489748970199</v>
      </c>
      <c r="P3859">
        <v>-0.155806623360077</v>
      </c>
      <c r="Q3859">
        <v>9.94734267363791E-2</v>
      </c>
      <c r="R3859">
        <v>0.99638643775029501</v>
      </c>
      <c r="S3859" t="s">
        <v>9442</v>
      </c>
      <c r="T3859" t="s">
        <v>11164</v>
      </c>
      <c r="U3859" t="s">
        <v>11164</v>
      </c>
      <c r="V3859" t="s">
        <v>11164</v>
      </c>
      <c r="W3859" t="s">
        <v>14980</v>
      </c>
      <c r="X3859">
        <v>9</v>
      </c>
      <c r="Y3859" t="s">
        <v>20457</v>
      </c>
      <c r="Z3859" t="s">
        <v>26009</v>
      </c>
      <c r="AA3859">
        <v>0.53131702804843794</v>
      </c>
      <c r="AB3859" t="str">
        <f>HYPERLINK("Melting_Curves/meltCurve_Q8N2F6_3_ARMC10.pdf", "Melting_Curves/meltCurve_Q8N2F6_3_ARMC10.pdf")</f>
        <v>Melting_Curves/meltCurve_Q8N2F6_3_ARMC10.pdf</v>
      </c>
    </row>
    <row r="3860" spans="1:28" x14ac:dyDescent="0.25">
      <c r="A3860" t="s">
        <v>3864</v>
      </c>
      <c r="B3860">
        <v>0.99796759195183404</v>
      </c>
      <c r="C3860">
        <v>0.90743564150652201</v>
      </c>
      <c r="D3860">
        <v>0.93849982621085404</v>
      </c>
      <c r="E3860">
        <v>0.89690604529707996</v>
      </c>
      <c r="F3860">
        <v>0.80372216774203997</v>
      </c>
      <c r="G3860">
        <v>0.68241405610750305</v>
      </c>
      <c r="H3860">
        <v>0.60468460321706197</v>
      </c>
      <c r="I3860">
        <v>0.392631403900425</v>
      </c>
      <c r="J3860">
        <v>0.25245386256076402</v>
      </c>
      <c r="K3860">
        <v>0.18803434810390501</v>
      </c>
      <c r="L3860">
        <v>561.16414361252703</v>
      </c>
      <c r="M3860">
        <v>9.6523391541921502</v>
      </c>
      <c r="N3860">
        <v>58.1376441885891</v>
      </c>
      <c r="O3860">
        <v>55.806660113422502</v>
      </c>
      <c r="P3860">
        <v>-4.3264158520931899E-2</v>
      </c>
      <c r="Q3860">
        <v>0</v>
      </c>
      <c r="R3860">
        <v>0.98013151592028303</v>
      </c>
      <c r="S3860" t="s">
        <v>9443</v>
      </c>
      <c r="T3860" t="s">
        <v>11164</v>
      </c>
      <c r="U3860" t="s">
        <v>11164</v>
      </c>
      <c r="V3860" t="s">
        <v>11164</v>
      </c>
      <c r="W3860" t="s">
        <v>14981</v>
      </c>
      <c r="X3860">
        <v>10</v>
      </c>
      <c r="Y3860" t="s">
        <v>20458</v>
      </c>
      <c r="Z3860" t="s">
        <v>26010</v>
      </c>
      <c r="AA3860">
        <v>0.69312508550328544</v>
      </c>
      <c r="AB3860" t="str">
        <f>HYPERLINK("Melting_Curves/meltCurve_Q8N2G8_3_GHDC.pdf", "Melting_Curves/meltCurve_Q8N2G8_3_GHDC.pdf")</f>
        <v>Melting_Curves/meltCurve_Q8N2G8_3_GHDC.pdf</v>
      </c>
    </row>
    <row r="3861" spans="1:28" x14ac:dyDescent="0.25">
      <c r="A3861" t="s">
        <v>3865</v>
      </c>
      <c r="B3861">
        <v>0.99796759195183404</v>
      </c>
      <c r="C3861">
        <v>0.95829397524401505</v>
      </c>
      <c r="D3861">
        <v>1.0394487131863299</v>
      </c>
      <c r="E3861">
        <v>1.02668490589976</v>
      </c>
      <c r="F3861">
        <v>0.95463097920823703</v>
      </c>
      <c r="G3861">
        <v>0.64814645241548496</v>
      </c>
      <c r="H3861">
        <v>0.36940581155640401</v>
      </c>
      <c r="I3861">
        <v>0.28315531141347</v>
      </c>
      <c r="J3861">
        <v>0.22283688535933399</v>
      </c>
      <c r="K3861">
        <v>0.19334579886265699</v>
      </c>
      <c r="L3861">
        <v>1520.6909222053901</v>
      </c>
      <c r="M3861">
        <v>27.962968786904</v>
      </c>
      <c r="N3861">
        <v>55.503214943878298</v>
      </c>
      <c r="O3861">
        <v>54.106465344321101</v>
      </c>
      <c r="P3861">
        <v>-0.101330306862789</v>
      </c>
      <c r="Q3861">
        <v>0.215737417159798</v>
      </c>
      <c r="R3861">
        <v>0.99403947401838899</v>
      </c>
      <c r="S3861" t="s">
        <v>9444</v>
      </c>
      <c r="T3861" t="s">
        <v>11164</v>
      </c>
      <c r="U3861" t="s">
        <v>11164</v>
      </c>
      <c r="V3861" t="s">
        <v>11164</v>
      </c>
      <c r="W3861" t="s">
        <v>14982</v>
      </c>
      <c r="X3861">
        <v>7</v>
      </c>
      <c r="Y3861" t="s">
        <v>20459</v>
      </c>
      <c r="Z3861" t="s">
        <v>26011</v>
      </c>
      <c r="AA3861">
        <v>0.67580091117130814</v>
      </c>
      <c r="AB3861" t="str">
        <f>HYPERLINK("Melting_Curves/meltCurve_Q8N2K0_ABHD12.pdf", "Melting_Curves/meltCurve_Q8N2K0_ABHD12.pdf")</f>
        <v>Melting_Curves/meltCurve_Q8N2K0_ABHD12.pdf</v>
      </c>
    </row>
    <row r="3862" spans="1:28" x14ac:dyDescent="0.25">
      <c r="A3862" t="s">
        <v>3866</v>
      </c>
      <c r="B3862">
        <v>0.99796759195183404</v>
      </c>
      <c r="C3862">
        <v>1.0290724383485199</v>
      </c>
      <c r="D3862">
        <v>1.0424606554517399</v>
      </c>
      <c r="E3862">
        <v>0.97615403801886502</v>
      </c>
      <c r="F3862">
        <v>0.52238549053133798</v>
      </c>
      <c r="G3862">
        <v>0.28456897976477502</v>
      </c>
      <c r="H3862">
        <v>0.18175675548779699</v>
      </c>
      <c r="I3862">
        <v>0.179396613210795</v>
      </c>
      <c r="J3862">
        <v>0.12771673938601699</v>
      </c>
      <c r="K3862">
        <v>4.19841148169873E-2</v>
      </c>
      <c r="L3862">
        <v>1467.7123482402601</v>
      </c>
      <c r="M3862">
        <v>29.231179704086099</v>
      </c>
      <c r="N3862">
        <v>50.738370474736399</v>
      </c>
      <c r="O3862">
        <v>49.977281012760997</v>
      </c>
      <c r="P3862">
        <v>-0.12705236767731001</v>
      </c>
      <c r="Q3862">
        <v>0.131107929690295</v>
      </c>
      <c r="R3862">
        <v>0.98688043297037498</v>
      </c>
      <c r="S3862" t="s">
        <v>9445</v>
      </c>
      <c r="T3862" t="s">
        <v>11164</v>
      </c>
      <c r="U3862" t="s">
        <v>11164</v>
      </c>
      <c r="V3862" t="s">
        <v>11164</v>
      </c>
      <c r="W3862" t="s">
        <v>14983</v>
      </c>
      <c r="X3862">
        <v>2</v>
      </c>
      <c r="Y3862" t="s">
        <v>20460</v>
      </c>
      <c r="Z3862" t="s">
        <v>26012</v>
      </c>
      <c r="AA3862">
        <v>0.51935421552647243</v>
      </c>
      <c r="AB3862" t="str">
        <f>HYPERLINK("Melting_Curves/meltCurve_Q8N2W9_PIAS4.pdf", "Melting_Curves/meltCurve_Q8N2W9_PIAS4.pdf")</f>
        <v>Melting_Curves/meltCurve_Q8N2W9_PIAS4.pdf</v>
      </c>
    </row>
    <row r="3863" spans="1:28" x14ac:dyDescent="0.25">
      <c r="A3863" t="s">
        <v>3867</v>
      </c>
      <c r="B3863">
        <v>0.99796759195183404</v>
      </c>
      <c r="C3863">
        <v>0.85842346700618499</v>
      </c>
      <c r="D3863">
        <v>0.97010051457120705</v>
      </c>
      <c r="E3863">
        <v>0.990932416378143</v>
      </c>
      <c r="F3863">
        <v>0.88616872984176698</v>
      </c>
      <c r="G3863">
        <v>0.53736431472530199</v>
      </c>
      <c r="H3863">
        <v>0.29790387539838098</v>
      </c>
      <c r="I3863">
        <v>0.16083006101564701</v>
      </c>
      <c r="J3863">
        <v>0.18052354011893901</v>
      </c>
      <c r="K3863">
        <v>0.11723617943992801</v>
      </c>
      <c r="L3863">
        <v>1354.2371602839401</v>
      </c>
      <c r="M3863">
        <v>25.2330445514778</v>
      </c>
      <c r="N3863">
        <v>54.357584605228098</v>
      </c>
      <c r="O3863">
        <v>53.335514676895201</v>
      </c>
      <c r="P3863">
        <v>-0.102100624553388</v>
      </c>
      <c r="Q3863">
        <v>0.13676389415968501</v>
      </c>
      <c r="R3863">
        <v>0.98174153577866097</v>
      </c>
      <c r="S3863" t="s">
        <v>9446</v>
      </c>
      <c r="T3863" t="s">
        <v>11164</v>
      </c>
      <c r="U3863" t="s">
        <v>11164</v>
      </c>
      <c r="V3863" t="s">
        <v>11164</v>
      </c>
      <c r="W3863" t="s">
        <v>14984</v>
      </c>
      <c r="X3863">
        <v>2</v>
      </c>
      <c r="Y3863" t="s">
        <v>20461</v>
      </c>
      <c r="Z3863" t="s">
        <v>26013</v>
      </c>
      <c r="AA3863">
        <v>0.62387307469077746</v>
      </c>
      <c r="AB3863" t="str">
        <f>HYPERLINK("Melting_Curves/meltCurve_Q8N2Z9_APITD1.pdf", "Melting_Curves/meltCurve_Q8N2Z9_APITD1.pdf")</f>
        <v>Melting_Curves/meltCurve_Q8N2Z9_APITD1.pdf</v>
      </c>
    </row>
    <row r="3864" spans="1:28" x14ac:dyDescent="0.25">
      <c r="A3864" t="s">
        <v>3868</v>
      </c>
      <c r="B3864">
        <v>0.99796759195183404</v>
      </c>
      <c r="C3864">
        <v>0.881851827600588</v>
      </c>
      <c r="D3864">
        <v>0.95108270035582299</v>
      </c>
      <c r="E3864">
        <v>0.78782343152751499</v>
      </c>
      <c r="F3864">
        <v>0.86668724597206104</v>
      </c>
      <c r="G3864">
        <v>0.54964610418166304</v>
      </c>
      <c r="H3864">
        <v>0.53398759866219603</v>
      </c>
      <c r="I3864">
        <v>0.56710006922145295</v>
      </c>
      <c r="J3864">
        <v>0.74541941417304003</v>
      </c>
      <c r="K3864">
        <v>0.653203495302077</v>
      </c>
      <c r="L3864">
        <v>693.45883518917299</v>
      </c>
      <c r="M3864">
        <v>14.6890212334817</v>
      </c>
      <c r="O3864">
        <v>46.360253334420896</v>
      </c>
      <c r="P3864">
        <v>-3.09549179556537E-2</v>
      </c>
      <c r="Q3864">
        <v>0.60925361819930801</v>
      </c>
      <c r="R3864">
        <v>0.71316508646628696</v>
      </c>
      <c r="S3864" t="s">
        <v>9447</v>
      </c>
      <c r="T3864" t="s">
        <v>11164</v>
      </c>
      <c r="U3864" t="s">
        <v>11164</v>
      </c>
      <c r="V3864" t="s">
        <v>11164</v>
      </c>
      <c r="W3864" t="s">
        <v>14985</v>
      </c>
      <c r="X3864">
        <v>3</v>
      </c>
      <c r="Y3864" t="s">
        <v>20462</v>
      </c>
      <c r="Z3864" t="s">
        <v>26014</v>
      </c>
      <c r="AA3864">
        <v>0.75131377289622614</v>
      </c>
      <c r="AB3864" t="str">
        <f>HYPERLINK("Melting_Curves/meltCurve_Q8N300_CCDC23.pdf", "Melting_Curves/meltCurve_Q8N300_CCDC23.pdf")</f>
        <v>Melting_Curves/meltCurve_Q8N300_CCDC23.pdf</v>
      </c>
    </row>
    <row r="3865" spans="1:28" x14ac:dyDescent="0.25">
      <c r="A3865" t="s">
        <v>3869</v>
      </c>
      <c r="B3865">
        <v>0.99796759195183404</v>
      </c>
      <c r="C3865">
        <v>0.96108769610079903</v>
      </c>
      <c r="D3865">
        <v>0.98760956489977203</v>
      </c>
      <c r="E3865">
        <v>0.93855324494466996</v>
      </c>
      <c r="F3865">
        <v>0.77954016724011799</v>
      </c>
      <c r="G3865">
        <v>0.44426231345857298</v>
      </c>
      <c r="H3865">
        <v>0.26853302568035098</v>
      </c>
      <c r="I3865">
        <v>0.208830511587555</v>
      </c>
      <c r="J3865">
        <v>0.150180986538509</v>
      </c>
      <c r="K3865">
        <v>0.121017817264939</v>
      </c>
      <c r="L3865">
        <v>1089.06446353663</v>
      </c>
      <c r="M3865">
        <v>20.717830546717799</v>
      </c>
      <c r="N3865">
        <v>53.362208581188803</v>
      </c>
      <c r="O3865">
        <v>52.084137556824999</v>
      </c>
      <c r="P3865">
        <v>-8.6232456775920896E-2</v>
      </c>
      <c r="Q3865">
        <v>0.13287913794161699</v>
      </c>
      <c r="R3865">
        <v>0.99726526759003498</v>
      </c>
      <c r="S3865" t="s">
        <v>9448</v>
      </c>
      <c r="T3865" t="s">
        <v>11164</v>
      </c>
      <c r="U3865" t="s">
        <v>11164</v>
      </c>
      <c r="V3865" t="s">
        <v>11164</v>
      </c>
      <c r="W3865" t="s">
        <v>14986</v>
      </c>
      <c r="X3865">
        <v>12</v>
      </c>
      <c r="Y3865" t="s">
        <v>20463</v>
      </c>
      <c r="Z3865" t="s">
        <v>26015</v>
      </c>
      <c r="AA3865">
        <v>0.59329584696186966</v>
      </c>
      <c r="AB3865" t="str">
        <f>HYPERLINK("Melting_Curves/meltCurve_Q8N335_GPD1L.pdf", "Melting_Curves/meltCurve_Q8N335_GPD1L.pdf")</f>
        <v>Melting_Curves/meltCurve_Q8N335_GPD1L.pdf</v>
      </c>
    </row>
    <row r="3866" spans="1:28" x14ac:dyDescent="0.25">
      <c r="A3866" t="s">
        <v>3870</v>
      </c>
      <c r="B3866">
        <v>0.99796759195183404</v>
      </c>
      <c r="C3866">
        <v>1.1361005779170401</v>
      </c>
      <c r="D3866">
        <v>1.13882191226705</v>
      </c>
      <c r="E3866">
        <v>1.0449599077482099</v>
      </c>
      <c r="F3866">
        <v>0.68547343833706598</v>
      </c>
      <c r="G3866">
        <v>0.45442961541888099</v>
      </c>
      <c r="H3866">
        <v>0.42655141429827798</v>
      </c>
      <c r="I3866">
        <v>0.33087317790960802</v>
      </c>
      <c r="J3866">
        <v>0.28021759723234202</v>
      </c>
      <c r="K3866">
        <v>0.15837530354077201</v>
      </c>
      <c r="L3866">
        <v>1203.1370490885499</v>
      </c>
      <c r="M3866">
        <v>23.3305192569943</v>
      </c>
      <c r="N3866">
        <v>53.3228540585717</v>
      </c>
      <c r="O3866">
        <v>51.194846044338</v>
      </c>
      <c r="P3866">
        <v>-8.34142391048526E-2</v>
      </c>
      <c r="Q3866">
        <v>0.267859666281064</v>
      </c>
      <c r="R3866">
        <v>0.94082808688681696</v>
      </c>
      <c r="S3866" t="s">
        <v>9449</v>
      </c>
      <c r="T3866" t="s">
        <v>11164</v>
      </c>
      <c r="U3866" t="s">
        <v>11164</v>
      </c>
      <c r="V3866" t="s">
        <v>11164</v>
      </c>
      <c r="W3866" t="s">
        <v>14987</v>
      </c>
      <c r="X3866">
        <v>1</v>
      </c>
      <c r="Y3866" t="s">
        <v>20464</v>
      </c>
      <c r="Z3866" t="s">
        <v>26016</v>
      </c>
      <c r="AA3866">
        <v>0.6307532846424978</v>
      </c>
      <c r="AB3866" t="str">
        <f>HYPERLINK("Melting_Curves/meltCurve_Q8N344_MIER2.pdf", "Melting_Curves/meltCurve_Q8N344_MIER2.pdf")</f>
        <v>Melting_Curves/meltCurve_Q8N344_MIER2.pdf</v>
      </c>
    </row>
    <row r="3867" spans="1:28" x14ac:dyDescent="0.25">
      <c r="A3867" t="s">
        <v>3871</v>
      </c>
      <c r="B3867">
        <v>0.99796759195183404</v>
      </c>
      <c r="C3867">
        <v>1.04548900874024</v>
      </c>
      <c r="D3867">
        <v>0.89516247952386196</v>
      </c>
      <c r="E3867">
        <v>1.0721409893134499</v>
      </c>
      <c r="F3867">
        <v>0.954791802287558</v>
      </c>
      <c r="G3867">
        <v>0.59865621953063597</v>
      </c>
      <c r="H3867">
        <v>0.422758079923575</v>
      </c>
      <c r="I3867">
        <v>0.25720262996190202</v>
      </c>
      <c r="J3867">
        <v>9.6350827982126699E-2</v>
      </c>
      <c r="K3867">
        <v>0.150027710632962</v>
      </c>
      <c r="L3867">
        <v>1159.76625746488</v>
      </c>
      <c r="M3867">
        <v>21.031246110264899</v>
      </c>
      <c r="N3867">
        <v>55.828321305462403</v>
      </c>
      <c r="O3867">
        <v>54.653611431618501</v>
      </c>
      <c r="P3867">
        <v>-8.5286672174776507E-2</v>
      </c>
      <c r="Q3867">
        <v>0.11349049682069599</v>
      </c>
      <c r="R3867">
        <v>0.97373611233619195</v>
      </c>
      <c r="S3867" t="s">
        <v>9450</v>
      </c>
      <c r="T3867" t="s">
        <v>11164</v>
      </c>
      <c r="U3867" t="s">
        <v>11164</v>
      </c>
      <c r="V3867" t="s">
        <v>11164</v>
      </c>
      <c r="W3867" t="s">
        <v>14988</v>
      </c>
      <c r="X3867">
        <v>2</v>
      </c>
      <c r="Y3867" t="s">
        <v>20465</v>
      </c>
      <c r="Z3867" t="s">
        <v>26017</v>
      </c>
      <c r="AA3867">
        <v>0.65908246060907538</v>
      </c>
      <c r="AB3867" t="str">
        <f>HYPERLINK("Melting_Curves/meltCurve_Q8N371_KDM8.pdf", "Melting_Curves/meltCurve_Q8N371_KDM8.pdf")</f>
        <v>Melting_Curves/meltCurve_Q8N371_KDM8.pdf</v>
      </c>
    </row>
    <row r="3868" spans="1:28" x14ac:dyDescent="0.25">
      <c r="A3868" t="s">
        <v>3872</v>
      </c>
      <c r="B3868">
        <v>0.99796759195183404</v>
      </c>
      <c r="C3868">
        <v>0.94573678302907804</v>
      </c>
      <c r="D3868">
        <v>0.99325103692263195</v>
      </c>
      <c r="E3868">
        <v>0.88055165091768395</v>
      </c>
      <c r="F3868">
        <v>0.75457012103665899</v>
      </c>
      <c r="G3868">
        <v>0.372274861172539</v>
      </c>
      <c r="H3868">
        <v>0.26671295783378801</v>
      </c>
      <c r="I3868">
        <v>0.22603092446811299</v>
      </c>
      <c r="J3868">
        <v>0.17292725222092101</v>
      </c>
      <c r="K3868">
        <v>0.121253558831558</v>
      </c>
      <c r="L3868">
        <v>1052.3873353086601</v>
      </c>
      <c r="M3868">
        <v>20.3226734086386</v>
      </c>
      <c r="N3868">
        <v>52.706125368903301</v>
      </c>
      <c r="O3868">
        <v>51.290335903686099</v>
      </c>
      <c r="P3868">
        <v>-8.4238233089445294E-2</v>
      </c>
      <c r="Q3868">
        <v>0.149624811711914</v>
      </c>
      <c r="R3868">
        <v>0.990328116373555</v>
      </c>
      <c r="S3868" t="s">
        <v>9451</v>
      </c>
      <c r="T3868" t="s">
        <v>11164</v>
      </c>
      <c r="U3868" t="s">
        <v>11164</v>
      </c>
      <c r="V3868" t="s">
        <v>11164</v>
      </c>
      <c r="W3868" t="s">
        <v>14989</v>
      </c>
      <c r="X3868">
        <v>6</v>
      </c>
      <c r="Y3868" t="s">
        <v>20466</v>
      </c>
      <c r="Z3868" t="s">
        <v>26018</v>
      </c>
      <c r="AA3868">
        <v>0.57943213013053341</v>
      </c>
      <c r="AB3868" t="str">
        <f>HYPERLINK("Melting_Curves/meltCurve_Q8N392_2_ARHGAP18.pdf", "Melting_Curves/meltCurve_Q8N392_2_ARHGAP18.pdf")</f>
        <v>Melting_Curves/meltCurve_Q8N392_2_ARHGAP18.pdf</v>
      </c>
    </row>
    <row r="3869" spans="1:28" x14ac:dyDescent="0.25">
      <c r="A3869" t="s">
        <v>3873</v>
      </c>
      <c r="B3869">
        <v>0.99796759195183404</v>
      </c>
      <c r="C3869">
        <v>0.98149377654019498</v>
      </c>
      <c r="D3869">
        <v>0.94268305797527396</v>
      </c>
      <c r="E3869">
        <v>0.85665700303064496</v>
      </c>
      <c r="F3869">
        <v>0.63232205549026899</v>
      </c>
      <c r="G3869">
        <v>0.54029877906132895</v>
      </c>
      <c r="H3869">
        <v>0.70606420413927695</v>
      </c>
      <c r="I3869">
        <v>0.60117793696925104</v>
      </c>
      <c r="J3869">
        <v>0.489069016963535</v>
      </c>
      <c r="K3869">
        <v>0.29374907011985002</v>
      </c>
      <c r="L3869">
        <v>308.11013979667899</v>
      </c>
      <c r="M3869">
        <v>5.0226602384694798</v>
      </c>
      <c r="N3869">
        <v>61.3440013192603</v>
      </c>
      <c r="O3869">
        <v>53.595865079558401</v>
      </c>
      <c r="P3869">
        <v>-2.35697548796205E-2</v>
      </c>
      <c r="Q3869">
        <v>0</v>
      </c>
      <c r="R3869">
        <v>0.85452726644871102</v>
      </c>
      <c r="S3869" t="s">
        <v>9452</v>
      </c>
      <c r="T3869" t="s">
        <v>11164</v>
      </c>
      <c r="U3869" t="s">
        <v>11164</v>
      </c>
      <c r="V3869" t="s">
        <v>11164</v>
      </c>
      <c r="W3869" t="s">
        <v>14990</v>
      </c>
      <c r="X3869">
        <v>1</v>
      </c>
      <c r="Y3869" t="s">
        <v>20467</v>
      </c>
      <c r="Z3869" t="s">
        <v>26019</v>
      </c>
      <c r="AA3869">
        <v>0.7014752098717556</v>
      </c>
      <c r="AB3869" t="str">
        <f>HYPERLINK("Melting_Curves/meltCurve_Q8N3D4_EHBP1L1.pdf", "Melting_Curves/meltCurve_Q8N3D4_EHBP1L1.pdf")</f>
        <v>Melting_Curves/meltCurve_Q8N3D4_EHBP1L1.pdf</v>
      </c>
    </row>
    <row r="3870" spans="1:28" x14ac:dyDescent="0.25">
      <c r="A3870" t="s">
        <v>3874</v>
      </c>
      <c r="B3870">
        <v>0.99796759195183404</v>
      </c>
      <c r="C3870">
        <v>0.98803242989710405</v>
      </c>
      <c r="D3870">
        <v>0.95918599946630101</v>
      </c>
      <c r="E3870">
        <v>0.97001964570652999</v>
      </c>
      <c r="F3870">
        <v>0.82100998168452599</v>
      </c>
      <c r="G3870">
        <v>0.34378093161842699</v>
      </c>
      <c r="H3870">
        <v>0.21150469803175601</v>
      </c>
      <c r="I3870">
        <v>0.160129775848704</v>
      </c>
      <c r="J3870">
        <v>0.123732686626412</v>
      </c>
      <c r="K3870">
        <v>9.2591706769948295E-2</v>
      </c>
      <c r="L3870">
        <v>1687.5179650452501</v>
      </c>
      <c r="M3870">
        <v>32.362207608182601</v>
      </c>
      <c r="N3870">
        <v>52.634568060207897</v>
      </c>
      <c r="O3870">
        <v>51.946813307019703</v>
      </c>
      <c r="P3870">
        <v>-0.13549544591142801</v>
      </c>
      <c r="Q3870">
        <v>0.13003181931484201</v>
      </c>
      <c r="R3870">
        <v>0.99599303716064302</v>
      </c>
      <c r="S3870" t="s">
        <v>9453</v>
      </c>
      <c r="T3870" t="s">
        <v>11164</v>
      </c>
      <c r="U3870" t="s">
        <v>11164</v>
      </c>
      <c r="V3870" t="s">
        <v>11164</v>
      </c>
      <c r="W3870" t="s">
        <v>14991</v>
      </c>
      <c r="X3870">
        <v>28</v>
      </c>
      <c r="Y3870" t="s">
        <v>20468</v>
      </c>
      <c r="Z3870" t="s">
        <v>26020</v>
      </c>
      <c r="AA3870">
        <v>0.57396271242298047</v>
      </c>
      <c r="AB3870" t="str">
        <f>HYPERLINK("Melting_Curves/meltCurve_Q8N3F8_MICALL1.pdf", "Melting_Curves/meltCurve_Q8N3F8_MICALL1.pdf")</f>
        <v>Melting_Curves/meltCurve_Q8N3F8_MICALL1.pdf</v>
      </c>
    </row>
    <row r="3871" spans="1:28" x14ac:dyDescent="0.25">
      <c r="A3871" t="s">
        <v>3875</v>
      </c>
      <c r="B3871">
        <v>0.99796759195183404</v>
      </c>
      <c r="C3871">
        <v>0.94792538139340299</v>
      </c>
      <c r="D3871">
        <v>0.88003112033346997</v>
      </c>
      <c r="E3871">
        <v>0.81215152700453996</v>
      </c>
      <c r="F3871">
        <v>0.46176291100525502</v>
      </c>
      <c r="G3871">
        <v>0.325528338828318</v>
      </c>
      <c r="H3871">
        <v>0.33208666627667999</v>
      </c>
      <c r="I3871">
        <v>0.246071950990257</v>
      </c>
      <c r="J3871">
        <v>0.167629627385808</v>
      </c>
      <c r="K3871">
        <v>0.14136039742134199</v>
      </c>
      <c r="L3871">
        <v>700.67647618405999</v>
      </c>
      <c r="M3871">
        <v>14.233288189544201</v>
      </c>
      <c r="N3871">
        <v>50.608262243435199</v>
      </c>
      <c r="O3871">
        <v>48.286842947489902</v>
      </c>
      <c r="P3871">
        <v>-6.1845093539847497E-2</v>
      </c>
      <c r="Q3871">
        <v>0.16085902015295001</v>
      </c>
      <c r="R3871">
        <v>0.98133433241059598</v>
      </c>
      <c r="S3871" t="s">
        <v>9454</v>
      </c>
      <c r="T3871" t="s">
        <v>11164</v>
      </c>
      <c r="U3871" t="s">
        <v>11164</v>
      </c>
      <c r="V3871" t="s">
        <v>11164</v>
      </c>
      <c r="W3871" t="s">
        <v>14992</v>
      </c>
      <c r="X3871">
        <v>2</v>
      </c>
      <c r="Y3871" t="s">
        <v>20469</v>
      </c>
      <c r="Z3871" t="s">
        <v>26021</v>
      </c>
      <c r="AA3871">
        <v>0.52232072419973441</v>
      </c>
      <c r="AB3871" t="str">
        <f>HYPERLINK("Melting_Curves/meltCurve_Q8N3R9_MPP5.pdf", "Melting_Curves/meltCurve_Q8N3R9_MPP5.pdf")</f>
        <v>Melting_Curves/meltCurve_Q8N3R9_MPP5.pdf</v>
      </c>
    </row>
    <row r="3872" spans="1:28" x14ac:dyDescent="0.25">
      <c r="A3872" t="s">
        <v>3876</v>
      </c>
      <c r="B3872">
        <v>0.99796759195183404</v>
      </c>
      <c r="C3872">
        <v>1.03772609517285</v>
      </c>
      <c r="D3872">
        <v>0.99253246728862998</v>
      </c>
      <c r="E3872">
        <v>0.93288445898125105</v>
      </c>
      <c r="F3872">
        <v>0.84397992037946501</v>
      </c>
      <c r="G3872">
        <v>1.1223646627866699</v>
      </c>
      <c r="H3872">
        <v>1.2973763326878001</v>
      </c>
      <c r="I3872">
        <v>1.20193606769934</v>
      </c>
      <c r="J3872">
        <v>1.2488157949332299</v>
      </c>
      <c r="K3872">
        <v>1.0615035597795901</v>
      </c>
      <c r="L3872">
        <v>13427.165201165</v>
      </c>
      <c r="M3872">
        <v>250</v>
      </c>
      <c r="O3872">
        <v>53.705223856005603</v>
      </c>
      <c r="P3872">
        <v>0.235554294089838</v>
      </c>
      <c r="Q3872">
        <v>1.2024079370859999</v>
      </c>
      <c r="R3872">
        <v>0.66990455673850102</v>
      </c>
      <c r="S3872" t="s">
        <v>9455</v>
      </c>
      <c r="T3872" t="s">
        <v>11164</v>
      </c>
      <c r="U3872" t="s">
        <v>11164</v>
      </c>
      <c r="V3872" t="s">
        <v>11164</v>
      </c>
      <c r="W3872" t="s">
        <v>14993</v>
      </c>
      <c r="X3872">
        <v>10</v>
      </c>
      <c r="Y3872" t="s">
        <v>20470</v>
      </c>
      <c r="Z3872" t="s">
        <v>26022</v>
      </c>
      <c r="AA3872">
        <v>1.0896566730481989</v>
      </c>
      <c r="AB3872" t="str">
        <f>HYPERLINK("Melting_Curves/meltCurve_Q8N3X1_FNBP4.pdf", "Melting_Curves/meltCurve_Q8N3X1_FNBP4.pdf")</f>
        <v>Melting_Curves/meltCurve_Q8N3X1_FNBP4.pdf</v>
      </c>
    </row>
    <row r="3873" spans="1:28" x14ac:dyDescent="0.25">
      <c r="A3873" t="s">
        <v>3877</v>
      </c>
      <c r="B3873">
        <v>0.99796759195183404</v>
      </c>
      <c r="C3873">
        <v>0.92467688974222095</v>
      </c>
      <c r="D3873">
        <v>0.91652288696096496</v>
      </c>
      <c r="E3873">
        <v>0.81462095530626</v>
      </c>
      <c r="F3873">
        <v>0.83792596059577695</v>
      </c>
      <c r="G3873">
        <v>0.78047231716660104</v>
      </c>
      <c r="H3873">
        <v>0.55091454987079402</v>
      </c>
      <c r="I3873">
        <v>0.44804100817767001</v>
      </c>
      <c r="J3873">
        <v>0.25733912468334602</v>
      </c>
      <c r="K3873">
        <v>0.212285521768839</v>
      </c>
      <c r="L3873">
        <v>549.91267626289903</v>
      </c>
      <c r="M3873">
        <v>9.3713600302561009</v>
      </c>
      <c r="N3873">
        <v>58.680156028478102</v>
      </c>
      <c r="O3873">
        <v>56.194115258392401</v>
      </c>
      <c r="P3873">
        <v>-4.1717881587071799E-2</v>
      </c>
      <c r="Q3873">
        <v>0</v>
      </c>
      <c r="R3873">
        <v>0.96072719968623699</v>
      </c>
      <c r="S3873" t="s">
        <v>9456</v>
      </c>
      <c r="T3873" t="s">
        <v>11164</v>
      </c>
      <c r="U3873" t="s">
        <v>11164</v>
      </c>
      <c r="V3873" t="s">
        <v>11164</v>
      </c>
      <c r="W3873" t="s">
        <v>14994</v>
      </c>
      <c r="X3873">
        <v>4</v>
      </c>
      <c r="Y3873" t="s">
        <v>20471</v>
      </c>
      <c r="Z3873" t="s">
        <v>26023</v>
      </c>
      <c r="AA3873">
        <v>0.70468316977669232</v>
      </c>
      <c r="AB3873" t="str">
        <f>HYPERLINK("Melting_Curves/meltCurve_Q8N465_D2HGDH.pdf", "Melting_Curves/meltCurve_Q8N465_D2HGDH.pdf")</f>
        <v>Melting_Curves/meltCurve_Q8N465_D2HGDH.pdf</v>
      </c>
    </row>
    <row r="3874" spans="1:28" x14ac:dyDescent="0.25">
      <c r="A3874" t="s">
        <v>3878</v>
      </c>
      <c r="B3874">
        <v>0.99796759195183404</v>
      </c>
      <c r="C3874">
        <v>1.05815091115252</v>
      </c>
      <c r="D3874">
        <v>1.1175617529188799</v>
      </c>
      <c r="E3874">
        <v>0.969427909907014</v>
      </c>
      <c r="F3874">
        <v>0.82491201514673196</v>
      </c>
      <c r="G3874">
        <v>0.61201741055139502</v>
      </c>
      <c r="H3874">
        <v>0.62537004984569899</v>
      </c>
      <c r="I3874">
        <v>0.42568094649548699</v>
      </c>
      <c r="J3874">
        <v>0.51395086562355596</v>
      </c>
      <c r="K3874">
        <v>0.42399640172497099</v>
      </c>
      <c r="L3874">
        <v>1058.95964818314</v>
      </c>
      <c r="M3874">
        <v>20.2688162648193</v>
      </c>
      <c r="N3874">
        <v>59.490787515903001</v>
      </c>
      <c r="O3874">
        <v>51.745170703288402</v>
      </c>
      <c r="P3874">
        <v>-5.31127836555172E-2</v>
      </c>
      <c r="Q3874">
        <v>0.457640725802339</v>
      </c>
      <c r="R3874">
        <v>0.94371174535019597</v>
      </c>
      <c r="S3874" t="s">
        <v>9457</v>
      </c>
      <c r="T3874" t="s">
        <v>11164</v>
      </c>
      <c r="U3874" t="s">
        <v>11164</v>
      </c>
      <c r="V3874" t="s">
        <v>11164</v>
      </c>
      <c r="W3874" t="s">
        <v>14995</v>
      </c>
      <c r="X3874">
        <v>3</v>
      </c>
      <c r="Y3874" t="s">
        <v>20472</v>
      </c>
      <c r="Z3874" t="s">
        <v>26024</v>
      </c>
      <c r="AA3874">
        <v>0.74009060993125331</v>
      </c>
      <c r="AB3874" t="str">
        <f>HYPERLINK("Melting_Curves/meltCurve_Q8N488_RYBP.pdf", "Melting_Curves/meltCurve_Q8N488_RYBP.pdf")</f>
        <v>Melting_Curves/meltCurve_Q8N488_RYBP.pdf</v>
      </c>
    </row>
    <row r="3875" spans="1:28" x14ac:dyDescent="0.25">
      <c r="A3875" t="s">
        <v>3879</v>
      </c>
      <c r="B3875">
        <v>0.99796759195183404</v>
      </c>
      <c r="C3875">
        <v>1.07052398592694</v>
      </c>
      <c r="D3875">
        <v>1.0364293856148401</v>
      </c>
      <c r="E3875">
        <v>1.0950375148640299</v>
      </c>
      <c r="F3875">
        <v>0.82186549611137305</v>
      </c>
      <c r="G3875">
        <v>0.66121923863155097</v>
      </c>
      <c r="H3875">
        <v>0.59396533135268803</v>
      </c>
      <c r="I3875">
        <v>0.52531298747414101</v>
      </c>
      <c r="J3875">
        <v>0.45603743445657902</v>
      </c>
      <c r="K3875">
        <v>0.34155694000437797</v>
      </c>
      <c r="L3875">
        <v>892.37313355132699</v>
      </c>
      <c r="M3875">
        <v>16.465696990505201</v>
      </c>
      <c r="N3875">
        <v>59.574657866353</v>
      </c>
      <c r="O3875">
        <v>53.4154250217019</v>
      </c>
      <c r="P3875">
        <v>-4.7248954961290598E-2</v>
      </c>
      <c r="Q3875">
        <v>0.38693243890124801</v>
      </c>
      <c r="R3875">
        <v>0.94376667848156603</v>
      </c>
      <c r="S3875" t="s">
        <v>9458</v>
      </c>
      <c r="T3875" t="s">
        <v>11164</v>
      </c>
      <c r="U3875" t="s">
        <v>11164</v>
      </c>
      <c r="V3875" t="s">
        <v>11164</v>
      </c>
      <c r="W3875" t="s">
        <v>14996</v>
      </c>
      <c r="X3875">
        <v>4</v>
      </c>
      <c r="Y3875" t="s">
        <v>20473</v>
      </c>
      <c r="Z3875" t="s">
        <v>26025</v>
      </c>
      <c r="AA3875">
        <v>0.74737112874652334</v>
      </c>
      <c r="AB3875" t="str">
        <f>HYPERLINK("Melting_Curves/meltCurve_Q8N490_2_PNKD.pdf", "Melting_Curves/meltCurve_Q8N490_2_PNKD.pdf")</f>
        <v>Melting_Curves/meltCurve_Q8N490_2_PNKD.pdf</v>
      </c>
    </row>
    <row r="3876" spans="1:28" x14ac:dyDescent="0.25">
      <c r="A3876" t="s">
        <v>3880</v>
      </c>
      <c r="B3876">
        <v>0.99796759195183404</v>
      </c>
      <c r="C3876">
        <v>1.0701438720929399</v>
      </c>
      <c r="D3876">
        <v>1.05552176521166</v>
      </c>
      <c r="E3876">
        <v>1.0840464665521501</v>
      </c>
      <c r="F3876">
        <v>0.97422342577802301</v>
      </c>
      <c r="G3876">
        <v>0.73162878489524497</v>
      </c>
      <c r="H3876">
        <v>0.63146738305281402</v>
      </c>
      <c r="I3876">
        <v>0.58862332449927501</v>
      </c>
      <c r="J3876">
        <v>0.34564925004961899</v>
      </c>
      <c r="K3876">
        <v>0.29566523390857402</v>
      </c>
      <c r="L3876">
        <v>784.89357887131905</v>
      </c>
      <c r="M3876">
        <v>13.296061333910201</v>
      </c>
      <c r="N3876">
        <v>60.848512714688901</v>
      </c>
      <c r="O3876">
        <v>57.744615985696903</v>
      </c>
      <c r="P3876">
        <v>-4.8142506839539502E-2</v>
      </c>
      <c r="Q3876">
        <v>0.163805981429753</v>
      </c>
      <c r="R3876">
        <v>0.94928727310250405</v>
      </c>
      <c r="S3876" t="s">
        <v>9459</v>
      </c>
      <c r="T3876" t="s">
        <v>11164</v>
      </c>
      <c r="U3876" t="s">
        <v>11164</v>
      </c>
      <c r="V3876" t="s">
        <v>11164</v>
      </c>
      <c r="W3876" t="s">
        <v>14997</v>
      </c>
      <c r="X3876">
        <v>2</v>
      </c>
      <c r="Y3876" t="s">
        <v>20473</v>
      </c>
      <c r="Z3876" t="s">
        <v>26026</v>
      </c>
      <c r="AA3876">
        <v>0.77406861010590267</v>
      </c>
      <c r="AB3876" t="str">
        <f>HYPERLINK("Melting_Curves/meltCurve_Q8N490_4_PNKD.pdf", "Melting_Curves/meltCurve_Q8N490_4_PNKD.pdf")</f>
        <v>Melting_Curves/meltCurve_Q8N490_4_PNKD.pdf</v>
      </c>
    </row>
    <row r="3877" spans="1:28" x14ac:dyDescent="0.25">
      <c r="A3877" t="s">
        <v>3881</v>
      </c>
      <c r="B3877">
        <v>0.99796759195183404</v>
      </c>
      <c r="C3877">
        <v>1.0505801254433</v>
      </c>
      <c r="D3877">
        <v>0.86919068927485199</v>
      </c>
      <c r="E3877">
        <v>0.90724639436765497</v>
      </c>
      <c r="F3877">
        <v>0.74669148043074995</v>
      </c>
      <c r="G3877">
        <v>0.302005322884913</v>
      </c>
      <c r="H3877">
        <v>7.6828165865624395E-2</v>
      </c>
      <c r="I3877">
        <v>4.7927739439147597E-2</v>
      </c>
      <c r="J3877">
        <v>4.48983415457277E-2</v>
      </c>
      <c r="K3877">
        <v>0</v>
      </c>
      <c r="L3877">
        <v>1312.78256238472</v>
      </c>
      <c r="M3877">
        <v>25.234100678014698</v>
      </c>
      <c r="N3877">
        <v>52.075656750839201</v>
      </c>
      <c r="O3877">
        <v>51.700743961739398</v>
      </c>
      <c r="P3877">
        <v>-0.12051761388486799</v>
      </c>
      <c r="Q3877">
        <v>1.23258949088504E-2</v>
      </c>
      <c r="R3877">
        <v>0.98738748257360998</v>
      </c>
      <c r="S3877" t="s">
        <v>9460</v>
      </c>
      <c r="T3877" t="s">
        <v>11164</v>
      </c>
      <c r="U3877" t="s">
        <v>11164</v>
      </c>
      <c r="V3877" t="s">
        <v>11164</v>
      </c>
      <c r="W3877" t="s">
        <v>14998</v>
      </c>
      <c r="X3877">
        <v>7</v>
      </c>
      <c r="Y3877" t="s">
        <v>20474</v>
      </c>
      <c r="Z3877" t="s">
        <v>26027</v>
      </c>
      <c r="AA3877">
        <v>0.51556271344285765</v>
      </c>
      <c r="AB3877" t="str">
        <f>HYPERLINK("Melting_Curves/meltCurve_Q8N4C8_2_MINK1.pdf", "Melting_Curves/meltCurve_Q8N4C8_2_MINK1.pdf")</f>
        <v>Melting_Curves/meltCurve_Q8N4C8_2_MINK1.pdf</v>
      </c>
    </row>
    <row r="3878" spans="1:28" x14ac:dyDescent="0.25">
      <c r="A3878" t="s">
        <v>3882</v>
      </c>
      <c r="B3878">
        <v>0.99796759195183404</v>
      </c>
      <c r="C3878">
        <v>1.11142529134997</v>
      </c>
      <c r="D3878">
        <v>1.0856327517354201</v>
      </c>
      <c r="E3878">
        <v>1.0475814622673101</v>
      </c>
      <c r="F3878">
        <v>0.88798869233504296</v>
      </c>
      <c r="G3878">
        <v>0.65339692555223206</v>
      </c>
      <c r="H3878">
        <v>0.56380246080842999</v>
      </c>
      <c r="I3878">
        <v>0.40518913637388299</v>
      </c>
      <c r="J3878">
        <v>0.241787780668591</v>
      </c>
      <c r="K3878">
        <v>0.16224284031989</v>
      </c>
      <c r="L3878">
        <v>774.14990755490203</v>
      </c>
      <c r="M3878">
        <v>13.438392380481</v>
      </c>
      <c r="N3878">
        <v>58.136082534574001</v>
      </c>
      <c r="O3878">
        <v>56.376540010490601</v>
      </c>
      <c r="P3878">
        <v>-5.6172839778952099E-2</v>
      </c>
      <c r="Q3878">
        <v>5.7524538436609103E-2</v>
      </c>
      <c r="R3878">
        <v>0.96623467423584297</v>
      </c>
      <c r="S3878" t="s">
        <v>9461</v>
      </c>
      <c r="T3878" t="s">
        <v>11164</v>
      </c>
      <c r="U3878" t="s">
        <v>11164</v>
      </c>
      <c r="V3878" t="s">
        <v>11164</v>
      </c>
      <c r="W3878" t="s">
        <v>14999</v>
      </c>
      <c r="X3878">
        <v>9</v>
      </c>
      <c r="Y3878" t="s">
        <v>20475</v>
      </c>
      <c r="Z3878" t="s">
        <v>26028</v>
      </c>
      <c r="AA3878">
        <v>0.7086311122377863</v>
      </c>
      <c r="AB3878" t="str">
        <f>HYPERLINK("Melting_Curves/meltCurve_Q8N4P3_HDDC3.pdf", "Melting_Curves/meltCurve_Q8N4P3_HDDC3.pdf")</f>
        <v>Melting_Curves/meltCurve_Q8N4P3_HDDC3.pdf</v>
      </c>
    </row>
    <row r="3879" spans="1:28" x14ac:dyDescent="0.25">
      <c r="A3879" t="s">
        <v>3883</v>
      </c>
      <c r="B3879">
        <v>0.99796759195183404</v>
      </c>
      <c r="C3879">
        <v>0.92301265221297502</v>
      </c>
      <c r="D3879">
        <v>0.91365608507240004</v>
      </c>
      <c r="E3879">
        <v>0.83797441901468395</v>
      </c>
      <c r="F3879">
        <v>0.79894429086875995</v>
      </c>
      <c r="G3879">
        <v>0.67431067314166304</v>
      </c>
      <c r="H3879">
        <v>0.37822211214292101</v>
      </c>
      <c r="I3879">
        <v>0.18764077672335</v>
      </c>
      <c r="J3879">
        <v>0.177138992482996</v>
      </c>
      <c r="K3879">
        <v>0.12609592658005001</v>
      </c>
      <c r="L3879">
        <v>665.672719749159</v>
      </c>
      <c r="M3879">
        <v>11.997630748198601</v>
      </c>
      <c r="N3879">
        <v>55.483681254114103</v>
      </c>
      <c r="O3879">
        <v>54.009663117480699</v>
      </c>
      <c r="P3879">
        <v>-5.5548046963001002E-2</v>
      </c>
      <c r="Q3879">
        <v>0</v>
      </c>
      <c r="R3879">
        <v>0.97720561736659095</v>
      </c>
      <c r="S3879" t="s">
        <v>9462</v>
      </c>
      <c r="T3879" t="s">
        <v>11164</v>
      </c>
      <c r="U3879" t="s">
        <v>11164</v>
      </c>
      <c r="V3879" t="s">
        <v>11164</v>
      </c>
      <c r="W3879" t="s">
        <v>15000</v>
      </c>
      <c r="X3879">
        <v>10</v>
      </c>
      <c r="Y3879" t="s">
        <v>20476</v>
      </c>
      <c r="Z3879" t="s">
        <v>26029</v>
      </c>
      <c r="AA3879">
        <v>0.62826871676617602</v>
      </c>
      <c r="AB3879" t="str">
        <f>HYPERLINK("Melting_Curves/meltCurve_Q8N4Q0_ZADH2.pdf", "Melting_Curves/meltCurve_Q8N4Q0_ZADH2.pdf")</f>
        <v>Melting_Curves/meltCurve_Q8N4Q0_ZADH2.pdf</v>
      </c>
    </row>
    <row r="3880" spans="1:28" x14ac:dyDescent="0.25">
      <c r="A3880" t="s">
        <v>3884</v>
      </c>
      <c r="B3880">
        <v>0.99796759195183404</v>
      </c>
      <c r="C3880">
        <v>1.7514886037678099</v>
      </c>
      <c r="D3880">
        <v>1.56095788474932</v>
      </c>
      <c r="E3880">
        <v>1.6011242716820899</v>
      </c>
      <c r="F3880">
        <v>1.8371725728896899</v>
      </c>
      <c r="G3880">
        <v>0.78539486031410599</v>
      </c>
      <c r="H3880">
        <v>1.46335947326097</v>
      </c>
      <c r="I3880">
        <v>1.4268070309551699</v>
      </c>
      <c r="J3880">
        <v>1.75835652089559</v>
      </c>
      <c r="K3880">
        <v>1.9736317460844901</v>
      </c>
      <c r="L3880">
        <v>9511.4034739575109</v>
      </c>
      <c r="M3880">
        <v>250</v>
      </c>
      <c r="O3880">
        <v>38.043159021468902</v>
      </c>
      <c r="P3880">
        <v>0.82143502546742897</v>
      </c>
      <c r="Q3880">
        <v>1.5</v>
      </c>
      <c r="R3880">
        <v>0.19984441539713399</v>
      </c>
      <c r="S3880" t="s">
        <v>9463</v>
      </c>
      <c r="T3880" t="s">
        <v>11164</v>
      </c>
      <c r="U3880" t="s">
        <v>11164</v>
      </c>
      <c r="V3880" t="s">
        <v>11164</v>
      </c>
      <c r="W3880" t="s">
        <v>15001</v>
      </c>
      <c r="X3880">
        <v>1</v>
      </c>
      <c r="Y3880" t="s">
        <v>20477</v>
      </c>
      <c r="Z3880" t="s">
        <v>26030</v>
      </c>
      <c r="AA3880">
        <v>1.4825376837323769</v>
      </c>
      <c r="AB3880" t="str">
        <f>HYPERLINK("Melting_Curves/meltCurve_Q8N4Q1_CHCHD4.pdf", "Melting_Curves/meltCurve_Q8N4Q1_CHCHD4.pdf")</f>
        <v>Melting_Curves/meltCurve_Q8N4Q1_CHCHD4.pdf</v>
      </c>
    </row>
    <row r="3881" spans="1:28" x14ac:dyDescent="0.25">
      <c r="A3881" t="s">
        <v>3885</v>
      </c>
      <c r="B3881">
        <v>0.99796759195183404</v>
      </c>
      <c r="C3881">
        <v>0.90897935845335798</v>
      </c>
      <c r="D3881">
        <v>1.0862016088851301</v>
      </c>
      <c r="E3881">
        <v>0.95767369992377005</v>
      </c>
      <c r="F3881">
        <v>0.76552872243159797</v>
      </c>
      <c r="G3881">
        <v>0.94723263939388802</v>
      </c>
      <c r="H3881">
        <v>0.80948033114727902</v>
      </c>
      <c r="I3881">
        <v>0.80418788294802102</v>
      </c>
      <c r="J3881">
        <v>1.19870894606417</v>
      </c>
      <c r="K3881">
        <v>1.1425586901626199</v>
      </c>
      <c r="L3881">
        <v>15000</v>
      </c>
      <c r="M3881">
        <v>238.99096323881301</v>
      </c>
      <c r="O3881">
        <v>62.759484478247799</v>
      </c>
      <c r="P3881">
        <v>0.16281099836534799</v>
      </c>
      <c r="Q3881">
        <v>1.1710179190916701</v>
      </c>
      <c r="R3881">
        <v>0.22312124933142</v>
      </c>
      <c r="S3881" t="s">
        <v>9464</v>
      </c>
      <c r="T3881" t="s">
        <v>11164</v>
      </c>
      <c r="U3881" t="s">
        <v>11164</v>
      </c>
      <c r="V3881" t="s">
        <v>11164</v>
      </c>
      <c r="W3881" t="s">
        <v>15002</v>
      </c>
      <c r="X3881">
        <v>1</v>
      </c>
      <c r="Y3881" t="s">
        <v>20478</v>
      </c>
      <c r="Z3881" t="s">
        <v>26031</v>
      </c>
      <c r="AA3881">
        <v>1.0241278045514139</v>
      </c>
      <c r="AB3881" t="str">
        <f>HYPERLINK("Melting_Curves/meltCurve_Q8N4V1_MMGT1.pdf", "Melting_Curves/meltCurve_Q8N4V1_MMGT1.pdf")</f>
        <v>Melting_Curves/meltCurve_Q8N4V1_MMGT1.pdf</v>
      </c>
    </row>
    <row r="3882" spans="1:28" x14ac:dyDescent="0.25">
      <c r="A3882" t="s">
        <v>3886</v>
      </c>
      <c r="B3882">
        <v>0.99796759195183404</v>
      </c>
      <c r="C3882">
        <v>0.88400411141998902</v>
      </c>
      <c r="D3882">
        <v>0.81476799502393005</v>
      </c>
      <c r="E3882">
        <v>0.65206041111217405</v>
      </c>
      <c r="F3882">
        <v>0.41733501349747598</v>
      </c>
      <c r="G3882">
        <v>0.25798935603199002</v>
      </c>
      <c r="H3882">
        <v>0.21584193402219401</v>
      </c>
      <c r="I3882">
        <v>0.141003897440834</v>
      </c>
      <c r="J3882">
        <v>7.2114974076732993E-2</v>
      </c>
      <c r="K3882">
        <v>3.6396208904524198E-2</v>
      </c>
      <c r="L3882">
        <v>506.65483959023902</v>
      </c>
      <c r="M3882">
        <v>10.339378714578499</v>
      </c>
      <c r="N3882">
        <v>49.002431597627002</v>
      </c>
      <c r="O3882">
        <v>47.275624717766703</v>
      </c>
      <c r="P3882">
        <v>-5.46994596464771E-2</v>
      </c>
      <c r="Q3882">
        <v>0</v>
      </c>
      <c r="R3882">
        <v>0.99484578045182503</v>
      </c>
      <c r="S3882" t="s">
        <v>9465</v>
      </c>
      <c r="T3882" t="s">
        <v>11164</v>
      </c>
      <c r="U3882" t="s">
        <v>11164</v>
      </c>
      <c r="V3882" t="s">
        <v>11164</v>
      </c>
      <c r="W3882" t="s">
        <v>15003</v>
      </c>
      <c r="X3882">
        <v>1</v>
      </c>
      <c r="Y3882" t="s">
        <v>20479</v>
      </c>
      <c r="Z3882" t="s">
        <v>26032</v>
      </c>
      <c r="AA3882">
        <v>0.43582088175600092</v>
      </c>
      <c r="AB3882" t="str">
        <f>HYPERLINK("Melting_Curves/meltCurve_Q8N556_AFAP1.pdf", "Melting_Curves/meltCurve_Q8N556_AFAP1.pdf")</f>
        <v>Melting_Curves/meltCurve_Q8N556_AFAP1.pdf</v>
      </c>
    </row>
    <row r="3883" spans="1:28" x14ac:dyDescent="0.25">
      <c r="A3883" t="s">
        <v>3887</v>
      </c>
      <c r="B3883">
        <v>0.99796759195183404</v>
      </c>
      <c r="C3883">
        <v>1.0433580292812901</v>
      </c>
      <c r="D3883">
        <v>0.959703043037194</v>
      </c>
      <c r="E3883">
        <v>0.82616373777528596</v>
      </c>
      <c r="F3883">
        <v>0.81473430365893595</v>
      </c>
      <c r="G3883">
        <v>0.62231662377367802</v>
      </c>
      <c r="H3883">
        <v>0.49825818114523701</v>
      </c>
      <c r="I3883">
        <v>0.39973408916147102</v>
      </c>
      <c r="J3883">
        <v>0.33920351726573</v>
      </c>
      <c r="K3883">
        <v>0.187103008858201</v>
      </c>
      <c r="L3883">
        <v>491.61275391468001</v>
      </c>
      <c r="M3883">
        <v>8.5365324095699506</v>
      </c>
      <c r="N3883">
        <v>57.589274825631698</v>
      </c>
      <c r="O3883">
        <v>54.689964596784698</v>
      </c>
      <c r="P3883">
        <v>-3.9056988020600703E-2</v>
      </c>
      <c r="Q3883">
        <v>0</v>
      </c>
      <c r="R3883">
        <v>0.98333860313369603</v>
      </c>
      <c r="S3883" t="s">
        <v>9466</v>
      </c>
      <c r="T3883" t="s">
        <v>11164</v>
      </c>
      <c r="U3883" t="s">
        <v>11164</v>
      </c>
      <c r="V3883" t="s">
        <v>11164</v>
      </c>
      <c r="W3883" t="s">
        <v>15004</v>
      </c>
      <c r="X3883">
        <v>15</v>
      </c>
      <c r="Y3883" t="s">
        <v>20480</v>
      </c>
      <c r="Z3883" t="s">
        <v>26033</v>
      </c>
      <c r="AA3883">
        <v>0.67330222437303044</v>
      </c>
      <c r="AB3883" t="str">
        <f>HYPERLINK("Melting_Curves/meltCurve_Q8N573_2_OXR1.pdf", "Melting_Curves/meltCurve_Q8N573_2_OXR1.pdf")</f>
        <v>Melting_Curves/meltCurve_Q8N573_2_OXR1.pdf</v>
      </c>
    </row>
    <row r="3884" spans="1:28" x14ac:dyDescent="0.25">
      <c r="A3884" t="s">
        <v>3888</v>
      </c>
      <c r="B3884">
        <v>0.99796759195183404</v>
      </c>
      <c r="C3884">
        <v>0.98474397233225897</v>
      </c>
      <c r="D3884">
        <v>0.98715490516841997</v>
      </c>
      <c r="E3884">
        <v>0.94808296799182401</v>
      </c>
      <c r="F3884">
        <v>0.80201107186444098</v>
      </c>
      <c r="G3884">
        <v>0.67395182144570598</v>
      </c>
      <c r="H3884">
        <v>0.57643432098826697</v>
      </c>
      <c r="I3884">
        <v>0.28858285083704699</v>
      </c>
      <c r="J3884">
        <v>0.15371484312453601</v>
      </c>
      <c r="K3884">
        <v>9.8128317120122099E-2</v>
      </c>
      <c r="L3884">
        <v>747.92526272859197</v>
      </c>
      <c r="M3884">
        <v>13.0949127544979</v>
      </c>
      <c r="N3884">
        <v>57.115711986426099</v>
      </c>
      <c r="O3884">
        <v>55.832974984905</v>
      </c>
      <c r="P3884">
        <v>-5.8644388543175503E-2</v>
      </c>
      <c r="Q3884">
        <v>0</v>
      </c>
      <c r="R3884">
        <v>0.98705057521661999</v>
      </c>
      <c r="S3884" t="s">
        <v>9467</v>
      </c>
      <c r="T3884" t="s">
        <v>11164</v>
      </c>
      <c r="U3884" t="s">
        <v>11164</v>
      </c>
      <c r="V3884" t="s">
        <v>11164</v>
      </c>
      <c r="W3884" t="s">
        <v>15005</v>
      </c>
      <c r="X3884">
        <v>17</v>
      </c>
      <c r="Y3884" t="s">
        <v>20480</v>
      </c>
      <c r="Z3884" t="s">
        <v>26034</v>
      </c>
      <c r="AA3884">
        <v>0.67638950643951012</v>
      </c>
      <c r="AB3884" t="str">
        <f>HYPERLINK("Melting_Curves/meltCurve_Q8N573_8_OXR1.pdf", "Melting_Curves/meltCurve_Q8N573_8_OXR1.pdf")</f>
        <v>Melting_Curves/meltCurve_Q8N573_8_OXR1.pdf</v>
      </c>
    </row>
    <row r="3885" spans="1:28" x14ac:dyDescent="0.25">
      <c r="A3885" t="s">
        <v>3889</v>
      </c>
      <c r="B3885">
        <v>0.99796759195183404</v>
      </c>
      <c r="C3885">
        <v>1.0097235218259899</v>
      </c>
      <c r="D3885">
        <v>0.99842215457835204</v>
      </c>
      <c r="E3885">
        <v>0.85013342875890896</v>
      </c>
      <c r="F3885">
        <v>0.736132002046054</v>
      </c>
      <c r="G3885">
        <v>0.60478552325040003</v>
      </c>
      <c r="H3885">
        <v>0.48194896465209602</v>
      </c>
      <c r="I3885">
        <v>0.20722856632700501</v>
      </c>
      <c r="J3885">
        <v>0.125619243474934</v>
      </c>
      <c r="K3885">
        <v>4.98312382147552E-2</v>
      </c>
      <c r="L3885">
        <v>680.32399614914698</v>
      </c>
      <c r="M3885">
        <v>12.2996454204616</v>
      </c>
      <c r="N3885">
        <v>55.312488569966298</v>
      </c>
      <c r="O3885">
        <v>53.911327358272402</v>
      </c>
      <c r="P3885">
        <v>-5.7048957491016399E-2</v>
      </c>
      <c r="Q3885">
        <v>0</v>
      </c>
      <c r="R3885">
        <v>0.98401028030595195</v>
      </c>
      <c r="S3885" t="s">
        <v>9468</v>
      </c>
      <c r="T3885" t="s">
        <v>11164</v>
      </c>
      <c r="U3885" t="s">
        <v>11164</v>
      </c>
      <c r="V3885" t="s">
        <v>11164</v>
      </c>
      <c r="W3885" t="s">
        <v>15006</v>
      </c>
      <c r="X3885">
        <v>3</v>
      </c>
      <c r="Y3885" t="s">
        <v>20481</v>
      </c>
      <c r="Z3885" t="s">
        <v>26035</v>
      </c>
      <c r="AA3885">
        <v>0.62348635942942843</v>
      </c>
      <c r="AB3885" t="str">
        <f>HYPERLINK("Melting_Curves/meltCurve_Q8N584_TTC39C.pdf", "Melting_Curves/meltCurve_Q8N584_TTC39C.pdf")</f>
        <v>Melting_Curves/meltCurve_Q8N584_TTC39C.pdf</v>
      </c>
    </row>
    <row r="3886" spans="1:28" x14ac:dyDescent="0.25">
      <c r="A3886" t="s">
        <v>3890</v>
      </c>
      <c r="B3886">
        <v>0.99796759195183404</v>
      </c>
      <c r="C3886">
        <v>0.96951466037137002</v>
      </c>
      <c r="D3886">
        <v>0.89287823060554505</v>
      </c>
      <c r="E3886">
        <v>0.81675946884791395</v>
      </c>
      <c r="F3886">
        <v>0.38046312887724698</v>
      </c>
      <c r="G3886">
        <v>0.19453016630264999</v>
      </c>
      <c r="H3886">
        <v>0.16628182146173601</v>
      </c>
      <c r="I3886">
        <v>0.128411565180996</v>
      </c>
      <c r="J3886">
        <v>0.122421129858461</v>
      </c>
      <c r="K3886">
        <v>8.7058519059554598E-2</v>
      </c>
      <c r="L3886">
        <v>1180.9708609353499</v>
      </c>
      <c r="M3886">
        <v>24.2510572432309</v>
      </c>
      <c r="N3886">
        <v>49.229752864684102</v>
      </c>
      <c r="O3886">
        <v>48.370199366523501</v>
      </c>
      <c r="P3886">
        <v>-0.11089332634414099</v>
      </c>
      <c r="Q3886">
        <v>0.115279652958587</v>
      </c>
      <c r="R3886">
        <v>0.99288998789365401</v>
      </c>
      <c r="S3886" t="s">
        <v>9469</v>
      </c>
      <c r="T3886" t="s">
        <v>11164</v>
      </c>
      <c r="U3886" t="s">
        <v>11164</v>
      </c>
      <c r="V3886" t="s">
        <v>11164</v>
      </c>
      <c r="W3886" t="s">
        <v>15007</v>
      </c>
      <c r="X3886">
        <v>3</v>
      </c>
      <c r="Y3886" t="s">
        <v>20482</v>
      </c>
      <c r="Z3886" t="s">
        <v>26036</v>
      </c>
      <c r="AA3886">
        <v>0.4683321665929015</v>
      </c>
      <c r="AB3886" t="str">
        <f>HYPERLINK("Melting_Curves/meltCurve_Q8N5A5_3_ZGPAT.pdf", "Melting_Curves/meltCurve_Q8N5A5_3_ZGPAT.pdf")</f>
        <v>Melting_Curves/meltCurve_Q8N5A5_3_ZGPAT.pdf</v>
      </c>
    </row>
    <row r="3887" spans="1:28" x14ac:dyDescent="0.25">
      <c r="A3887" t="s">
        <v>3891</v>
      </c>
      <c r="B3887">
        <v>0.99796759195183404</v>
      </c>
      <c r="C3887">
        <v>0.94553600230030999</v>
      </c>
      <c r="D3887">
        <v>0.89768584587665701</v>
      </c>
      <c r="E3887">
        <v>0.85814573037637198</v>
      </c>
      <c r="F3887">
        <v>0.76904146338910295</v>
      </c>
      <c r="G3887">
        <v>0.81265102675783396</v>
      </c>
      <c r="H3887">
        <v>0.386130434116638</v>
      </c>
      <c r="I3887">
        <v>0.14457250649164399</v>
      </c>
      <c r="J3887">
        <v>5.9802450739463803E-2</v>
      </c>
      <c r="K3887">
        <v>3.6452718753655897E-2</v>
      </c>
      <c r="L3887">
        <v>1045.5539631138299</v>
      </c>
      <c r="M3887">
        <v>18.631713942485799</v>
      </c>
      <c r="N3887">
        <v>56.116896924762798</v>
      </c>
      <c r="O3887">
        <v>55.482427288640203</v>
      </c>
      <c r="P3887">
        <v>-8.3956835809877395E-2</v>
      </c>
      <c r="Q3887">
        <v>0</v>
      </c>
      <c r="R3887">
        <v>0.95484265689091397</v>
      </c>
      <c r="S3887" t="s">
        <v>9470</v>
      </c>
      <c r="T3887" t="s">
        <v>11164</v>
      </c>
      <c r="U3887" t="s">
        <v>11164</v>
      </c>
      <c r="V3887" t="s">
        <v>11164</v>
      </c>
      <c r="W3887" t="s">
        <v>15008</v>
      </c>
      <c r="X3887">
        <v>2</v>
      </c>
      <c r="Y3887" t="s">
        <v>20483</v>
      </c>
      <c r="Z3887" t="s">
        <v>26037</v>
      </c>
      <c r="AA3887">
        <v>0.64785007345214984</v>
      </c>
      <c r="AB3887" t="str">
        <f>HYPERLINK("Melting_Curves/meltCurve_Q8N5C7_DTWD1.pdf", "Melting_Curves/meltCurve_Q8N5C7_DTWD1.pdf")</f>
        <v>Melting_Curves/meltCurve_Q8N5C7_DTWD1.pdf</v>
      </c>
    </row>
    <row r="3888" spans="1:28" x14ac:dyDescent="0.25">
      <c r="A3888" t="s">
        <v>3892</v>
      </c>
      <c r="B3888">
        <v>0.99796759195183404</v>
      </c>
      <c r="C3888">
        <v>0.99386229623844502</v>
      </c>
      <c r="D3888">
        <v>0.87709690250407402</v>
      </c>
      <c r="E3888">
        <v>0.85232071515222796</v>
      </c>
      <c r="F3888">
        <v>0.77397698437316798</v>
      </c>
      <c r="G3888">
        <v>0.75012486891214203</v>
      </c>
      <c r="H3888">
        <v>0.68205257039329004</v>
      </c>
      <c r="I3888">
        <v>0.69944619979064804</v>
      </c>
      <c r="J3888">
        <v>0.85428762848476003</v>
      </c>
      <c r="K3888">
        <v>0.64367896790096901</v>
      </c>
      <c r="L3888">
        <v>671.84117493979397</v>
      </c>
      <c r="M3888">
        <v>14.8146332912783</v>
      </c>
      <c r="O3888">
        <v>44.547567777654002</v>
      </c>
      <c r="P3888">
        <v>-2.3486495160732201E-2</v>
      </c>
      <c r="Q3888">
        <v>0.71753458174627804</v>
      </c>
      <c r="R3888">
        <v>0.79094486648914897</v>
      </c>
      <c r="S3888" t="s">
        <v>9471</v>
      </c>
      <c r="T3888" t="s">
        <v>11164</v>
      </c>
      <c r="U3888" t="s">
        <v>11164</v>
      </c>
      <c r="V3888" t="s">
        <v>11164</v>
      </c>
      <c r="W3888" t="s">
        <v>15009</v>
      </c>
      <c r="X3888">
        <v>2</v>
      </c>
      <c r="Y3888" t="s">
        <v>20484</v>
      </c>
      <c r="Z3888" t="s">
        <v>26038</v>
      </c>
      <c r="AA3888">
        <v>0.80295524460914203</v>
      </c>
      <c r="AB3888" t="str">
        <f>HYPERLINK("Melting_Curves/meltCurve_Q8N5G0_2_SMIM20.pdf", "Melting_Curves/meltCurve_Q8N5G0_2_SMIM20.pdf")</f>
        <v>Melting_Curves/meltCurve_Q8N5G0_2_SMIM20.pdf</v>
      </c>
    </row>
    <row r="3889" spans="1:28" x14ac:dyDescent="0.25">
      <c r="A3889" t="s">
        <v>3893</v>
      </c>
      <c r="B3889">
        <v>0.99796759195183404</v>
      </c>
      <c r="C3889">
        <v>0.98449587138818095</v>
      </c>
      <c r="D3889">
        <v>1.01947524582174</v>
      </c>
      <c r="E3889">
        <v>1.0055142463039699</v>
      </c>
      <c r="F3889">
        <v>0.82945272794396097</v>
      </c>
      <c r="G3889">
        <v>0.60600327313557301</v>
      </c>
      <c r="H3889">
        <v>0.77876393792880005</v>
      </c>
      <c r="I3889">
        <v>0.69898366453827399</v>
      </c>
      <c r="J3889">
        <v>0.85389060436717501</v>
      </c>
      <c r="K3889">
        <v>0.79816042040962698</v>
      </c>
      <c r="L3889">
        <v>12513.417518063599</v>
      </c>
      <c r="M3889">
        <v>250</v>
      </c>
      <c r="O3889">
        <v>50.050491907864803</v>
      </c>
      <c r="P3889">
        <v>-0.31573084274289598</v>
      </c>
      <c r="Q3889">
        <v>0.74716038146154995</v>
      </c>
      <c r="R3889">
        <v>0.79282972181551803</v>
      </c>
      <c r="S3889" t="s">
        <v>9472</v>
      </c>
      <c r="T3889" t="s">
        <v>11164</v>
      </c>
      <c r="U3889" t="s">
        <v>11164</v>
      </c>
      <c r="V3889" t="s">
        <v>11164</v>
      </c>
      <c r="W3889" t="s">
        <v>15010</v>
      </c>
      <c r="X3889">
        <v>12</v>
      </c>
      <c r="Y3889" t="s">
        <v>20485</v>
      </c>
      <c r="Z3889" t="s">
        <v>26039</v>
      </c>
      <c r="AA3889">
        <v>0.85719875714284266</v>
      </c>
      <c r="AB3889" t="str">
        <f>HYPERLINK("Melting_Curves/meltCurve_Q8N5I9_C12orf45.pdf", "Melting_Curves/meltCurve_Q8N5I9_C12orf45.pdf")</f>
        <v>Melting_Curves/meltCurve_Q8N5I9_C12orf45.pdf</v>
      </c>
    </row>
    <row r="3890" spans="1:28" x14ac:dyDescent="0.25">
      <c r="A3890" t="s">
        <v>3894</v>
      </c>
      <c r="B3890">
        <v>0.99796759195183404</v>
      </c>
      <c r="C3890">
        <v>0.95977051516719003</v>
      </c>
      <c r="D3890">
        <v>1.0394486572416799</v>
      </c>
      <c r="E3890">
        <v>1.0573660439725501</v>
      </c>
      <c r="F3890">
        <v>0.87067912812885895</v>
      </c>
      <c r="G3890">
        <v>0.55410347124649795</v>
      </c>
      <c r="H3890">
        <v>0.51579433121833695</v>
      </c>
      <c r="I3890">
        <v>0.41388284397480601</v>
      </c>
      <c r="J3890">
        <v>0.43924473353190002</v>
      </c>
      <c r="K3890">
        <v>0.30519238314333902</v>
      </c>
      <c r="L3890">
        <v>1536.7504048307901</v>
      </c>
      <c r="M3890">
        <v>29.337193796665101</v>
      </c>
      <c r="N3890">
        <v>55.381197366163299</v>
      </c>
      <c r="O3890">
        <v>52.140761849787403</v>
      </c>
      <c r="P3890">
        <v>-8.4694892820279893E-2</v>
      </c>
      <c r="Q3890">
        <v>0.39789423960065201</v>
      </c>
      <c r="R3890">
        <v>0.96744282604274301</v>
      </c>
      <c r="S3890" t="s">
        <v>9473</v>
      </c>
      <c r="T3890" t="s">
        <v>11164</v>
      </c>
      <c r="U3890" t="s">
        <v>11164</v>
      </c>
      <c r="V3890" t="s">
        <v>11164</v>
      </c>
      <c r="W3890" t="s">
        <v>15011</v>
      </c>
      <c r="X3890">
        <v>7</v>
      </c>
      <c r="Y3890" t="s">
        <v>20486</v>
      </c>
      <c r="Z3890" t="s">
        <v>26040</v>
      </c>
      <c r="AA3890">
        <v>0.71059906937797135</v>
      </c>
      <c r="AB3890" t="str">
        <f>HYPERLINK("Melting_Curves/meltCurve_Q8N5K1_CISD2.pdf", "Melting_Curves/meltCurve_Q8N5K1_CISD2.pdf")</f>
        <v>Melting_Curves/meltCurve_Q8N5K1_CISD2.pdf</v>
      </c>
    </row>
    <row r="3891" spans="1:28" x14ac:dyDescent="0.25">
      <c r="A3891" t="s">
        <v>3895</v>
      </c>
      <c r="B3891">
        <v>0.99796759195183404</v>
      </c>
      <c r="C3891">
        <v>0.97236180399471395</v>
      </c>
      <c r="D3891">
        <v>0.90729693624309005</v>
      </c>
      <c r="E3891">
        <v>0.93261564364814498</v>
      </c>
      <c r="F3891">
        <v>1.1362292016862701</v>
      </c>
      <c r="G3891">
        <v>0.68585702782623104</v>
      </c>
      <c r="H3891">
        <v>0.665906995962388</v>
      </c>
      <c r="I3891">
        <v>0.55229644132657296</v>
      </c>
      <c r="J3891">
        <v>0.548307347055635</v>
      </c>
      <c r="K3891">
        <v>0.38714762397306901</v>
      </c>
      <c r="L3891">
        <v>1338.1747919429199</v>
      </c>
      <c r="M3891">
        <v>24.365948113469202</v>
      </c>
      <c r="N3891">
        <v>62.900053452695403</v>
      </c>
      <c r="O3891">
        <v>54.553957988268202</v>
      </c>
      <c r="P3891">
        <v>-5.8367808254961497E-2</v>
      </c>
      <c r="Q3891">
        <v>0.47727910978808402</v>
      </c>
      <c r="R3891">
        <v>0.85533674494542</v>
      </c>
      <c r="S3891" t="s">
        <v>9474</v>
      </c>
      <c r="T3891" t="s">
        <v>11164</v>
      </c>
      <c r="U3891" t="s">
        <v>11164</v>
      </c>
      <c r="V3891" t="s">
        <v>11164</v>
      </c>
      <c r="W3891" t="s">
        <v>15012</v>
      </c>
      <c r="X3891">
        <v>3</v>
      </c>
      <c r="Y3891" t="s">
        <v>20487</v>
      </c>
      <c r="Z3891" t="s">
        <v>26041</v>
      </c>
      <c r="AA3891">
        <v>0.79414485420336622</v>
      </c>
      <c r="AB3891" t="str">
        <f>HYPERLINK("Melting_Curves/meltCurve_Q8N5M9_JAGN1.pdf", "Melting_Curves/meltCurve_Q8N5M9_JAGN1.pdf")</f>
        <v>Melting_Curves/meltCurve_Q8N5M9_JAGN1.pdf</v>
      </c>
    </row>
    <row r="3892" spans="1:28" x14ac:dyDescent="0.25">
      <c r="A3892" t="s">
        <v>3896</v>
      </c>
      <c r="B3892">
        <v>0.99796759195183404</v>
      </c>
      <c r="C3892">
        <v>0.91157389056512494</v>
      </c>
      <c r="D3892">
        <v>0.85450970153418404</v>
      </c>
      <c r="E3892">
        <v>0.80852406977248603</v>
      </c>
      <c r="F3892">
        <v>0.85503649507732005</v>
      </c>
      <c r="G3892">
        <v>0.62288591280108696</v>
      </c>
      <c r="H3892">
        <v>0.77794533320411297</v>
      </c>
      <c r="I3892">
        <v>1.0480148714868001</v>
      </c>
      <c r="J3892">
        <v>1.2889606742952699</v>
      </c>
      <c r="K3892">
        <v>1.1038868150771399</v>
      </c>
      <c r="L3892">
        <v>15000</v>
      </c>
      <c r="M3892">
        <v>244.773470124456</v>
      </c>
      <c r="O3892">
        <v>61.277042757137302</v>
      </c>
      <c r="P3892">
        <v>0.19615527235919999</v>
      </c>
      <c r="Q3892">
        <v>1.19642354923183</v>
      </c>
      <c r="R3892">
        <v>8.1138987763487005E-2</v>
      </c>
      <c r="S3892" t="s">
        <v>9475</v>
      </c>
      <c r="T3892" t="s">
        <v>11164</v>
      </c>
      <c r="U3892" t="s">
        <v>11164</v>
      </c>
      <c r="V3892" t="s">
        <v>11164</v>
      </c>
      <c r="W3892" t="s">
        <v>15013</v>
      </c>
      <c r="X3892">
        <v>6</v>
      </c>
      <c r="Y3892" t="s">
        <v>20488</v>
      </c>
      <c r="Z3892" t="s">
        <v>26042</v>
      </c>
      <c r="AA3892">
        <v>1.037421849995452</v>
      </c>
      <c r="AB3892" t="str">
        <f>HYPERLINK("Melting_Curves/meltCurve_Q8N5N7_MRPL50.pdf", "Melting_Curves/meltCurve_Q8N5N7_MRPL50.pdf")</f>
        <v>Melting_Curves/meltCurve_Q8N5N7_MRPL50.pdf</v>
      </c>
    </row>
    <row r="3893" spans="1:28" x14ac:dyDescent="0.25">
      <c r="A3893" t="s">
        <v>3897</v>
      </c>
      <c r="B3893">
        <v>0.99796759195183404</v>
      </c>
      <c r="C3893">
        <v>1.0291989319296</v>
      </c>
      <c r="D3893">
        <v>0.99683498942765503</v>
      </c>
      <c r="E3893">
        <v>1.07784436246481</v>
      </c>
      <c r="F3893">
        <v>0.81038175407120605</v>
      </c>
      <c r="G3893">
        <v>0.65672141124554395</v>
      </c>
      <c r="H3893">
        <v>0.58611125989547497</v>
      </c>
      <c r="I3893">
        <v>0.603448734606013</v>
      </c>
      <c r="J3893">
        <v>0.36288005901513498</v>
      </c>
      <c r="K3893">
        <v>0.26106143071988902</v>
      </c>
      <c r="L3893">
        <v>542.76470575005897</v>
      </c>
      <c r="M3893">
        <v>9.0182088909130709</v>
      </c>
      <c r="N3893">
        <v>60.419273169699203</v>
      </c>
      <c r="O3893">
        <v>57.447121576103797</v>
      </c>
      <c r="P3893">
        <v>-3.8600335452745001E-2</v>
      </c>
      <c r="Q3893">
        <v>1.71524177232753E-2</v>
      </c>
      <c r="R3893">
        <v>0.93178626341776305</v>
      </c>
      <c r="S3893" t="s">
        <v>9476</v>
      </c>
      <c r="T3893" t="s">
        <v>11164</v>
      </c>
      <c r="U3893" t="s">
        <v>11164</v>
      </c>
      <c r="V3893" t="s">
        <v>11164</v>
      </c>
      <c r="W3893" t="s">
        <v>15014</v>
      </c>
      <c r="X3893">
        <v>3</v>
      </c>
      <c r="Y3893" t="s">
        <v>20489</v>
      </c>
      <c r="Z3893" t="s">
        <v>26043</v>
      </c>
      <c r="AA3893">
        <v>0.74122440194944283</v>
      </c>
      <c r="AB3893" t="str">
        <f>HYPERLINK("Melting_Curves/meltCurve_Q8N5X7_EIF4E3.pdf", "Melting_Curves/meltCurve_Q8N5X7_EIF4E3.pdf")</f>
        <v>Melting_Curves/meltCurve_Q8N5X7_EIF4E3.pdf</v>
      </c>
    </row>
    <row r="3894" spans="1:28" x14ac:dyDescent="0.25">
      <c r="A3894" t="s">
        <v>3898</v>
      </c>
      <c r="B3894">
        <v>0.99796759195183404</v>
      </c>
      <c r="C3894">
        <v>1.1378844835238799</v>
      </c>
      <c r="D3894">
        <v>1.0222124556516801</v>
      </c>
      <c r="E3894">
        <v>0.934683090814448</v>
      </c>
      <c r="F3894">
        <v>0.83592747148150803</v>
      </c>
      <c r="G3894">
        <v>0.51217322937048204</v>
      </c>
      <c r="H3894">
        <v>0.34135381207433801</v>
      </c>
      <c r="I3894">
        <v>0.29041266841077601</v>
      </c>
      <c r="J3894">
        <v>0.315661111689095</v>
      </c>
      <c r="K3894">
        <v>0.22657692851057201</v>
      </c>
      <c r="L3894">
        <v>1312.1865770628201</v>
      </c>
      <c r="M3894">
        <v>25.015863626231599</v>
      </c>
      <c r="N3894">
        <v>54.090689274573002</v>
      </c>
      <c r="O3894">
        <v>52.122425944439001</v>
      </c>
      <c r="P3894">
        <v>-8.8139374311119401E-2</v>
      </c>
      <c r="Q3894">
        <v>0.265429894733408</v>
      </c>
      <c r="R3894">
        <v>0.97829730419206196</v>
      </c>
      <c r="S3894" t="s">
        <v>9477</v>
      </c>
      <c r="T3894" t="s">
        <v>11164</v>
      </c>
      <c r="U3894" t="s">
        <v>11164</v>
      </c>
      <c r="V3894" t="s">
        <v>11164</v>
      </c>
      <c r="W3894" t="s">
        <v>15015</v>
      </c>
      <c r="X3894">
        <v>2</v>
      </c>
      <c r="Y3894" t="s">
        <v>20490</v>
      </c>
      <c r="Z3894" t="s">
        <v>26044</v>
      </c>
      <c r="AA3894">
        <v>0.65033518881250629</v>
      </c>
      <c r="AB3894" t="str">
        <f>HYPERLINK("Melting_Curves/meltCurve_Q8N612_FAM160A2.pdf", "Melting_Curves/meltCurve_Q8N612_FAM160A2.pdf")</f>
        <v>Melting_Curves/meltCurve_Q8N612_FAM160A2.pdf</v>
      </c>
    </row>
    <row r="3895" spans="1:28" x14ac:dyDescent="0.25">
      <c r="A3895" t="s">
        <v>3899</v>
      </c>
      <c r="B3895">
        <v>0.99796759195183404</v>
      </c>
      <c r="C3895">
        <v>0.90883512448233505</v>
      </c>
      <c r="D3895">
        <v>0.95562073974420503</v>
      </c>
      <c r="E3895">
        <v>0.814772002904665</v>
      </c>
      <c r="F3895">
        <v>0.88044296806813205</v>
      </c>
      <c r="G3895">
        <v>0.54295339790087205</v>
      </c>
      <c r="H3895">
        <v>0.47339767790078102</v>
      </c>
      <c r="I3895">
        <v>0.34381972538481997</v>
      </c>
      <c r="J3895">
        <v>0.19639809759266</v>
      </c>
      <c r="K3895">
        <v>0.201960660457912</v>
      </c>
      <c r="L3895">
        <v>537.29074391533095</v>
      </c>
      <c r="M3895">
        <v>9.5330336737918806</v>
      </c>
      <c r="N3895">
        <v>56.360929842081902</v>
      </c>
      <c r="O3895">
        <v>54.048101944136903</v>
      </c>
      <c r="P3895">
        <v>-4.4120875888112497E-2</v>
      </c>
      <c r="Q3895">
        <v>0</v>
      </c>
      <c r="R3895">
        <v>0.96563264748489697</v>
      </c>
      <c r="S3895" t="s">
        <v>9478</v>
      </c>
      <c r="T3895" t="s">
        <v>11164</v>
      </c>
      <c r="U3895" t="s">
        <v>11164</v>
      </c>
      <c r="V3895" t="s">
        <v>11164</v>
      </c>
      <c r="W3895" t="s">
        <v>15016</v>
      </c>
      <c r="X3895">
        <v>2</v>
      </c>
      <c r="Y3895" t="s">
        <v>20491</v>
      </c>
      <c r="Z3895" t="s">
        <v>26045</v>
      </c>
      <c r="AA3895">
        <v>0.64748068437036599</v>
      </c>
      <c r="AB3895" t="str">
        <f>HYPERLINK("Melting_Curves/meltCurve_Q8N655_C10orf12.pdf", "Melting_Curves/meltCurve_Q8N655_C10orf12.pdf")</f>
        <v>Melting_Curves/meltCurve_Q8N655_C10orf12.pdf</v>
      </c>
    </row>
    <row r="3896" spans="1:28" x14ac:dyDescent="0.25">
      <c r="A3896" t="s">
        <v>3900</v>
      </c>
      <c r="B3896">
        <v>0.99796759195183404</v>
      </c>
      <c r="C3896">
        <v>1.00780467100291</v>
      </c>
      <c r="D3896">
        <v>0.94589594718674896</v>
      </c>
      <c r="E3896">
        <v>0.791754210588267</v>
      </c>
      <c r="F3896">
        <v>0.71813465853781899</v>
      </c>
      <c r="G3896">
        <v>0.64060818350147197</v>
      </c>
      <c r="H3896">
        <v>0.44752097019377102</v>
      </c>
      <c r="I3896">
        <v>0.29315281909345398</v>
      </c>
      <c r="J3896">
        <v>0.14704406043945201</v>
      </c>
      <c r="K3896">
        <v>0.11967567391367399</v>
      </c>
      <c r="L3896">
        <v>558.13205098041601</v>
      </c>
      <c r="M3896">
        <v>10.0701832723325</v>
      </c>
      <c r="N3896">
        <v>55.424212911203597</v>
      </c>
      <c r="O3896">
        <v>53.371694341488102</v>
      </c>
      <c r="P3896">
        <v>-4.7192393349914402E-2</v>
      </c>
      <c r="Q3896">
        <v>0</v>
      </c>
      <c r="R3896">
        <v>0.98377310265485696</v>
      </c>
      <c r="S3896" t="s">
        <v>9479</v>
      </c>
      <c r="T3896" t="s">
        <v>11164</v>
      </c>
      <c r="U3896" t="s">
        <v>11164</v>
      </c>
      <c r="V3896" t="s">
        <v>11164</v>
      </c>
      <c r="W3896" t="s">
        <v>15017</v>
      </c>
      <c r="X3896">
        <v>6</v>
      </c>
      <c r="Y3896" t="s">
        <v>20492</v>
      </c>
      <c r="Z3896" t="s">
        <v>26046</v>
      </c>
      <c r="AA3896">
        <v>0.62395191372001901</v>
      </c>
      <c r="AB3896" t="str">
        <f>HYPERLINK("Melting_Curves/meltCurve_Q8N684_2_CPSF7.pdf", "Melting_Curves/meltCurve_Q8N684_2_CPSF7.pdf")</f>
        <v>Melting_Curves/meltCurve_Q8N684_2_CPSF7.pdf</v>
      </c>
    </row>
    <row r="3897" spans="1:28" x14ac:dyDescent="0.25">
      <c r="A3897" t="s">
        <v>3901</v>
      </c>
      <c r="B3897">
        <v>0.99796759195183404</v>
      </c>
      <c r="C3897">
        <v>0.93901725086575605</v>
      </c>
      <c r="D3897">
        <v>1.00260294661293</v>
      </c>
      <c r="E3897">
        <v>0.93014244033375304</v>
      </c>
      <c r="F3897">
        <v>0.81899183935442599</v>
      </c>
      <c r="G3897">
        <v>0.51182786448258799</v>
      </c>
      <c r="H3897">
        <v>0.54038578843489904</v>
      </c>
      <c r="I3897">
        <v>0.50069210811516596</v>
      </c>
      <c r="J3897">
        <v>0.56329756865482705</v>
      </c>
      <c r="K3897">
        <v>0.41359511690940798</v>
      </c>
      <c r="L3897">
        <v>2195.6993872778698</v>
      </c>
      <c r="M3897">
        <v>43.269812015117097</v>
      </c>
      <c r="N3897">
        <v>58.4529859121416</v>
      </c>
      <c r="O3897">
        <v>50.636327379350902</v>
      </c>
      <c r="P3897">
        <v>-0.107170426727456</v>
      </c>
      <c r="Q3897">
        <v>0.49833752088990102</v>
      </c>
      <c r="R3897">
        <v>0.95813027107450999</v>
      </c>
      <c r="S3897" t="s">
        <v>9480</v>
      </c>
      <c r="T3897" t="s">
        <v>11164</v>
      </c>
      <c r="U3897" t="s">
        <v>11164</v>
      </c>
      <c r="V3897" t="s">
        <v>11164</v>
      </c>
      <c r="W3897" t="s">
        <v>15018</v>
      </c>
      <c r="X3897">
        <v>2</v>
      </c>
      <c r="Y3897" t="s">
        <v>20493</v>
      </c>
      <c r="Z3897" t="s">
        <v>26047</v>
      </c>
      <c r="AA3897">
        <v>0.72967324461288163</v>
      </c>
      <c r="AB3897" t="str">
        <f>HYPERLINK("Melting_Curves/meltCurve_Q8N697_SLC15A4.pdf", "Melting_Curves/meltCurve_Q8N697_SLC15A4.pdf")</f>
        <v>Melting_Curves/meltCurve_Q8N697_SLC15A4.pdf</v>
      </c>
    </row>
    <row r="3898" spans="1:28" x14ac:dyDescent="0.25">
      <c r="A3898" t="s">
        <v>3902</v>
      </c>
      <c r="B3898">
        <v>0.99796759195183404</v>
      </c>
      <c r="C3898">
        <v>1.03034587593856</v>
      </c>
      <c r="D3898">
        <v>1.00635558922757</v>
      </c>
      <c r="E3898">
        <v>0.91529995383517604</v>
      </c>
      <c r="F3898">
        <v>0.78030117027920098</v>
      </c>
      <c r="G3898">
        <v>0.34899101596193</v>
      </c>
      <c r="H3898">
        <v>0.20219746555971799</v>
      </c>
      <c r="I3898">
        <v>0.15032100283323899</v>
      </c>
      <c r="J3898">
        <v>0.131386429879088</v>
      </c>
      <c r="K3898">
        <v>0.117407472843017</v>
      </c>
      <c r="L3898">
        <v>1423.53998357513</v>
      </c>
      <c r="M3898">
        <v>27.414145306732198</v>
      </c>
      <c r="N3898">
        <v>52.489964561764701</v>
      </c>
      <c r="O3898">
        <v>51.653254037255003</v>
      </c>
      <c r="P3898">
        <v>-0.11579003396681201</v>
      </c>
      <c r="Q3898">
        <v>0.12732989305456999</v>
      </c>
      <c r="R3898">
        <v>0.99677504424493402</v>
      </c>
      <c r="S3898" t="s">
        <v>9481</v>
      </c>
      <c r="T3898" t="s">
        <v>11164</v>
      </c>
      <c r="U3898" t="s">
        <v>11164</v>
      </c>
      <c r="V3898" t="s">
        <v>11164</v>
      </c>
      <c r="W3898" t="s">
        <v>15019</v>
      </c>
      <c r="X3898">
        <v>15</v>
      </c>
      <c r="Y3898" t="s">
        <v>20494</v>
      </c>
      <c r="Z3898" t="s">
        <v>26048</v>
      </c>
      <c r="AA3898">
        <v>0.56807379167344085</v>
      </c>
      <c r="AB3898" t="str">
        <f>HYPERLINK("Melting_Curves/meltCurve_Q8N6H7_ARFGAP2.pdf", "Melting_Curves/meltCurve_Q8N6H7_ARFGAP2.pdf")</f>
        <v>Melting_Curves/meltCurve_Q8N6H7_ARFGAP2.pdf</v>
      </c>
    </row>
    <row r="3899" spans="1:28" x14ac:dyDescent="0.25">
      <c r="A3899" t="s">
        <v>3903</v>
      </c>
      <c r="B3899">
        <v>0.99796759195183404</v>
      </c>
      <c r="C3899">
        <v>0.96483077632127301</v>
      </c>
      <c r="D3899">
        <v>0.96172696844568695</v>
      </c>
      <c r="E3899">
        <v>0.92323250099813003</v>
      </c>
      <c r="F3899">
        <v>0.74893426893591797</v>
      </c>
      <c r="G3899">
        <v>0.34810322716001302</v>
      </c>
      <c r="H3899">
        <v>0.23718649059894001</v>
      </c>
      <c r="I3899">
        <v>0.20585980981594601</v>
      </c>
      <c r="J3899">
        <v>0.18491037235404101</v>
      </c>
      <c r="K3899">
        <v>0.148066329268491</v>
      </c>
      <c r="L3899">
        <v>1383.4836117594</v>
      </c>
      <c r="M3899">
        <v>26.862200712930701</v>
      </c>
      <c r="N3899">
        <v>52.334191623324799</v>
      </c>
      <c r="O3899">
        <v>51.220097780504602</v>
      </c>
      <c r="P3899">
        <v>-0.10834498827386201</v>
      </c>
      <c r="Q3899">
        <v>0.173651526043482</v>
      </c>
      <c r="R3899">
        <v>0.99536213024280495</v>
      </c>
      <c r="S3899" t="s">
        <v>9482</v>
      </c>
      <c r="T3899" t="s">
        <v>11164</v>
      </c>
      <c r="U3899" t="s">
        <v>11164</v>
      </c>
      <c r="V3899" t="s">
        <v>11164</v>
      </c>
      <c r="W3899" t="s">
        <v>15020</v>
      </c>
      <c r="X3899">
        <v>7</v>
      </c>
      <c r="Y3899" t="s">
        <v>20495</v>
      </c>
      <c r="Z3899" t="s">
        <v>26049</v>
      </c>
      <c r="AA3899">
        <v>0.57953465950695604</v>
      </c>
      <c r="AB3899" t="str">
        <f>HYPERLINK("Melting_Curves/meltCurve_Q8N6M0_OTUD6B.pdf", "Melting_Curves/meltCurve_Q8N6M0_OTUD6B.pdf")</f>
        <v>Melting_Curves/meltCurve_Q8N6M0_OTUD6B.pdf</v>
      </c>
    </row>
    <row r="3900" spans="1:28" x14ac:dyDescent="0.25">
      <c r="A3900" t="s">
        <v>3904</v>
      </c>
      <c r="B3900">
        <v>0.99796759195183404</v>
      </c>
      <c r="C3900">
        <v>1.04315550363752</v>
      </c>
      <c r="D3900">
        <v>1.02759979448359</v>
      </c>
      <c r="E3900">
        <v>0.94885485042835105</v>
      </c>
      <c r="F3900">
        <v>0.87301574849420105</v>
      </c>
      <c r="G3900">
        <v>0.64566085661002603</v>
      </c>
      <c r="H3900">
        <v>0.67257608379348199</v>
      </c>
      <c r="I3900">
        <v>0.60009631745296799</v>
      </c>
      <c r="J3900">
        <v>0.81902155688623102</v>
      </c>
      <c r="K3900">
        <v>0.71968888744771298</v>
      </c>
      <c r="L3900">
        <v>12567.960646845901</v>
      </c>
      <c r="M3900">
        <v>250</v>
      </c>
      <c r="O3900">
        <v>50.268625526212901</v>
      </c>
      <c r="P3900">
        <v>-0.38367776564492501</v>
      </c>
      <c r="Q3900">
        <v>0.69140873759900401</v>
      </c>
      <c r="R3900">
        <v>0.86877691794503398</v>
      </c>
      <c r="S3900" t="s">
        <v>9483</v>
      </c>
      <c r="T3900" t="s">
        <v>11164</v>
      </c>
      <c r="U3900" t="s">
        <v>11164</v>
      </c>
      <c r="V3900" t="s">
        <v>11164</v>
      </c>
      <c r="W3900" t="s">
        <v>15021</v>
      </c>
      <c r="X3900">
        <v>9</v>
      </c>
      <c r="Y3900" t="s">
        <v>20496</v>
      </c>
      <c r="Z3900" t="s">
        <v>26050</v>
      </c>
      <c r="AA3900">
        <v>0.82795511874564454</v>
      </c>
      <c r="AB3900" t="str">
        <f>HYPERLINK("Melting_Curves/meltCurve_Q8N6N3_C1orf52.pdf", "Melting_Curves/meltCurve_Q8N6N3_C1orf52.pdf")</f>
        <v>Melting_Curves/meltCurve_Q8N6N3_C1orf52.pdf</v>
      </c>
    </row>
    <row r="3901" spans="1:28" x14ac:dyDescent="0.25">
      <c r="A3901" t="s">
        <v>3905</v>
      </c>
      <c r="B3901">
        <v>0.99796759195183404</v>
      </c>
      <c r="C3901">
        <v>1.0382566192076199</v>
      </c>
      <c r="D3901">
        <v>1.04258110335153</v>
      </c>
      <c r="E3901">
        <v>1.03018101086501</v>
      </c>
      <c r="F3901">
        <v>0.74940082755584703</v>
      </c>
      <c r="G3901">
        <v>0.657801295897535</v>
      </c>
      <c r="H3901">
        <v>0.528938757652202</v>
      </c>
      <c r="I3901">
        <v>0.42984593142054001</v>
      </c>
      <c r="J3901">
        <v>0.55936205006162698</v>
      </c>
      <c r="K3901">
        <v>0.53741561134417903</v>
      </c>
      <c r="L3901">
        <v>1410.3338392041801</v>
      </c>
      <c r="M3901">
        <v>27.7441044403379</v>
      </c>
      <c r="O3901">
        <v>50.5717499663536</v>
      </c>
      <c r="P3901">
        <v>-6.6488329899420204E-2</v>
      </c>
      <c r="Q3901">
        <v>0.51522660364043504</v>
      </c>
      <c r="R3901">
        <v>0.956185365035091</v>
      </c>
      <c r="S3901" t="s">
        <v>9484</v>
      </c>
      <c r="T3901" t="s">
        <v>11164</v>
      </c>
      <c r="U3901" t="s">
        <v>11164</v>
      </c>
      <c r="V3901" t="s">
        <v>11164</v>
      </c>
      <c r="W3901" t="s">
        <v>15022</v>
      </c>
      <c r="X3901">
        <v>4</v>
      </c>
      <c r="Y3901" t="s">
        <v>20497</v>
      </c>
      <c r="Z3901" t="s">
        <v>26051</v>
      </c>
      <c r="AA3901">
        <v>0.74227226958426029</v>
      </c>
      <c r="AB3901" t="str">
        <f>HYPERLINK("Melting_Curves/meltCurve_Q8N6N7_ACBD7.pdf", "Melting_Curves/meltCurve_Q8N6N7_ACBD7.pdf")</f>
        <v>Melting_Curves/meltCurve_Q8N6N7_ACBD7.pdf</v>
      </c>
    </row>
    <row r="3902" spans="1:28" x14ac:dyDescent="0.25">
      <c r="A3902" t="s">
        <v>3906</v>
      </c>
      <c r="B3902">
        <v>0.99796759195183404</v>
      </c>
      <c r="C3902">
        <v>1.0083067919816</v>
      </c>
      <c r="D3902">
        <v>1.06996091096124</v>
      </c>
      <c r="E3902">
        <v>0.91618680207858805</v>
      </c>
      <c r="F3902">
        <v>0.74547487825745695</v>
      </c>
      <c r="G3902">
        <v>0.36870314734948301</v>
      </c>
      <c r="H3902">
        <v>0.19336405417094199</v>
      </c>
      <c r="I3902">
        <v>0.116791024552971</v>
      </c>
      <c r="J3902">
        <v>7.3533540078774398E-2</v>
      </c>
      <c r="K3902">
        <v>3.4661227779746097E-2</v>
      </c>
      <c r="L3902">
        <v>1133.8534836328099</v>
      </c>
      <c r="M3902">
        <v>21.6667486580454</v>
      </c>
      <c r="N3902">
        <v>52.6085748344547</v>
      </c>
      <c r="O3902">
        <v>51.891840834974097</v>
      </c>
      <c r="P3902">
        <v>-9.8758327240699995E-2</v>
      </c>
      <c r="Q3902">
        <v>5.3918200593060503E-2</v>
      </c>
      <c r="R3902">
        <v>0.99468921278816502</v>
      </c>
      <c r="S3902" t="s">
        <v>9485</v>
      </c>
      <c r="T3902" t="s">
        <v>11164</v>
      </c>
      <c r="U3902" t="s">
        <v>11164</v>
      </c>
      <c r="V3902" t="s">
        <v>11164</v>
      </c>
      <c r="W3902" t="s">
        <v>15023</v>
      </c>
      <c r="X3902">
        <v>2</v>
      </c>
      <c r="Y3902" t="s">
        <v>20498</v>
      </c>
      <c r="Z3902" t="s">
        <v>26052</v>
      </c>
      <c r="AA3902">
        <v>0.54810839049376936</v>
      </c>
      <c r="AB3902" t="str">
        <f>HYPERLINK("Melting_Curves/meltCurve_Q8N749_TOM1L1.pdf", "Melting_Curves/meltCurve_Q8N749_TOM1L1.pdf")</f>
        <v>Melting_Curves/meltCurve_Q8N749_TOM1L1.pdf</v>
      </c>
    </row>
    <row r="3903" spans="1:28" x14ac:dyDescent="0.25">
      <c r="A3903" t="s">
        <v>3907</v>
      </c>
      <c r="B3903">
        <v>0.99796759195183404</v>
      </c>
      <c r="C3903">
        <v>0.99262944874863501</v>
      </c>
      <c r="D3903">
        <v>1.00137060694189</v>
      </c>
      <c r="E3903">
        <v>0.93967214355892703</v>
      </c>
      <c r="F3903">
        <v>0.81947765274211104</v>
      </c>
      <c r="G3903">
        <v>1.16030653825188</v>
      </c>
      <c r="H3903">
        <v>0.95611131938555505</v>
      </c>
      <c r="I3903">
        <v>0.74769417895791501</v>
      </c>
      <c r="J3903">
        <v>0.36180226344106398</v>
      </c>
      <c r="K3903">
        <v>0.17687999454259001</v>
      </c>
      <c r="L3903">
        <v>2380.4312168123502</v>
      </c>
      <c r="M3903">
        <v>38.0986551431767</v>
      </c>
      <c r="N3903">
        <v>62.912855505211603</v>
      </c>
      <c r="O3903">
        <v>62.309311525581897</v>
      </c>
      <c r="P3903">
        <v>-0.135263055506019</v>
      </c>
      <c r="Q3903">
        <v>0.11512594825226601</v>
      </c>
      <c r="R3903">
        <v>0.927965267930002</v>
      </c>
      <c r="S3903" t="s">
        <v>9486</v>
      </c>
      <c r="T3903" t="s">
        <v>11164</v>
      </c>
      <c r="U3903" t="s">
        <v>11164</v>
      </c>
      <c r="V3903" t="s">
        <v>11164</v>
      </c>
      <c r="W3903" t="s">
        <v>15024</v>
      </c>
      <c r="X3903">
        <v>5</v>
      </c>
      <c r="Y3903" t="s">
        <v>20499</v>
      </c>
      <c r="Z3903" t="s">
        <v>26053</v>
      </c>
      <c r="AA3903">
        <v>0.86655702379870214</v>
      </c>
      <c r="AB3903" t="str">
        <f>HYPERLINK("Melting_Curves/meltCurve_Q8N766_3_EMC1.pdf", "Melting_Curves/meltCurve_Q8N766_3_EMC1.pdf")</f>
        <v>Melting_Curves/meltCurve_Q8N766_3_EMC1.pdf</v>
      </c>
    </row>
    <row r="3904" spans="1:28" x14ac:dyDescent="0.25">
      <c r="A3904" t="s">
        <v>3908</v>
      </c>
      <c r="B3904">
        <v>0.99796759195183404</v>
      </c>
      <c r="C3904">
        <v>0.99489444299291496</v>
      </c>
      <c r="D3904">
        <v>1.00207361718975</v>
      </c>
      <c r="E3904">
        <v>0.88416784051025299</v>
      </c>
      <c r="F3904">
        <v>0.62999292234180604</v>
      </c>
      <c r="G3904">
        <v>0.263449281065334</v>
      </c>
      <c r="H3904">
        <v>0.216791350367779</v>
      </c>
      <c r="I3904">
        <v>0.170254521337246</v>
      </c>
      <c r="J3904">
        <v>0.18248066390298401</v>
      </c>
      <c r="K3904">
        <v>0.15654844119028399</v>
      </c>
      <c r="L3904">
        <v>1343.4801413067901</v>
      </c>
      <c r="M3904">
        <v>26.658338211700201</v>
      </c>
      <c r="N3904">
        <v>51.170238910141101</v>
      </c>
      <c r="O3904">
        <v>50.115237350826099</v>
      </c>
      <c r="P3904">
        <v>-0.110921359172814</v>
      </c>
      <c r="Q3904">
        <v>0.16592091990527399</v>
      </c>
      <c r="R3904">
        <v>0.99741558674872199</v>
      </c>
      <c r="S3904" t="s">
        <v>9487</v>
      </c>
      <c r="T3904" t="s">
        <v>11164</v>
      </c>
      <c r="U3904" t="s">
        <v>11164</v>
      </c>
      <c r="V3904" t="s">
        <v>11164</v>
      </c>
      <c r="W3904" t="s">
        <v>15025</v>
      </c>
      <c r="X3904">
        <v>9</v>
      </c>
      <c r="Y3904" t="s">
        <v>20500</v>
      </c>
      <c r="Z3904" t="s">
        <v>26054</v>
      </c>
      <c r="AA3904">
        <v>0.54485163600978526</v>
      </c>
      <c r="AB3904" t="str">
        <f>HYPERLINK("Melting_Curves/meltCurve_Q8N7H5_PAF1.pdf", "Melting_Curves/meltCurve_Q8N7H5_PAF1.pdf")</f>
        <v>Melting_Curves/meltCurve_Q8N7H5_PAF1.pdf</v>
      </c>
    </row>
    <row r="3905" spans="1:28" x14ac:dyDescent="0.25">
      <c r="A3905" t="s">
        <v>3909</v>
      </c>
      <c r="B3905">
        <v>0.99796759195183404</v>
      </c>
      <c r="C3905">
        <v>1.04977528165042</v>
      </c>
      <c r="D3905">
        <v>0.99333202413508903</v>
      </c>
      <c r="E3905">
        <v>1.02025231403542</v>
      </c>
      <c r="F3905">
        <v>0.75580482445983099</v>
      </c>
      <c r="G3905">
        <v>0.23197785963245801</v>
      </c>
      <c r="H3905">
        <v>0.225739539550877</v>
      </c>
      <c r="I3905">
        <v>0.21325526703629499</v>
      </c>
      <c r="J3905">
        <v>0.13037232879923699</v>
      </c>
      <c r="K3905">
        <v>0.12665991616477801</v>
      </c>
      <c r="L3905">
        <v>2547.1787786012501</v>
      </c>
      <c r="M3905">
        <v>49.862062439440599</v>
      </c>
      <c r="N3905">
        <v>51.521558346251098</v>
      </c>
      <c r="O3905">
        <v>51.002536881851697</v>
      </c>
      <c r="P3905">
        <v>-0.20226026427665</v>
      </c>
      <c r="Q3905">
        <v>0.17245479446939699</v>
      </c>
      <c r="R3905">
        <v>0.99286778865101499</v>
      </c>
      <c r="S3905" t="s">
        <v>9488</v>
      </c>
      <c r="T3905" t="s">
        <v>11164</v>
      </c>
      <c r="U3905" t="s">
        <v>11164</v>
      </c>
      <c r="V3905" t="s">
        <v>11164</v>
      </c>
      <c r="W3905" t="s">
        <v>15026</v>
      </c>
      <c r="X3905">
        <v>3</v>
      </c>
      <c r="Y3905" t="s">
        <v>20501</v>
      </c>
      <c r="Z3905" t="s">
        <v>26055</v>
      </c>
      <c r="AA3905">
        <v>0.5628483931465591</v>
      </c>
      <c r="AB3905" t="str">
        <f>HYPERLINK("Melting_Curves/meltCurve_Q8N7R7_3_CCNYL1.pdf", "Melting_Curves/meltCurve_Q8N7R7_3_CCNYL1.pdf")</f>
        <v>Melting_Curves/meltCurve_Q8N7R7_3_CCNYL1.pdf</v>
      </c>
    </row>
    <row r="3906" spans="1:28" x14ac:dyDescent="0.25">
      <c r="A3906" t="s">
        <v>3910</v>
      </c>
      <c r="B3906">
        <v>0.99796759195183404</v>
      </c>
      <c r="C3906">
        <v>0.95633353645867103</v>
      </c>
      <c r="D3906">
        <v>0.93196085236871196</v>
      </c>
      <c r="E3906">
        <v>0.83891639001152296</v>
      </c>
      <c r="F3906">
        <v>0.70595145147109495</v>
      </c>
      <c r="G3906">
        <v>0.40116907838441601</v>
      </c>
      <c r="H3906">
        <v>0.24455649594700099</v>
      </c>
      <c r="I3906">
        <v>0.19629516252596901</v>
      </c>
      <c r="J3906">
        <v>0.16090586144528199</v>
      </c>
      <c r="K3906">
        <v>0.247357722424112</v>
      </c>
      <c r="L3906">
        <v>913.149254101873</v>
      </c>
      <c r="M3906">
        <v>17.852629795322098</v>
      </c>
      <c r="N3906">
        <v>52.362709210776899</v>
      </c>
      <c r="O3906">
        <v>50.520456401107303</v>
      </c>
      <c r="P3906">
        <v>-7.3381709125174693E-2</v>
      </c>
      <c r="Q3906">
        <v>0.16940225779603199</v>
      </c>
      <c r="R3906">
        <v>0.98749414247400302</v>
      </c>
      <c r="S3906" t="s">
        <v>9489</v>
      </c>
      <c r="T3906" t="s">
        <v>11164</v>
      </c>
      <c r="U3906" t="s">
        <v>11164</v>
      </c>
      <c r="V3906" t="s">
        <v>11164</v>
      </c>
      <c r="W3906" t="s">
        <v>15027</v>
      </c>
      <c r="X3906">
        <v>10</v>
      </c>
      <c r="Y3906" t="s">
        <v>20502</v>
      </c>
      <c r="Z3906" t="s">
        <v>26056</v>
      </c>
      <c r="AA3906">
        <v>0.5741518657484036</v>
      </c>
      <c r="AB3906" t="str">
        <f>HYPERLINK("Melting_Curves/meltCurve_Q8N806_UBR7.pdf", "Melting_Curves/meltCurve_Q8N806_UBR7.pdf")</f>
        <v>Melting_Curves/meltCurve_Q8N806_UBR7.pdf</v>
      </c>
    </row>
    <row r="3907" spans="1:28" x14ac:dyDescent="0.25">
      <c r="A3907" t="s">
        <v>3911</v>
      </c>
      <c r="B3907">
        <v>0.99796759195183404</v>
      </c>
      <c r="C3907">
        <v>1.23705755455694</v>
      </c>
      <c r="D3907">
        <v>0.97473147662417303</v>
      </c>
      <c r="E3907">
        <v>1.2658063698348301</v>
      </c>
      <c r="F3907">
        <v>1.3782257978405901</v>
      </c>
      <c r="G3907">
        <v>0.40928338045930401</v>
      </c>
      <c r="H3907">
        <v>0.54670093615090098</v>
      </c>
      <c r="I3907">
        <v>0.561232879009265</v>
      </c>
      <c r="J3907">
        <v>1.0207042795007799</v>
      </c>
      <c r="K3907">
        <v>0.94564760112928803</v>
      </c>
      <c r="L3907">
        <v>2737.3015121461599</v>
      </c>
      <c r="M3907">
        <v>52.589473611956002</v>
      </c>
      <c r="O3907">
        <v>51.9752755227234</v>
      </c>
      <c r="P3907">
        <v>-7.24535563155847E-2</v>
      </c>
      <c r="Q3907">
        <v>0.71357078145691799</v>
      </c>
      <c r="R3907">
        <v>0.36474572140755401</v>
      </c>
      <c r="S3907" t="s">
        <v>9490</v>
      </c>
      <c r="T3907" t="s">
        <v>11164</v>
      </c>
      <c r="U3907" t="s">
        <v>11164</v>
      </c>
      <c r="V3907" t="s">
        <v>11164</v>
      </c>
      <c r="W3907" t="s">
        <v>15028</v>
      </c>
      <c r="X3907">
        <v>1</v>
      </c>
      <c r="Y3907" t="s">
        <v>20503</v>
      </c>
      <c r="Z3907" t="s">
        <v>26057</v>
      </c>
      <c r="AA3907">
        <v>0.8578603062600898</v>
      </c>
      <c r="AB3907" t="str">
        <f>HYPERLINK("Melting_Curves/meltCurve_Q8N8J7_C4orf32.pdf", "Melting_Curves/meltCurve_Q8N8J7_C4orf32.pdf")</f>
        <v>Melting_Curves/meltCurve_Q8N8J7_C4orf32.pdf</v>
      </c>
    </row>
    <row r="3908" spans="1:28" x14ac:dyDescent="0.25">
      <c r="A3908" t="s">
        <v>3912</v>
      </c>
      <c r="B3908">
        <v>0.99796759195183404</v>
      </c>
      <c r="C3908">
        <v>1.0300880452327601</v>
      </c>
      <c r="D3908">
        <v>0.97963259793523505</v>
      </c>
      <c r="E3908">
        <v>0.99491018775016105</v>
      </c>
      <c r="F3908">
        <v>0.80433552488008198</v>
      </c>
      <c r="G3908">
        <v>0.30919283147603499</v>
      </c>
      <c r="H3908">
        <v>0.26435338524533403</v>
      </c>
      <c r="I3908">
        <v>0.22721598448368699</v>
      </c>
      <c r="J3908">
        <v>0.152293156741165</v>
      </c>
      <c r="K3908">
        <v>0.13306929198528</v>
      </c>
      <c r="L3908">
        <v>2023.72318721733</v>
      </c>
      <c r="M3908">
        <v>39.197174407648703</v>
      </c>
      <c r="N3908">
        <v>52.251336194347203</v>
      </c>
      <c r="O3908">
        <v>51.4954791481968</v>
      </c>
      <c r="P3908">
        <v>-0.15481686672405101</v>
      </c>
      <c r="Q3908">
        <v>0.18643617810407601</v>
      </c>
      <c r="R3908">
        <v>0.99229121108320795</v>
      </c>
      <c r="S3908" t="s">
        <v>9491</v>
      </c>
      <c r="T3908" t="s">
        <v>11164</v>
      </c>
      <c r="U3908" t="s">
        <v>11164</v>
      </c>
      <c r="V3908" t="s">
        <v>11164</v>
      </c>
      <c r="W3908" t="s">
        <v>15029</v>
      </c>
      <c r="X3908">
        <v>7</v>
      </c>
      <c r="Y3908" t="s">
        <v>20504</v>
      </c>
      <c r="Z3908" t="s">
        <v>26058</v>
      </c>
      <c r="AA3908">
        <v>0.58618303552934548</v>
      </c>
      <c r="AB3908" t="str">
        <f>HYPERLINK("Melting_Curves/meltCurve_Q8N8N7_PTGR2.pdf", "Melting_Curves/meltCurve_Q8N8N7_PTGR2.pdf")</f>
        <v>Melting_Curves/meltCurve_Q8N8N7_PTGR2.pdf</v>
      </c>
    </row>
    <row r="3909" spans="1:28" x14ac:dyDescent="0.25">
      <c r="A3909" t="s">
        <v>3913</v>
      </c>
      <c r="B3909">
        <v>0.99796759195183404</v>
      </c>
      <c r="C3909">
        <v>0.97032704758697697</v>
      </c>
      <c r="D3909">
        <v>0.93070718621389803</v>
      </c>
      <c r="E3909">
        <v>0.93503437385330201</v>
      </c>
      <c r="F3909">
        <v>0.85965227574757797</v>
      </c>
      <c r="G3909">
        <v>0.57549799028447801</v>
      </c>
      <c r="H3909">
        <v>0.38194358729538902</v>
      </c>
      <c r="I3909">
        <v>0.22782795290315699</v>
      </c>
      <c r="J3909">
        <v>0.18611706268709099</v>
      </c>
      <c r="K3909">
        <v>0.152364609884789</v>
      </c>
      <c r="L3909">
        <v>927.43078115216997</v>
      </c>
      <c r="M3909">
        <v>17.071291129823798</v>
      </c>
      <c r="N3909">
        <v>55.208757224866098</v>
      </c>
      <c r="O3909">
        <v>53.5978843235821</v>
      </c>
      <c r="P3909">
        <v>-7.0129151708613405E-2</v>
      </c>
      <c r="Q3909">
        <v>0.11932948553931901</v>
      </c>
      <c r="R3909">
        <v>0.99440357683324299</v>
      </c>
      <c r="S3909" t="s">
        <v>9492</v>
      </c>
      <c r="T3909" t="s">
        <v>11164</v>
      </c>
      <c r="U3909" t="s">
        <v>11164</v>
      </c>
      <c r="V3909" t="s">
        <v>11164</v>
      </c>
      <c r="W3909" t="s">
        <v>15030</v>
      </c>
      <c r="X3909">
        <v>7</v>
      </c>
      <c r="Y3909" t="s">
        <v>20505</v>
      </c>
      <c r="Z3909" t="s">
        <v>26059</v>
      </c>
      <c r="AA3909">
        <v>0.6403774120073592</v>
      </c>
      <c r="AB3909" t="str">
        <f>HYPERLINK("Melting_Curves/meltCurve_Q8N8R5_C2orf69.pdf", "Melting_Curves/meltCurve_Q8N8R5_C2orf69.pdf")</f>
        <v>Melting_Curves/meltCurve_Q8N8R5_C2orf69.pdf</v>
      </c>
    </row>
    <row r="3910" spans="1:28" x14ac:dyDescent="0.25">
      <c r="A3910" t="s">
        <v>3914</v>
      </c>
      <c r="B3910">
        <v>0.99796759195183404</v>
      </c>
      <c r="C3910">
        <v>0.89660999863774904</v>
      </c>
      <c r="D3910">
        <v>0.95626503611565805</v>
      </c>
      <c r="E3910">
        <v>0.80028592682416799</v>
      </c>
      <c r="F3910">
        <v>0.52584557865423998</v>
      </c>
      <c r="G3910">
        <v>0.19268094046402401</v>
      </c>
      <c r="H3910">
        <v>0.122514410171719</v>
      </c>
      <c r="I3910">
        <v>9.8209904574842494E-2</v>
      </c>
      <c r="J3910">
        <v>6.7398216624282595E-2</v>
      </c>
      <c r="K3910">
        <v>5.3923576564757998E-2</v>
      </c>
      <c r="L3910">
        <v>980.75686620255897</v>
      </c>
      <c r="M3910">
        <v>19.673979771802699</v>
      </c>
      <c r="N3910">
        <v>50.137236905857002</v>
      </c>
      <c r="O3910">
        <v>49.343990567354702</v>
      </c>
      <c r="P3910">
        <v>-9.4376513415783098E-2</v>
      </c>
      <c r="Q3910">
        <v>5.32159973867702E-2</v>
      </c>
      <c r="R3910">
        <v>0.99154241711451596</v>
      </c>
      <c r="S3910" t="s">
        <v>9493</v>
      </c>
      <c r="T3910" t="s">
        <v>11164</v>
      </c>
      <c r="U3910" t="s">
        <v>11164</v>
      </c>
      <c r="V3910" t="s">
        <v>11164</v>
      </c>
      <c r="W3910" t="s">
        <v>15031</v>
      </c>
      <c r="X3910">
        <v>3</v>
      </c>
      <c r="Y3910" t="s">
        <v>20506</v>
      </c>
      <c r="Z3910" t="s">
        <v>26060</v>
      </c>
      <c r="AA3910">
        <v>0.47160706544562181</v>
      </c>
      <c r="AB3910" t="str">
        <f>HYPERLINK("Melting_Curves/meltCurve_Q8N8R7_ARL14EP.pdf", "Melting_Curves/meltCurve_Q8N8R7_ARL14EP.pdf")</f>
        <v>Melting_Curves/meltCurve_Q8N8R7_ARL14EP.pdf</v>
      </c>
    </row>
    <row r="3911" spans="1:28" x14ac:dyDescent="0.25">
      <c r="A3911" t="s">
        <v>3915</v>
      </c>
      <c r="B3911">
        <v>0.99796759195183404</v>
      </c>
      <c r="C3911">
        <v>0.95404334381161504</v>
      </c>
      <c r="D3911">
        <v>0.86358309228184704</v>
      </c>
      <c r="E3911">
        <v>0.85337501452378195</v>
      </c>
      <c r="F3911">
        <v>0.72453469047513097</v>
      </c>
      <c r="G3911">
        <v>0.73047557079793002</v>
      </c>
      <c r="H3911">
        <v>0.65956757821546597</v>
      </c>
      <c r="I3911">
        <v>0.52391378073863604</v>
      </c>
      <c r="J3911">
        <v>0.37019935327557302</v>
      </c>
      <c r="K3911">
        <v>0.17646172053442299</v>
      </c>
      <c r="L3911">
        <v>430.39255998396499</v>
      </c>
      <c r="M3911">
        <v>7.2243103017848798</v>
      </c>
      <c r="N3911">
        <v>59.575590902346697</v>
      </c>
      <c r="O3911">
        <v>55.518602437745599</v>
      </c>
      <c r="P3911">
        <v>-3.2584732670132698E-2</v>
      </c>
      <c r="Q3911">
        <v>0</v>
      </c>
      <c r="R3911">
        <v>0.92745486603974703</v>
      </c>
      <c r="S3911" t="s">
        <v>9494</v>
      </c>
      <c r="T3911" t="s">
        <v>11164</v>
      </c>
      <c r="U3911" t="s">
        <v>11164</v>
      </c>
      <c r="V3911" t="s">
        <v>11164</v>
      </c>
      <c r="W3911" t="s">
        <v>15032</v>
      </c>
      <c r="X3911">
        <v>16</v>
      </c>
      <c r="Y3911" t="s">
        <v>20507</v>
      </c>
      <c r="Z3911" t="s">
        <v>26061</v>
      </c>
      <c r="AA3911">
        <v>0.70585289112864247</v>
      </c>
      <c r="AB3911" t="str">
        <f>HYPERLINK("Melting_Curves/meltCurve_Q8N8S7_ENAH.pdf", "Melting_Curves/meltCurve_Q8N8S7_ENAH.pdf")</f>
        <v>Melting_Curves/meltCurve_Q8N8S7_ENAH.pdf</v>
      </c>
    </row>
    <row r="3912" spans="1:28" x14ac:dyDescent="0.25">
      <c r="A3912" t="s">
        <v>3916</v>
      </c>
      <c r="B3912">
        <v>0.99796759195183404</v>
      </c>
      <c r="C3912">
        <v>0.93391922146340101</v>
      </c>
      <c r="D3912">
        <v>0.89250333840167395</v>
      </c>
      <c r="E3912">
        <v>0.94562428781925001</v>
      </c>
      <c r="F3912">
        <v>0.79111180831041805</v>
      </c>
      <c r="G3912">
        <v>0.62685184759959001</v>
      </c>
      <c r="H3912">
        <v>0.38395126959648102</v>
      </c>
      <c r="I3912">
        <v>0.32073372756173801</v>
      </c>
      <c r="J3912">
        <v>0.27335520719974399</v>
      </c>
      <c r="K3912">
        <v>0.163512550769674</v>
      </c>
      <c r="L3912">
        <v>653.67915904130598</v>
      </c>
      <c r="M3912">
        <v>11.8750802213771</v>
      </c>
      <c r="N3912">
        <v>55.990172160122803</v>
      </c>
      <c r="O3912">
        <v>53.554909462995099</v>
      </c>
      <c r="P3912">
        <v>-5.0418224356147699E-2</v>
      </c>
      <c r="Q3912">
        <v>9.0712436310436698E-2</v>
      </c>
      <c r="R3912">
        <v>0.98249239070050098</v>
      </c>
      <c r="S3912" t="s">
        <v>9495</v>
      </c>
      <c r="T3912" t="s">
        <v>11164</v>
      </c>
      <c r="U3912" t="s">
        <v>11164</v>
      </c>
      <c r="V3912" t="s">
        <v>11164</v>
      </c>
      <c r="W3912" t="s">
        <v>15033</v>
      </c>
      <c r="X3912">
        <v>1</v>
      </c>
      <c r="Y3912" t="s">
        <v>20508</v>
      </c>
      <c r="Z3912" t="s">
        <v>26062</v>
      </c>
      <c r="AA3912">
        <v>0.65035586247463306</v>
      </c>
      <c r="AB3912" t="str">
        <f>HYPERLINK("Melting_Curves/meltCurve_Q8N8Z6_DCBLD1.pdf", "Melting_Curves/meltCurve_Q8N8Z6_DCBLD1.pdf")</f>
        <v>Melting_Curves/meltCurve_Q8N8Z6_DCBLD1.pdf</v>
      </c>
    </row>
    <row r="3913" spans="1:28" x14ac:dyDescent="0.25">
      <c r="A3913" t="s">
        <v>3917</v>
      </c>
      <c r="B3913">
        <v>0.99796759195183404</v>
      </c>
      <c r="C3913">
        <v>1.0278040484544599</v>
      </c>
      <c r="D3913">
        <v>0.99189463399473599</v>
      </c>
      <c r="E3913">
        <v>0.825891281450295</v>
      </c>
      <c r="F3913">
        <v>0.697062043883941</v>
      </c>
      <c r="G3913">
        <v>0.49408421323274099</v>
      </c>
      <c r="H3913">
        <v>0.43716778862348699</v>
      </c>
      <c r="I3913">
        <v>0.31359300871991402</v>
      </c>
      <c r="J3913">
        <v>0.29892942254317001</v>
      </c>
      <c r="K3913">
        <v>0.18034438160327501</v>
      </c>
      <c r="L3913">
        <v>621.00325429441398</v>
      </c>
      <c r="M3913">
        <v>11.809067181012299</v>
      </c>
      <c r="N3913">
        <v>54.526989012756601</v>
      </c>
      <c r="O3913">
        <v>51.146976480189899</v>
      </c>
      <c r="P3913">
        <v>-4.7832759086965097E-2</v>
      </c>
      <c r="Q3913">
        <v>0.17152690763540801</v>
      </c>
      <c r="R3913">
        <v>0.98678737082804402</v>
      </c>
      <c r="S3913" t="s">
        <v>9496</v>
      </c>
      <c r="T3913" t="s">
        <v>11164</v>
      </c>
      <c r="U3913" t="s">
        <v>11164</v>
      </c>
      <c r="V3913" t="s">
        <v>11164</v>
      </c>
      <c r="W3913" t="s">
        <v>15034</v>
      </c>
      <c r="X3913">
        <v>5</v>
      </c>
      <c r="Y3913" t="s">
        <v>20509</v>
      </c>
      <c r="Z3913" t="s">
        <v>26063</v>
      </c>
      <c r="AA3913">
        <v>0.62058258790172671</v>
      </c>
      <c r="AB3913" t="str">
        <f>HYPERLINK("Melting_Curves/meltCurve_Q8N954_GPATCH11.pdf", "Melting_Curves/meltCurve_Q8N954_GPATCH11.pdf")</f>
        <v>Melting_Curves/meltCurve_Q8N954_GPATCH11.pdf</v>
      </c>
    </row>
    <row r="3914" spans="1:28" x14ac:dyDescent="0.25">
      <c r="A3914" t="s">
        <v>3918</v>
      </c>
      <c r="B3914">
        <v>0.99796759195183404</v>
      </c>
      <c r="C3914">
        <v>1.02412470845472</v>
      </c>
      <c r="D3914">
        <v>0.95785920278547199</v>
      </c>
      <c r="E3914">
        <v>0.96757469079577196</v>
      </c>
      <c r="F3914">
        <v>1.14158371153391</v>
      </c>
      <c r="G3914">
        <v>0.86619395009609801</v>
      </c>
      <c r="H3914">
        <v>0.73444204926906598</v>
      </c>
      <c r="I3914">
        <v>0.42240457646978202</v>
      </c>
      <c r="J3914">
        <v>0.36342130841921899</v>
      </c>
      <c r="K3914">
        <v>0.25804043661646597</v>
      </c>
      <c r="L3914">
        <v>1475.9653862776199</v>
      </c>
      <c r="M3914">
        <v>25.238987850164101</v>
      </c>
      <c r="N3914">
        <v>60.143778485864203</v>
      </c>
      <c r="O3914">
        <v>58.116166745177502</v>
      </c>
      <c r="P3914">
        <v>-8.1288103358824901E-2</v>
      </c>
      <c r="Q3914">
        <v>0.251302563385287</v>
      </c>
      <c r="R3914">
        <v>0.96256974430686304</v>
      </c>
      <c r="S3914" t="s">
        <v>9497</v>
      </c>
      <c r="T3914" t="s">
        <v>11164</v>
      </c>
      <c r="U3914" t="s">
        <v>11164</v>
      </c>
      <c r="V3914" t="s">
        <v>11164</v>
      </c>
      <c r="W3914" t="s">
        <v>15035</v>
      </c>
      <c r="X3914">
        <v>2</v>
      </c>
      <c r="Y3914" t="s">
        <v>20510</v>
      </c>
      <c r="Z3914" t="s">
        <v>26064</v>
      </c>
      <c r="AA3914">
        <v>0.79174301332159602</v>
      </c>
      <c r="AB3914" t="str">
        <f>HYPERLINK("Melting_Curves/meltCurve_Q8N983_4_MRPL43.pdf", "Melting_Curves/meltCurve_Q8N983_4_MRPL43.pdf")</f>
        <v>Melting_Curves/meltCurve_Q8N983_4_MRPL43.pdf</v>
      </c>
    </row>
    <row r="3915" spans="1:28" x14ac:dyDescent="0.25">
      <c r="A3915" t="s">
        <v>3919</v>
      </c>
      <c r="B3915">
        <v>0.99796759195183404</v>
      </c>
      <c r="C3915">
        <v>1.01573433732675</v>
      </c>
      <c r="D3915">
        <v>1.0061644806611401</v>
      </c>
      <c r="E3915">
        <v>1.0076964246223099</v>
      </c>
      <c r="F3915">
        <v>0.93176163312231597</v>
      </c>
      <c r="G3915">
        <v>0.61017082641190601</v>
      </c>
      <c r="H3915">
        <v>0.55574682580939105</v>
      </c>
      <c r="I3915">
        <v>0.46581188398568901</v>
      </c>
      <c r="J3915">
        <v>0.39108426061102602</v>
      </c>
      <c r="K3915">
        <v>0.19862733926170301</v>
      </c>
      <c r="L3915">
        <v>721.64147567340797</v>
      </c>
      <c r="M3915">
        <v>12.725953423295801</v>
      </c>
      <c r="N3915">
        <v>58.655589143196799</v>
      </c>
      <c r="O3915">
        <v>55.3607459686339</v>
      </c>
      <c r="P3915">
        <v>-4.75678834601223E-2</v>
      </c>
      <c r="Q3915">
        <v>0.17243509768843501</v>
      </c>
      <c r="R3915">
        <v>0.96061017838110896</v>
      </c>
      <c r="S3915" t="s">
        <v>9498</v>
      </c>
      <c r="T3915" t="s">
        <v>11164</v>
      </c>
      <c r="U3915" t="s">
        <v>11164</v>
      </c>
      <c r="V3915" t="s">
        <v>11164</v>
      </c>
      <c r="W3915" t="s">
        <v>15036</v>
      </c>
      <c r="X3915">
        <v>5</v>
      </c>
      <c r="Y3915" t="s">
        <v>20511</v>
      </c>
      <c r="Z3915" t="s">
        <v>26065</v>
      </c>
      <c r="AA3915">
        <v>0.72211590085122213</v>
      </c>
      <c r="AB3915" t="str">
        <f>HYPERLINK("Melting_Curves/meltCurve_Q8N999_C12orf29.pdf", "Melting_Curves/meltCurve_Q8N999_C12orf29.pdf")</f>
        <v>Melting_Curves/meltCurve_Q8N999_C12orf29.pdf</v>
      </c>
    </row>
    <row r="3916" spans="1:28" x14ac:dyDescent="0.25">
      <c r="A3916" t="s">
        <v>3920</v>
      </c>
      <c r="B3916">
        <v>0.99796759195183404</v>
      </c>
      <c r="C3916">
        <v>0.97576733339239397</v>
      </c>
      <c r="D3916">
        <v>0.86665394451958599</v>
      </c>
      <c r="E3916">
        <v>0.84548476234998804</v>
      </c>
      <c r="F3916">
        <v>0.52886952016141897</v>
      </c>
      <c r="G3916">
        <v>0.57591345694131901</v>
      </c>
      <c r="H3916">
        <v>0.48283321680590602</v>
      </c>
      <c r="I3916">
        <v>0.35119359349325302</v>
      </c>
      <c r="J3916">
        <v>0.221069213926082</v>
      </c>
      <c r="K3916">
        <v>0.16688056220334599</v>
      </c>
      <c r="L3916">
        <v>410.326054865819</v>
      </c>
      <c r="M3916">
        <v>7.4836902367868499</v>
      </c>
      <c r="N3916">
        <v>54.829385740285502</v>
      </c>
      <c r="O3916">
        <v>51.323741307190801</v>
      </c>
      <c r="P3916">
        <v>-3.6506192548561599E-2</v>
      </c>
      <c r="Q3916">
        <v>0</v>
      </c>
      <c r="R3916">
        <v>0.96035556894589902</v>
      </c>
      <c r="S3916" t="s">
        <v>9499</v>
      </c>
      <c r="T3916" t="s">
        <v>11164</v>
      </c>
      <c r="U3916" t="s">
        <v>11164</v>
      </c>
      <c r="V3916" t="s">
        <v>11164</v>
      </c>
      <c r="W3916" t="s">
        <v>15037</v>
      </c>
      <c r="X3916">
        <v>4</v>
      </c>
      <c r="Y3916" t="s">
        <v>20512</v>
      </c>
      <c r="Z3916" t="s">
        <v>26066</v>
      </c>
      <c r="AA3916">
        <v>0.60036971545119977</v>
      </c>
      <c r="AB3916" t="str">
        <f>HYPERLINK("Melting_Curves/meltCurve_Q8N9B5_2_JMY.pdf", "Melting_Curves/meltCurve_Q8N9B5_2_JMY.pdf")</f>
        <v>Melting_Curves/meltCurve_Q8N9B5_2_JMY.pdf</v>
      </c>
    </row>
    <row r="3917" spans="1:28" x14ac:dyDescent="0.25">
      <c r="A3917" t="s">
        <v>3921</v>
      </c>
      <c r="B3917">
        <v>0.99796759195183404</v>
      </c>
      <c r="C3917">
        <v>1.0160917112027801</v>
      </c>
      <c r="D3917">
        <v>1.00234339541624</v>
      </c>
      <c r="E3917">
        <v>0.98344410597166698</v>
      </c>
      <c r="F3917">
        <v>0.87105558639926295</v>
      </c>
      <c r="G3917">
        <v>0.65577037463322096</v>
      </c>
      <c r="H3917">
        <v>0.38533204028677898</v>
      </c>
      <c r="I3917">
        <v>0.20314669952718301</v>
      </c>
      <c r="J3917">
        <v>0.200738671684977</v>
      </c>
      <c r="K3917">
        <v>0.13385608788226799</v>
      </c>
      <c r="L3917">
        <v>1098.19749513956</v>
      </c>
      <c r="M3917">
        <v>20.0070795057417</v>
      </c>
      <c r="N3917">
        <v>55.677474074069004</v>
      </c>
      <c r="O3917">
        <v>54.350892788374601</v>
      </c>
      <c r="P3917">
        <v>-8.0695090724529406E-2</v>
      </c>
      <c r="Q3917">
        <v>0.123168847493366</v>
      </c>
      <c r="R3917">
        <v>0.99823874707939797</v>
      </c>
      <c r="S3917" t="s">
        <v>9500</v>
      </c>
      <c r="T3917" t="s">
        <v>11164</v>
      </c>
      <c r="U3917" t="s">
        <v>11164</v>
      </c>
      <c r="V3917" t="s">
        <v>11164</v>
      </c>
      <c r="W3917" t="s">
        <v>15038</v>
      </c>
      <c r="X3917">
        <v>8</v>
      </c>
      <c r="Y3917" t="s">
        <v>20513</v>
      </c>
      <c r="Z3917" t="s">
        <v>26067</v>
      </c>
      <c r="AA3917">
        <v>0.65609340468550292</v>
      </c>
      <c r="AB3917" t="str">
        <f>HYPERLINK("Melting_Curves/meltCurve_Q8N9D7_PTK2.pdf", "Melting_Curves/meltCurve_Q8N9D7_PTK2.pdf")</f>
        <v>Melting_Curves/meltCurve_Q8N9D7_PTK2.pdf</v>
      </c>
    </row>
    <row r="3918" spans="1:28" x14ac:dyDescent="0.25">
      <c r="A3918" t="s">
        <v>3922</v>
      </c>
      <c r="B3918">
        <v>0.99796759195183404</v>
      </c>
      <c r="C3918">
        <v>0.93364998801440502</v>
      </c>
      <c r="D3918">
        <v>0.97533353202052897</v>
      </c>
      <c r="E3918">
        <v>0.942594868714551</v>
      </c>
      <c r="F3918">
        <v>0.79828785696890003</v>
      </c>
      <c r="G3918">
        <v>0.46946640403496598</v>
      </c>
      <c r="H3918">
        <v>0.32064563886022002</v>
      </c>
      <c r="I3918">
        <v>0.21144896429398299</v>
      </c>
      <c r="J3918">
        <v>0.16509273010049599</v>
      </c>
      <c r="K3918">
        <v>0.13684804545667001</v>
      </c>
      <c r="L3918">
        <v>1008.65814821945</v>
      </c>
      <c r="M3918">
        <v>19.047805338902201</v>
      </c>
      <c r="N3918">
        <v>53.850825055956797</v>
      </c>
      <c r="O3918">
        <v>52.3807321880007</v>
      </c>
      <c r="P3918">
        <v>-7.8557832466435801E-2</v>
      </c>
      <c r="Q3918">
        <v>0.13591001434036301</v>
      </c>
      <c r="R3918">
        <v>0.99424144428169103</v>
      </c>
      <c r="S3918" t="s">
        <v>9501</v>
      </c>
      <c r="T3918" t="s">
        <v>11164</v>
      </c>
      <c r="U3918" t="s">
        <v>11164</v>
      </c>
      <c r="V3918" t="s">
        <v>11164</v>
      </c>
      <c r="W3918" t="s">
        <v>15039</v>
      </c>
      <c r="X3918">
        <v>6</v>
      </c>
      <c r="Y3918" t="s">
        <v>20514</v>
      </c>
      <c r="Z3918" t="s">
        <v>26068</v>
      </c>
      <c r="AA3918">
        <v>0.60711197102957237</v>
      </c>
      <c r="AB3918" t="str">
        <f>HYPERLINK("Melting_Curves/meltCurve_Q8N9F7_GDPD1.pdf", "Melting_Curves/meltCurve_Q8N9F7_GDPD1.pdf")</f>
        <v>Melting_Curves/meltCurve_Q8N9F7_GDPD1.pdf</v>
      </c>
    </row>
    <row r="3919" spans="1:28" x14ac:dyDescent="0.25">
      <c r="A3919" t="s">
        <v>3923</v>
      </c>
      <c r="B3919">
        <v>0.99796759195183404</v>
      </c>
      <c r="C3919">
        <v>0.98781357419385796</v>
      </c>
      <c r="D3919">
        <v>0.98587288142252905</v>
      </c>
      <c r="E3919">
        <v>0.89828994081196001</v>
      </c>
      <c r="F3919">
        <v>0.79351285256979598</v>
      </c>
      <c r="G3919">
        <v>0.67502167335014396</v>
      </c>
      <c r="H3919">
        <v>0.461024392729599</v>
      </c>
      <c r="I3919">
        <v>0.213893900994582</v>
      </c>
      <c r="J3919">
        <v>0.13761943669917601</v>
      </c>
      <c r="K3919">
        <v>0.12171927004223899</v>
      </c>
      <c r="L3919">
        <v>740.40807235631996</v>
      </c>
      <c r="M3919">
        <v>13.1951812298063</v>
      </c>
      <c r="N3919">
        <v>56.112005012189798</v>
      </c>
      <c r="O3919">
        <v>54.870189598993903</v>
      </c>
      <c r="P3919">
        <v>-6.0130014498830299E-2</v>
      </c>
      <c r="Q3919">
        <v>0</v>
      </c>
      <c r="R3919">
        <v>0.99336324021310896</v>
      </c>
      <c r="S3919" t="s">
        <v>9502</v>
      </c>
      <c r="T3919" t="s">
        <v>11164</v>
      </c>
      <c r="U3919" t="s">
        <v>11164</v>
      </c>
      <c r="V3919" t="s">
        <v>11164</v>
      </c>
      <c r="W3919" t="s">
        <v>15040</v>
      </c>
      <c r="X3919">
        <v>8</v>
      </c>
      <c r="Y3919" t="s">
        <v>20515</v>
      </c>
      <c r="Z3919" t="s">
        <v>26069</v>
      </c>
      <c r="AA3919">
        <v>0.64748190380104009</v>
      </c>
      <c r="AB3919" t="str">
        <f>HYPERLINK("Melting_Curves/meltCurve_Q8N9N7_LRRC57.pdf", "Melting_Curves/meltCurve_Q8N9N7_LRRC57.pdf")</f>
        <v>Melting_Curves/meltCurve_Q8N9N7_LRRC57.pdf</v>
      </c>
    </row>
    <row r="3920" spans="1:28" x14ac:dyDescent="0.25">
      <c r="A3920" t="s">
        <v>3924</v>
      </c>
      <c r="B3920">
        <v>0.99796759195183404</v>
      </c>
      <c r="C3920">
        <v>1.05048731945694</v>
      </c>
      <c r="D3920">
        <v>0.98362906444878995</v>
      </c>
      <c r="E3920">
        <v>0.98149549063091801</v>
      </c>
      <c r="F3920">
        <v>0.91784204644224199</v>
      </c>
      <c r="G3920">
        <v>0.712961422562714</v>
      </c>
      <c r="H3920">
        <v>0.53299914230235501</v>
      </c>
      <c r="I3920">
        <v>0.50498461382743198</v>
      </c>
      <c r="J3920">
        <v>0.52080785936151097</v>
      </c>
      <c r="K3920">
        <v>0.424118018816732</v>
      </c>
      <c r="L3920">
        <v>1368.3074526395401</v>
      </c>
      <c r="M3920">
        <v>25.609656779486301</v>
      </c>
      <c r="N3920">
        <v>59.949010003142398</v>
      </c>
      <c r="O3920">
        <v>53.1067718242235</v>
      </c>
      <c r="P3920">
        <v>-6.3999929008938805E-2</v>
      </c>
      <c r="Q3920">
        <v>0.46913964502119399</v>
      </c>
      <c r="R3920">
        <v>0.98644337924445902</v>
      </c>
      <c r="S3920" t="s">
        <v>9503</v>
      </c>
      <c r="T3920" t="s">
        <v>11164</v>
      </c>
      <c r="U3920" t="s">
        <v>11164</v>
      </c>
      <c r="V3920" t="s">
        <v>11164</v>
      </c>
      <c r="W3920" t="s">
        <v>15041</v>
      </c>
      <c r="X3920">
        <v>7</v>
      </c>
      <c r="Y3920" t="s">
        <v>20516</v>
      </c>
      <c r="Z3920" t="s">
        <v>26070</v>
      </c>
      <c r="AA3920">
        <v>0.76434951575002852</v>
      </c>
      <c r="AB3920" t="str">
        <f>HYPERLINK("Melting_Curves/meltCurve_Q8N9N8_EIF1AD.pdf", "Melting_Curves/meltCurve_Q8N9N8_EIF1AD.pdf")</f>
        <v>Melting_Curves/meltCurve_Q8N9N8_EIF1AD.pdf</v>
      </c>
    </row>
    <row r="3921" spans="1:28" x14ac:dyDescent="0.25">
      <c r="A3921" t="s">
        <v>3925</v>
      </c>
      <c r="B3921">
        <v>0.99796759195183404</v>
      </c>
      <c r="C3921">
        <v>0.89413596642605597</v>
      </c>
      <c r="D3921">
        <v>0.93212636573835295</v>
      </c>
      <c r="E3921">
        <v>0.91149459160766699</v>
      </c>
      <c r="F3921">
        <v>0.79869699945635597</v>
      </c>
      <c r="G3921">
        <v>0.63131465773079898</v>
      </c>
      <c r="H3921">
        <v>0.601382727531515</v>
      </c>
      <c r="I3921">
        <v>0.60520062742634695</v>
      </c>
      <c r="J3921">
        <v>0.67049710845628596</v>
      </c>
      <c r="K3921">
        <v>0.46836556968309001</v>
      </c>
      <c r="L3921">
        <v>512.83117906559301</v>
      </c>
      <c r="M3921">
        <v>10.052594231351399</v>
      </c>
      <c r="O3921">
        <v>49.119362909241502</v>
      </c>
      <c r="P3921">
        <v>-2.5229560711030899E-2</v>
      </c>
      <c r="Q3921">
        <v>0.50712446323443405</v>
      </c>
      <c r="R3921">
        <v>0.88975650058980305</v>
      </c>
      <c r="S3921" t="s">
        <v>9504</v>
      </c>
      <c r="T3921" t="s">
        <v>11164</v>
      </c>
      <c r="U3921" t="s">
        <v>11164</v>
      </c>
      <c r="V3921" t="s">
        <v>11164</v>
      </c>
      <c r="W3921" t="s">
        <v>15042</v>
      </c>
      <c r="X3921">
        <v>1</v>
      </c>
      <c r="Y3921" t="s">
        <v>20517</v>
      </c>
      <c r="Z3921" t="s">
        <v>26071</v>
      </c>
      <c r="AA3921">
        <v>0.75231417098399511</v>
      </c>
      <c r="AB3921" t="str">
        <f>HYPERLINK("Melting_Curves/meltCurve_Q8N9U0_2_TC2N.pdf", "Melting_Curves/meltCurve_Q8N9U0_2_TC2N.pdf")</f>
        <v>Melting_Curves/meltCurve_Q8N9U0_2_TC2N.pdf</v>
      </c>
    </row>
    <row r="3922" spans="1:28" x14ac:dyDescent="0.25">
      <c r="A3922" t="s">
        <v>3926</v>
      </c>
      <c r="B3922">
        <v>0.99796759195183404</v>
      </c>
      <c r="C3922">
        <v>0.95539002330288803</v>
      </c>
      <c r="D3922">
        <v>1.0252428808945899</v>
      </c>
      <c r="E3922">
        <v>0.88537002042213997</v>
      </c>
      <c r="F3922">
        <v>0.86974441001240299</v>
      </c>
      <c r="G3922">
        <v>0.60088672375434204</v>
      </c>
      <c r="H3922">
        <v>0.46466943202029398</v>
      </c>
      <c r="I3922">
        <v>0.34701221344873501</v>
      </c>
      <c r="J3922">
        <v>0.32318569364586502</v>
      </c>
      <c r="K3922">
        <v>0.15306694071000901</v>
      </c>
      <c r="L3922">
        <v>666.39122609831998</v>
      </c>
      <c r="M3922">
        <v>11.9460702115088</v>
      </c>
      <c r="N3922">
        <v>56.838564703358998</v>
      </c>
      <c r="O3922">
        <v>54.289066959515999</v>
      </c>
      <c r="P3922">
        <v>-4.9552296917729298E-2</v>
      </c>
      <c r="Q3922">
        <v>9.9456757024566605E-2</v>
      </c>
      <c r="R3922">
        <v>0.98060773484164898</v>
      </c>
      <c r="S3922" t="s">
        <v>9505</v>
      </c>
      <c r="T3922" t="s">
        <v>11164</v>
      </c>
      <c r="U3922" t="s">
        <v>11164</v>
      </c>
      <c r="V3922" t="s">
        <v>11164</v>
      </c>
      <c r="W3922" t="s">
        <v>15043</v>
      </c>
      <c r="X3922">
        <v>3</v>
      </c>
      <c r="Y3922" t="s">
        <v>20518</v>
      </c>
      <c r="Z3922" t="s">
        <v>26072</v>
      </c>
      <c r="AA3922">
        <v>0.67297547305303085</v>
      </c>
      <c r="AB3922" t="str">
        <f>HYPERLINK("Melting_Curves/meltCurve_Q8N9V3_2_WDSUB1.pdf", "Melting_Curves/meltCurve_Q8N9V3_2_WDSUB1.pdf")</f>
        <v>Melting_Curves/meltCurve_Q8N9V3_2_WDSUB1.pdf</v>
      </c>
    </row>
    <row r="3923" spans="1:28" x14ac:dyDescent="0.25">
      <c r="A3923" t="s">
        <v>3927</v>
      </c>
      <c r="B3923">
        <v>0.99796759195183404</v>
      </c>
      <c r="C3923">
        <v>1.0061018152072601</v>
      </c>
      <c r="D3923">
        <v>0.96833109939750495</v>
      </c>
      <c r="E3923">
        <v>0.98628712147661401</v>
      </c>
      <c r="F3923">
        <v>0.94344837107103097</v>
      </c>
      <c r="G3923">
        <v>0.765556983919359</v>
      </c>
      <c r="H3923">
        <v>0.50027805551596305</v>
      </c>
      <c r="I3923">
        <v>0.37909951004332298</v>
      </c>
      <c r="J3923">
        <v>0.35035627104255801</v>
      </c>
      <c r="K3923">
        <v>0.25443056789788698</v>
      </c>
      <c r="L3923">
        <v>1191.7243305883601</v>
      </c>
      <c r="M3923">
        <v>21.435968413533701</v>
      </c>
      <c r="N3923">
        <v>57.718764993122399</v>
      </c>
      <c r="O3923">
        <v>55.117582527698197</v>
      </c>
      <c r="P3923">
        <v>-7.0703932330623206E-2</v>
      </c>
      <c r="Q3923">
        <v>0.27282373368379798</v>
      </c>
      <c r="R3923">
        <v>0.99500425361870104</v>
      </c>
      <c r="S3923" t="s">
        <v>9506</v>
      </c>
      <c r="T3923" t="s">
        <v>11164</v>
      </c>
      <c r="U3923" t="s">
        <v>11164</v>
      </c>
      <c r="V3923" t="s">
        <v>11164</v>
      </c>
      <c r="W3923" t="s">
        <v>15044</v>
      </c>
      <c r="X3923">
        <v>8</v>
      </c>
      <c r="Y3923" t="s">
        <v>20519</v>
      </c>
      <c r="Z3923" t="s">
        <v>26073</v>
      </c>
      <c r="AA3923">
        <v>0.73083408054353649</v>
      </c>
      <c r="AB3923" t="str">
        <f>HYPERLINK("Melting_Curves/meltCurve_Q8NAF0_ZNF579.pdf", "Melting_Curves/meltCurve_Q8NAF0_ZNF579.pdf")</f>
        <v>Melting_Curves/meltCurve_Q8NAF0_ZNF579.pdf</v>
      </c>
    </row>
    <row r="3924" spans="1:28" x14ac:dyDescent="0.25">
      <c r="A3924" t="s">
        <v>3928</v>
      </c>
      <c r="B3924">
        <v>0.99796759195183404</v>
      </c>
      <c r="C3924">
        <v>1.08133995661124</v>
      </c>
      <c r="D3924">
        <v>1.02360753271004</v>
      </c>
      <c r="E3924">
        <v>0.89354527861931998</v>
      </c>
      <c r="F3924">
        <v>0.71432988833214295</v>
      </c>
      <c r="G3924">
        <v>0.47260663188289598</v>
      </c>
      <c r="H3924">
        <v>0.26691060878490502</v>
      </c>
      <c r="I3924">
        <v>0.25955817379906998</v>
      </c>
      <c r="J3924">
        <v>0.20658966605578699</v>
      </c>
      <c r="K3924">
        <v>0.121955525652834</v>
      </c>
      <c r="L3924">
        <v>922.49816923299102</v>
      </c>
      <c r="M3924">
        <v>17.681946546240599</v>
      </c>
      <c r="N3924">
        <v>53.268392963313502</v>
      </c>
      <c r="O3924">
        <v>51.518171006457997</v>
      </c>
      <c r="P3924">
        <v>-7.2717858552575301E-2</v>
      </c>
      <c r="Q3924">
        <v>0.15256100330400599</v>
      </c>
      <c r="R3924">
        <v>0.98843957743700395</v>
      </c>
      <c r="S3924" t="s">
        <v>9507</v>
      </c>
      <c r="T3924" t="s">
        <v>11164</v>
      </c>
      <c r="U3924" t="s">
        <v>11164</v>
      </c>
      <c r="V3924" t="s">
        <v>11164</v>
      </c>
      <c r="W3924" t="s">
        <v>15045</v>
      </c>
      <c r="X3924">
        <v>3</v>
      </c>
      <c r="Y3924" t="s">
        <v>20520</v>
      </c>
      <c r="Z3924" t="s">
        <v>26074</v>
      </c>
      <c r="AA3924">
        <v>0.59419406149073173</v>
      </c>
      <c r="AB3924" t="str">
        <f>HYPERLINK("Melting_Curves/meltCurve_Q8NAV1_PRPF38A.pdf", "Melting_Curves/meltCurve_Q8NAV1_PRPF38A.pdf")</f>
        <v>Melting_Curves/meltCurve_Q8NAV1_PRPF38A.pdf</v>
      </c>
    </row>
    <row r="3925" spans="1:28" x14ac:dyDescent="0.25">
      <c r="A3925" t="s">
        <v>3929</v>
      </c>
      <c r="B3925">
        <v>0.99796759195183404</v>
      </c>
      <c r="C3925">
        <v>1.0599141589966601</v>
      </c>
      <c r="D3925">
        <v>0.80418885811249696</v>
      </c>
      <c r="E3925">
        <v>0.88038454716311998</v>
      </c>
      <c r="F3925">
        <v>0.68113860969499596</v>
      </c>
      <c r="G3925">
        <v>0.79696208146069103</v>
      </c>
      <c r="H3925">
        <v>0.40015224843872599</v>
      </c>
      <c r="I3925">
        <v>0.255926726391355</v>
      </c>
      <c r="J3925">
        <v>0.31116823006420702</v>
      </c>
      <c r="K3925">
        <v>0.121795487945095</v>
      </c>
      <c r="L3925">
        <v>537.25627638165804</v>
      </c>
      <c r="M3925">
        <v>9.5376354877479805</v>
      </c>
      <c r="N3925">
        <v>56.330122716285899</v>
      </c>
      <c r="O3925">
        <v>54.020639582619999</v>
      </c>
      <c r="P3925">
        <v>-4.4164567235859299E-2</v>
      </c>
      <c r="Q3925">
        <v>0</v>
      </c>
      <c r="R3925">
        <v>0.91417519107741896</v>
      </c>
      <c r="S3925" t="s">
        <v>9508</v>
      </c>
      <c r="T3925" t="s">
        <v>11164</v>
      </c>
      <c r="U3925" t="s">
        <v>11164</v>
      </c>
      <c r="V3925" t="s">
        <v>11164</v>
      </c>
      <c r="W3925" t="s">
        <v>15046</v>
      </c>
      <c r="X3925">
        <v>2</v>
      </c>
      <c r="Y3925" t="s">
        <v>20521</v>
      </c>
      <c r="Z3925" t="s">
        <v>26075</v>
      </c>
      <c r="AA3925">
        <v>0.64669327182258529</v>
      </c>
      <c r="AB3925" t="str">
        <f>HYPERLINK("Melting_Curves/meltCurve_Q8NB15_2_ZNF511.pdf", "Melting_Curves/meltCurve_Q8NB15_2_ZNF511.pdf")</f>
        <v>Melting_Curves/meltCurve_Q8NB15_2_ZNF511.pdf</v>
      </c>
    </row>
    <row r="3926" spans="1:28" x14ac:dyDescent="0.25">
      <c r="A3926" t="s">
        <v>3930</v>
      </c>
      <c r="B3926">
        <v>0.99796759195183404</v>
      </c>
      <c r="C3926">
        <v>0.93035517831451697</v>
      </c>
      <c r="D3926">
        <v>0.93840804803415101</v>
      </c>
      <c r="E3926">
        <v>0.88398399999032695</v>
      </c>
      <c r="F3926">
        <v>0.73464109849330905</v>
      </c>
      <c r="G3926">
        <v>0.692946515183956</v>
      </c>
      <c r="H3926">
        <v>0.58429462643167995</v>
      </c>
      <c r="I3926">
        <v>0.43469555445313601</v>
      </c>
      <c r="J3926">
        <v>0.38930693215818302</v>
      </c>
      <c r="K3926">
        <v>0.24120017460701501</v>
      </c>
      <c r="L3926">
        <v>429.845072546631</v>
      </c>
      <c r="M3926">
        <v>7.2857376002181597</v>
      </c>
      <c r="N3926">
        <v>58.998153923787797</v>
      </c>
      <c r="O3926">
        <v>55.040676186746701</v>
      </c>
      <c r="P3926">
        <v>-3.3145470056088998E-2</v>
      </c>
      <c r="Q3926">
        <v>0</v>
      </c>
      <c r="R3926">
        <v>0.98450335838042602</v>
      </c>
      <c r="S3926" t="s">
        <v>9509</v>
      </c>
      <c r="T3926" t="s">
        <v>11164</v>
      </c>
      <c r="U3926" t="s">
        <v>11164</v>
      </c>
      <c r="V3926" t="s">
        <v>11164</v>
      </c>
      <c r="W3926" t="s">
        <v>15047</v>
      </c>
      <c r="X3926">
        <v>7</v>
      </c>
      <c r="Y3926" t="s">
        <v>20522</v>
      </c>
      <c r="Z3926" t="s">
        <v>26076</v>
      </c>
      <c r="AA3926">
        <v>0.69444866081819145</v>
      </c>
      <c r="AB3926" t="str">
        <f>HYPERLINK("Melting_Curves/meltCurve_Q8NB37_PDDC1.pdf", "Melting_Curves/meltCurve_Q8NB37_PDDC1.pdf")</f>
        <v>Melting_Curves/meltCurve_Q8NB37_PDDC1.pdf</v>
      </c>
    </row>
    <row r="3927" spans="1:28" x14ac:dyDescent="0.25">
      <c r="A3927" t="s">
        <v>3931</v>
      </c>
      <c r="B3927">
        <v>0.99796759195183404</v>
      </c>
      <c r="C3927">
        <v>1.00789144052465</v>
      </c>
      <c r="D3927">
        <v>1.02450415087881</v>
      </c>
      <c r="E3927">
        <v>1.01114840653174</v>
      </c>
      <c r="F3927">
        <v>0.96196592518929203</v>
      </c>
      <c r="G3927">
        <v>0.89935366659488802</v>
      </c>
      <c r="H3927">
        <v>0.73392064265236201</v>
      </c>
      <c r="I3927">
        <v>0.46084554694674901</v>
      </c>
      <c r="J3927">
        <v>0.20953694888479099</v>
      </c>
      <c r="K3927">
        <v>0.109311397530078</v>
      </c>
      <c r="L3927">
        <v>1216.9743800679501</v>
      </c>
      <c r="M3927">
        <v>20.197548754693599</v>
      </c>
      <c r="N3927">
        <v>60.253572295820398</v>
      </c>
      <c r="O3927">
        <v>59.672227053584201</v>
      </c>
      <c r="P3927">
        <v>-8.4621348701079402E-2</v>
      </c>
      <c r="Q3927">
        <v>0</v>
      </c>
      <c r="R3927">
        <v>0.99767763411146604</v>
      </c>
      <c r="S3927" t="s">
        <v>9510</v>
      </c>
      <c r="T3927" t="s">
        <v>11164</v>
      </c>
      <c r="U3927" t="s">
        <v>11164</v>
      </c>
      <c r="V3927" t="s">
        <v>11164</v>
      </c>
      <c r="W3927" t="s">
        <v>15048</v>
      </c>
      <c r="X3927">
        <v>10</v>
      </c>
      <c r="Y3927" t="s">
        <v>20523</v>
      </c>
      <c r="Z3927" t="s">
        <v>26077</v>
      </c>
      <c r="AA3927">
        <v>0.77469925584020871</v>
      </c>
      <c r="AB3927" t="str">
        <f>HYPERLINK("Melting_Curves/meltCurve_Q8NB49_ATP11C.pdf", "Melting_Curves/meltCurve_Q8NB49_ATP11C.pdf")</f>
        <v>Melting_Curves/meltCurve_Q8NB49_ATP11C.pdf</v>
      </c>
    </row>
    <row r="3928" spans="1:28" x14ac:dyDescent="0.25">
      <c r="A3928" t="s">
        <v>3932</v>
      </c>
      <c r="B3928">
        <v>0.99796759195183404</v>
      </c>
      <c r="C3928">
        <v>1.02418010060801</v>
      </c>
      <c r="D3928">
        <v>0.971964179089577</v>
      </c>
      <c r="E3928">
        <v>0.97321676620590802</v>
      </c>
      <c r="F3928">
        <v>0.79855542305148097</v>
      </c>
      <c r="G3928">
        <v>0.35443168042935802</v>
      </c>
      <c r="H3928">
        <v>0.26072808571005901</v>
      </c>
      <c r="I3928">
        <v>0.19990123885181799</v>
      </c>
      <c r="J3928">
        <v>0.163601417321974</v>
      </c>
      <c r="K3928">
        <v>0.109123342052421</v>
      </c>
      <c r="L3928">
        <v>1560.3313717071001</v>
      </c>
      <c r="M3928">
        <v>30.029659443394898</v>
      </c>
      <c r="N3928">
        <v>52.6527821408664</v>
      </c>
      <c r="O3928">
        <v>51.730889552398096</v>
      </c>
      <c r="P3928">
        <v>-0.12143189502544099</v>
      </c>
      <c r="Q3928">
        <v>0.16326201682181901</v>
      </c>
      <c r="R3928">
        <v>0.99379276194549804</v>
      </c>
      <c r="S3928" t="s">
        <v>9511</v>
      </c>
      <c r="T3928" t="s">
        <v>11164</v>
      </c>
      <c r="U3928" t="s">
        <v>11164</v>
      </c>
      <c r="V3928" t="s">
        <v>11164</v>
      </c>
      <c r="W3928" t="s">
        <v>15049</v>
      </c>
      <c r="X3928">
        <v>4</v>
      </c>
      <c r="Y3928" t="s">
        <v>20524</v>
      </c>
      <c r="Z3928" t="s">
        <v>26078</v>
      </c>
      <c r="AA3928">
        <v>0.58577333653969477</v>
      </c>
      <c r="AB3928" t="str">
        <f>HYPERLINK("Melting_Curves/meltCurve_Q8NBA8_DTWD2.pdf", "Melting_Curves/meltCurve_Q8NBA8_DTWD2.pdf")</f>
        <v>Melting_Curves/meltCurve_Q8NBA8_DTWD2.pdf</v>
      </c>
    </row>
    <row r="3929" spans="1:28" x14ac:dyDescent="0.25">
      <c r="A3929" t="s">
        <v>3933</v>
      </c>
      <c r="B3929">
        <v>0.99796759195183404</v>
      </c>
      <c r="C3929">
        <v>0.98286993300352399</v>
      </c>
      <c r="D3929">
        <v>0.96885704890496305</v>
      </c>
      <c r="E3929">
        <v>0.97487172658326704</v>
      </c>
      <c r="F3929">
        <v>0.78595298659061996</v>
      </c>
      <c r="G3929">
        <v>0.57756755542736304</v>
      </c>
      <c r="H3929">
        <v>0.27884373316970801</v>
      </c>
      <c r="I3929">
        <v>0.190961387809783</v>
      </c>
      <c r="J3929">
        <v>0.15375602248604101</v>
      </c>
      <c r="K3929">
        <v>0.16011420075395</v>
      </c>
      <c r="L3929">
        <v>1071.3956287610899</v>
      </c>
      <c r="M3929">
        <v>20.0192806867374</v>
      </c>
      <c r="N3929">
        <v>54.314844885301603</v>
      </c>
      <c r="O3929">
        <v>52.992758783880298</v>
      </c>
      <c r="P3929">
        <v>-8.2430650018088206E-2</v>
      </c>
      <c r="Q3929">
        <v>0.12722426508120299</v>
      </c>
      <c r="R3929">
        <v>0.99642152331098399</v>
      </c>
      <c r="S3929" t="s">
        <v>9512</v>
      </c>
      <c r="T3929" t="s">
        <v>11164</v>
      </c>
      <c r="U3929" t="s">
        <v>11164</v>
      </c>
      <c r="V3929" t="s">
        <v>11164</v>
      </c>
      <c r="W3929" t="s">
        <v>15050</v>
      </c>
      <c r="X3929">
        <v>16</v>
      </c>
      <c r="Y3929" t="s">
        <v>20525</v>
      </c>
      <c r="Z3929" t="s">
        <v>26079</v>
      </c>
      <c r="AA3929">
        <v>0.6185552905674695</v>
      </c>
      <c r="AB3929" t="str">
        <f>HYPERLINK("Melting_Curves/meltCurve_Q8NBF2_NHLRC2.pdf", "Melting_Curves/meltCurve_Q8NBF2_NHLRC2.pdf")</f>
        <v>Melting_Curves/meltCurve_Q8NBF2_NHLRC2.pdf</v>
      </c>
    </row>
    <row r="3930" spans="1:28" x14ac:dyDescent="0.25">
      <c r="A3930" t="s">
        <v>3934</v>
      </c>
      <c r="B3930">
        <v>0.99796759195183404</v>
      </c>
      <c r="C3930">
        <v>1.02556241738355</v>
      </c>
      <c r="D3930">
        <v>0.97936628197577602</v>
      </c>
      <c r="E3930">
        <v>0.88156893010717396</v>
      </c>
      <c r="F3930">
        <v>0.85752044924530502</v>
      </c>
      <c r="G3930">
        <v>0.68029201570231601</v>
      </c>
      <c r="H3930">
        <v>0.49956177226930898</v>
      </c>
      <c r="I3930">
        <v>0.38115932057873197</v>
      </c>
      <c r="J3930">
        <v>0.15267761360952101</v>
      </c>
      <c r="K3930">
        <v>0.115023675704786</v>
      </c>
      <c r="L3930">
        <v>705.61637856203799</v>
      </c>
      <c r="M3930">
        <v>12.3325556559401</v>
      </c>
      <c r="N3930">
        <v>57.215746673811601</v>
      </c>
      <c r="O3930">
        <v>55.7737843246964</v>
      </c>
      <c r="P3930">
        <v>-5.5291349488277602E-2</v>
      </c>
      <c r="Q3930">
        <v>0</v>
      </c>
      <c r="R3930">
        <v>0.98815018201065796</v>
      </c>
      <c r="S3930" t="s">
        <v>9513</v>
      </c>
      <c r="T3930" t="s">
        <v>11164</v>
      </c>
      <c r="U3930" t="s">
        <v>11164</v>
      </c>
      <c r="V3930" t="s">
        <v>11164</v>
      </c>
      <c r="W3930" t="s">
        <v>15051</v>
      </c>
      <c r="X3930">
        <v>4</v>
      </c>
      <c r="Y3930" t="s">
        <v>20526</v>
      </c>
      <c r="Z3930" t="s">
        <v>26080</v>
      </c>
      <c r="AA3930">
        <v>0.67795569471658923</v>
      </c>
      <c r="AB3930" t="str">
        <f>HYPERLINK("Melting_Curves/meltCurve_Q8NBF6_AVL9.pdf", "Melting_Curves/meltCurve_Q8NBF6_AVL9.pdf")</f>
        <v>Melting_Curves/meltCurve_Q8NBF6_AVL9.pdf</v>
      </c>
    </row>
    <row r="3931" spans="1:28" x14ac:dyDescent="0.25">
      <c r="A3931" t="s">
        <v>3935</v>
      </c>
      <c r="B3931">
        <v>0.99796759195183404</v>
      </c>
      <c r="C3931">
        <v>1.00601677539388</v>
      </c>
      <c r="D3931">
        <v>0.88775243543435101</v>
      </c>
      <c r="E3931">
        <v>0.812079610487626</v>
      </c>
      <c r="F3931">
        <v>0.75663385187006604</v>
      </c>
      <c r="G3931">
        <v>0.66231633641773802</v>
      </c>
      <c r="H3931">
        <v>0.60458039671013797</v>
      </c>
      <c r="I3931">
        <v>0.39127793959186202</v>
      </c>
      <c r="J3931">
        <v>0.29371029204948401</v>
      </c>
      <c r="K3931">
        <v>0.32253797699981901</v>
      </c>
      <c r="L3931">
        <v>406.14842937160603</v>
      </c>
      <c r="M3931">
        <v>6.9486985692764698</v>
      </c>
      <c r="N3931">
        <v>58.449567909526102</v>
      </c>
      <c r="O3931">
        <v>54.185052095102002</v>
      </c>
      <c r="P3931">
        <v>-3.21210964934492E-2</v>
      </c>
      <c r="Q3931">
        <v>0</v>
      </c>
      <c r="R3931">
        <v>0.97427739764788801</v>
      </c>
      <c r="S3931" t="s">
        <v>9514</v>
      </c>
      <c r="T3931" t="s">
        <v>11164</v>
      </c>
      <c r="U3931" t="s">
        <v>11164</v>
      </c>
      <c r="V3931" t="s">
        <v>11164</v>
      </c>
      <c r="W3931" t="s">
        <v>15052</v>
      </c>
      <c r="X3931">
        <v>3</v>
      </c>
      <c r="Y3931" t="s">
        <v>20527</v>
      </c>
      <c r="Z3931" t="s">
        <v>26081</v>
      </c>
      <c r="AA3931">
        <v>0.67910383845254951</v>
      </c>
      <c r="AB3931" t="str">
        <f>HYPERLINK("Melting_Curves/meltCurve_Q8NBI6_XXYLT1.pdf", "Melting_Curves/meltCurve_Q8NBI6_XXYLT1.pdf")</f>
        <v>Melting_Curves/meltCurve_Q8NBI6_XXYLT1.pdf</v>
      </c>
    </row>
    <row r="3932" spans="1:28" x14ac:dyDescent="0.25">
      <c r="A3932" t="s">
        <v>3936</v>
      </c>
      <c r="B3932">
        <v>0.99796759195183404</v>
      </c>
      <c r="C3932">
        <v>0.96320801135401601</v>
      </c>
      <c r="D3932">
        <v>0.99730512899595902</v>
      </c>
      <c r="E3932">
        <v>0.98071277772277099</v>
      </c>
      <c r="F3932">
        <v>0.88341050345250005</v>
      </c>
      <c r="G3932">
        <v>0.59929516031080698</v>
      </c>
      <c r="H3932">
        <v>0.71410100179463298</v>
      </c>
      <c r="I3932">
        <v>0.74135259927607799</v>
      </c>
      <c r="J3932">
        <v>1.00217197162125</v>
      </c>
      <c r="K3932">
        <v>1.4952182675114301</v>
      </c>
      <c r="L3932">
        <v>15000</v>
      </c>
      <c r="M3932">
        <v>228.57441589687801</v>
      </c>
      <c r="O3932">
        <v>65.619099750760199</v>
      </c>
      <c r="P3932">
        <v>0.43520145026617801</v>
      </c>
      <c r="Q3932">
        <v>1.4997503418196501</v>
      </c>
      <c r="R3932">
        <v>0.388464345296817</v>
      </c>
      <c r="S3932" t="s">
        <v>9515</v>
      </c>
      <c r="T3932" t="s">
        <v>11164</v>
      </c>
      <c r="U3932" t="s">
        <v>11164</v>
      </c>
      <c r="V3932" t="s">
        <v>11164</v>
      </c>
      <c r="W3932" t="s">
        <v>15053</v>
      </c>
      <c r="X3932">
        <v>17</v>
      </c>
      <c r="Y3932" t="s">
        <v>20528</v>
      </c>
      <c r="Z3932" t="s">
        <v>26082</v>
      </c>
      <c r="AA3932">
        <v>1.0228964851870901</v>
      </c>
      <c r="AB3932" t="str">
        <f>HYPERLINK("Melting_Curves/meltCurve_Q8NBJ4_2_GOLM1.pdf", "Melting_Curves/meltCurve_Q8NBJ4_2_GOLM1.pdf")</f>
        <v>Melting_Curves/meltCurve_Q8NBJ4_2_GOLM1.pdf</v>
      </c>
    </row>
    <row r="3933" spans="1:28" x14ac:dyDescent="0.25">
      <c r="A3933" t="s">
        <v>3937</v>
      </c>
      <c r="B3933">
        <v>0.99796759195183404</v>
      </c>
      <c r="C3933">
        <v>1.0487232373295201</v>
      </c>
      <c r="D3933">
        <v>0.93254593926715601</v>
      </c>
      <c r="E3933">
        <v>0.96237025676433197</v>
      </c>
      <c r="F3933">
        <v>0.859425163570252</v>
      </c>
      <c r="G3933">
        <v>0.59265291521115604</v>
      </c>
      <c r="H3933">
        <v>0.40311212432631199</v>
      </c>
      <c r="I3933">
        <v>0.41613681806272002</v>
      </c>
      <c r="J3933">
        <v>0.236869816200486</v>
      </c>
      <c r="K3933">
        <v>0.16707487709934399</v>
      </c>
      <c r="L3933">
        <v>772.44595914118497</v>
      </c>
      <c r="M3933">
        <v>14.0651322735146</v>
      </c>
      <c r="N3933">
        <v>56.290910881415897</v>
      </c>
      <c r="O3933">
        <v>53.844812367623298</v>
      </c>
      <c r="P3933">
        <v>-5.5836412470722498E-2</v>
      </c>
      <c r="Q3933">
        <v>0.14508890629964499</v>
      </c>
      <c r="R3933">
        <v>0.97708306597054395</v>
      </c>
      <c r="S3933" t="s">
        <v>9516</v>
      </c>
      <c r="T3933" t="s">
        <v>11164</v>
      </c>
      <c r="U3933" t="s">
        <v>11164</v>
      </c>
      <c r="V3933" t="s">
        <v>11164</v>
      </c>
      <c r="W3933" t="s">
        <v>15054</v>
      </c>
      <c r="X3933">
        <v>13</v>
      </c>
      <c r="Y3933" t="s">
        <v>20529</v>
      </c>
      <c r="Z3933" t="s">
        <v>26083</v>
      </c>
      <c r="AA3933">
        <v>0.66820826831451186</v>
      </c>
      <c r="AB3933" t="str">
        <f>HYPERLINK("Melting_Curves/meltCurve_Q8NBJ5_COLGALT1.pdf", "Melting_Curves/meltCurve_Q8NBJ5_COLGALT1.pdf")</f>
        <v>Melting_Curves/meltCurve_Q8NBJ5_COLGALT1.pdf</v>
      </c>
    </row>
    <row r="3934" spans="1:28" x14ac:dyDescent="0.25">
      <c r="A3934" t="s">
        <v>3938</v>
      </c>
      <c r="B3934">
        <v>0.99796759195183404</v>
      </c>
      <c r="C3934">
        <v>1.1013239522790399</v>
      </c>
      <c r="D3934">
        <v>1.0327368264966901</v>
      </c>
      <c r="E3934">
        <v>0.92325778395736102</v>
      </c>
      <c r="F3934">
        <v>0.90813081076809998</v>
      </c>
      <c r="G3934">
        <v>0.66443674984790702</v>
      </c>
      <c r="H3934">
        <v>0.66371998671496302</v>
      </c>
      <c r="I3934">
        <v>0.47623613705192802</v>
      </c>
      <c r="J3934">
        <v>0.44973139918680699</v>
      </c>
      <c r="K3934">
        <v>0.26318588500043899</v>
      </c>
      <c r="L3934">
        <v>565.689878427596</v>
      </c>
      <c r="M3934">
        <v>9.4369373163142694</v>
      </c>
      <c r="N3934">
        <v>60.662447771719201</v>
      </c>
      <c r="O3934">
        <v>57.437424525024603</v>
      </c>
      <c r="P3934">
        <v>-3.8927301653133801E-2</v>
      </c>
      <c r="Q3934">
        <v>5.2858685585271098E-2</v>
      </c>
      <c r="R3934">
        <v>0.95420437136257896</v>
      </c>
      <c r="S3934" t="s">
        <v>9517</v>
      </c>
      <c r="T3934" t="s">
        <v>11164</v>
      </c>
      <c r="U3934" t="s">
        <v>11164</v>
      </c>
      <c r="V3934" t="s">
        <v>11164</v>
      </c>
      <c r="W3934" t="s">
        <v>15055</v>
      </c>
      <c r="X3934">
        <v>3</v>
      </c>
      <c r="Y3934" t="s">
        <v>20530</v>
      </c>
      <c r="Z3934" t="s">
        <v>26084</v>
      </c>
      <c r="AA3934">
        <v>0.74861441449119392</v>
      </c>
      <c r="AB3934" t="str">
        <f>HYPERLINK("Melting_Curves/meltCurve_Q8NBK3_4_SUMF1.pdf", "Melting_Curves/meltCurve_Q8NBK3_4_SUMF1.pdf")</f>
        <v>Melting_Curves/meltCurve_Q8NBK3_4_SUMF1.pdf</v>
      </c>
    </row>
    <row r="3935" spans="1:28" x14ac:dyDescent="0.25">
      <c r="A3935" t="s">
        <v>3939</v>
      </c>
      <c r="B3935">
        <v>0.99796759195183404</v>
      </c>
      <c r="C3935">
        <v>1.0099358739673401</v>
      </c>
      <c r="D3935">
        <v>0.92944499413257298</v>
      </c>
      <c r="E3935">
        <v>0.87584020494139603</v>
      </c>
      <c r="F3935">
        <v>0.73861458086583898</v>
      </c>
      <c r="G3935">
        <v>0.596672534243745</v>
      </c>
      <c r="H3935">
        <v>0.31763958326403102</v>
      </c>
      <c r="I3935">
        <v>0.245213643291639</v>
      </c>
      <c r="J3935">
        <v>0.13454152963871299</v>
      </c>
      <c r="K3935">
        <v>0.15884368346652</v>
      </c>
      <c r="L3935">
        <v>679.06374068258197</v>
      </c>
      <c r="M3935">
        <v>12.531076329467799</v>
      </c>
      <c r="N3935">
        <v>54.617834054100399</v>
      </c>
      <c r="O3935">
        <v>52.865858294974501</v>
      </c>
      <c r="P3935">
        <v>-5.6502439206685399E-2</v>
      </c>
      <c r="Q3935">
        <v>4.6708798556571597E-2</v>
      </c>
      <c r="R3935">
        <v>0.99231909589466905</v>
      </c>
      <c r="S3935" t="s">
        <v>9518</v>
      </c>
      <c r="T3935" t="s">
        <v>11164</v>
      </c>
      <c r="U3935" t="s">
        <v>11164</v>
      </c>
      <c r="V3935" t="s">
        <v>11164</v>
      </c>
      <c r="W3935" t="s">
        <v>15056</v>
      </c>
      <c r="X3935">
        <v>4</v>
      </c>
      <c r="Y3935" t="s">
        <v>20531</v>
      </c>
      <c r="Z3935" t="s">
        <v>26085</v>
      </c>
      <c r="AA3935">
        <v>0.60930050639325783</v>
      </c>
      <c r="AB3935" t="str">
        <f>HYPERLINK("Melting_Curves/meltCurve_Q8NBL1_POGLUT1.pdf", "Melting_Curves/meltCurve_Q8NBL1_POGLUT1.pdf")</f>
        <v>Melting_Curves/meltCurve_Q8NBL1_POGLUT1.pdf</v>
      </c>
    </row>
    <row r="3936" spans="1:28" x14ac:dyDescent="0.25">
      <c r="A3936" t="s">
        <v>3940</v>
      </c>
      <c r="B3936">
        <v>0.99796759195183404</v>
      </c>
      <c r="C3936">
        <v>1.0394122664504299</v>
      </c>
      <c r="D3936">
        <v>0.96629898023153804</v>
      </c>
      <c r="E3936">
        <v>1.0498686916247499</v>
      </c>
      <c r="F3936">
        <v>0.63324812191010305</v>
      </c>
      <c r="G3936">
        <v>0.71932777058556296</v>
      </c>
      <c r="H3936">
        <v>0.47840732559187399</v>
      </c>
      <c r="I3936">
        <v>0.10701789642359399</v>
      </c>
      <c r="J3936">
        <v>0</v>
      </c>
      <c r="K3936">
        <v>0</v>
      </c>
      <c r="L3936">
        <v>936.26785550233399</v>
      </c>
      <c r="M3936">
        <v>16.858933654581399</v>
      </c>
      <c r="N3936">
        <v>55.5354150342907</v>
      </c>
      <c r="O3936">
        <v>54.7716915860385</v>
      </c>
      <c r="P3936">
        <v>-7.6955859383372696E-2</v>
      </c>
      <c r="Q3936">
        <v>0</v>
      </c>
      <c r="R3936">
        <v>0.94196740168307203</v>
      </c>
      <c r="S3936" t="s">
        <v>9519</v>
      </c>
      <c r="T3936" t="s">
        <v>11164</v>
      </c>
      <c r="U3936" t="s">
        <v>11164</v>
      </c>
      <c r="V3936" t="s">
        <v>11164</v>
      </c>
      <c r="W3936" t="s">
        <v>15057</v>
      </c>
      <c r="X3936">
        <v>1</v>
      </c>
      <c r="Y3936" t="s">
        <v>20532</v>
      </c>
      <c r="Z3936" t="s">
        <v>26086</v>
      </c>
      <c r="AA3936">
        <v>0.63012108814049905</v>
      </c>
      <c r="AB3936" t="str">
        <f>HYPERLINK("Melting_Curves/meltCurve_Q8NBM4_2_UBAC2.pdf", "Melting_Curves/meltCurve_Q8NBM4_2_UBAC2.pdf")</f>
        <v>Melting_Curves/meltCurve_Q8NBM4_2_UBAC2.pdf</v>
      </c>
    </row>
    <row r="3937" spans="1:28" x14ac:dyDescent="0.25">
      <c r="A3937" t="s">
        <v>3941</v>
      </c>
      <c r="B3937">
        <v>0.99796759195183404</v>
      </c>
      <c r="C3937">
        <v>1.1336203636347999</v>
      </c>
      <c r="D3937">
        <v>1.02223853167748</v>
      </c>
      <c r="E3937">
        <v>0.98372049148205198</v>
      </c>
      <c r="F3937">
        <v>0.979265879493606</v>
      </c>
      <c r="G3937">
        <v>0.85620311951328198</v>
      </c>
      <c r="H3937">
        <v>0.80234122477659997</v>
      </c>
      <c r="I3937">
        <v>0.71723326286717803</v>
      </c>
      <c r="J3937">
        <v>0.77676927311025401</v>
      </c>
      <c r="K3937">
        <v>0.55878609432757598</v>
      </c>
      <c r="L3937">
        <v>587.17363332121295</v>
      </c>
      <c r="M3937">
        <v>9.3596303921664497</v>
      </c>
      <c r="O3937">
        <v>60.070706131840303</v>
      </c>
      <c r="P3937">
        <v>-2.31971118566454E-2</v>
      </c>
      <c r="Q3937">
        <v>0.40485033803818499</v>
      </c>
      <c r="R3937">
        <v>0.85953429612544596</v>
      </c>
      <c r="S3937" t="s">
        <v>9520</v>
      </c>
      <c r="T3937" t="s">
        <v>11164</v>
      </c>
      <c r="U3937" t="s">
        <v>11164</v>
      </c>
      <c r="V3937" t="s">
        <v>11164</v>
      </c>
      <c r="W3937" t="s">
        <v>15058</v>
      </c>
      <c r="X3937">
        <v>2</v>
      </c>
      <c r="Y3937" t="s">
        <v>20533</v>
      </c>
      <c r="Z3937" t="s">
        <v>26087</v>
      </c>
      <c r="AA3937">
        <v>0.87683062473792583</v>
      </c>
      <c r="AB3937" t="str">
        <f>HYPERLINK("Melting_Curves/meltCurve_Q8NBN3_TMEM87A.pdf", "Melting_Curves/meltCurve_Q8NBN3_TMEM87A.pdf")</f>
        <v>Melting_Curves/meltCurve_Q8NBN3_TMEM87A.pdf</v>
      </c>
    </row>
    <row r="3938" spans="1:28" x14ac:dyDescent="0.25">
      <c r="A3938" t="s">
        <v>3942</v>
      </c>
      <c r="B3938">
        <v>0.99796759195183404</v>
      </c>
      <c r="C3938">
        <v>1.01082890945554</v>
      </c>
      <c r="D3938">
        <v>0.98267299130616703</v>
      </c>
      <c r="E3938">
        <v>0.94589216170943102</v>
      </c>
      <c r="F3938">
        <v>0.77697271908129695</v>
      </c>
      <c r="G3938">
        <v>0.345583386953278</v>
      </c>
      <c r="H3938">
        <v>0.20671472382563899</v>
      </c>
      <c r="I3938">
        <v>0.155292044849696</v>
      </c>
      <c r="J3938">
        <v>0.15078102025026999</v>
      </c>
      <c r="K3938">
        <v>0.10361900052298501</v>
      </c>
      <c r="L3938">
        <v>1491.74341207312</v>
      </c>
      <c r="M3938">
        <v>28.7477466119208</v>
      </c>
      <c r="N3938">
        <v>52.461249564624701</v>
      </c>
      <c r="O3938">
        <v>51.641646223247498</v>
      </c>
      <c r="P3938">
        <v>-0.12048981770264799</v>
      </c>
      <c r="Q3938">
        <v>0.13422855528090899</v>
      </c>
      <c r="R3938">
        <v>0.99789290013585796</v>
      </c>
      <c r="S3938" t="s">
        <v>9521</v>
      </c>
      <c r="T3938" t="s">
        <v>11164</v>
      </c>
      <c r="U3938" t="s">
        <v>11164</v>
      </c>
      <c r="V3938" t="s">
        <v>11164</v>
      </c>
      <c r="W3938" t="s">
        <v>15059</v>
      </c>
      <c r="X3938">
        <v>9</v>
      </c>
      <c r="Y3938" t="s">
        <v>20534</v>
      </c>
      <c r="Z3938" t="s">
        <v>26088</v>
      </c>
      <c r="AA3938">
        <v>0.56988138243277642</v>
      </c>
      <c r="AB3938" t="str">
        <f>HYPERLINK("Melting_Curves/meltCurve_Q8NBN7_RDH13.pdf", "Melting_Curves/meltCurve_Q8NBN7_RDH13.pdf")</f>
        <v>Melting_Curves/meltCurve_Q8NBN7_RDH13.pdf</v>
      </c>
    </row>
    <row r="3939" spans="1:28" x14ac:dyDescent="0.25">
      <c r="A3939" t="s">
        <v>3943</v>
      </c>
      <c r="B3939">
        <v>0.99796759195183404</v>
      </c>
      <c r="C3939">
        <v>0.86974432948353197</v>
      </c>
      <c r="D3939">
        <v>0.94499103682218</v>
      </c>
      <c r="E3939">
        <v>0.85078669546691998</v>
      </c>
      <c r="F3939">
        <v>0.67577295148310901</v>
      </c>
      <c r="G3939">
        <v>0.28132359937854701</v>
      </c>
      <c r="H3939">
        <v>0.16682546214657601</v>
      </c>
      <c r="I3939">
        <v>0.129971935523084</v>
      </c>
      <c r="J3939">
        <v>0.11584365817969</v>
      </c>
      <c r="K3939">
        <v>8.6371640592414395E-2</v>
      </c>
      <c r="L3939">
        <v>1033.6736533094499</v>
      </c>
      <c r="M3939">
        <v>20.247031332003498</v>
      </c>
      <c r="N3939">
        <v>51.529566559948002</v>
      </c>
      <c r="O3939">
        <v>50.562902896443397</v>
      </c>
      <c r="P3939">
        <v>-9.1565146462966401E-2</v>
      </c>
      <c r="Q3939">
        <v>8.5366003368082893E-2</v>
      </c>
      <c r="R3939">
        <v>0.98223972620220701</v>
      </c>
      <c r="S3939" t="s">
        <v>9522</v>
      </c>
      <c r="T3939" t="s">
        <v>11164</v>
      </c>
      <c r="U3939" t="s">
        <v>11164</v>
      </c>
      <c r="V3939" t="s">
        <v>11164</v>
      </c>
      <c r="W3939" t="s">
        <v>15060</v>
      </c>
      <c r="X3939">
        <v>11</v>
      </c>
      <c r="Y3939" t="s">
        <v>20535</v>
      </c>
      <c r="Z3939" t="s">
        <v>26089</v>
      </c>
      <c r="AA3939">
        <v>0.52554047804666859</v>
      </c>
      <c r="AB3939" t="str">
        <f>HYPERLINK("Melting_Curves/meltCurve_Q8NBU5_ATAD1.pdf", "Melting_Curves/meltCurve_Q8NBU5_ATAD1.pdf")</f>
        <v>Melting_Curves/meltCurve_Q8NBU5_ATAD1.pdf</v>
      </c>
    </row>
    <row r="3940" spans="1:28" x14ac:dyDescent="0.25">
      <c r="A3940" t="s">
        <v>3944</v>
      </c>
      <c r="B3940">
        <v>0.99796759195183404</v>
      </c>
      <c r="C3940">
        <v>0.952096087199095</v>
      </c>
      <c r="D3940">
        <v>0.95419513861637495</v>
      </c>
      <c r="E3940">
        <v>0.88760981876482603</v>
      </c>
      <c r="F3940">
        <v>0.73557602547658296</v>
      </c>
      <c r="G3940">
        <v>0.57028987381668805</v>
      </c>
      <c r="H3940">
        <v>0.30703560675052699</v>
      </c>
      <c r="I3940">
        <v>0.15902084284599499</v>
      </c>
      <c r="J3940">
        <v>0.12495104915675299</v>
      </c>
      <c r="K3940">
        <v>0.106668285962288</v>
      </c>
      <c r="L3940">
        <v>725.97734409168902</v>
      </c>
      <c r="M3940">
        <v>13.4129877292232</v>
      </c>
      <c r="N3940">
        <v>54.237538223949798</v>
      </c>
      <c r="O3940">
        <v>52.964320163215604</v>
      </c>
      <c r="P3940">
        <v>-6.24520284910553E-2</v>
      </c>
      <c r="Q3940">
        <v>1.3728182107018099E-2</v>
      </c>
      <c r="R3940">
        <v>0.995265968482409</v>
      </c>
      <c r="S3940" t="s">
        <v>9523</v>
      </c>
      <c r="T3940" t="s">
        <v>11164</v>
      </c>
      <c r="U3940" t="s">
        <v>11164</v>
      </c>
      <c r="V3940" t="s">
        <v>11164</v>
      </c>
      <c r="W3940" t="s">
        <v>15061</v>
      </c>
      <c r="X3940">
        <v>12</v>
      </c>
      <c r="Y3940" t="s">
        <v>20536</v>
      </c>
      <c r="Z3940" t="s">
        <v>26090</v>
      </c>
      <c r="AA3940">
        <v>0.5934648953473548</v>
      </c>
      <c r="AB3940" t="str">
        <f>HYPERLINK("Melting_Curves/meltCurve_Q8NBX0_SCCPDH.pdf", "Melting_Curves/meltCurve_Q8NBX0_SCCPDH.pdf")</f>
        <v>Melting_Curves/meltCurve_Q8NBX0_SCCPDH.pdf</v>
      </c>
    </row>
    <row r="3941" spans="1:28" x14ac:dyDescent="0.25">
      <c r="A3941" t="s">
        <v>3945</v>
      </c>
      <c r="B3941">
        <v>0.99796759195183404</v>
      </c>
      <c r="C3941">
        <v>1.04992725304985</v>
      </c>
      <c r="D3941">
        <v>0.98389524095785796</v>
      </c>
      <c r="E3941">
        <v>0.94834424487751501</v>
      </c>
      <c r="F3941">
        <v>0.89855095573152399</v>
      </c>
      <c r="G3941">
        <v>0.42909762808969099</v>
      </c>
      <c r="H3941">
        <v>0.845550729796129</v>
      </c>
      <c r="I3941">
        <v>1.1416500130943801</v>
      </c>
      <c r="J3941">
        <v>1.75934206582349</v>
      </c>
      <c r="K3941">
        <v>1.8368211372109999</v>
      </c>
      <c r="L3941">
        <v>15000</v>
      </c>
      <c r="M3941">
        <v>244.973705684789</v>
      </c>
      <c r="O3941">
        <v>61.226958599262403</v>
      </c>
      <c r="P3941">
        <v>0.50013430226946998</v>
      </c>
      <c r="Q3941">
        <v>1.5</v>
      </c>
      <c r="R3941">
        <v>0.65495603849957895</v>
      </c>
      <c r="S3941" t="s">
        <v>9524</v>
      </c>
      <c r="T3941" t="s">
        <v>11164</v>
      </c>
      <c r="U3941" t="s">
        <v>11164</v>
      </c>
      <c r="V3941" t="s">
        <v>11164</v>
      </c>
      <c r="W3941" t="s">
        <v>15062</v>
      </c>
      <c r="X3941">
        <v>15</v>
      </c>
      <c r="Y3941" t="s">
        <v>20537</v>
      </c>
      <c r="Z3941" t="s">
        <v>26091</v>
      </c>
      <c r="AA3941">
        <v>1.096093019900386</v>
      </c>
      <c r="AB3941" t="str">
        <f>HYPERLINK("Melting_Curves/meltCurve_Q8NC51_2_SERBP1.pdf", "Melting_Curves/meltCurve_Q8NC51_2_SERBP1.pdf")</f>
        <v>Melting_Curves/meltCurve_Q8NC51_2_SERBP1.pdf</v>
      </c>
    </row>
    <row r="3942" spans="1:28" x14ac:dyDescent="0.25">
      <c r="A3942" t="s">
        <v>3946</v>
      </c>
      <c r="B3942">
        <v>0.99796759195183404</v>
      </c>
      <c r="C3942">
        <v>0.893281278874134</v>
      </c>
      <c r="D3942">
        <v>0.82382793634390095</v>
      </c>
      <c r="E3942">
        <v>0.81913449527634996</v>
      </c>
      <c r="F3942">
        <v>0.73945536286480495</v>
      </c>
      <c r="G3942">
        <v>0.63317911410581096</v>
      </c>
      <c r="H3942">
        <v>0.65619583270980497</v>
      </c>
      <c r="I3942">
        <v>0.52452117016167898</v>
      </c>
      <c r="J3942">
        <v>0.530097152109828</v>
      </c>
      <c r="K3942">
        <v>0.39047455301478501</v>
      </c>
      <c r="L3942">
        <v>253.56127213152999</v>
      </c>
      <c r="M3942">
        <v>4.0146130239917399</v>
      </c>
      <c r="N3942">
        <v>63.159579965513103</v>
      </c>
      <c r="O3942">
        <v>51.9110866701376</v>
      </c>
      <c r="P3942">
        <v>-1.9579701777429299E-2</v>
      </c>
      <c r="Q3942">
        <v>0</v>
      </c>
      <c r="R3942">
        <v>0.95428992843447402</v>
      </c>
      <c r="S3942" t="s">
        <v>9525</v>
      </c>
      <c r="T3942" t="s">
        <v>11164</v>
      </c>
      <c r="U3942" t="s">
        <v>11164</v>
      </c>
      <c r="V3942" t="s">
        <v>11164</v>
      </c>
      <c r="W3942" t="s">
        <v>15063</v>
      </c>
      <c r="X3942">
        <v>2</v>
      </c>
      <c r="Y3942" t="s">
        <v>20538</v>
      </c>
      <c r="Z3942" t="s">
        <v>26092</v>
      </c>
      <c r="AA3942">
        <v>0.70103675869759274</v>
      </c>
      <c r="AB3942" t="str">
        <f>HYPERLINK("Melting_Curves/meltCurve_Q8NC54_KCT2.pdf", "Melting_Curves/meltCurve_Q8NC54_KCT2.pdf")</f>
        <v>Melting_Curves/meltCurve_Q8NC54_KCT2.pdf</v>
      </c>
    </row>
    <row r="3943" spans="1:28" x14ac:dyDescent="0.25">
      <c r="A3943" t="s">
        <v>3947</v>
      </c>
      <c r="B3943">
        <v>0.99796759195183404</v>
      </c>
      <c r="C3943">
        <v>0.838233980877091</v>
      </c>
      <c r="D3943">
        <v>0.97401634308108698</v>
      </c>
      <c r="E3943">
        <v>0.78879144337308504</v>
      </c>
      <c r="F3943">
        <v>0.91633453802246301</v>
      </c>
      <c r="G3943">
        <v>0.56712407117635499</v>
      </c>
      <c r="H3943">
        <v>0.40659538773056297</v>
      </c>
      <c r="I3943">
        <v>0.32883535455538399</v>
      </c>
      <c r="J3943">
        <v>0.27090082729888099</v>
      </c>
      <c r="K3943">
        <v>0.179925976331926</v>
      </c>
      <c r="L3943">
        <v>531.21611560218696</v>
      </c>
      <c r="M3943">
        <v>9.4385402580160207</v>
      </c>
      <c r="N3943">
        <v>56.330160495386203</v>
      </c>
      <c r="O3943">
        <v>53.9287087737181</v>
      </c>
      <c r="P3943">
        <v>-4.36038048353483E-2</v>
      </c>
      <c r="Q3943">
        <v>4.0527309451779403E-3</v>
      </c>
      <c r="R3943">
        <v>0.93394771086627304</v>
      </c>
      <c r="S3943" t="s">
        <v>9526</v>
      </c>
      <c r="T3943" t="s">
        <v>11164</v>
      </c>
      <c r="U3943" t="s">
        <v>11164</v>
      </c>
      <c r="V3943" t="s">
        <v>11164</v>
      </c>
      <c r="W3943" t="s">
        <v>15064</v>
      </c>
      <c r="X3943">
        <v>2</v>
      </c>
      <c r="Y3943" t="s">
        <v>20539</v>
      </c>
      <c r="Z3943" t="s">
        <v>26093</v>
      </c>
      <c r="AA3943">
        <v>0.64651304753476191</v>
      </c>
      <c r="AB3943" t="str">
        <f>HYPERLINK("Melting_Curves/meltCurve_Q8NC56_LEMD2.pdf", "Melting_Curves/meltCurve_Q8NC56_LEMD2.pdf")</f>
        <v>Melting_Curves/meltCurve_Q8NC56_LEMD2.pdf</v>
      </c>
    </row>
    <row r="3944" spans="1:28" x14ac:dyDescent="0.25">
      <c r="A3944" t="s">
        <v>3948</v>
      </c>
      <c r="B3944">
        <v>0.99796759195183404</v>
      </c>
      <c r="C3944">
        <v>0.92256693438764803</v>
      </c>
      <c r="D3944">
        <v>0.98378675764535795</v>
      </c>
      <c r="E3944">
        <v>0.85715327079436598</v>
      </c>
      <c r="F3944">
        <v>0.80017000770512503</v>
      </c>
      <c r="G3944">
        <v>0.57937398793212203</v>
      </c>
      <c r="H3944">
        <v>0.50187674882024902</v>
      </c>
      <c r="I3944">
        <v>0.45429643520827501</v>
      </c>
      <c r="J3944">
        <v>0.50878686090660796</v>
      </c>
      <c r="K3944">
        <v>0.42159005155719398</v>
      </c>
      <c r="L3944">
        <v>775.52094590594197</v>
      </c>
      <c r="M3944">
        <v>15.206770964482899</v>
      </c>
      <c r="N3944">
        <v>58.484625186755103</v>
      </c>
      <c r="O3944">
        <v>50.140862539823203</v>
      </c>
      <c r="P3944">
        <v>-4.33267158992756E-2</v>
      </c>
      <c r="Q3944">
        <v>0.42861480720040901</v>
      </c>
      <c r="R3944">
        <v>0.97164068179920804</v>
      </c>
      <c r="S3944" t="s">
        <v>9527</v>
      </c>
      <c r="T3944" t="s">
        <v>11164</v>
      </c>
      <c r="U3944" t="s">
        <v>11164</v>
      </c>
      <c r="V3944" t="s">
        <v>11164</v>
      </c>
      <c r="W3944" t="s">
        <v>15065</v>
      </c>
      <c r="X3944">
        <v>4</v>
      </c>
      <c r="Y3944" t="s">
        <v>20540</v>
      </c>
      <c r="Z3944" t="s">
        <v>26094</v>
      </c>
      <c r="AA3944">
        <v>0.7065285802872282</v>
      </c>
      <c r="AB3944" t="str">
        <f>HYPERLINK("Melting_Curves/meltCurve_Q8NCC3_PLA2G15.pdf", "Melting_Curves/meltCurve_Q8NCC3_PLA2G15.pdf")</f>
        <v>Melting_Curves/meltCurve_Q8NCC3_PLA2G15.pdf</v>
      </c>
    </row>
    <row r="3945" spans="1:28" x14ac:dyDescent="0.25">
      <c r="A3945" t="s">
        <v>3949</v>
      </c>
      <c r="B3945">
        <v>0.99796759195183404</v>
      </c>
      <c r="C3945">
        <v>1.11657881336092</v>
      </c>
      <c r="D3945">
        <v>1.11064135668163</v>
      </c>
      <c r="E3945">
        <v>1.06380556607595</v>
      </c>
      <c r="F3945">
        <v>1.24768466000417</v>
      </c>
      <c r="G3945">
        <v>0.55847969003837294</v>
      </c>
      <c r="H3945">
        <v>0.40896205552248999</v>
      </c>
      <c r="I3945">
        <v>0.34692770140606799</v>
      </c>
      <c r="J3945">
        <v>0.223678291614199</v>
      </c>
      <c r="K3945">
        <v>8.7295298177989103E-2</v>
      </c>
      <c r="L3945">
        <v>9072.2902313443192</v>
      </c>
      <c r="M3945">
        <v>169.04407783464401</v>
      </c>
      <c r="N3945">
        <v>53.911313492625098</v>
      </c>
      <c r="O3945">
        <v>53.660682625056602</v>
      </c>
      <c r="P3945">
        <v>-0.57751023836476201</v>
      </c>
      <c r="Q3945">
        <v>0.26670975304749001</v>
      </c>
      <c r="R3945">
        <v>0.91020209714200295</v>
      </c>
      <c r="S3945" t="s">
        <v>9528</v>
      </c>
      <c r="T3945" t="s">
        <v>11164</v>
      </c>
      <c r="U3945" t="s">
        <v>11164</v>
      </c>
      <c r="V3945" t="s">
        <v>11164</v>
      </c>
      <c r="W3945" t="s">
        <v>15066</v>
      </c>
      <c r="X3945">
        <v>1</v>
      </c>
      <c r="Y3945" t="s">
        <v>20541</v>
      </c>
      <c r="Z3945" t="s">
        <v>26095</v>
      </c>
      <c r="AA3945">
        <v>0.67428163562497678</v>
      </c>
      <c r="AB3945" t="str">
        <f>HYPERLINK("Melting_Curves/meltCurve_Q8NCE0_4_TSEN2.pdf", "Melting_Curves/meltCurve_Q8NCE0_4_TSEN2.pdf")</f>
        <v>Melting_Curves/meltCurve_Q8NCE0_4_TSEN2.pdf</v>
      </c>
    </row>
    <row r="3946" spans="1:28" x14ac:dyDescent="0.25">
      <c r="A3946" t="s">
        <v>3950</v>
      </c>
      <c r="B3946">
        <v>0.99796759195183404</v>
      </c>
      <c r="C3946">
        <v>1.0787368675742199</v>
      </c>
      <c r="D3946">
        <v>1.03393560002161</v>
      </c>
      <c r="E3946">
        <v>0.95722448825942896</v>
      </c>
      <c r="F3946">
        <v>0.871846421685187</v>
      </c>
      <c r="G3946">
        <v>0.56373272709286004</v>
      </c>
      <c r="H3946">
        <v>0.30195385374397998</v>
      </c>
      <c r="I3946">
        <v>0.240027451681642</v>
      </c>
      <c r="J3946">
        <v>0.189486128185168</v>
      </c>
      <c r="K3946">
        <v>0.11958960931033399</v>
      </c>
      <c r="L3946">
        <v>1209.5428443134999</v>
      </c>
      <c r="M3946">
        <v>22.4962020946063</v>
      </c>
      <c r="N3946">
        <v>54.6276103943569</v>
      </c>
      <c r="O3946">
        <v>53.347093818975097</v>
      </c>
      <c r="P3946">
        <v>-8.9688597277482004E-2</v>
      </c>
      <c r="Q3946">
        <v>0.14927375341163601</v>
      </c>
      <c r="R3946">
        <v>0.99168537945704005</v>
      </c>
      <c r="S3946" t="s">
        <v>9529</v>
      </c>
      <c r="T3946" t="s">
        <v>11164</v>
      </c>
      <c r="U3946" t="s">
        <v>11164</v>
      </c>
      <c r="V3946" t="s">
        <v>11164</v>
      </c>
      <c r="W3946" t="s">
        <v>15067</v>
      </c>
      <c r="X3946">
        <v>3</v>
      </c>
      <c r="Y3946" t="s">
        <v>20542</v>
      </c>
      <c r="Z3946" t="s">
        <v>26096</v>
      </c>
      <c r="AA3946">
        <v>0.63353698798413915</v>
      </c>
      <c r="AB3946" t="str">
        <f>HYPERLINK("Melting_Curves/meltCurve_Q8NCE2_2_MTMR14.pdf", "Melting_Curves/meltCurve_Q8NCE2_2_MTMR14.pdf")</f>
        <v>Melting_Curves/meltCurve_Q8NCE2_2_MTMR14.pdf</v>
      </c>
    </row>
    <row r="3947" spans="1:28" x14ac:dyDescent="0.25">
      <c r="A3947" t="s">
        <v>3951</v>
      </c>
      <c r="B3947">
        <v>0.99796759195183404</v>
      </c>
      <c r="C3947">
        <v>1.0604103192712899</v>
      </c>
      <c r="D3947">
        <v>1.0085424612248499</v>
      </c>
      <c r="E3947">
        <v>0.90429992498132195</v>
      </c>
      <c r="F3947">
        <v>0.79853936002111103</v>
      </c>
      <c r="G3947">
        <v>0.54199047626440799</v>
      </c>
      <c r="H3947">
        <v>0.35387987125341602</v>
      </c>
      <c r="I3947">
        <v>0.24458386594177101</v>
      </c>
      <c r="J3947">
        <v>0.22945072348277001</v>
      </c>
      <c r="K3947">
        <v>0.150792666773128</v>
      </c>
      <c r="L3947">
        <v>883.655158630757</v>
      </c>
      <c r="M3947">
        <v>16.530582972363</v>
      </c>
      <c r="N3947">
        <v>54.611058401065399</v>
      </c>
      <c r="O3947">
        <v>52.691842159984901</v>
      </c>
      <c r="P3947">
        <v>-6.6862633535784394E-2</v>
      </c>
      <c r="Q3947">
        <v>0.14755014058792801</v>
      </c>
      <c r="R3947">
        <v>0.99390976299290101</v>
      </c>
      <c r="S3947" t="s">
        <v>9530</v>
      </c>
      <c r="T3947" t="s">
        <v>11164</v>
      </c>
      <c r="U3947" t="s">
        <v>11164</v>
      </c>
      <c r="V3947" t="s">
        <v>11164</v>
      </c>
      <c r="W3947" t="s">
        <v>15068</v>
      </c>
      <c r="X3947">
        <v>3</v>
      </c>
      <c r="Y3947" t="s">
        <v>20543</v>
      </c>
      <c r="Z3947" t="s">
        <v>26097</v>
      </c>
      <c r="AA3947">
        <v>0.62846234830222825</v>
      </c>
      <c r="AB3947" t="str">
        <f>HYPERLINK("Melting_Curves/meltCurve_Q8NCF5_NFATC2IP.pdf", "Melting_Curves/meltCurve_Q8NCF5_NFATC2IP.pdf")</f>
        <v>Melting_Curves/meltCurve_Q8NCF5_NFATC2IP.pdf</v>
      </c>
    </row>
    <row r="3948" spans="1:28" x14ac:dyDescent="0.25">
      <c r="A3948" t="s">
        <v>3952</v>
      </c>
      <c r="B3948">
        <v>0.99796759195183404</v>
      </c>
      <c r="C3948">
        <v>0.97877373608506602</v>
      </c>
      <c r="D3948">
        <v>0.95591076150977905</v>
      </c>
      <c r="E3948">
        <v>0.84189883804002197</v>
      </c>
      <c r="F3948">
        <v>0.80203228165372098</v>
      </c>
      <c r="G3948">
        <v>0.48796448975672202</v>
      </c>
      <c r="H3948">
        <v>0.33690918437932199</v>
      </c>
      <c r="I3948">
        <v>0.258567048357633</v>
      </c>
      <c r="J3948">
        <v>0.18301309087272899</v>
      </c>
      <c r="K3948">
        <v>0.16750550034022399</v>
      </c>
      <c r="L3948">
        <v>749.23061953195497</v>
      </c>
      <c r="M3948">
        <v>14.0949894838239</v>
      </c>
      <c r="N3948">
        <v>54.187383340953701</v>
      </c>
      <c r="O3948">
        <v>52.120153029899598</v>
      </c>
      <c r="P3948">
        <v>-5.96602944228855E-2</v>
      </c>
      <c r="Q3948">
        <v>0.11767143537948301</v>
      </c>
      <c r="R3948">
        <v>0.99125263871951397</v>
      </c>
      <c r="S3948" t="s">
        <v>9531</v>
      </c>
      <c r="T3948" t="s">
        <v>11164</v>
      </c>
      <c r="U3948" t="s">
        <v>11164</v>
      </c>
      <c r="V3948" t="s">
        <v>11164</v>
      </c>
      <c r="W3948" t="s">
        <v>15069</v>
      </c>
      <c r="X3948">
        <v>3</v>
      </c>
      <c r="Y3948" t="s">
        <v>20544</v>
      </c>
      <c r="Z3948" t="s">
        <v>26098</v>
      </c>
      <c r="AA3948">
        <v>0.60923485151232437</v>
      </c>
      <c r="AB3948" t="str">
        <f>HYPERLINK("Melting_Curves/meltCurve_Q8NCH0_CHST14.pdf", "Melting_Curves/meltCurve_Q8NCH0_CHST14.pdf")</f>
        <v>Melting_Curves/meltCurve_Q8NCH0_CHST14.pdf</v>
      </c>
    </row>
    <row r="3949" spans="1:28" x14ac:dyDescent="0.25">
      <c r="A3949" t="s">
        <v>3953</v>
      </c>
      <c r="B3949">
        <v>0.99796759195183404</v>
      </c>
      <c r="C3949">
        <v>0.87912605738346505</v>
      </c>
      <c r="D3949">
        <v>0.90754345189409702</v>
      </c>
      <c r="E3949">
        <v>0.88775245880338505</v>
      </c>
      <c r="F3949">
        <v>0.77539286808816699</v>
      </c>
      <c r="G3949">
        <v>0.43272366083710101</v>
      </c>
      <c r="H3949">
        <v>0.27488843868093699</v>
      </c>
      <c r="I3949">
        <v>5.4621147773242701E-2</v>
      </c>
      <c r="J3949">
        <v>2.8364872432357201E-2</v>
      </c>
      <c r="K3949">
        <v>3.4102802806970103E-2</v>
      </c>
      <c r="L3949">
        <v>895.449265348842</v>
      </c>
      <c r="M3949">
        <v>16.816848893245101</v>
      </c>
      <c r="N3949">
        <v>53.2471493806582</v>
      </c>
      <c r="O3949">
        <v>52.511309803569397</v>
      </c>
      <c r="P3949">
        <v>-8.0068149198804298E-2</v>
      </c>
      <c r="Q3949">
        <v>0</v>
      </c>
      <c r="R3949">
        <v>0.98106938351627604</v>
      </c>
      <c r="S3949" t="s">
        <v>9532</v>
      </c>
      <c r="T3949" t="s">
        <v>11164</v>
      </c>
      <c r="U3949" t="s">
        <v>11164</v>
      </c>
      <c r="V3949" t="s">
        <v>11164</v>
      </c>
      <c r="W3949" t="s">
        <v>15070</v>
      </c>
      <c r="X3949">
        <v>1</v>
      </c>
      <c r="Y3949" t="s">
        <v>20545</v>
      </c>
      <c r="Z3949" t="s">
        <v>26099</v>
      </c>
      <c r="AA3949">
        <v>0.55713354099799917</v>
      </c>
      <c r="AB3949" t="str">
        <f>HYPERLINK("Melting_Curves/meltCurve_Q8NCM8_DYNC2H1.pdf", "Melting_Curves/meltCurve_Q8NCM8_DYNC2H1.pdf")</f>
        <v>Melting_Curves/meltCurve_Q8NCM8_DYNC2H1.pdf</v>
      </c>
    </row>
    <row r="3950" spans="1:28" x14ac:dyDescent="0.25">
      <c r="A3950" t="s">
        <v>3954</v>
      </c>
      <c r="B3950">
        <v>0.99796759195183404</v>
      </c>
      <c r="C3950">
        <v>1.01613870419982</v>
      </c>
      <c r="D3950">
        <v>1.0181733176644501</v>
      </c>
      <c r="E3950">
        <v>0.95857444807764103</v>
      </c>
      <c r="F3950">
        <v>0.81819383802280798</v>
      </c>
      <c r="G3950">
        <v>0.86424231613354696</v>
      </c>
      <c r="H3950">
        <v>0.52113323338793005</v>
      </c>
      <c r="I3950">
        <v>0.21261446377850199</v>
      </c>
      <c r="J3950">
        <v>0.17284494154128199</v>
      </c>
      <c r="K3950">
        <v>0.14475354215545899</v>
      </c>
      <c r="L3950">
        <v>1241.1520436066701</v>
      </c>
      <c r="M3950">
        <v>21.779885395957599</v>
      </c>
      <c r="N3950">
        <v>57.504781295832501</v>
      </c>
      <c r="O3950">
        <v>56.512254357217103</v>
      </c>
      <c r="P3950">
        <v>-8.7760779196167801E-2</v>
      </c>
      <c r="Q3950">
        <v>8.9169420337250602E-2</v>
      </c>
      <c r="R3950">
        <v>0.97793770744724495</v>
      </c>
      <c r="S3950" t="s">
        <v>9533</v>
      </c>
      <c r="T3950" t="s">
        <v>11164</v>
      </c>
      <c r="U3950" t="s">
        <v>11164</v>
      </c>
      <c r="V3950" t="s">
        <v>11164</v>
      </c>
      <c r="W3950" t="s">
        <v>15071</v>
      </c>
      <c r="X3950">
        <v>9</v>
      </c>
      <c r="Y3950" t="s">
        <v>20546</v>
      </c>
      <c r="Z3950" t="s">
        <v>26100</v>
      </c>
      <c r="AA3950">
        <v>0.70363984090556997</v>
      </c>
      <c r="AB3950" t="str">
        <f>HYPERLINK("Melting_Curves/meltCurve_Q8NCN5_PDPR.pdf", "Melting_Curves/meltCurve_Q8NCN5_PDPR.pdf")</f>
        <v>Melting_Curves/meltCurve_Q8NCN5_PDPR.pdf</v>
      </c>
    </row>
    <row r="3951" spans="1:28" x14ac:dyDescent="0.25">
      <c r="A3951" t="s">
        <v>3955</v>
      </c>
      <c r="B3951">
        <v>0.99796759195183404</v>
      </c>
      <c r="C3951">
        <v>1.05165442894093</v>
      </c>
      <c r="D3951">
        <v>0.96518631336181704</v>
      </c>
      <c r="E3951">
        <v>0.92830537455874096</v>
      </c>
      <c r="F3951">
        <v>0.83303664247630105</v>
      </c>
      <c r="G3951">
        <v>0.75647666875496999</v>
      </c>
      <c r="H3951">
        <v>0.7176804413415</v>
      </c>
      <c r="I3951">
        <v>0.67418525863644496</v>
      </c>
      <c r="J3951">
        <v>0.77106801958243998</v>
      </c>
      <c r="K3951">
        <v>0.72090998526336103</v>
      </c>
      <c r="L3951">
        <v>1047.47305701193</v>
      </c>
      <c r="M3951">
        <v>21.3461732027951</v>
      </c>
      <c r="O3951">
        <v>48.646180119923699</v>
      </c>
      <c r="P3951">
        <v>-3.0989878352856499E-2</v>
      </c>
      <c r="Q3951">
        <v>0.71751343647139398</v>
      </c>
      <c r="R3951">
        <v>0.94733688225106805</v>
      </c>
      <c r="S3951" t="s">
        <v>9534</v>
      </c>
      <c r="T3951" t="s">
        <v>11164</v>
      </c>
      <c r="U3951" t="s">
        <v>11164</v>
      </c>
      <c r="V3951" t="s">
        <v>11164</v>
      </c>
      <c r="W3951" t="s">
        <v>15072</v>
      </c>
      <c r="X3951">
        <v>16</v>
      </c>
      <c r="Y3951" t="s">
        <v>20547</v>
      </c>
      <c r="Z3951" t="s">
        <v>26101</v>
      </c>
      <c r="AA3951">
        <v>0.83447579713447739</v>
      </c>
      <c r="AB3951" t="str">
        <f>HYPERLINK("Melting_Curves/meltCurve_Q8NCW5_APOA1BP.pdf", "Melting_Curves/meltCurve_Q8NCW5_APOA1BP.pdf")</f>
        <v>Melting_Curves/meltCurve_Q8NCW5_APOA1BP.pdf</v>
      </c>
    </row>
    <row r="3952" spans="1:28" x14ac:dyDescent="0.25">
      <c r="A3952" t="s">
        <v>3956</v>
      </c>
      <c r="B3952">
        <v>0.99796759195183404</v>
      </c>
      <c r="C3952">
        <v>1.25452625358069</v>
      </c>
      <c r="D3952">
        <v>0.94103156584279501</v>
      </c>
      <c r="E3952">
        <v>1.0476563896365301</v>
      </c>
      <c r="F3952">
        <v>0.77635312376718602</v>
      </c>
      <c r="G3952">
        <v>0.70775984553198401</v>
      </c>
      <c r="H3952">
        <v>0.38503241875745398</v>
      </c>
      <c r="I3952">
        <v>0.373205487234124</v>
      </c>
      <c r="J3952">
        <v>0.56353521061629797</v>
      </c>
      <c r="K3952">
        <v>0.37450462103422699</v>
      </c>
      <c r="L3952">
        <v>1280.4050356636201</v>
      </c>
      <c r="M3952">
        <v>24.429593199778999</v>
      </c>
      <c r="N3952">
        <v>56.5031987167498</v>
      </c>
      <c r="O3952">
        <v>52.0646389787427</v>
      </c>
      <c r="P3952">
        <v>-6.8655066752696906E-2</v>
      </c>
      <c r="Q3952">
        <v>0.41473465209485399</v>
      </c>
      <c r="R3952">
        <v>0.86423894579970195</v>
      </c>
      <c r="S3952" t="s">
        <v>9535</v>
      </c>
      <c r="T3952" t="s">
        <v>11164</v>
      </c>
      <c r="U3952" t="s">
        <v>11164</v>
      </c>
      <c r="V3952" t="s">
        <v>11164</v>
      </c>
      <c r="W3952" t="s">
        <v>15073</v>
      </c>
      <c r="X3952">
        <v>2</v>
      </c>
      <c r="Y3952" t="s">
        <v>20548</v>
      </c>
      <c r="Z3952" t="s">
        <v>26102</v>
      </c>
      <c r="AA3952">
        <v>0.72080500566655659</v>
      </c>
      <c r="AB3952" t="str">
        <f>HYPERLINK("Melting_Curves/meltCurve_Q8ND04_3_SMG8.pdf", "Melting_Curves/meltCurve_Q8ND04_3_SMG8.pdf")</f>
        <v>Melting_Curves/meltCurve_Q8ND04_3_SMG8.pdf</v>
      </c>
    </row>
    <row r="3953" spans="1:28" x14ac:dyDescent="0.25">
      <c r="A3953" t="s">
        <v>3957</v>
      </c>
      <c r="B3953">
        <v>0.99796759195183404</v>
      </c>
      <c r="C3953">
        <v>0.98667778799564398</v>
      </c>
      <c r="D3953">
        <v>0.98812066949416699</v>
      </c>
      <c r="E3953">
        <v>0.93708243903122501</v>
      </c>
      <c r="F3953">
        <v>0.69437228130952</v>
      </c>
      <c r="G3953">
        <v>0.28905076462981399</v>
      </c>
      <c r="H3953">
        <v>0.20240578464297199</v>
      </c>
      <c r="I3953">
        <v>0.152193018185414</v>
      </c>
      <c r="J3953">
        <v>0.12435207278001401</v>
      </c>
      <c r="K3953">
        <v>0.103119021328168</v>
      </c>
      <c r="L3953">
        <v>1404.8131213545801</v>
      </c>
      <c r="M3953">
        <v>27.424578566857299</v>
      </c>
      <c r="N3953">
        <v>51.7767014091121</v>
      </c>
      <c r="O3953">
        <v>50.954559404689697</v>
      </c>
      <c r="P3953">
        <v>-0.117496879960598</v>
      </c>
      <c r="Q3953">
        <v>0.12677657690896799</v>
      </c>
      <c r="R3953">
        <v>0.99805081873460599</v>
      </c>
      <c r="S3953" t="s">
        <v>9536</v>
      </c>
      <c r="T3953" t="s">
        <v>11164</v>
      </c>
      <c r="U3953" t="s">
        <v>11164</v>
      </c>
      <c r="V3953" t="s">
        <v>11164</v>
      </c>
      <c r="W3953" t="s">
        <v>15074</v>
      </c>
      <c r="X3953">
        <v>23</v>
      </c>
      <c r="Y3953" t="s">
        <v>20549</v>
      </c>
      <c r="Z3953" t="s">
        <v>26103</v>
      </c>
      <c r="AA3953">
        <v>0.54730412010360319</v>
      </c>
      <c r="AB3953" t="str">
        <f>HYPERLINK("Melting_Curves/meltCurve_Q8ND24_RNF214.pdf", "Melting_Curves/meltCurve_Q8ND24_RNF214.pdf")</f>
        <v>Melting_Curves/meltCurve_Q8ND24_RNF214.pdf</v>
      </c>
    </row>
    <row r="3954" spans="1:28" x14ac:dyDescent="0.25">
      <c r="A3954" t="s">
        <v>3958</v>
      </c>
      <c r="B3954">
        <v>0.99796759195183404</v>
      </c>
      <c r="C3954">
        <v>1.02735541817079</v>
      </c>
      <c r="D3954">
        <v>1.0063958674017801</v>
      </c>
      <c r="E3954">
        <v>0.99845809907364003</v>
      </c>
      <c r="F3954">
        <v>0.890261561450997</v>
      </c>
      <c r="G3954">
        <v>0.71751554960085895</v>
      </c>
      <c r="H3954">
        <v>0.35364085585029997</v>
      </c>
      <c r="I3954">
        <v>0.226130301234402</v>
      </c>
      <c r="J3954">
        <v>0.15510825290010999</v>
      </c>
      <c r="K3954">
        <v>0.12584601803840101</v>
      </c>
      <c r="L3954">
        <v>1270.50026530592</v>
      </c>
      <c r="M3954">
        <v>22.997475928425501</v>
      </c>
      <c r="N3954">
        <v>55.896939608541501</v>
      </c>
      <c r="O3954">
        <v>54.8325715961738</v>
      </c>
      <c r="P3954">
        <v>-9.25238152559959E-2</v>
      </c>
      <c r="Q3954">
        <v>0.117603390747212</v>
      </c>
      <c r="R3954">
        <v>0.997361291629001</v>
      </c>
      <c r="S3954" t="s">
        <v>9537</v>
      </c>
      <c r="T3954" t="s">
        <v>11164</v>
      </c>
      <c r="U3954" t="s">
        <v>11164</v>
      </c>
      <c r="V3954" t="s">
        <v>11164</v>
      </c>
      <c r="W3954" t="s">
        <v>15075</v>
      </c>
      <c r="X3954">
        <v>12</v>
      </c>
      <c r="Y3954" t="s">
        <v>20550</v>
      </c>
      <c r="Z3954" t="s">
        <v>26104</v>
      </c>
      <c r="AA3954">
        <v>0.66258843730147154</v>
      </c>
      <c r="AB3954" t="str">
        <f>HYPERLINK("Melting_Curves/meltCurve_Q8ND56_2_LSM14A.pdf", "Melting_Curves/meltCurve_Q8ND56_2_LSM14A.pdf")</f>
        <v>Melting_Curves/meltCurve_Q8ND56_2_LSM14A.pdf</v>
      </c>
    </row>
    <row r="3955" spans="1:28" x14ac:dyDescent="0.25">
      <c r="A3955" t="s">
        <v>3959</v>
      </c>
      <c r="B3955">
        <v>0.99796759195183404</v>
      </c>
      <c r="C3955">
        <v>1.05205418613378</v>
      </c>
      <c r="D3955">
        <v>1.16602388156467</v>
      </c>
      <c r="E3955">
        <v>1.09266708977264</v>
      </c>
      <c r="F3955">
        <v>0.73781083385886204</v>
      </c>
      <c r="G3955">
        <v>0.29755443232169099</v>
      </c>
      <c r="H3955">
        <v>0.231705736657766</v>
      </c>
      <c r="I3955">
        <v>0.166400457331356</v>
      </c>
      <c r="J3955">
        <v>0.192045498117486</v>
      </c>
      <c r="K3955">
        <v>0.16129379680075101</v>
      </c>
      <c r="L3955">
        <v>2130.7530946234201</v>
      </c>
      <c r="M3955">
        <v>41.608196878381001</v>
      </c>
      <c r="N3955">
        <v>51.794480459889101</v>
      </c>
      <c r="O3955">
        <v>51.092070025302299</v>
      </c>
      <c r="P3955">
        <v>-0.16544730024620799</v>
      </c>
      <c r="Q3955">
        <v>0.18736876705470901</v>
      </c>
      <c r="R3955">
        <v>0.97413079851994699</v>
      </c>
      <c r="S3955" t="s">
        <v>9538</v>
      </c>
      <c r="T3955" t="s">
        <v>11164</v>
      </c>
      <c r="U3955" t="s">
        <v>11164</v>
      </c>
      <c r="V3955" t="s">
        <v>11164</v>
      </c>
      <c r="W3955" t="s">
        <v>15076</v>
      </c>
      <c r="X3955">
        <v>5</v>
      </c>
      <c r="Y3955" t="s">
        <v>20551</v>
      </c>
      <c r="Z3955" t="s">
        <v>26105</v>
      </c>
      <c r="AA3955">
        <v>0.57493743660542185</v>
      </c>
      <c r="AB3955" t="str">
        <f>HYPERLINK("Melting_Curves/meltCurve_Q8ND76_3_CCNY.pdf", "Melting_Curves/meltCurve_Q8ND76_3_CCNY.pdf")</f>
        <v>Melting_Curves/meltCurve_Q8ND76_3_CCNY.pdf</v>
      </c>
    </row>
    <row r="3956" spans="1:28" x14ac:dyDescent="0.25">
      <c r="A3956" t="s">
        <v>3960</v>
      </c>
      <c r="B3956">
        <v>0.99796759195183404</v>
      </c>
      <c r="C3956">
        <v>0.97279901474170205</v>
      </c>
      <c r="D3956">
        <v>0.95640784745862695</v>
      </c>
      <c r="E3956">
        <v>0.91155886833935595</v>
      </c>
      <c r="F3956">
        <v>0.85019755842422196</v>
      </c>
      <c r="G3956">
        <v>0.67833193002108805</v>
      </c>
      <c r="H3956">
        <v>0.66143572422249697</v>
      </c>
      <c r="I3956">
        <v>0.56455959776872</v>
      </c>
      <c r="J3956">
        <v>0.71495527427354599</v>
      </c>
      <c r="K3956">
        <v>0.56834430920132695</v>
      </c>
      <c r="L3956">
        <v>838.72285664251899</v>
      </c>
      <c r="M3956">
        <v>16.586125573808999</v>
      </c>
      <c r="O3956">
        <v>49.849809426565798</v>
      </c>
      <c r="P3956">
        <v>-3.30441895214207E-2</v>
      </c>
      <c r="Q3956">
        <v>0.60276814082071395</v>
      </c>
      <c r="R3956">
        <v>0.92599263834904499</v>
      </c>
      <c r="S3956" t="s">
        <v>9539</v>
      </c>
      <c r="T3956" t="s">
        <v>11164</v>
      </c>
      <c r="U3956" t="s">
        <v>11164</v>
      </c>
      <c r="V3956" t="s">
        <v>11164</v>
      </c>
      <c r="W3956" t="s">
        <v>15077</v>
      </c>
      <c r="X3956">
        <v>1</v>
      </c>
      <c r="Y3956" t="s">
        <v>20552</v>
      </c>
      <c r="Z3956" t="s">
        <v>26106</v>
      </c>
      <c r="AA3956">
        <v>0.78946524202799262</v>
      </c>
      <c r="AB3956" t="str">
        <f>HYPERLINK("Melting_Curves/meltCurve_Q8NDC0_MAPK1IP1L.pdf", "Melting_Curves/meltCurve_Q8NDC0_MAPK1IP1L.pdf")</f>
        <v>Melting_Curves/meltCurve_Q8NDC0_MAPK1IP1L.pdf</v>
      </c>
    </row>
    <row r="3957" spans="1:28" x14ac:dyDescent="0.25">
      <c r="A3957" t="s">
        <v>3961</v>
      </c>
      <c r="B3957">
        <v>0.99796759195183404</v>
      </c>
      <c r="C3957">
        <v>0.69780674818361998</v>
      </c>
      <c r="D3957">
        <v>0.72421238617439099</v>
      </c>
      <c r="E3957">
        <v>0.54935687178040205</v>
      </c>
      <c r="F3957">
        <v>0.608561702065604</v>
      </c>
      <c r="G3957">
        <v>0.45610997784271601</v>
      </c>
      <c r="H3957">
        <v>0.639782673277556</v>
      </c>
      <c r="I3957">
        <v>0.34811545634191599</v>
      </c>
      <c r="J3957">
        <v>0.189034374284828</v>
      </c>
      <c r="K3957">
        <v>0.144465465810482</v>
      </c>
      <c r="L3957">
        <v>252.27200780842699</v>
      </c>
      <c r="M3957">
        <v>4.8218793345510296</v>
      </c>
      <c r="N3957">
        <v>52.318191773952798</v>
      </c>
      <c r="O3957">
        <v>45.266377658013099</v>
      </c>
      <c r="P3957">
        <v>-2.6815243439164901E-2</v>
      </c>
      <c r="Q3957">
        <v>0</v>
      </c>
      <c r="R3957">
        <v>0.79488223970600103</v>
      </c>
      <c r="S3957" t="s">
        <v>9540</v>
      </c>
      <c r="T3957" t="s">
        <v>11164</v>
      </c>
      <c r="U3957" t="s">
        <v>11164</v>
      </c>
      <c r="V3957" t="s">
        <v>11164</v>
      </c>
      <c r="W3957" t="s">
        <v>15078</v>
      </c>
      <c r="X3957">
        <v>3</v>
      </c>
      <c r="Y3957" t="s">
        <v>20553</v>
      </c>
      <c r="Z3957" t="s">
        <v>26107</v>
      </c>
      <c r="AA3957">
        <v>0.53237524571511374</v>
      </c>
      <c r="AB3957" t="str">
        <f>HYPERLINK("Melting_Curves/meltCurve_Q8NDH3_5_NPEPL1.pdf", "Melting_Curves/meltCurve_Q8NDH3_5_NPEPL1.pdf")</f>
        <v>Melting_Curves/meltCurve_Q8NDH3_5_NPEPL1.pdf</v>
      </c>
    </row>
    <row r="3958" spans="1:28" x14ac:dyDescent="0.25">
      <c r="A3958" t="s">
        <v>3962</v>
      </c>
      <c r="B3958">
        <v>0.99796759195183404</v>
      </c>
      <c r="C3958">
        <v>1.0369015202477301</v>
      </c>
      <c r="D3958">
        <v>1.0264697379079599</v>
      </c>
      <c r="E3958">
        <v>0.99109991508156203</v>
      </c>
      <c r="F3958">
        <v>0.71465123954878096</v>
      </c>
      <c r="G3958">
        <v>0.36445839805959601</v>
      </c>
      <c r="H3958">
        <v>0.22058661581018901</v>
      </c>
      <c r="I3958">
        <v>0.16169143060084301</v>
      </c>
      <c r="J3958">
        <v>0.13653291730393499</v>
      </c>
      <c r="K3958">
        <v>8.9113109388079495E-2</v>
      </c>
      <c r="L3958">
        <v>1311.6976214388701</v>
      </c>
      <c r="M3958">
        <v>25.324066759282701</v>
      </c>
      <c r="N3958">
        <v>52.395125064965399</v>
      </c>
      <c r="O3958">
        <v>51.476735455208697</v>
      </c>
      <c r="P3958">
        <v>-0.107539380458322</v>
      </c>
      <c r="Q3958">
        <v>0.12562140313893599</v>
      </c>
      <c r="R3958">
        <v>0.99560313659109601</v>
      </c>
      <c r="S3958" t="s">
        <v>9541</v>
      </c>
      <c r="T3958" t="s">
        <v>11164</v>
      </c>
      <c r="U3958" t="s">
        <v>11164</v>
      </c>
      <c r="V3958" t="s">
        <v>11164</v>
      </c>
      <c r="W3958" t="s">
        <v>15079</v>
      </c>
      <c r="X3958">
        <v>6</v>
      </c>
      <c r="Y3958" t="s">
        <v>20554</v>
      </c>
      <c r="Z3958" t="s">
        <v>26108</v>
      </c>
      <c r="AA3958">
        <v>0.56444346943631296</v>
      </c>
      <c r="AB3958" t="str">
        <f>HYPERLINK("Melting_Curves/meltCurve_Q8NDI1_3_EHBP1.pdf", "Melting_Curves/meltCurve_Q8NDI1_3_EHBP1.pdf")</f>
        <v>Melting_Curves/meltCurve_Q8NDI1_3_EHBP1.pdf</v>
      </c>
    </row>
    <row r="3959" spans="1:28" x14ac:dyDescent="0.25">
      <c r="A3959" t="s">
        <v>3963</v>
      </c>
      <c r="B3959">
        <v>0.99796759195183404</v>
      </c>
      <c r="C3959">
        <v>1.0265442654736501</v>
      </c>
      <c r="D3959">
        <v>0.94641706237145096</v>
      </c>
      <c r="E3959">
        <v>0.91722296636731704</v>
      </c>
      <c r="F3959">
        <v>0.739104225205228</v>
      </c>
      <c r="G3959">
        <v>0.54181103205771597</v>
      </c>
      <c r="H3959">
        <v>0.29313319247506803</v>
      </c>
      <c r="I3959">
        <v>0.165984460240819</v>
      </c>
      <c r="J3959">
        <v>0.19827761046471301</v>
      </c>
      <c r="K3959">
        <v>0.179419762765404</v>
      </c>
      <c r="L3959">
        <v>911.51486881420101</v>
      </c>
      <c r="M3959">
        <v>17.243106712745501</v>
      </c>
      <c r="N3959">
        <v>53.852930710959797</v>
      </c>
      <c r="O3959">
        <v>52.166935317895401</v>
      </c>
      <c r="P3959">
        <v>-7.1410743659263504E-2</v>
      </c>
      <c r="Q3959">
        <v>0.13587220488576901</v>
      </c>
      <c r="R3959">
        <v>0.99366176167196896</v>
      </c>
      <c r="S3959" t="s">
        <v>9542</v>
      </c>
      <c r="T3959" t="s">
        <v>11164</v>
      </c>
      <c r="U3959" t="s">
        <v>11164</v>
      </c>
      <c r="V3959" t="s">
        <v>11164</v>
      </c>
      <c r="W3959" t="s">
        <v>15080</v>
      </c>
      <c r="X3959">
        <v>1</v>
      </c>
      <c r="Y3959" t="s">
        <v>20555</v>
      </c>
      <c r="Z3959" t="s">
        <v>26109</v>
      </c>
      <c r="AA3959">
        <v>0.60613478109452457</v>
      </c>
      <c r="AB3959" t="str">
        <f>HYPERLINK("Melting_Curves/meltCurve_Q8NDZ4_C3orf58.pdf", "Melting_Curves/meltCurve_Q8NDZ4_C3orf58.pdf")</f>
        <v>Melting_Curves/meltCurve_Q8NDZ4_C3orf58.pdf</v>
      </c>
    </row>
    <row r="3960" spans="1:28" x14ac:dyDescent="0.25">
      <c r="A3960" t="s">
        <v>3964</v>
      </c>
      <c r="B3960">
        <v>0.99796759195183404</v>
      </c>
      <c r="C3960">
        <v>0.97579804622633703</v>
      </c>
      <c r="D3960">
        <v>1.03488149402028</v>
      </c>
      <c r="E3960">
        <v>0.99803124686090405</v>
      </c>
      <c r="F3960">
        <v>0.91858518490366103</v>
      </c>
      <c r="G3960">
        <v>0.72786508724582899</v>
      </c>
      <c r="H3960">
        <v>0.48835525725718298</v>
      </c>
      <c r="I3960">
        <v>0.28509210073010699</v>
      </c>
      <c r="J3960">
        <v>0.27446518561043698</v>
      </c>
      <c r="K3960">
        <v>0.18882994367105699</v>
      </c>
      <c r="L3960">
        <v>1112.6114220714901</v>
      </c>
      <c r="M3960">
        <v>19.946694758438401</v>
      </c>
      <c r="N3960">
        <v>57.066750545857602</v>
      </c>
      <c r="O3960">
        <v>55.2276796578127</v>
      </c>
      <c r="P3960">
        <v>-7.3934871903689803E-2</v>
      </c>
      <c r="Q3960">
        <v>0.181194266889393</v>
      </c>
      <c r="R3960">
        <v>0.99582353498480203</v>
      </c>
      <c r="S3960" t="s">
        <v>9543</v>
      </c>
      <c r="T3960" t="s">
        <v>11164</v>
      </c>
      <c r="U3960" t="s">
        <v>11164</v>
      </c>
      <c r="V3960" t="s">
        <v>11164</v>
      </c>
      <c r="W3960" t="s">
        <v>15081</v>
      </c>
      <c r="X3960">
        <v>4</v>
      </c>
      <c r="Y3960" t="s">
        <v>20556</v>
      </c>
      <c r="Z3960" t="s">
        <v>26110</v>
      </c>
      <c r="AA3960">
        <v>0.70239998348222765</v>
      </c>
      <c r="AB3960" t="str">
        <f>HYPERLINK("Melting_Curves/meltCurve_Q8NE01_CNNM3.pdf", "Melting_Curves/meltCurve_Q8NE01_CNNM3.pdf")</f>
        <v>Melting_Curves/meltCurve_Q8NE01_CNNM3.pdf</v>
      </c>
    </row>
    <row r="3961" spans="1:28" x14ac:dyDescent="0.25">
      <c r="A3961" t="s">
        <v>3965</v>
      </c>
      <c r="B3961">
        <v>0.99796759195183404</v>
      </c>
      <c r="C3961">
        <v>0.93378520071674498</v>
      </c>
      <c r="D3961">
        <v>0.91596625435280898</v>
      </c>
      <c r="E3961">
        <v>0.85268984640975198</v>
      </c>
      <c r="F3961">
        <v>0.496630875787545</v>
      </c>
      <c r="G3961">
        <v>0.21374563248579501</v>
      </c>
      <c r="H3961">
        <v>0.15312837299728899</v>
      </c>
      <c r="I3961">
        <v>0.121005554973315</v>
      </c>
      <c r="J3961">
        <v>8.2594845032508801E-2</v>
      </c>
      <c r="K3961">
        <v>5.8245340161729199E-2</v>
      </c>
      <c r="L3961">
        <v>1044.69751550976</v>
      </c>
      <c r="M3961">
        <v>20.981399929159899</v>
      </c>
      <c r="N3961">
        <v>50.1948935805123</v>
      </c>
      <c r="O3961">
        <v>49.345911738339503</v>
      </c>
      <c r="P3961">
        <v>-9.8055106532068004E-2</v>
      </c>
      <c r="Q3961">
        <v>7.7566182326628305E-2</v>
      </c>
      <c r="R3961">
        <v>0.99343487424200005</v>
      </c>
      <c r="S3961" t="s">
        <v>9544</v>
      </c>
      <c r="T3961" t="s">
        <v>11164</v>
      </c>
      <c r="U3961" t="s">
        <v>11164</v>
      </c>
      <c r="V3961" t="s">
        <v>11164</v>
      </c>
      <c r="W3961" t="s">
        <v>15082</v>
      </c>
      <c r="X3961">
        <v>6</v>
      </c>
      <c r="Y3961" t="s">
        <v>20557</v>
      </c>
      <c r="Z3961" t="s">
        <v>26111</v>
      </c>
      <c r="AA3961">
        <v>0.48203647797484628</v>
      </c>
      <c r="AB3961" t="str">
        <f>HYPERLINK("Melting_Curves/meltCurve_Q8NE62_CHDH.pdf", "Melting_Curves/meltCurve_Q8NE62_CHDH.pdf")</f>
        <v>Melting_Curves/meltCurve_Q8NE62_CHDH.pdf</v>
      </c>
    </row>
    <row r="3962" spans="1:28" x14ac:dyDescent="0.25">
      <c r="A3962" t="s">
        <v>3966</v>
      </c>
      <c r="B3962">
        <v>0.99796759195183404</v>
      </c>
      <c r="C3962">
        <v>0.96421277725354604</v>
      </c>
      <c r="D3962">
        <v>0.92129290209943404</v>
      </c>
      <c r="E3962">
        <v>0.87844126128585498</v>
      </c>
      <c r="F3962">
        <v>0.72200628605427897</v>
      </c>
      <c r="G3962">
        <v>0.46521997691386302</v>
      </c>
      <c r="H3962">
        <v>0.21511280109494901</v>
      </c>
      <c r="I3962">
        <v>0.16626130119318699</v>
      </c>
      <c r="J3962">
        <v>0.129370499148389</v>
      </c>
      <c r="K3962">
        <v>8.3141179578758106E-2</v>
      </c>
      <c r="L3962">
        <v>813.36193864380903</v>
      </c>
      <c r="M3962">
        <v>15.442630321420101</v>
      </c>
      <c r="N3962">
        <v>53.060860891093498</v>
      </c>
      <c r="O3962">
        <v>51.810391527731902</v>
      </c>
      <c r="P3962">
        <v>-7.0514502580269006E-2</v>
      </c>
      <c r="Q3962">
        <v>5.37739724674366E-2</v>
      </c>
      <c r="R3962">
        <v>0.99480707681494596</v>
      </c>
      <c r="S3962" t="s">
        <v>9545</v>
      </c>
      <c r="T3962" t="s">
        <v>11164</v>
      </c>
      <c r="U3962" t="s">
        <v>11164</v>
      </c>
      <c r="V3962" t="s">
        <v>11164</v>
      </c>
      <c r="W3962" t="s">
        <v>15083</v>
      </c>
      <c r="X3962">
        <v>20</v>
      </c>
      <c r="Y3962" t="s">
        <v>20558</v>
      </c>
      <c r="Z3962" t="s">
        <v>26112</v>
      </c>
      <c r="AA3962">
        <v>0.56481856743249714</v>
      </c>
      <c r="AB3962" t="str">
        <f>HYPERLINK("Melting_Curves/meltCurve_Q8NE71_2_ABCF1.pdf", "Melting_Curves/meltCurve_Q8NE71_2_ABCF1.pdf")</f>
        <v>Melting_Curves/meltCurve_Q8NE71_2_ABCF1.pdf</v>
      </c>
    </row>
    <row r="3963" spans="1:28" x14ac:dyDescent="0.25">
      <c r="A3963" t="s">
        <v>3967</v>
      </c>
      <c r="B3963">
        <v>0.99796759195183404</v>
      </c>
      <c r="C3963">
        <v>0.83305281251268604</v>
      </c>
      <c r="D3963">
        <v>0.79088682505483698</v>
      </c>
      <c r="E3963">
        <v>0.84476401330073403</v>
      </c>
      <c r="F3963">
        <v>0.73889881350153497</v>
      </c>
      <c r="G3963">
        <v>0.58474923107735699</v>
      </c>
      <c r="H3963">
        <v>0.40904803186740701</v>
      </c>
      <c r="I3963">
        <v>0.30314640127432202</v>
      </c>
      <c r="J3963">
        <v>0.264712183138613</v>
      </c>
      <c r="K3963">
        <v>0.17114667918666099</v>
      </c>
      <c r="L3963">
        <v>412.76520286339701</v>
      </c>
      <c r="M3963">
        <v>7.4840137448953996</v>
      </c>
      <c r="N3963">
        <v>55.152923498478003</v>
      </c>
      <c r="O3963">
        <v>51.626871090231099</v>
      </c>
      <c r="P3963">
        <v>-3.6293403999556703E-2</v>
      </c>
      <c r="Q3963">
        <v>0</v>
      </c>
      <c r="R3963">
        <v>0.95522144910880902</v>
      </c>
      <c r="S3963" t="s">
        <v>9546</v>
      </c>
      <c r="T3963" t="s">
        <v>11164</v>
      </c>
      <c r="U3963" t="s">
        <v>11164</v>
      </c>
      <c r="V3963" t="s">
        <v>11164</v>
      </c>
      <c r="W3963" t="s">
        <v>15084</v>
      </c>
      <c r="X3963">
        <v>2</v>
      </c>
      <c r="Y3963" t="s">
        <v>20559</v>
      </c>
      <c r="Z3963" t="s">
        <v>26113</v>
      </c>
      <c r="AA3963">
        <v>0.60827367694175338</v>
      </c>
      <c r="AB3963" t="str">
        <f>HYPERLINK("Melting_Curves/meltCurve_Q8NE86_3_MCU.pdf", "Melting_Curves/meltCurve_Q8NE86_3_MCU.pdf")</f>
        <v>Melting_Curves/meltCurve_Q8NE86_3_MCU.pdf</v>
      </c>
    </row>
    <row r="3964" spans="1:28" x14ac:dyDescent="0.25">
      <c r="A3964" t="s">
        <v>3968</v>
      </c>
      <c r="B3964">
        <v>0.99796759195183404</v>
      </c>
      <c r="C3964">
        <v>0.96617697609782704</v>
      </c>
      <c r="D3964">
        <v>0.91660663994806402</v>
      </c>
      <c r="E3964">
        <v>0.85891912164166295</v>
      </c>
      <c r="F3964">
        <v>0.83039892471000398</v>
      </c>
      <c r="G3964">
        <v>0.42521708235629901</v>
      </c>
      <c r="H3964">
        <v>0.27088176166996297</v>
      </c>
      <c r="I3964">
        <v>0.20631195548423401</v>
      </c>
      <c r="J3964">
        <v>0.16179671809726501</v>
      </c>
      <c r="K3964">
        <v>0.126962986973023</v>
      </c>
      <c r="L3964">
        <v>990.37650517761699</v>
      </c>
      <c r="M3964">
        <v>18.822799251242301</v>
      </c>
      <c r="N3964">
        <v>53.426927285707201</v>
      </c>
      <c r="O3964">
        <v>52.0327045578331</v>
      </c>
      <c r="P3964">
        <v>-7.9200893584229104E-2</v>
      </c>
      <c r="Q3964">
        <v>0.12428195652664401</v>
      </c>
      <c r="R3964">
        <v>0.98302802464584804</v>
      </c>
      <c r="S3964" t="s">
        <v>9547</v>
      </c>
      <c r="T3964" t="s">
        <v>11164</v>
      </c>
      <c r="U3964" t="s">
        <v>11164</v>
      </c>
      <c r="V3964" t="s">
        <v>11164</v>
      </c>
      <c r="W3964" t="s">
        <v>15085</v>
      </c>
      <c r="X3964">
        <v>8</v>
      </c>
      <c r="Y3964" t="s">
        <v>20560</v>
      </c>
      <c r="Z3964" t="s">
        <v>26114</v>
      </c>
      <c r="AA3964">
        <v>0.5922967949730471</v>
      </c>
      <c r="AB3964" t="str">
        <f>HYPERLINK("Melting_Curves/meltCurve_Q8NEC7_GSTCD.pdf", "Melting_Curves/meltCurve_Q8NEC7_GSTCD.pdf")</f>
        <v>Melting_Curves/meltCurve_Q8NEC7_GSTCD.pdf</v>
      </c>
    </row>
    <row r="3965" spans="1:28" x14ac:dyDescent="0.25">
      <c r="A3965" t="s">
        <v>3969</v>
      </c>
      <c r="B3965">
        <v>0.99796759195183404</v>
      </c>
      <c r="C3965">
        <v>0.81914788970919294</v>
      </c>
      <c r="D3965">
        <v>0.80277755383904403</v>
      </c>
      <c r="E3965">
        <v>0.85170914070891801</v>
      </c>
      <c r="F3965">
        <v>0.76972147828141801</v>
      </c>
      <c r="G3965">
        <v>0.52316226339918503</v>
      </c>
      <c r="H3965">
        <v>0.49160551403008201</v>
      </c>
      <c r="I3965">
        <v>0.301833273384154</v>
      </c>
      <c r="J3965">
        <v>0.26147095956134703</v>
      </c>
      <c r="K3965">
        <v>0.22430432642815901</v>
      </c>
      <c r="L3965">
        <v>393.38883716355002</v>
      </c>
      <c r="M3965">
        <v>7.0737048296584604</v>
      </c>
      <c r="N3965">
        <v>55.612847178894498</v>
      </c>
      <c r="O3965">
        <v>51.681290337714998</v>
      </c>
      <c r="P3965">
        <v>-3.4278966417243803E-2</v>
      </c>
      <c r="Q3965">
        <v>0</v>
      </c>
      <c r="R3965">
        <v>0.94319680939528106</v>
      </c>
      <c r="S3965" t="s">
        <v>9548</v>
      </c>
      <c r="T3965" t="s">
        <v>11164</v>
      </c>
      <c r="U3965" t="s">
        <v>11164</v>
      </c>
      <c r="V3965" t="s">
        <v>11164</v>
      </c>
      <c r="W3965" t="s">
        <v>15086</v>
      </c>
      <c r="X3965">
        <v>1</v>
      </c>
      <c r="Y3965" t="s">
        <v>20561</v>
      </c>
      <c r="Z3965" t="s">
        <v>26115</v>
      </c>
      <c r="AA3965">
        <v>0.61690927675375096</v>
      </c>
      <c r="AB3965" t="str">
        <f>HYPERLINK("Melting_Curves/meltCurve_Q8NEF9_SRFBP1.pdf", "Melting_Curves/meltCurve_Q8NEF9_SRFBP1.pdf")</f>
        <v>Melting_Curves/meltCurve_Q8NEF9_SRFBP1.pdf</v>
      </c>
    </row>
    <row r="3966" spans="1:28" x14ac:dyDescent="0.25">
      <c r="A3966" t="s">
        <v>3970</v>
      </c>
      <c r="B3966">
        <v>0.99796759195183404</v>
      </c>
      <c r="C3966">
        <v>0.95122509053158499</v>
      </c>
      <c r="D3966">
        <v>0.94699363302136896</v>
      </c>
      <c r="E3966">
        <v>0.83594296331960505</v>
      </c>
      <c r="F3966">
        <v>0.72561270367210795</v>
      </c>
      <c r="G3966">
        <v>0.84670164526935099</v>
      </c>
      <c r="H3966">
        <v>0.35631380194811901</v>
      </c>
      <c r="I3966">
        <v>0.20047848805103999</v>
      </c>
      <c r="J3966">
        <v>0.157815085923694</v>
      </c>
      <c r="K3966">
        <v>0.109015866555178</v>
      </c>
      <c r="L3966">
        <v>748.79936548401497</v>
      </c>
      <c r="M3966">
        <v>13.347661058349599</v>
      </c>
      <c r="N3966">
        <v>56.099669111647202</v>
      </c>
      <c r="O3966">
        <v>54.885325163716502</v>
      </c>
      <c r="P3966">
        <v>-6.08076437812443E-2</v>
      </c>
      <c r="Q3966">
        <v>0</v>
      </c>
      <c r="R3966">
        <v>0.93683934369629096</v>
      </c>
      <c r="S3966" t="s">
        <v>9549</v>
      </c>
      <c r="T3966" t="s">
        <v>11164</v>
      </c>
      <c r="U3966" t="s">
        <v>11164</v>
      </c>
      <c r="V3966" t="s">
        <v>11164</v>
      </c>
      <c r="W3966" t="s">
        <v>15087</v>
      </c>
      <c r="X3966">
        <v>3</v>
      </c>
      <c r="Y3966" t="s">
        <v>20562</v>
      </c>
      <c r="Z3966" t="s">
        <v>26116</v>
      </c>
      <c r="AA3966">
        <v>0.64722127862459222</v>
      </c>
      <c r="AB3966" t="str">
        <f>HYPERLINK("Melting_Curves/meltCurve_Q8NEN9_PDZD8.pdf", "Melting_Curves/meltCurve_Q8NEN9_PDZD8.pdf")</f>
        <v>Melting_Curves/meltCurve_Q8NEN9_PDZD8.pdf</v>
      </c>
    </row>
    <row r="3967" spans="1:28" x14ac:dyDescent="0.25">
      <c r="A3967" t="s">
        <v>3971</v>
      </c>
      <c r="B3967">
        <v>0.99796759195183404</v>
      </c>
      <c r="C3967">
        <v>0.93553909169435401</v>
      </c>
      <c r="D3967">
        <v>0.98598705185468705</v>
      </c>
      <c r="E3967">
        <v>0.83680370972192797</v>
      </c>
      <c r="F3967">
        <v>0.58100900278041501</v>
      </c>
      <c r="G3967">
        <v>0.28229396336908102</v>
      </c>
      <c r="H3967">
        <v>0.22333325675985399</v>
      </c>
      <c r="I3967">
        <v>0.175015479548873</v>
      </c>
      <c r="J3967">
        <v>0.21050590771390201</v>
      </c>
      <c r="K3967">
        <v>0.111097916519716</v>
      </c>
      <c r="L3967">
        <v>1041.6287847717699</v>
      </c>
      <c r="M3967">
        <v>20.827182596738599</v>
      </c>
      <c r="N3967">
        <v>50.913001612591501</v>
      </c>
      <c r="O3967">
        <v>49.558732873396302</v>
      </c>
      <c r="P3967">
        <v>-8.8885188140191099E-2</v>
      </c>
      <c r="Q3967">
        <v>0.154006734863737</v>
      </c>
      <c r="R3967">
        <v>0.99195154187948398</v>
      </c>
      <c r="S3967" t="s">
        <v>9550</v>
      </c>
      <c r="T3967" t="s">
        <v>11164</v>
      </c>
      <c r="U3967" t="s">
        <v>11164</v>
      </c>
      <c r="V3967" t="s">
        <v>11164</v>
      </c>
      <c r="W3967" t="s">
        <v>15088</v>
      </c>
      <c r="X3967">
        <v>5</v>
      </c>
      <c r="Y3967" t="s">
        <v>20563</v>
      </c>
      <c r="Z3967" t="s">
        <v>26117</v>
      </c>
      <c r="AA3967">
        <v>0.53133978402293802</v>
      </c>
      <c r="AB3967" t="str">
        <f>HYPERLINK("Melting_Curves/meltCurve_Q8NEU8_APPL2.pdf", "Melting_Curves/meltCurve_Q8NEU8_APPL2.pdf")</f>
        <v>Melting_Curves/meltCurve_Q8NEU8_APPL2.pdf</v>
      </c>
    </row>
    <row r="3968" spans="1:28" x14ac:dyDescent="0.25">
      <c r="A3968" t="s">
        <v>3972</v>
      </c>
      <c r="B3968">
        <v>0.99796759195183404</v>
      </c>
      <c r="C3968">
        <v>0.94426418792038302</v>
      </c>
      <c r="D3968">
        <v>0.90903497118382903</v>
      </c>
      <c r="E3968">
        <v>0.64746503183415105</v>
      </c>
      <c r="F3968">
        <v>0.42924808955966598</v>
      </c>
      <c r="G3968">
        <v>0.189918508480177</v>
      </c>
      <c r="H3968">
        <v>0.11419155994958199</v>
      </c>
      <c r="I3968">
        <v>0.11852799642937401</v>
      </c>
      <c r="J3968">
        <v>8.7332757680365206E-2</v>
      </c>
      <c r="K3968">
        <v>3.5120332853625702E-2</v>
      </c>
      <c r="L3968">
        <v>759.618833668702</v>
      </c>
      <c r="M3968">
        <v>15.672233481320101</v>
      </c>
      <c r="N3968">
        <v>48.798525236035097</v>
      </c>
      <c r="O3968">
        <v>47.700532681846497</v>
      </c>
      <c r="P3968">
        <v>-7.8022037322574303E-2</v>
      </c>
      <c r="Q3968">
        <v>5.0199066577279301E-2</v>
      </c>
      <c r="R3968">
        <v>0.99613476990432803</v>
      </c>
      <c r="S3968" t="s">
        <v>9551</v>
      </c>
      <c r="T3968" t="s">
        <v>11164</v>
      </c>
      <c r="U3968" t="s">
        <v>11164</v>
      </c>
      <c r="V3968" t="s">
        <v>11164</v>
      </c>
      <c r="W3968" t="s">
        <v>15089</v>
      </c>
      <c r="X3968">
        <v>1</v>
      </c>
      <c r="Y3968" t="s">
        <v>20564</v>
      </c>
      <c r="Z3968" t="s">
        <v>26118</v>
      </c>
      <c r="AA3968">
        <v>0.43256362037398632</v>
      </c>
      <c r="AB3968" t="str">
        <f>HYPERLINK("Melting_Curves/meltCurve_Q8NEY1_5_NAV1.pdf", "Melting_Curves/meltCurve_Q8NEY1_5_NAV1.pdf")</f>
        <v>Melting_Curves/meltCurve_Q8NEY1_5_NAV1.pdf</v>
      </c>
    </row>
    <row r="3969" spans="1:28" x14ac:dyDescent="0.25">
      <c r="A3969" t="s">
        <v>3973</v>
      </c>
      <c r="B3969">
        <v>0.99796759195183404</v>
      </c>
      <c r="C3969">
        <v>1.0023921097248201</v>
      </c>
      <c r="D3969">
        <v>0.979336142399587</v>
      </c>
      <c r="E3969">
        <v>0.89505914924961905</v>
      </c>
      <c r="F3969">
        <v>0.86077288967215204</v>
      </c>
      <c r="G3969">
        <v>0.55593945160471803</v>
      </c>
      <c r="H3969">
        <v>0.29604102430956603</v>
      </c>
      <c r="I3969">
        <v>0.18482838040875099</v>
      </c>
      <c r="J3969">
        <v>0.137966324210582</v>
      </c>
      <c r="K3969">
        <v>9.1087242161411106E-2</v>
      </c>
      <c r="L3969">
        <v>1008.69759390611</v>
      </c>
      <c r="M3969">
        <v>18.652994293713999</v>
      </c>
      <c r="N3969">
        <v>54.568463208462603</v>
      </c>
      <c r="O3969">
        <v>53.466942899095599</v>
      </c>
      <c r="P3969">
        <v>-8.0476850995159804E-2</v>
      </c>
      <c r="Q3969">
        <v>7.7324173280856903E-2</v>
      </c>
      <c r="R3969">
        <v>0.99564515648297003</v>
      </c>
      <c r="S3969" t="s">
        <v>9552</v>
      </c>
      <c r="T3969" t="s">
        <v>11164</v>
      </c>
      <c r="U3969" t="s">
        <v>11164</v>
      </c>
      <c r="V3969" t="s">
        <v>11164</v>
      </c>
      <c r="W3969" t="s">
        <v>15090</v>
      </c>
      <c r="X3969">
        <v>10</v>
      </c>
      <c r="Y3969" t="s">
        <v>20565</v>
      </c>
      <c r="Z3969" t="s">
        <v>26119</v>
      </c>
      <c r="AA3969">
        <v>0.61463474119708172</v>
      </c>
      <c r="AB3969" t="str">
        <f>HYPERLINK("Melting_Curves/meltCurve_Q8NEZ5_FBXO22.pdf", "Melting_Curves/meltCurve_Q8NEZ5_FBXO22.pdf")</f>
        <v>Melting_Curves/meltCurve_Q8NEZ5_FBXO22.pdf</v>
      </c>
    </row>
    <row r="3970" spans="1:28" x14ac:dyDescent="0.25">
      <c r="A3970" t="s">
        <v>3974</v>
      </c>
      <c r="B3970">
        <v>0.99796759195183404</v>
      </c>
      <c r="C3970">
        <v>0.89149212077171403</v>
      </c>
      <c r="D3970">
        <v>0.845124505867624</v>
      </c>
      <c r="E3970">
        <v>0.77697446255007796</v>
      </c>
      <c r="F3970">
        <v>0.68892967046897902</v>
      </c>
      <c r="G3970">
        <v>0.57169063772170703</v>
      </c>
      <c r="H3970">
        <v>0.28017764023293001</v>
      </c>
      <c r="I3970">
        <v>0.122498565102374</v>
      </c>
      <c r="J3970">
        <v>0.108776299976622</v>
      </c>
      <c r="K3970">
        <v>9.25060410414342E-2</v>
      </c>
      <c r="L3970">
        <v>570.60300297540596</v>
      </c>
      <c r="M3970">
        <v>10.7477820539624</v>
      </c>
      <c r="N3970">
        <v>53.0903122261752</v>
      </c>
      <c r="O3970">
        <v>51.351424649208099</v>
      </c>
      <c r="P3970">
        <v>-5.2343955517292998E-2</v>
      </c>
      <c r="Q3970">
        <v>0</v>
      </c>
      <c r="R3970">
        <v>0.96907976620597203</v>
      </c>
      <c r="S3970" t="s">
        <v>9553</v>
      </c>
      <c r="T3970" t="s">
        <v>11164</v>
      </c>
      <c r="U3970" t="s">
        <v>11164</v>
      </c>
      <c r="V3970" t="s">
        <v>11164</v>
      </c>
      <c r="W3970" t="s">
        <v>15091</v>
      </c>
      <c r="X3970">
        <v>9</v>
      </c>
      <c r="Y3970" t="s">
        <v>20566</v>
      </c>
      <c r="Z3970" t="s">
        <v>26120</v>
      </c>
      <c r="AA3970">
        <v>0.55804300324100076</v>
      </c>
      <c r="AB3970" t="str">
        <f>HYPERLINK("Melting_Curves/meltCurve_Q8NF37_LPCAT1.pdf", "Melting_Curves/meltCurve_Q8NF37_LPCAT1.pdf")</f>
        <v>Melting_Curves/meltCurve_Q8NF37_LPCAT1.pdf</v>
      </c>
    </row>
    <row r="3971" spans="1:28" x14ac:dyDescent="0.25">
      <c r="A3971" t="s">
        <v>3975</v>
      </c>
      <c r="B3971">
        <v>0.99796759195183404</v>
      </c>
      <c r="C3971">
        <v>0.99681552826797704</v>
      </c>
      <c r="D3971">
        <v>0.99194928509184699</v>
      </c>
      <c r="E3971">
        <v>0.85158216436027101</v>
      </c>
      <c r="F3971">
        <v>0.72780657629364398</v>
      </c>
      <c r="G3971">
        <v>0.48426867529774098</v>
      </c>
      <c r="H3971">
        <v>0.39654186335033198</v>
      </c>
      <c r="I3971">
        <v>0.31886122494823599</v>
      </c>
      <c r="J3971">
        <v>0.43959614710363099</v>
      </c>
      <c r="K3971">
        <v>0.38795733773767499</v>
      </c>
      <c r="L3971">
        <v>1032.8702914692699</v>
      </c>
      <c r="M3971">
        <v>20.551880606415001</v>
      </c>
      <c r="N3971">
        <v>53.749450696547903</v>
      </c>
      <c r="O3971">
        <v>49.788168217888497</v>
      </c>
      <c r="P3971">
        <v>-6.5172037970097504E-2</v>
      </c>
      <c r="Q3971">
        <v>0.36848571542931602</v>
      </c>
      <c r="R3971">
        <v>0.98221203789391298</v>
      </c>
      <c r="S3971" t="s">
        <v>9554</v>
      </c>
      <c r="T3971" t="s">
        <v>11164</v>
      </c>
      <c r="U3971" t="s">
        <v>11164</v>
      </c>
      <c r="V3971" t="s">
        <v>11164</v>
      </c>
      <c r="W3971" t="s">
        <v>15092</v>
      </c>
      <c r="X3971">
        <v>2</v>
      </c>
      <c r="Z3971" t="s">
        <v>26121</v>
      </c>
      <c r="AA3971">
        <v>0.65547042892456642</v>
      </c>
      <c r="AB3971" t="str">
        <f>HYPERLINK("Melting_Curves/meltCurve_Q8NF67_.pdf", "Melting_Curves/meltCurve_Q8NF67_.pdf")</f>
        <v>Melting_Curves/meltCurve_Q8NF67_.pdf</v>
      </c>
    </row>
    <row r="3972" spans="1:28" x14ac:dyDescent="0.25">
      <c r="A3972" t="s">
        <v>3976</v>
      </c>
      <c r="B3972">
        <v>0.99796759195183404</v>
      </c>
      <c r="C3972">
        <v>1.0160505526739401</v>
      </c>
      <c r="D3972">
        <v>1.0014832149100601</v>
      </c>
      <c r="E3972">
        <v>0.94897225119499196</v>
      </c>
      <c r="F3972">
        <v>0.83339411990206003</v>
      </c>
      <c r="G3972">
        <v>0.74513088636526803</v>
      </c>
      <c r="H3972">
        <v>0.65348508291104501</v>
      </c>
      <c r="I3972">
        <v>0.46397556343614599</v>
      </c>
      <c r="J3972">
        <v>0.45153902744119101</v>
      </c>
      <c r="K3972">
        <v>0.35219580849808502</v>
      </c>
      <c r="L3972">
        <v>590.59788504219796</v>
      </c>
      <c r="M3972">
        <v>10.1986556805121</v>
      </c>
      <c r="N3972">
        <v>61.063446474362102</v>
      </c>
      <c r="O3972">
        <v>55.8153405152419</v>
      </c>
      <c r="P3972">
        <v>-3.6343716619968498E-2</v>
      </c>
      <c r="Q3972">
        <v>0.20474922123818601</v>
      </c>
      <c r="R3972">
        <v>0.99009485573991196</v>
      </c>
      <c r="S3972" t="s">
        <v>9555</v>
      </c>
      <c r="T3972" t="s">
        <v>11164</v>
      </c>
      <c r="U3972" t="s">
        <v>11164</v>
      </c>
      <c r="V3972" t="s">
        <v>11164</v>
      </c>
      <c r="W3972" t="s">
        <v>15093</v>
      </c>
      <c r="X3972">
        <v>37</v>
      </c>
      <c r="Y3972" t="s">
        <v>20567</v>
      </c>
      <c r="Z3972" t="s">
        <v>26122</v>
      </c>
      <c r="AA3972">
        <v>0.75349490644607209</v>
      </c>
      <c r="AB3972" t="str">
        <f>HYPERLINK("Melting_Curves/meltCurve_Q8NFC6_BOD1L1.pdf", "Melting_Curves/meltCurve_Q8NFC6_BOD1L1.pdf")</f>
        <v>Melting_Curves/meltCurve_Q8NFC6_BOD1L1.pdf</v>
      </c>
    </row>
    <row r="3973" spans="1:28" x14ac:dyDescent="0.25">
      <c r="A3973" t="s">
        <v>3977</v>
      </c>
      <c r="B3973">
        <v>0.99796759195183404</v>
      </c>
      <c r="C3973">
        <v>0.95634150608175095</v>
      </c>
      <c r="D3973">
        <v>0.88502771212332998</v>
      </c>
      <c r="E3973">
        <v>0.91880184906778894</v>
      </c>
      <c r="F3973">
        <v>0.76855863920659295</v>
      </c>
      <c r="G3973">
        <v>0.44841033865892299</v>
      </c>
      <c r="H3973">
        <v>0.205331626608277</v>
      </c>
      <c r="I3973">
        <v>0.16382636806540199</v>
      </c>
      <c r="J3973">
        <v>0.14750765551684999</v>
      </c>
      <c r="K3973">
        <v>0.138992024509451</v>
      </c>
      <c r="L3973">
        <v>1106.3439576604401</v>
      </c>
      <c r="M3973">
        <v>21.1241457676811</v>
      </c>
      <c r="N3973">
        <v>53.062888192191899</v>
      </c>
      <c r="O3973">
        <v>51.9108445721712</v>
      </c>
      <c r="P3973">
        <v>-8.9526053100748099E-2</v>
      </c>
      <c r="Q3973">
        <v>0.120011444583775</v>
      </c>
      <c r="R3973">
        <v>0.98786103860760699</v>
      </c>
      <c r="S3973" t="s">
        <v>9556</v>
      </c>
      <c r="T3973" t="s">
        <v>11164</v>
      </c>
      <c r="U3973" t="s">
        <v>11164</v>
      </c>
      <c r="V3973" t="s">
        <v>11164</v>
      </c>
      <c r="W3973" t="s">
        <v>15094</v>
      </c>
      <c r="X3973">
        <v>10</v>
      </c>
      <c r="Y3973" t="s">
        <v>20568</v>
      </c>
      <c r="Z3973" t="s">
        <v>26123</v>
      </c>
      <c r="AA3973">
        <v>0.58131515783538013</v>
      </c>
      <c r="AB3973" t="str">
        <f>HYPERLINK("Melting_Curves/meltCurve_Q8NFF5_2_FLAD1.pdf", "Melting_Curves/meltCurve_Q8NFF5_2_FLAD1.pdf")</f>
        <v>Melting_Curves/meltCurve_Q8NFF5_2_FLAD1.pdf</v>
      </c>
    </row>
    <row r="3974" spans="1:28" x14ac:dyDescent="0.25">
      <c r="A3974" t="s">
        <v>3978</v>
      </c>
      <c r="B3974">
        <v>0.99796759195183404</v>
      </c>
      <c r="C3974">
        <v>0.90606939787665097</v>
      </c>
      <c r="D3974">
        <v>0.884261992572142</v>
      </c>
      <c r="E3974">
        <v>0.86859409818530098</v>
      </c>
      <c r="F3974">
        <v>1.03609171633706</v>
      </c>
      <c r="G3974">
        <v>0.42599975791689199</v>
      </c>
      <c r="H3974">
        <v>0.29225450814051701</v>
      </c>
      <c r="I3974">
        <v>0.19171919782963201</v>
      </c>
      <c r="J3974">
        <v>0.18786927090730801</v>
      </c>
      <c r="K3974">
        <v>0.124688215976866</v>
      </c>
      <c r="L3974">
        <v>6294.6793957219297</v>
      </c>
      <c r="M3974">
        <v>117.927976180314</v>
      </c>
      <c r="N3974">
        <v>53.608082384840998</v>
      </c>
      <c r="O3974">
        <v>53.361975353710399</v>
      </c>
      <c r="P3974">
        <v>-0.44252251003498</v>
      </c>
      <c r="Q3974">
        <v>0.19904079136956601</v>
      </c>
      <c r="R3974">
        <v>0.95695272391445696</v>
      </c>
      <c r="S3974" t="s">
        <v>9557</v>
      </c>
      <c r="T3974" t="s">
        <v>11164</v>
      </c>
      <c r="U3974" t="s">
        <v>11164</v>
      </c>
      <c r="V3974" t="s">
        <v>11164</v>
      </c>
      <c r="W3974" t="s">
        <v>15095</v>
      </c>
      <c r="X3974">
        <v>5</v>
      </c>
      <c r="Y3974" t="s">
        <v>20569</v>
      </c>
      <c r="Z3974" t="s">
        <v>26124</v>
      </c>
      <c r="AA3974">
        <v>0.63663044424012039</v>
      </c>
      <c r="AB3974" t="str">
        <f>HYPERLINK("Melting_Curves/meltCurve_Q8NFG4_FLCN.pdf", "Melting_Curves/meltCurve_Q8NFG4_FLCN.pdf")</f>
        <v>Melting_Curves/meltCurve_Q8NFG4_FLCN.pdf</v>
      </c>
    </row>
    <row r="3975" spans="1:28" x14ac:dyDescent="0.25">
      <c r="A3975" t="s">
        <v>3979</v>
      </c>
      <c r="B3975">
        <v>0.99796759195183404</v>
      </c>
      <c r="C3975">
        <v>0.95607543052567601</v>
      </c>
      <c r="D3975">
        <v>0.95261527847538896</v>
      </c>
      <c r="E3975">
        <v>0.89992980767769903</v>
      </c>
      <c r="F3975">
        <v>0.75019380846988404</v>
      </c>
      <c r="G3975">
        <v>0.69596374798555705</v>
      </c>
      <c r="H3975">
        <v>0.54729583100539403</v>
      </c>
      <c r="I3975">
        <v>0.39032075699771102</v>
      </c>
      <c r="J3975">
        <v>0.266439251084851</v>
      </c>
      <c r="K3975">
        <v>0.123531753440887</v>
      </c>
      <c r="L3975">
        <v>568.54604782036802</v>
      </c>
      <c r="M3975">
        <v>9.8786730359826098</v>
      </c>
      <c r="N3975">
        <v>57.552884059112898</v>
      </c>
      <c r="O3975">
        <v>55.343308634379703</v>
      </c>
      <c r="P3975">
        <v>-4.46472465206793E-2</v>
      </c>
      <c r="Q3975">
        <v>0</v>
      </c>
      <c r="R3975">
        <v>0.98441225560761203</v>
      </c>
      <c r="S3975" t="s">
        <v>9558</v>
      </c>
      <c r="T3975" t="s">
        <v>11164</v>
      </c>
      <c r="U3975" t="s">
        <v>11164</v>
      </c>
      <c r="V3975" t="s">
        <v>11164</v>
      </c>
      <c r="W3975" t="s">
        <v>15096</v>
      </c>
      <c r="X3975">
        <v>5</v>
      </c>
      <c r="Y3975" t="s">
        <v>20570</v>
      </c>
      <c r="Z3975" t="s">
        <v>26125</v>
      </c>
      <c r="AA3975">
        <v>0.67956695917064514</v>
      </c>
      <c r="AB3975" t="str">
        <f>HYPERLINK("Melting_Curves/meltCurve_Q8NFH3_NUP43.pdf", "Melting_Curves/meltCurve_Q8NFH3_NUP43.pdf")</f>
        <v>Melting_Curves/meltCurve_Q8NFH3_NUP43.pdf</v>
      </c>
    </row>
    <row r="3976" spans="1:28" x14ac:dyDescent="0.25">
      <c r="A3976" t="s">
        <v>3980</v>
      </c>
      <c r="B3976">
        <v>0.99796759195183404</v>
      </c>
      <c r="C3976">
        <v>0.93704978709734499</v>
      </c>
      <c r="D3976">
        <v>0.96666023691273695</v>
      </c>
      <c r="E3976">
        <v>0.91542283842488203</v>
      </c>
      <c r="F3976">
        <v>0.75260002597704601</v>
      </c>
      <c r="G3976">
        <v>0.540929020446556</v>
      </c>
      <c r="H3976">
        <v>0.52867574576165899</v>
      </c>
      <c r="I3976">
        <v>0.40750829848520398</v>
      </c>
      <c r="J3976">
        <v>0.16592875188838299</v>
      </c>
      <c r="K3976">
        <v>0.102396491255516</v>
      </c>
      <c r="L3976">
        <v>565.30541855739705</v>
      </c>
      <c r="M3976">
        <v>10.0401925366023</v>
      </c>
      <c r="N3976">
        <v>56.304217228667497</v>
      </c>
      <c r="O3976">
        <v>54.207405226580697</v>
      </c>
      <c r="P3976">
        <v>-4.6326699478694798E-2</v>
      </c>
      <c r="Q3976">
        <v>0</v>
      </c>
      <c r="R3976">
        <v>0.96891325833300201</v>
      </c>
      <c r="S3976" t="s">
        <v>9559</v>
      </c>
      <c r="T3976" t="s">
        <v>11164</v>
      </c>
      <c r="U3976" t="s">
        <v>11164</v>
      </c>
      <c r="V3976" t="s">
        <v>11164</v>
      </c>
      <c r="W3976" t="s">
        <v>15097</v>
      </c>
      <c r="X3976">
        <v>4</v>
      </c>
      <c r="Y3976" t="s">
        <v>20571</v>
      </c>
      <c r="Z3976" t="s">
        <v>26126</v>
      </c>
      <c r="AA3976">
        <v>0.64763751075911768</v>
      </c>
      <c r="AB3976" t="str">
        <f>HYPERLINK("Melting_Curves/meltCurve_Q8NFH4_NUP37.pdf", "Melting_Curves/meltCurve_Q8NFH4_NUP37.pdf")</f>
        <v>Melting_Curves/meltCurve_Q8NFH4_NUP37.pdf</v>
      </c>
    </row>
    <row r="3977" spans="1:28" x14ac:dyDescent="0.25">
      <c r="A3977" t="s">
        <v>3981</v>
      </c>
      <c r="B3977">
        <v>0.99796759195183404</v>
      </c>
      <c r="C3977">
        <v>1.0837898626232101</v>
      </c>
      <c r="D3977">
        <v>1.05291123228724</v>
      </c>
      <c r="E3977">
        <v>1.01822651972197</v>
      </c>
      <c r="F3977">
        <v>0.80434785840174206</v>
      </c>
      <c r="G3977">
        <v>0.43676904196414801</v>
      </c>
      <c r="H3977">
        <v>0.26191264973112799</v>
      </c>
      <c r="I3977">
        <v>0.24130893855816199</v>
      </c>
      <c r="J3977">
        <v>0.210465212820235</v>
      </c>
      <c r="K3977">
        <v>0.122693680956499</v>
      </c>
      <c r="L3977">
        <v>1476.4449856466099</v>
      </c>
      <c r="M3977">
        <v>28.210562427076599</v>
      </c>
      <c r="N3977">
        <v>53.217192298247902</v>
      </c>
      <c r="O3977">
        <v>52.075729541553599</v>
      </c>
      <c r="P3977">
        <v>-0.110173838321212</v>
      </c>
      <c r="Q3977">
        <v>0.18649823220721301</v>
      </c>
      <c r="R3977">
        <v>0.98735852340823604</v>
      </c>
      <c r="S3977" t="s">
        <v>9560</v>
      </c>
      <c r="T3977" t="s">
        <v>11164</v>
      </c>
      <c r="U3977" t="s">
        <v>11164</v>
      </c>
      <c r="V3977" t="s">
        <v>11164</v>
      </c>
      <c r="W3977" t="s">
        <v>15098</v>
      </c>
      <c r="X3977">
        <v>12</v>
      </c>
      <c r="Y3977" t="s">
        <v>20572</v>
      </c>
      <c r="Z3977" t="s">
        <v>26127</v>
      </c>
      <c r="AA3977">
        <v>0.60816005805061524</v>
      </c>
      <c r="AB3977" t="str">
        <f>HYPERLINK("Melting_Curves/meltCurve_Q8NFP7_NUDT10.pdf", "Melting_Curves/meltCurve_Q8NFP7_NUDT10.pdf")</f>
        <v>Melting_Curves/meltCurve_Q8NFP7_NUDT10.pdf</v>
      </c>
    </row>
    <row r="3978" spans="1:28" x14ac:dyDescent="0.25">
      <c r="A3978" t="s">
        <v>3982</v>
      </c>
      <c r="B3978">
        <v>0.99796759195183404</v>
      </c>
      <c r="C3978">
        <v>0.98046921897400197</v>
      </c>
      <c r="D3978">
        <v>0.99892639816551498</v>
      </c>
      <c r="E3978">
        <v>1.00240227116865</v>
      </c>
      <c r="F3978">
        <v>0.90259196057561197</v>
      </c>
      <c r="G3978">
        <v>0.48420528338164898</v>
      </c>
      <c r="H3978">
        <v>0.38860263232458597</v>
      </c>
      <c r="I3978">
        <v>0.34961910236009403</v>
      </c>
      <c r="J3978">
        <v>0.233005460729485</v>
      </c>
      <c r="K3978">
        <v>0.167937412715296</v>
      </c>
      <c r="L3978">
        <v>1441.9274727782999</v>
      </c>
      <c r="M3978">
        <v>27.2396180048469</v>
      </c>
      <c r="N3978">
        <v>54.304577556653797</v>
      </c>
      <c r="O3978">
        <v>52.652101129506697</v>
      </c>
      <c r="P3978">
        <v>-9.7203113681431294E-2</v>
      </c>
      <c r="Q3978">
        <v>0.248462277977539</v>
      </c>
      <c r="R3978">
        <v>0.97923755023800596</v>
      </c>
      <c r="S3978" t="s">
        <v>9561</v>
      </c>
      <c r="T3978" t="s">
        <v>11164</v>
      </c>
      <c r="U3978" t="s">
        <v>11164</v>
      </c>
      <c r="V3978" t="s">
        <v>11164</v>
      </c>
      <c r="W3978" t="s">
        <v>15099</v>
      </c>
      <c r="X3978">
        <v>9</v>
      </c>
      <c r="Y3978" t="s">
        <v>20573</v>
      </c>
      <c r="Z3978" t="s">
        <v>26128</v>
      </c>
      <c r="AA3978">
        <v>0.65336306199948135</v>
      </c>
      <c r="AB3978" t="str">
        <f>HYPERLINK("Melting_Curves/meltCurve_Q8NFQ8_TOR1AIP2.pdf", "Melting_Curves/meltCurve_Q8NFQ8_TOR1AIP2.pdf")</f>
        <v>Melting_Curves/meltCurve_Q8NFQ8_TOR1AIP2.pdf</v>
      </c>
    </row>
    <row r="3979" spans="1:28" x14ac:dyDescent="0.25">
      <c r="A3979" t="s">
        <v>3983</v>
      </c>
      <c r="B3979">
        <v>0.99796759195183404</v>
      </c>
      <c r="C3979">
        <v>0.98853935150514405</v>
      </c>
      <c r="D3979">
        <v>0.99300220695024699</v>
      </c>
      <c r="E3979">
        <v>0.85431363676532301</v>
      </c>
      <c r="F3979">
        <v>0.74647368638360601</v>
      </c>
      <c r="G3979">
        <v>0.38895862670862402</v>
      </c>
      <c r="H3979">
        <v>0.112459934915958</v>
      </c>
      <c r="I3979">
        <v>3.7617190739688902E-2</v>
      </c>
      <c r="J3979">
        <v>1.11157783040743E-2</v>
      </c>
      <c r="K3979">
        <v>1.3385555493052301E-2</v>
      </c>
      <c r="L3979">
        <v>1091.57074264888</v>
      </c>
      <c r="M3979">
        <v>20.809368037240102</v>
      </c>
      <c r="N3979">
        <v>52.455753285022503</v>
      </c>
      <c r="O3979">
        <v>51.9785171419826</v>
      </c>
      <c r="P3979">
        <v>-0.100089164944835</v>
      </c>
      <c r="Q3979">
        <v>0</v>
      </c>
      <c r="R3979">
        <v>0.99522878304947304</v>
      </c>
      <c r="S3979" t="s">
        <v>9562</v>
      </c>
      <c r="T3979" t="s">
        <v>11164</v>
      </c>
      <c r="U3979" t="s">
        <v>11164</v>
      </c>
      <c r="V3979" t="s">
        <v>11164</v>
      </c>
      <c r="W3979" t="s">
        <v>15100</v>
      </c>
      <c r="X3979">
        <v>3</v>
      </c>
      <c r="Y3979" t="s">
        <v>20574</v>
      </c>
      <c r="Z3979" t="s">
        <v>26129</v>
      </c>
      <c r="AA3979">
        <v>0.52722329087400022</v>
      </c>
      <c r="AB3979" t="str">
        <f>HYPERLINK("Melting_Curves/meltCurve_Q8NFU5_IPMK.pdf", "Melting_Curves/meltCurve_Q8NFU5_IPMK.pdf")</f>
        <v>Melting_Curves/meltCurve_Q8NFU5_IPMK.pdf</v>
      </c>
    </row>
    <row r="3980" spans="1:28" x14ac:dyDescent="0.25">
      <c r="A3980" t="s">
        <v>3984</v>
      </c>
      <c r="B3980">
        <v>0.99796759195183404</v>
      </c>
      <c r="C3980">
        <v>0.97432201841197097</v>
      </c>
      <c r="D3980">
        <v>0.99439655007504701</v>
      </c>
      <c r="E3980">
        <v>0.84273666555995697</v>
      </c>
      <c r="F3980">
        <v>0.71472055077043894</v>
      </c>
      <c r="G3980">
        <v>0.234182453773877</v>
      </c>
      <c r="H3980">
        <v>0.16999636979164101</v>
      </c>
      <c r="I3980">
        <v>0.137081420274695</v>
      </c>
      <c r="J3980">
        <v>0.10211899783509</v>
      </c>
      <c r="K3980">
        <v>6.8327342100921507E-2</v>
      </c>
      <c r="L3980">
        <v>1275.9898941037</v>
      </c>
      <c r="M3980">
        <v>24.950331176665799</v>
      </c>
      <c r="N3980">
        <v>51.558064889655</v>
      </c>
      <c r="O3980">
        <v>50.8160689275945</v>
      </c>
      <c r="P3980">
        <v>-0.111537556047922</v>
      </c>
      <c r="Q3980">
        <v>9.1342993301739006E-2</v>
      </c>
      <c r="R3980">
        <v>0.988385953910909</v>
      </c>
      <c r="S3980" t="s">
        <v>9563</v>
      </c>
      <c r="T3980" t="s">
        <v>11164</v>
      </c>
      <c r="U3980" t="s">
        <v>11164</v>
      </c>
      <c r="V3980" t="s">
        <v>11164</v>
      </c>
      <c r="W3980" t="s">
        <v>15101</v>
      </c>
      <c r="X3980">
        <v>8</v>
      </c>
      <c r="Y3980" t="s">
        <v>20575</v>
      </c>
      <c r="Z3980" t="s">
        <v>26130</v>
      </c>
      <c r="AA3980">
        <v>0.52771326127425122</v>
      </c>
      <c r="AB3980" t="str">
        <f>HYPERLINK("Melting_Curves/meltCurve_Q8NFV4_ABHD11.pdf", "Melting_Curves/meltCurve_Q8NFV4_ABHD11.pdf")</f>
        <v>Melting_Curves/meltCurve_Q8NFV4_ABHD11.pdf</v>
      </c>
    </row>
    <row r="3981" spans="1:28" x14ac:dyDescent="0.25">
      <c r="A3981" t="s">
        <v>3985</v>
      </c>
      <c r="B3981">
        <v>0.99796759195183404</v>
      </c>
      <c r="C3981">
        <v>0.89576574066732495</v>
      </c>
      <c r="D3981">
        <v>0.93393925993145799</v>
      </c>
      <c r="E3981">
        <v>0.871051396127135</v>
      </c>
      <c r="F3981">
        <v>0.65741404260870995</v>
      </c>
      <c r="G3981">
        <v>0.32833352825058598</v>
      </c>
      <c r="H3981">
        <v>0.18387717616699001</v>
      </c>
      <c r="I3981">
        <v>0.15771589569956701</v>
      </c>
      <c r="J3981">
        <v>0.109421683993461</v>
      </c>
      <c r="K3981">
        <v>5.9287370269675801E-2</v>
      </c>
      <c r="L3981">
        <v>895.84995444280003</v>
      </c>
      <c r="M3981">
        <v>17.4411913160572</v>
      </c>
      <c r="N3981">
        <v>51.798211378124499</v>
      </c>
      <c r="O3981">
        <v>50.703063795386299</v>
      </c>
      <c r="P3981">
        <v>-8.0153131672296402E-2</v>
      </c>
      <c r="Q3981">
        <v>6.8003501352066106E-2</v>
      </c>
      <c r="R3981">
        <v>0.98894507126625897</v>
      </c>
      <c r="S3981" t="s">
        <v>9564</v>
      </c>
      <c r="T3981" t="s">
        <v>11164</v>
      </c>
      <c r="U3981" t="s">
        <v>11164</v>
      </c>
      <c r="V3981" t="s">
        <v>11164</v>
      </c>
      <c r="W3981" t="s">
        <v>15102</v>
      </c>
      <c r="X3981">
        <v>2</v>
      </c>
      <c r="Y3981" t="s">
        <v>20576</v>
      </c>
      <c r="Z3981" t="s">
        <v>26131</v>
      </c>
      <c r="AA3981">
        <v>0.52927227742210081</v>
      </c>
      <c r="AB3981" t="str">
        <f>HYPERLINK("Melting_Curves/meltCurve_Q8NFX7_2_STXBP6.pdf", "Melting_Curves/meltCurve_Q8NFX7_2_STXBP6.pdf")</f>
        <v>Melting_Curves/meltCurve_Q8NFX7_2_STXBP6.pdf</v>
      </c>
    </row>
    <row r="3982" spans="1:28" x14ac:dyDescent="0.25">
      <c r="A3982" t="s">
        <v>3986</v>
      </c>
      <c r="B3982">
        <v>0.99796759195183404</v>
      </c>
      <c r="C3982">
        <v>0.88816110937916803</v>
      </c>
      <c r="D3982">
        <v>0.94328616266111498</v>
      </c>
      <c r="E3982">
        <v>0.81683699683768896</v>
      </c>
      <c r="F3982">
        <v>0.744269397215369</v>
      </c>
      <c r="G3982">
        <v>0.90184376355226803</v>
      </c>
      <c r="H3982">
        <v>0.62237255795614099</v>
      </c>
      <c r="I3982">
        <v>0.42381504634786599</v>
      </c>
      <c r="J3982">
        <v>0.30081286745885599</v>
      </c>
      <c r="K3982">
        <v>0.17704460136338801</v>
      </c>
      <c r="L3982">
        <v>607.10101659114105</v>
      </c>
      <c r="M3982">
        <v>10.227458964671101</v>
      </c>
      <c r="N3982">
        <v>59.359907369698902</v>
      </c>
      <c r="O3982">
        <v>57.224777334654</v>
      </c>
      <c r="P3982">
        <v>-4.4701021521934198E-2</v>
      </c>
      <c r="Q3982">
        <v>0</v>
      </c>
      <c r="R3982">
        <v>0.90162794485520203</v>
      </c>
      <c r="S3982" t="s">
        <v>9565</v>
      </c>
      <c r="T3982" t="s">
        <v>11164</v>
      </c>
      <c r="U3982" t="s">
        <v>11164</v>
      </c>
      <c r="V3982" t="s">
        <v>11164</v>
      </c>
      <c r="W3982" t="s">
        <v>15103</v>
      </c>
      <c r="X3982">
        <v>1</v>
      </c>
      <c r="Y3982" t="s">
        <v>20577</v>
      </c>
      <c r="Z3982" t="s">
        <v>26132</v>
      </c>
      <c r="AA3982">
        <v>0.72605320146357744</v>
      </c>
      <c r="AB3982" t="str">
        <f>HYPERLINK("Melting_Curves/meltCurve_Q8NFZ4_NLGN2.pdf", "Melting_Curves/meltCurve_Q8NFZ4_NLGN2.pdf")</f>
        <v>Melting_Curves/meltCurve_Q8NFZ4_NLGN2.pdf</v>
      </c>
    </row>
    <row r="3983" spans="1:28" x14ac:dyDescent="0.25">
      <c r="A3983" t="s">
        <v>3987</v>
      </c>
      <c r="B3983">
        <v>0.99796759195183404</v>
      </c>
      <c r="C3983">
        <v>0.96354908932507699</v>
      </c>
      <c r="D3983">
        <v>0.94363086363038096</v>
      </c>
      <c r="E3983">
        <v>0.98230307414224305</v>
      </c>
      <c r="F3983">
        <v>0.75751501673686605</v>
      </c>
      <c r="G3983">
        <v>0.64620302122042195</v>
      </c>
      <c r="H3983">
        <v>0.62862556761041399</v>
      </c>
      <c r="I3983">
        <v>0.59714106604171302</v>
      </c>
      <c r="J3983">
        <v>0.63221849719683598</v>
      </c>
      <c r="K3983">
        <v>0.45524817484909402</v>
      </c>
      <c r="L3983">
        <v>976.54729892441298</v>
      </c>
      <c r="M3983">
        <v>19.359825721598199</v>
      </c>
      <c r="O3983">
        <v>49.912999751410801</v>
      </c>
      <c r="P3983">
        <v>-4.2954203635359997E-2</v>
      </c>
      <c r="Q3983">
        <v>0.55704274933308495</v>
      </c>
      <c r="R3983">
        <v>0.92878694900051895</v>
      </c>
      <c r="S3983" t="s">
        <v>9566</v>
      </c>
      <c r="T3983" t="s">
        <v>11164</v>
      </c>
      <c r="U3983" t="s">
        <v>11164</v>
      </c>
      <c r="V3983" t="s">
        <v>11164</v>
      </c>
      <c r="W3983" t="s">
        <v>15104</v>
      </c>
      <c r="X3983">
        <v>5</v>
      </c>
      <c r="Y3983" t="s">
        <v>20578</v>
      </c>
      <c r="Z3983" t="s">
        <v>26133</v>
      </c>
      <c r="AA3983">
        <v>0.76167021121577649</v>
      </c>
      <c r="AB3983" t="str">
        <f>HYPERLINK("Melting_Curves/meltCurve_Q8NFZ8_CADM4.pdf", "Melting_Curves/meltCurve_Q8NFZ8_CADM4.pdf")</f>
        <v>Melting_Curves/meltCurve_Q8NFZ8_CADM4.pdf</v>
      </c>
    </row>
    <row r="3984" spans="1:28" x14ac:dyDescent="0.25">
      <c r="A3984" t="s">
        <v>3988</v>
      </c>
      <c r="B3984">
        <v>0.99796759195183404</v>
      </c>
      <c r="C3984">
        <v>1.1774824098547101</v>
      </c>
      <c r="D3984">
        <v>1.00792203455802</v>
      </c>
      <c r="E3984">
        <v>0.98908064241634297</v>
      </c>
      <c r="F3984">
        <v>1.0307278568476601</v>
      </c>
      <c r="G3984">
        <v>0.95905916397933699</v>
      </c>
      <c r="H3984">
        <v>0.64884797925335003</v>
      </c>
      <c r="I3984">
        <v>0.36983132006483799</v>
      </c>
      <c r="J3984">
        <v>0.28025755941248198</v>
      </c>
      <c r="K3984">
        <v>0.17943109321928</v>
      </c>
      <c r="L3984">
        <v>1697.10235561842</v>
      </c>
      <c r="M3984">
        <v>29.194738494238099</v>
      </c>
      <c r="N3984">
        <v>59.144933195070998</v>
      </c>
      <c r="O3984">
        <v>57.859727202203601</v>
      </c>
      <c r="P3984">
        <v>-0.101298429170685</v>
      </c>
      <c r="Q3984">
        <v>0.19697079999061501</v>
      </c>
      <c r="R3984">
        <v>0.96893253303094096</v>
      </c>
      <c r="S3984" t="s">
        <v>9567</v>
      </c>
      <c r="T3984" t="s">
        <v>11164</v>
      </c>
      <c r="U3984" t="s">
        <v>11164</v>
      </c>
      <c r="V3984" t="s">
        <v>11164</v>
      </c>
      <c r="W3984" t="s">
        <v>15105</v>
      </c>
      <c r="X3984">
        <v>4</v>
      </c>
      <c r="Y3984" t="s">
        <v>20579</v>
      </c>
      <c r="Z3984" t="s">
        <v>26134</v>
      </c>
      <c r="AA3984">
        <v>0.76708706694474005</v>
      </c>
      <c r="AB3984" t="str">
        <f>HYPERLINK("Melting_Curves/meltCurve_Q8NG08_HELB.pdf", "Melting_Curves/meltCurve_Q8NG08_HELB.pdf")</f>
        <v>Melting_Curves/meltCurve_Q8NG08_HELB.pdf</v>
      </c>
    </row>
    <row r="3985" spans="1:28" x14ac:dyDescent="0.25">
      <c r="A3985" t="s">
        <v>3989</v>
      </c>
      <c r="B3985">
        <v>0.99796759195183404</v>
      </c>
      <c r="C3985">
        <v>1.0468113738189999</v>
      </c>
      <c r="D3985">
        <v>0.88491027869760697</v>
      </c>
      <c r="E3985">
        <v>0.89931973903530604</v>
      </c>
      <c r="F3985">
        <v>0.90876595763525803</v>
      </c>
      <c r="G3985">
        <v>0.93510754927642503</v>
      </c>
      <c r="H3985">
        <v>0.520125442305022</v>
      </c>
      <c r="I3985">
        <v>0.28591096128342403</v>
      </c>
      <c r="J3985">
        <v>0.27884057458946199</v>
      </c>
      <c r="K3985">
        <v>0.194126907078119</v>
      </c>
      <c r="L3985">
        <v>2164.2441165144801</v>
      </c>
      <c r="M3985">
        <v>38.160817399018498</v>
      </c>
      <c r="N3985">
        <v>57.651199407195897</v>
      </c>
      <c r="O3985">
        <v>56.558703000458401</v>
      </c>
      <c r="P3985">
        <v>-0.12968619059657099</v>
      </c>
      <c r="Q3985">
        <v>0.23116270772491701</v>
      </c>
      <c r="R3985">
        <v>0.96417963725956202</v>
      </c>
      <c r="S3985" t="s">
        <v>9568</v>
      </c>
      <c r="T3985" t="s">
        <v>11164</v>
      </c>
      <c r="U3985" t="s">
        <v>11164</v>
      </c>
      <c r="V3985" t="s">
        <v>11164</v>
      </c>
      <c r="W3985" t="s">
        <v>15106</v>
      </c>
      <c r="X3985">
        <v>5</v>
      </c>
      <c r="Y3985" t="s">
        <v>20580</v>
      </c>
      <c r="Z3985" t="s">
        <v>26135</v>
      </c>
      <c r="AA3985">
        <v>0.73953909629761172</v>
      </c>
      <c r="AB3985" t="str">
        <f>HYPERLINK("Melting_Curves/meltCurve_Q8NG68_TTL.pdf", "Melting_Curves/meltCurve_Q8NG68_TTL.pdf")</f>
        <v>Melting_Curves/meltCurve_Q8NG68_TTL.pdf</v>
      </c>
    </row>
    <row r="3986" spans="1:28" x14ac:dyDescent="0.25">
      <c r="A3986" t="s">
        <v>3990</v>
      </c>
      <c r="B3986">
        <v>0.99796759195183404</v>
      </c>
      <c r="C3986">
        <v>0.95603265529950598</v>
      </c>
      <c r="D3986">
        <v>0.96982230357983701</v>
      </c>
      <c r="E3986">
        <v>0.93757779322943402</v>
      </c>
      <c r="F3986">
        <v>0.84643163310314395</v>
      </c>
      <c r="G3986">
        <v>0.62586763018088098</v>
      </c>
      <c r="H3986">
        <v>0.66384340565207101</v>
      </c>
      <c r="I3986">
        <v>0.74056777087152303</v>
      </c>
      <c r="J3986">
        <v>0.87918462247420304</v>
      </c>
      <c r="K3986">
        <v>0.89623524990865</v>
      </c>
      <c r="L3986">
        <v>1815.45346421673</v>
      </c>
      <c r="M3986">
        <v>37.636155068938301</v>
      </c>
      <c r="O3986">
        <v>48.101376316138797</v>
      </c>
      <c r="P3986">
        <v>-4.57624611030088E-2</v>
      </c>
      <c r="Q3986">
        <v>0.76605139624426899</v>
      </c>
      <c r="R3986">
        <v>0.57314619764506902</v>
      </c>
      <c r="S3986" t="s">
        <v>9569</v>
      </c>
      <c r="T3986" t="s">
        <v>11164</v>
      </c>
      <c r="U3986" t="s">
        <v>11164</v>
      </c>
      <c r="V3986" t="s">
        <v>11164</v>
      </c>
      <c r="W3986" t="s">
        <v>15107</v>
      </c>
      <c r="X3986">
        <v>5</v>
      </c>
      <c r="Y3986" t="s">
        <v>20581</v>
      </c>
      <c r="Z3986" t="s">
        <v>26136</v>
      </c>
      <c r="AA3986">
        <v>0.8545622789748587</v>
      </c>
      <c r="AB3986" t="str">
        <f>HYPERLINK("Melting_Curves/meltCurve_Q8NHG7_SVIP.pdf", "Melting_Curves/meltCurve_Q8NHG7_SVIP.pdf")</f>
        <v>Melting_Curves/meltCurve_Q8NHG7_SVIP.pdf</v>
      </c>
    </row>
    <row r="3987" spans="1:28" x14ac:dyDescent="0.25">
      <c r="A3987" t="s">
        <v>3991</v>
      </c>
      <c r="B3987">
        <v>0.99796759195183404</v>
      </c>
      <c r="C3987">
        <v>1.1345097109762401</v>
      </c>
      <c r="D3987">
        <v>1.0580479030830701</v>
      </c>
      <c r="E3987">
        <v>0.95812580141968695</v>
      </c>
      <c r="F3987">
        <v>1.09627866207645</v>
      </c>
      <c r="G3987">
        <v>0.72679951157915701</v>
      </c>
      <c r="H3987">
        <v>0.609140712316948</v>
      </c>
      <c r="I3987">
        <v>0.64584470352972601</v>
      </c>
      <c r="J3987">
        <v>0.69865005545139902</v>
      </c>
      <c r="K3987">
        <v>0.77215414284512396</v>
      </c>
      <c r="L3987">
        <v>13353.388817919</v>
      </c>
      <c r="M3987">
        <v>250</v>
      </c>
      <c r="O3987">
        <v>53.410154394908197</v>
      </c>
      <c r="P3987">
        <v>-0.37276703125569499</v>
      </c>
      <c r="Q3987">
        <v>0.68144738757548096</v>
      </c>
      <c r="R3987">
        <v>0.86744307577875901</v>
      </c>
      <c r="S3987" t="s">
        <v>9570</v>
      </c>
      <c r="T3987" t="s">
        <v>11164</v>
      </c>
      <c r="U3987" t="s">
        <v>11164</v>
      </c>
      <c r="V3987" t="s">
        <v>11164</v>
      </c>
      <c r="W3987" t="s">
        <v>15108</v>
      </c>
      <c r="X3987">
        <v>2</v>
      </c>
      <c r="Y3987" t="s">
        <v>20582</v>
      </c>
      <c r="Z3987" t="s">
        <v>26137</v>
      </c>
      <c r="AA3987">
        <v>0.85576327904960958</v>
      </c>
      <c r="AB3987" t="str">
        <f>HYPERLINK("Melting_Curves/meltCurve_Q8NHG8_ZNRF2.pdf", "Melting_Curves/meltCurve_Q8NHG8_ZNRF2.pdf")</f>
        <v>Melting_Curves/meltCurve_Q8NHG8_ZNRF2.pdf</v>
      </c>
    </row>
    <row r="3988" spans="1:28" x14ac:dyDescent="0.25">
      <c r="A3988" t="s">
        <v>3992</v>
      </c>
      <c r="B3988">
        <v>0.99796759195183404</v>
      </c>
      <c r="C3988">
        <v>0.91903164528968195</v>
      </c>
      <c r="D3988">
        <v>0.87868563676949696</v>
      </c>
      <c r="E3988">
        <v>0.91469299490656897</v>
      </c>
      <c r="F3988">
        <v>0.80499074114691505</v>
      </c>
      <c r="G3988">
        <v>0.56402551263456302</v>
      </c>
      <c r="H3988">
        <v>0.67445266148282201</v>
      </c>
      <c r="I3988">
        <v>0.664805652203171</v>
      </c>
      <c r="J3988">
        <v>0.65445131808927604</v>
      </c>
      <c r="K3988">
        <v>0.60915371320516098</v>
      </c>
      <c r="L3988">
        <v>582.10243356556498</v>
      </c>
      <c r="M3988">
        <v>12.083627142575599</v>
      </c>
      <c r="O3988">
        <v>46.910382548587698</v>
      </c>
      <c r="P3988">
        <v>-2.5241741932591402E-2</v>
      </c>
      <c r="Q3988">
        <v>0.60812349645060704</v>
      </c>
      <c r="R3988">
        <v>0.85101606474817804</v>
      </c>
      <c r="S3988" t="s">
        <v>9571</v>
      </c>
      <c r="T3988" t="s">
        <v>11164</v>
      </c>
      <c r="U3988" t="s">
        <v>11164</v>
      </c>
      <c r="V3988" t="s">
        <v>11164</v>
      </c>
      <c r="W3988" t="s">
        <v>15109</v>
      </c>
      <c r="X3988">
        <v>5</v>
      </c>
      <c r="Y3988" t="s">
        <v>20583</v>
      </c>
      <c r="Z3988" t="s">
        <v>26138</v>
      </c>
      <c r="AA3988">
        <v>0.76611101556255312</v>
      </c>
      <c r="AB3988" t="str">
        <f>HYPERLINK("Melting_Curves/meltCurve_Q8NHP8_PLBD2.pdf", "Melting_Curves/meltCurve_Q8NHP8_PLBD2.pdf")</f>
        <v>Melting_Curves/meltCurve_Q8NHP8_PLBD2.pdf</v>
      </c>
    </row>
    <row r="3989" spans="1:28" x14ac:dyDescent="0.25">
      <c r="A3989" t="s">
        <v>3993</v>
      </c>
      <c r="B3989">
        <v>0.99796759195183404</v>
      </c>
      <c r="C3989">
        <v>1.00935136353199</v>
      </c>
      <c r="D3989">
        <v>1.0130669335108999</v>
      </c>
      <c r="E3989">
        <v>0.95233039718269896</v>
      </c>
      <c r="F3989">
        <v>0.85432446735772605</v>
      </c>
      <c r="G3989">
        <v>0.31371912852373102</v>
      </c>
      <c r="H3989">
        <v>0.19537583462897301</v>
      </c>
      <c r="I3989">
        <v>0.173442624322624</v>
      </c>
      <c r="J3989">
        <v>0.155922554615989</v>
      </c>
      <c r="K3989">
        <v>8.4952742429657502E-2</v>
      </c>
      <c r="L3989">
        <v>2123.9285489628301</v>
      </c>
      <c r="M3989">
        <v>40.802971560694502</v>
      </c>
      <c r="N3989">
        <v>52.494226949753703</v>
      </c>
      <c r="O3989">
        <v>51.928717880705598</v>
      </c>
      <c r="P3989">
        <v>-0.16793686284030501</v>
      </c>
      <c r="Q3989">
        <v>0.14508880611904701</v>
      </c>
      <c r="R3989">
        <v>0.99519595403642802</v>
      </c>
      <c r="S3989" t="s">
        <v>9572</v>
      </c>
      <c r="T3989" t="s">
        <v>11164</v>
      </c>
      <c r="U3989" t="s">
        <v>11164</v>
      </c>
      <c r="V3989" t="s">
        <v>11164</v>
      </c>
      <c r="W3989" t="s">
        <v>15110</v>
      </c>
      <c r="X3989">
        <v>2</v>
      </c>
      <c r="Y3989" t="s">
        <v>20584</v>
      </c>
      <c r="Z3989" t="s">
        <v>26139</v>
      </c>
      <c r="AA3989">
        <v>0.57701156214165117</v>
      </c>
      <c r="AB3989" t="str">
        <f>HYPERLINK("Melting_Curves/meltCurve_Q8NHU6_TDRD7.pdf", "Melting_Curves/meltCurve_Q8NHU6_TDRD7.pdf")</f>
        <v>Melting_Curves/meltCurve_Q8NHU6_TDRD7.pdf</v>
      </c>
    </row>
    <row r="3990" spans="1:28" x14ac:dyDescent="0.25">
      <c r="A3990" t="s">
        <v>3994</v>
      </c>
      <c r="B3990">
        <v>0.99796759195183404</v>
      </c>
      <c r="C3990">
        <v>0.96556771333786096</v>
      </c>
      <c r="D3990">
        <v>0.96067572424979697</v>
      </c>
      <c r="E3990">
        <v>0.81378540807404598</v>
      </c>
      <c r="F3990">
        <v>0.73382931184990496</v>
      </c>
      <c r="G3990">
        <v>0.76359011857394499</v>
      </c>
      <c r="H3990">
        <v>0.58620005671009101</v>
      </c>
      <c r="I3990">
        <v>0.32315360983212899</v>
      </c>
      <c r="J3990">
        <v>0.24302726077646</v>
      </c>
      <c r="K3990">
        <v>0.12961973893051801</v>
      </c>
      <c r="L3990">
        <v>579.43271677127598</v>
      </c>
      <c r="M3990">
        <v>10.0777694130666</v>
      </c>
      <c r="N3990">
        <v>57.496127681449899</v>
      </c>
      <c r="O3990">
        <v>55.3698838159658</v>
      </c>
      <c r="P3990">
        <v>-4.5523519638234602E-2</v>
      </c>
      <c r="Q3990">
        <v>0</v>
      </c>
      <c r="R3990">
        <v>0.95776960294869695</v>
      </c>
      <c r="S3990" t="s">
        <v>9573</v>
      </c>
      <c r="T3990" t="s">
        <v>11164</v>
      </c>
      <c r="U3990" t="s">
        <v>11164</v>
      </c>
      <c r="V3990" t="s">
        <v>11164</v>
      </c>
      <c r="W3990" t="s">
        <v>15111</v>
      </c>
      <c r="X3990">
        <v>6</v>
      </c>
      <c r="Y3990" t="s">
        <v>20585</v>
      </c>
      <c r="Z3990" t="s">
        <v>26140</v>
      </c>
      <c r="AA3990">
        <v>0.678960393465604</v>
      </c>
      <c r="AB3990" t="str">
        <f>HYPERLINK("Melting_Curves/meltCurve_Q8NHV4_NEDD1.pdf", "Melting_Curves/meltCurve_Q8NHV4_NEDD1.pdf")</f>
        <v>Melting_Curves/meltCurve_Q8NHV4_NEDD1.pdf</v>
      </c>
    </row>
    <row r="3991" spans="1:28" x14ac:dyDescent="0.25">
      <c r="A3991" t="s">
        <v>3995</v>
      </c>
      <c r="B3991">
        <v>0.99796759195183404</v>
      </c>
      <c r="C3991">
        <v>1.11754423869649</v>
      </c>
      <c r="D3991">
        <v>0.96582725367328404</v>
      </c>
      <c r="E3991">
        <v>0.87273780846752602</v>
      </c>
      <c r="F3991">
        <v>0.751687573313369</v>
      </c>
      <c r="G3991">
        <v>0.48627826999653501</v>
      </c>
      <c r="H3991">
        <v>0.56072618417742803</v>
      </c>
      <c r="I3991">
        <v>0.78829540816355403</v>
      </c>
      <c r="J3991">
        <v>1.5082766459733301</v>
      </c>
      <c r="K3991">
        <v>1.33324236282064</v>
      </c>
      <c r="L3991">
        <v>6853.6165981489103</v>
      </c>
      <c r="M3991">
        <v>109.23690886951999</v>
      </c>
      <c r="O3991">
        <v>62.719830957895198</v>
      </c>
      <c r="P3991">
        <v>0.18730968090194899</v>
      </c>
      <c r="Q3991">
        <v>1.43018540906127</v>
      </c>
      <c r="R3991">
        <v>0.32432812957292001</v>
      </c>
      <c r="S3991" t="s">
        <v>9574</v>
      </c>
      <c r="T3991" t="s">
        <v>11164</v>
      </c>
      <c r="U3991" t="s">
        <v>11164</v>
      </c>
      <c r="V3991" t="s">
        <v>11164</v>
      </c>
      <c r="W3991" t="s">
        <v>15112</v>
      </c>
      <c r="X3991">
        <v>5</v>
      </c>
      <c r="Y3991" t="s">
        <v>20586</v>
      </c>
      <c r="Z3991" t="s">
        <v>26141</v>
      </c>
      <c r="AA3991">
        <v>1.0608350336317329</v>
      </c>
      <c r="AB3991" t="str">
        <f>HYPERLINK("Melting_Curves/meltCurve_Q8NHZ8_CDC26.pdf", "Melting_Curves/meltCurve_Q8NHZ8_CDC26.pdf")</f>
        <v>Melting_Curves/meltCurve_Q8NHZ8_CDC26.pdf</v>
      </c>
    </row>
    <row r="3992" spans="1:28" x14ac:dyDescent="0.25">
      <c r="A3992" t="s">
        <v>3996</v>
      </c>
      <c r="B3992">
        <v>0.99796759195183404</v>
      </c>
      <c r="C3992">
        <v>1.1422010711009301</v>
      </c>
      <c r="D3992">
        <v>0.85535865285054902</v>
      </c>
      <c r="E3992">
        <v>0.710092084002237</v>
      </c>
      <c r="F3992">
        <v>0.29265213094231302</v>
      </c>
      <c r="G3992">
        <v>0.14759081752341999</v>
      </c>
      <c r="H3992">
        <v>9.1292459975095705E-2</v>
      </c>
      <c r="I3992">
        <v>7.8900193902913598E-2</v>
      </c>
      <c r="J3992">
        <v>4.5536249190692601E-2</v>
      </c>
      <c r="K3992">
        <v>4.5402676263662699E-2</v>
      </c>
      <c r="L3992">
        <v>1061.20856410583</v>
      </c>
      <c r="M3992">
        <v>22.106217470337899</v>
      </c>
      <c r="N3992">
        <v>48.262918387069703</v>
      </c>
      <c r="O3992">
        <v>47.617346806573202</v>
      </c>
      <c r="P3992">
        <v>-0.10959772205450601</v>
      </c>
      <c r="Q3992">
        <v>5.5716103708253202E-2</v>
      </c>
      <c r="R3992">
        <v>0.98161220669096705</v>
      </c>
      <c r="S3992" t="s">
        <v>9575</v>
      </c>
      <c r="T3992" t="s">
        <v>11164</v>
      </c>
      <c r="U3992" t="s">
        <v>11164</v>
      </c>
      <c r="V3992" t="s">
        <v>11164</v>
      </c>
      <c r="W3992" t="s">
        <v>15113</v>
      </c>
      <c r="X3992">
        <v>2</v>
      </c>
      <c r="Y3992" t="s">
        <v>20587</v>
      </c>
      <c r="Z3992" t="s">
        <v>26142</v>
      </c>
      <c r="AA3992">
        <v>0.41235160493472262</v>
      </c>
      <c r="AB3992" t="str">
        <f>HYPERLINK("Melting_Curves/meltCurve_Q8NI08_2_NCOA7.pdf", "Melting_Curves/meltCurve_Q8NI08_2_NCOA7.pdf")</f>
        <v>Melting_Curves/meltCurve_Q8NI08_2_NCOA7.pdf</v>
      </c>
    </row>
    <row r="3993" spans="1:28" x14ac:dyDescent="0.25">
      <c r="A3993" t="s">
        <v>3997</v>
      </c>
      <c r="B3993">
        <v>0.99796759195183404</v>
      </c>
      <c r="C3993">
        <v>1.07711221981921</v>
      </c>
      <c r="D3993">
        <v>1.0858195909391399</v>
      </c>
      <c r="E3993">
        <v>0.96255474997819801</v>
      </c>
      <c r="F3993">
        <v>1.0677442318927901</v>
      </c>
      <c r="G3993">
        <v>0.61246617812753501</v>
      </c>
      <c r="H3993">
        <v>0.59509404436598801</v>
      </c>
      <c r="I3993">
        <v>0.58842567454919004</v>
      </c>
      <c r="J3993">
        <v>0.87882625856956498</v>
      </c>
      <c r="K3993">
        <v>0.72793353666153704</v>
      </c>
      <c r="L3993">
        <v>4551.1810126652699</v>
      </c>
      <c r="M3993">
        <v>87.600130592101607</v>
      </c>
      <c r="O3993">
        <v>51.926985904989998</v>
      </c>
      <c r="P3993">
        <v>-0.13536774438716301</v>
      </c>
      <c r="Q3993">
        <v>0.679030692393786</v>
      </c>
      <c r="R3993">
        <v>0.78236681275396702</v>
      </c>
      <c r="S3993" t="s">
        <v>9576</v>
      </c>
      <c r="T3993" t="s">
        <v>11164</v>
      </c>
      <c r="U3993" t="s">
        <v>11164</v>
      </c>
      <c r="V3993" t="s">
        <v>11164</v>
      </c>
      <c r="W3993" t="s">
        <v>15114</v>
      </c>
      <c r="X3993">
        <v>1</v>
      </c>
      <c r="Y3993" t="s">
        <v>20588</v>
      </c>
      <c r="Z3993" t="s">
        <v>26143</v>
      </c>
      <c r="AA3993">
        <v>0.83926239518478019</v>
      </c>
      <c r="AB3993" t="str">
        <f>HYPERLINK("Melting_Curves/meltCurve_Q8NI22_2_MCFD2.pdf", "Melting_Curves/meltCurve_Q8NI22_2_MCFD2.pdf")</f>
        <v>Melting_Curves/meltCurve_Q8NI22_2_MCFD2.pdf</v>
      </c>
    </row>
    <row r="3994" spans="1:28" x14ac:dyDescent="0.25">
      <c r="A3994" t="s">
        <v>3998</v>
      </c>
      <c r="B3994">
        <v>0.99796759195183404</v>
      </c>
      <c r="C3994">
        <v>0.877812110055469</v>
      </c>
      <c r="D3994">
        <v>0.94279988476713095</v>
      </c>
      <c r="E3994">
        <v>0.82712521652549797</v>
      </c>
      <c r="F3994">
        <v>0.62395917093784503</v>
      </c>
      <c r="G3994">
        <v>0.54753955431661205</v>
      </c>
      <c r="H3994">
        <v>0.36183078975559502</v>
      </c>
      <c r="I3994">
        <v>0.25234788206175401</v>
      </c>
      <c r="J3994">
        <v>0.18978192532591201</v>
      </c>
      <c r="K3994">
        <v>0.13517672126041599</v>
      </c>
      <c r="L3994">
        <v>491.11138968946199</v>
      </c>
      <c r="M3994">
        <v>9.1018665189267605</v>
      </c>
      <c r="N3994">
        <v>53.957221848355701</v>
      </c>
      <c r="O3994">
        <v>51.543933932380497</v>
      </c>
      <c r="P3994">
        <v>-4.4176879642233997E-2</v>
      </c>
      <c r="Q3994">
        <v>0</v>
      </c>
      <c r="R3994">
        <v>0.98758126837638904</v>
      </c>
      <c r="S3994" t="s">
        <v>9577</v>
      </c>
      <c r="T3994" t="s">
        <v>11164</v>
      </c>
      <c r="U3994" t="s">
        <v>11164</v>
      </c>
      <c r="V3994" t="s">
        <v>11164</v>
      </c>
      <c r="W3994" t="s">
        <v>15115</v>
      </c>
      <c r="X3994">
        <v>2</v>
      </c>
      <c r="Y3994" t="s">
        <v>20589</v>
      </c>
      <c r="Z3994" t="s">
        <v>26144</v>
      </c>
      <c r="AA3994">
        <v>0.58218523566123637</v>
      </c>
      <c r="AB3994" t="str">
        <f>HYPERLINK("Melting_Curves/meltCurve_Q8NI27_THOC2.pdf", "Melting_Curves/meltCurve_Q8NI27_THOC2.pdf")</f>
        <v>Melting_Curves/meltCurve_Q8NI27_THOC2.pdf</v>
      </c>
    </row>
    <row r="3995" spans="1:28" x14ac:dyDescent="0.25">
      <c r="A3995" t="s">
        <v>3999</v>
      </c>
      <c r="B3995">
        <v>0.99796759195183404</v>
      </c>
      <c r="C3995">
        <v>0.91739788739165495</v>
      </c>
      <c r="D3995">
        <v>1.0230880428576901</v>
      </c>
      <c r="E3995">
        <v>0.95635608568749897</v>
      </c>
      <c r="F3995">
        <v>1.1447077003949</v>
      </c>
      <c r="G3995">
        <v>0.61069008391028501</v>
      </c>
      <c r="H3995">
        <v>7.2889586189702898E-2</v>
      </c>
      <c r="I3995">
        <v>7.9385661247623404E-2</v>
      </c>
      <c r="J3995">
        <v>2.35187044493438E-2</v>
      </c>
      <c r="K3995">
        <v>3.1123854962495701E-2</v>
      </c>
      <c r="L3995">
        <v>7995.5221305241303</v>
      </c>
      <c r="M3995">
        <v>148.25379957939299</v>
      </c>
      <c r="N3995">
        <v>53.971047213692202</v>
      </c>
      <c r="O3995">
        <v>53.921478006287401</v>
      </c>
      <c r="P3995">
        <v>-0.65182515277964903</v>
      </c>
      <c r="Q3995">
        <v>5.1696735005226903E-2</v>
      </c>
      <c r="R3995">
        <v>0.984192681734121</v>
      </c>
      <c r="S3995" t="s">
        <v>9578</v>
      </c>
      <c r="T3995" t="s">
        <v>11164</v>
      </c>
      <c r="U3995" t="s">
        <v>11164</v>
      </c>
      <c r="V3995" t="s">
        <v>11164</v>
      </c>
      <c r="W3995" t="s">
        <v>15116</v>
      </c>
      <c r="X3995">
        <v>1</v>
      </c>
      <c r="Y3995" t="s">
        <v>20590</v>
      </c>
      <c r="Z3995" t="s">
        <v>26145</v>
      </c>
      <c r="AA3995">
        <v>0.58715272794913831</v>
      </c>
      <c r="AB3995" t="str">
        <f>HYPERLINK("Melting_Curves/meltCurve_Q8NI36_WDR36.pdf", "Melting_Curves/meltCurve_Q8NI36_WDR36.pdf")</f>
        <v>Melting_Curves/meltCurve_Q8NI36_WDR36.pdf</v>
      </c>
    </row>
    <row r="3996" spans="1:28" x14ac:dyDescent="0.25">
      <c r="A3996" t="s">
        <v>4000</v>
      </c>
      <c r="B3996">
        <v>0.99796759195183404</v>
      </c>
      <c r="C3996">
        <v>1.05750846755104</v>
      </c>
      <c r="D3996">
        <v>1.0295792990334101</v>
      </c>
      <c r="E3996">
        <v>1.0265680305332401</v>
      </c>
      <c r="F3996">
        <v>0.80225909304921705</v>
      </c>
      <c r="G3996">
        <v>0.60464569126998102</v>
      </c>
      <c r="H3996">
        <v>0.32444812834859699</v>
      </c>
      <c r="I3996">
        <v>0.19352101903045399</v>
      </c>
      <c r="J3996">
        <v>0.152197761316094</v>
      </c>
      <c r="K3996">
        <v>0.12163494216172099</v>
      </c>
      <c r="L3996">
        <v>1073.3433836223901</v>
      </c>
      <c r="M3996">
        <v>19.804293680911901</v>
      </c>
      <c r="N3996">
        <v>54.860656849207501</v>
      </c>
      <c r="O3996">
        <v>53.6539854855803</v>
      </c>
      <c r="P3996">
        <v>-8.2457953225892902E-2</v>
      </c>
      <c r="Q3996">
        <v>0.10644669432834999</v>
      </c>
      <c r="R3996">
        <v>0.99254555512356102</v>
      </c>
      <c r="S3996" t="s">
        <v>9579</v>
      </c>
      <c r="T3996" t="s">
        <v>11164</v>
      </c>
      <c r="U3996" t="s">
        <v>11164</v>
      </c>
      <c r="V3996" t="s">
        <v>11164</v>
      </c>
      <c r="W3996" t="s">
        <v>15117</v>
      </c>
      <c r="X3996">
        <v>5</v>
      </c>
      <c r="Y3996" t="s">
        <v>20591</v>
      </c>
      <c r="Z3996" t="s">
        <v>26146</v>
      </c>
      <c r="AA3996">
        <v>0.62950088929835835</v>
      </c>
      <c r="AB3996" t="str">
        <f>HYPERLINK("Melting_Curves/meltCurve_Q8NI37_PPTC7.pdf", "Melting_Curves/meltCurve_Q8NI37_PPTC7.pdf")</f>
        <v>Melting_Curves/meltCurve_Q8NI37_PPTC7.pdf</v>
      </c>
    </row>
    <row r="3997" spans="1:28" x14ac:dyDescent="0.25">
      <c r="A3997" t="s">
        <v>4001</v>
      </c>
      <c r="B3997">
        <v>0.99796759195183404</v>
      </c>
      <c r="C3997">
        <v>0.99567306527299604</v>
      </c>
      <c r="D3997">
        <v>0.96993071726646796</v>
      </c>
      <c r="E3997">
        <v>0.92535534764112304</v>
      </c>
      <c r="F3997">
        <v>0.75912995101397995</v>
      </c>
      <c r="G3997">
        <v>0.52896660977861598</v>
      </c>
      <c r="H3997">
        <v>0.31973783657882099</v>
      </c>
      <c r="I3997">
        <v>0.25751862967675498</v>
      </c>
      <c r="J3997">
        <v>0.23288810797714199</v>
      </c>
      <c r="K3997">
        <v>0.139196427021891</v>
      </c>
      <c r="L3997">
        <v>859.95904910644902</v>
      </c>
      <c r="M3997">
        <v>16.2071935230816</v>
      </c>
      <c r="N3997">
        <v>54.230743834717501</v>
      </c>
      <c r="O3997">
        <v>52.272227285449397</v>
      </c>
      <c r="P3997">
        <v>-6.6078863013929207E-2</v>
      </c>
      <c r="Q3997">
        <v>0.14758014755592999</v>
      </c>
      <c r="R3997">
        <v>0.99681480136341905</v>
      </c>
      <c r="S3997" t="s">
        <v>9580</v>
      </c>
      <c r="T3997" t="s">
        <v>11164</v>
      </c>
      <c r="U3997" t="s">
        <v>11164</v>
      </c>
      <c r="V3997" t="s">
        <v>11164</v>
      </c>
      <c r="W3997" t="s">
        <v>15118</v>
      </c>
      <c r="X3997">
        <v>10</v>
      </c>
      <c r="Y3997" t="s">
        <v>20592</v>
      </c>
      <c r="Z3997" t="s">
        <v>26147</v>
      </c>
      <c r="AA3997">
        <v>0.61790807260039604</v>
      </c>
      <c r="AB3997" t="str">
        <f>HYPERLINK("Melting_Curves/meltCurve_Q8NI60_ADCK3.pdf", "Melting_Curves/meltCurve_Q8NI60_ADCK3.pdf")</f>
        <v>Melting_Curves/meltCurve_Q8NI60_ADCK3.pdf</v>
      </c>
    </row>
    <row r="3998" spans="1:28" x14ac:dyDescent="0.25">
      <c r="A3998" t="s">
        <v>4002</v>
      </c>
      <c r="B3998">
        <v>0.99796759195183404</v>
      </c>
      <c r="C3998">
        <v>1.1017125331834501</v>
      </c>
      <c r="D3998">
        <v>1.0135801011758601</v>
      </c>
      <c r="E3998">
        <v>1.07198400155244</v>
      </c>
      <c r="F3998">
        <v>0.84302171249218305</v>
      </c>
      <c r="G3998">
        <v>0.73980439693707101</v>
      </c>
      <c r="H3998">
        <v>0.45270713849067001</v>
      </c>
      <c r="I3998">
        <v>0.40269436472844999</v>
      </c>
      <c r="J3998">
        <v>0.28629029087463498</v>
      </c>
      <c r="K3998">
        <v>0.17825265421655301</v>
      </c>
      <c r="L3998">
        <v>912.52670070915201</v>
      </c>
      <c r="M3998">
        <v>16.2869985601689</v>
      </c>
      <c r="N3998">
        <v>57.4790194362253</v>
      </c>
      <c r="O3998">
        <v>55.203685312323103</v>
      </c>
      <c r="P3998">
        <v>-6.1330003275532299E-2</v>
      </c>
      <c r="Q3998">
        <v>0.16856485750452099</v>
      </c>
      <c r="R3998">
        <v>0.97023917714960095</v>
      </c>
      <c r="S3998" t="s">
        <v>9581</v>
      </c>
      <c r="T3998" t="s">
        <v>11164</v>
      </c>
      <c r="U3998" t="s">
        <v>11164</v>
      </c>
      <c r="V3998" t="s">
        <v>11164</v>
      </c>
      <c r="W3998" t="s">
        <v>15119</v>
      </c>
      <c r="X3998">
        <v>2</v>
      </c>
      <c r="Y3998" t="s">
        <v>20593</v>
      </c>
      <c r="Z3998" t="s">
        <v>26148</v>
      </c>
      <c r="AA3998">
        <v>0.70536186885405372</v>
      </c>
      <c r="AB3998" t="str">
        <f>HYPERLINK("Melting_Curves/meltCurve_Q8TA86_RP9.pdf", "Melting_Curves/meltCurve_Q8TA86_RP9.pdf")</f>
        <v>Melting_Curves/meltCurve_Q8TA86_RP9.pdf</v>
      </c>
    </row>
    <row r="3999" spans="1:28" x14ac:dyDescent="0.25">
      <c r="A3999" t="s">
        <v>4003</v>
      </c>
      <c r="B3999">
        <v>0.99796759195183404</v>
      </c>
      <c r="C3999">
        <v>1.014446555633</v>
      </c>
      <c r="D3999">
        <v>1.0226465831095399</v>
      </c>
      <c r="E3999">
        <v>0.92183400248735003</v>
      </c>
      <c r="F3999">
        <v>0.54399299556480296</v>
      </c>
      <c r="G3999">
        <v>0.215815585232431</v>
      </c>
      <c r="H3999">
        <v>0.17282545463724999</v>
      </c>
      <c r="I3999">
        <v>0.13373820904909101</v>
      </c>
      <c r="J3999">
        <v>0.14965611139125401</v>
      </c>
      <c r="K3999">
        <v>0.123786491676928</v>
      </c>
      <c r="L3999">
        <v>1605.46230763174</v>
      </c>
      <c r="M3999">
        <v>32.105651288152103</v>
      </c>
      <c r="N3999">
        <v>50.520959646461598</v>
      </c>
      <c r="O3999">
        <v>49.812810240619797</v>
      </c>
      <c r="P3999">
        <v>-0.13863164843619999</v>
      </c>
      <c r="Q3999">
        <v>0.13964114881737</v>
      </c>
      <c r="R3999">
        <v>0.99883452883037105</v>
      </c>
      <c r="S3999" t="s">
        <v>9582</v>
      </c>
      <c r="T3999" t="s">
        <v>11164</v>
      </c>
      <c r="U3999" t="s">
        <v>11164</v>
      </c>
      <c r="V3999" t="s">
        <v>11164</v>
      </c>
      <c r="W3999" t="s">
        <v>15120</v>
      </c>
      <c r="X3999">
        <v>5</v>
      </c>
      <c r="Y3999" t="s">
        <v>20594</v>
      </c>
      <c r="Z3999" t="s">
        <v>26149</v>
      </c>
      <c r="AA3999">
        <v>0.5172390771777482</v>
      </c>
      <c r="AB3999" t="str">
        <f>HYPERLINK("Melting_Curves/meltCurve_Q8TAA5_GRPEL2.pdf", "Melting_Curves/meltCurve_Q8TAA5_GRPEL2.pdf")</f>
        <v>Melting_Curves/meltCurve_Q8TAA5_GRPEL2.pdf</v>
      </c>
    </row>
    <row r="4000" spans="1:28" x14ac:dyDescent="0.25">
      <c r="A4000" t="s">
        <v>4004</v>
      </c>
      <c r="B4000">
        <v>0.99796759195183404</v>
      </c>
      <c r="C4000">
        <v>0.80605106388273795</v>
      </c>
      <c r="D4000">
        <v>0.821955532895287</v>
      </c>
      <c r="E4000">
        <v>0.69045234655937804</v>
      </c>
      <c r="F4000">
        <v>0.84076193117246101</v>
      </c>
      <c r="G4000">
        <v>0.64721408048158302</v>
      </c>
      <c r="H4000">
        <v>0.56181995737567303</v>
      </c>
      <c r="I4000">
        <v>0.50679185551786998</v>
      </c>
      <c r="J4000">
        <v>0.41038635784810801</v>
      </c>
      <c r="K4000">
        <v>0.35060132143822798</v>
      </c>
      <c r="L4000">
        <v>258.05818666893401</v>
      </c>
      <c r="M4000">
        <v>4.2797478177823898</v>
      </c>
      <c r="N4000">
        <v>60.2975232128965</v>
      </c>
      <c r="O4000">
        <v>50.528872178931699</v>
      </c>
      <c r="P4000">
        <v>-2.13933559537186E-2</v>
      </c>
      <c r="Q4000">
        <v>0</v>
      </c>
      <c r="R4000">
        <v>0.887683656635461</v>
      </c>
      <c r="S4000" t="s">
        <v>9583</v>
      </c>
      <c r="T4000" t="s">
        <v>11164</v>
      </c>
      <c r="U4000" t="s">
        <v>11164</v>
      </c>
      <c r="V4000" t="s">
        <v>11164</v>
      </c>
      <c r="W4000" t="s">
        <v>15121</v>
      </c>
      <c r="X4000">
        <v>2</v>
      </c>
      <c r="Y4000" t="s">
        <v>20595</v>
      </c>
      <c r="Z4000" t="s">
        <v>26150</v>
      </c>
      <c r="AA4000">
        <v>0.66660083675443027</v>
      </c>
      <c r="AB4000" t="str">
        <f>HYPERLINK("Melting_Curves/meltCurve_Q8TAA9_2_VANGL1.pdf", "Melting_Curves/meltCurve_Q8TAA9_2_VANGL1.pdf")</f>
        <v>Melting_Curves/meltCurve_Q8TAA9_2_VANGL1.pdf</v>
      </c>
    </row>
    <row r="4001" spans="1:28" x14ac:dyDescent="0.25">
      <c r="A4001" t="s">
        <v>4005</v>
      </c>
      <c r="B4001">
        <v>0.99796759195183404</v>
      </c>
      <c r="C4001">
        <v>0.86063689099554397</v>
      </c>
      <c r="D4001">
        <v>1.0382443898284699</v>
      </c>
      <c r="E4001">
        <v>0.68997085381622902</v>
      </c>
      <c r="F4001">
        <v>0.97033536448841895</v>
      </c>
      <c r="G4001">
        <v>0.604051016981764</v>
      </c>
      <c r="H4001">
        <v>0.60022522001512402</v>
      </c>
      <c r="I4001">
        <v>0.58877025541675199</v>
      </c>
      <c r="J4001">
        <v>0.45721118207307099</v>
      </c>
      <c r="K4001">
        <v>0.70782637573436402</v>
      </c>
      <c r="L4001">
        <v>527.29791245916897</v>
      </c>
      <c r="M4001">
        <v>10.566121600893</v>
      </c>
      <c r="O4001">
        <v>48.2164987593776</v>
      </c>
      <c r="P4001">
        <v>-2.53211890376316E-2</v>
      </c>
      <c r="Q4001">
        <v>0.53798807387889502</v>
      </c>
      <c r="R4001">
        <v>0.62953582526834495</v>
      </c>
      <c r="S4001" t="s">
        <v>9584</v>
      </c>
      <c r="T4001" t="s">
        <v>11164</v>
      </c>
      <c r="U4001" t="s">
        <v>11164</v>
      </c>
      <c r="V4001" t="s">
        <v>11164</v>
      </c>
      <c r="W4001" t="s">
        <v>15122</v>
      </c>
      <c r="X4001">
        <v>3</v>
      </c>
      <c r="Y4001" t="s">
        <v>20596</v>
      </c>
      <c r="Z4001" t="s">
        <v>26151</v>
      </c>
      <c r="AA4001">
        <v>0.75170374484385272</v>
      </c>
      <c r="AB4001" t="str">
        <f>HYPERLINK("Melting_Curves/meltCurve_Q8TAE6_PPP1R14C.pdf", "Melting_Curves/meltCurve_Q8TAE6_PPP1R14C.pdf")</f>
        <v>Melting_Curves/meltCurve_Q8TAE6_PPP1R14C.pdf</v>
      </c>
    </row>
    <row r="4002" spans="1:28" x14ac:dyDescent="0.25">
      <c r="A4002" t="s">
        <v>4006</v>
      </c>
      <c r="B4002">
        <v>0.99796759195183404</v>
      </c>
      <c r="C4002">
        <v>0.92751692841234201</v>
      </c>
      <c r="D4002">
        <v>0.98999499033590199</v>
      </c>
      <c r="E4002">
        <v>1.0110618809840599</v>
      </c>
      <c r="F4002">
        <v>0.79992848652458304</v>
      </c>
      <c r="G4002">
        <v>0.71660879166008096</v>
      </c>
      <c r="H4002">
        <v>0.614385266083607</v>
      </c>
      <c r="I4002">
        <v>0.54980568665148899</v>
      </c>
      <c r="J4002">
        <v>0.54208071643253997</v>
      </c>
      <c r="K4002">
        <v>0.39294100810973298</v>
      </c>
      <c r="L4002">
        <v>621.59721218033303</v>
      </c>
      <c r="M4002">
        <v>11.266546556382201</v>
      </c>
      <c r="N4002">
        <v>62.8732823685895</v>
      </c>
      <c r="O4002">
        <v>53.519472176088399</v>
      </c>
      <c r="P4002">
        <v>-3.29440604182899E-2</v>
      </c>
      <c r="Q4002">
        <v>0.37421588177864201</v>
      </c>
      <c r="R4002">
        <v>0.95496648600501899</v>
      </c>
      <c r="S4002" t="s">
        <v>9585</v>
      </c>
      <c r="T4002" t="s">
        <v>11164</v>
      </c>
      <c r="U4002" t="s">
        <v>11164</v>
      </c>
      <c r="V4002" t="s">
        <v>11164</v>
      </c>
      <c r="W4002" t="s">
        <v>15123</v>
      </c>
      <c r="X4002">
        <v>5</v>
      </c>
      <c r="Y4002" t="s">
        <v>20597</v>
      </c>
      <c r="Z4002" t="s">
        <v>26152</v>
      </c>
      <c r="AA4002">
        <v>0.76135781266714853</v>
      </c>
      <c r="AB4002" t="str">
        <f>HYPERLINK("Melting_Curves/meltCurve_Q8TAE8_GADD45GIP1.pdf", "Melting_Curves/meltCurve_Q8TAE8_GADD45GIP1.pdf")</f>
        <v>Melting_Curves/meltCurve_Q8TAE8_GADD45GIP1.pdf</v>
      </c>
    </row>
    <row r="4003" spans="1:28" x14ac:dyDescent="0.25">
      <c r="A4003" t="s">
        <v>4007</v>
      </c>
      <c r="B4003">
        <v>0.99796759195183404</v>
      </c>
      <c r="C4003">
        <v>1.1266860882874901</v>
      </c>
      <c r="D4003">
        <v>1.1134314522150699</v>
      </c>
      <c r="E4003">
        <v>1.1793149470395199</v>
      </c>
      <c r="F4003">
        <v>0.89536681338916901</v>
      </c>
      <c r="G4003">
        <v>0.70438923615872095</v>
      </c>
      <c r="H4003">
        <v>0.52360979845575195</v>
      </c>
      <c r="I4003">
        <v>0.48665312863967602</v>
      </c>
      <c r="J4003">
        <v>0.36308996192214699</v>
      </c>
      <c r="K4003">
        <v>0.35711206593713402</v>
      </c>
      <c r="L4003">
        <v>1288.1279317905901</v>
      </c>
      <c r="M4003">
        <v>23.701993759360899</v>
      </c>
      <c r="N4003">
        <v>57.783782369237201</v>
      </c>
      <c r="O4003">
        <v>53.964398375379197</v>
      </c>
      <c r="P4003">
        <v>-6.8309772340811495E-2</v>
      </c>
      <c r="Q4003">
        <v>0.37790315222230098</v>
      </c>
      <c r="R4003">
        <v>0.92399820661229404</v>
      </c>
      <c r="S4003" t="s">
        <v>9586</v>
      </c>
      <c r="T4003" t="s">
        <v>11164</v>
      </c>
      <c r="U4003" t="s">
        <v>11164</v>
      </c>
      <c r="V4003" t="s">
        <v>11164</v>
      </c>
      <c r="W4003" t="s">
        <v>15124</v>
      </c>
      <c r="X4003">
        <v>6</v>
      </c>
      <c r="Y4003" t="s">
        <v>20598</v>
      </c>
      <c r="Z4003" t="s">
        <v>26153</v>
      </c>
      <c r="AA4003">
        <v>0.74346893376177292</v>
      </c>
      <c r="AB4003" t="str">
        <f>HYPERLINK("Melting_Curves/meltCurve_Q8TAF3_3_WDR48.pdf", "Melting_Curves/meltCurve_Q8TAF3_3_WDR48.pdf")</f>
        <v>Melting_Curves/meltCurve_Q8TAF3_3_WDR48.pdf</v>
      </c>
    </row>
    <row r="4004" spans="1:28" x14ac:dyDescent="0.25">
      <c r="A4004" t="s">
        <v>4008</v>
      </c>
      <c r="B4004">
        <v>0.99796759195183404</v>
      </c>
      <c r="C4004">
        <v>0.91794486332023995</v>
      </c>
      <c r="D4004">
        <v>0.87355864731925004</v>
      </c>
      <c r="E4004">
        <v>0.92031432211739705</v>
      </c>
      <c r="F4004">
        <v>0.697800616454195</v>
      </c>
      <c r="G4004">
        <v>0.51403447283265202</v>
      </c>
      <c r="H4004">
        <v>0.51612192690048697</v>
      </c>
      <c r="I4004">
        <v>0.43157060981937401</v>
      </c>
      <c r="J4004">
        <v>0.49563182745073803</v>
      </c>
      <c r="K4004">
        <v>0.38674944151600399</v>
      </c>
      <c r="L4004">
        <v>682.51137652985005</v>
      </c>
      <c r="M4004">
        <v>13.6339918557826</v>
      </c>
      <c r="N4004">
        <v>56.948482057229299</v>
      </c>
      <c r="O4004">
        <v>49.019434878918503</v>
      </c>
      <c r="P4004">
        <v>-4.1454691030335798E-2</v>
      </c>
      <c r="Q4004">
        <v>0.40390536121219001</v>
      </c>
      <c r="R4004">
        <v>0.94986876179440305</v>
      </c>
      <c r="S4004" t="s">
        <v>9587</v>
      </c>
      <c r="T4004" t="s">
        <v>11164</v>
      </c>
      <c r="U4004" t="s">
        <v>11164</v>
      </c>
      <c r="V4004" t="s">
        <v>11164</v>
      </c>
      <c r="W4004" t="s">
        <v>15125</v>
      </c>
      <c r="X4004">
        <v>1</v>
      </c>
      <c r="Y4004" t="s">
        <v>20599</v>
      </c>
      <c r="Z4004" t="s">
        <v>26154</v>
      </c>
      <c r="AA4004">
        <v>0.67758340556397156</v>
      </c>
      <c r="AB4004" t="str">
        <f>HYPERLINK("Melting_Curves/meltCurve_Q8TAP8_PPP1R35.pdf", "Melting_Curves/meltCurve_Q8TAP8_PPP1R35.pdf")</f>
        <v>Melting_Curves/meltCurve_Q8TAP8_PPP1R35.pdf</v>
      </c>
    </row>
    <row r="4005" spans="1:28" x14ac:dyDescent="0.25">
      <c r="A4005" t="s">
        <v>4009</v>
      </c>
      <c r="B4005">
        <v>0.99796759195183404</v>
      </c>
      <c r="C4005">
        <v>0.96543608536052505</v>
      </c>
      <c r="D4005">
        <v>0.95442400404336003</v>
      </c>
      <c r="E4005">
        <v>0.91797251657211998</v>
      </c>
      <c r="F4005">
        <v>0.81907221192208401</v>
      </c>
      <c r="G4005">
        <v>0.59771814357713204</v>
      </c>
      <c r="H4005">
        <v>0.35056842371831598</v>
      </c>
      <c r="I4005">
        <v>0.21379970607314799</v>
      </c>
      <c r="J4005">
        <v>0.16827023568583899</v>
      </c>
      <c r="K4005">
        <v>0.14680584233048399</v>
      </c>
      <c r="L4005">
        <v>871.63996063681896</v>
      </c>
      <c r="M4005">
        <v>16.045680840049499</v>
      </c>
      <c r="N4005">
        <v>55.035347328919798</v>
      </c>
      <c r="O4005">
        <v>53.499672601207998</v>
      </c>
      <c r="P4005">
        <v>-6.7949430170403502E-2</v>
      </c>
      <c r="Q4005">
        <v>9.3839694519479502E-2</v>
      </c>
      <c r="R4005">
        <v>0.99707325607267305</v>
      </c>
      <c r="S4005" t="s">
        <v>9588</v>
      </c>
      <c r="T4005" t="s">
        <v>11164</v>
      </c>
      <c r="U4005" t="s">
        <v>11164</v>
      </c>
      <c r="V4005" t="s">
        <v>11164</v>
      </c>
      <c r="W4005" t="s">
        <v>15126</v>
      </c>
      <c r="X4005">
        <v>13</v>
      </c>
      <c r="Y4005" t="s">
        <v>20600</v>
      </c>
      <c r="Z4005" t="s">
        <v>26155</v>
      </c>
      <c r="AA4005">
        <v>0.63052795224466307</v>
      </c>
      <c r="AB4005" t="str">
        <f>HYPERLINK("Melting_Curves/meltCurve_Q8TAT6_NPLOC4.pdf", "Melting_Curves/meltCurve_Q8TAT6_NPLOC4.pdf")</f>
        <v>Melting_Curves/meltCurve_Q8TAT6_NPLOC4.pdf</v>
      </c>
    </row>
    <row r="4006" spans="1:28" x14ac:dyDescent="0.25">
      <c r="A4006" t="s">
        <v>4010</v>
      </c>
      <c r="B4006">
        <v>0.99796759195183404</v>
      </c>
      <c r="C4006">
        <v>0.60336808698191802</v>
      </c>
      <c r="D4006">
        <v>0.48106135274165002</v>
      </c>
      <c r="E4006">
        <v>0.40590865916917901</v>
      </c>
      <c r="F4006">
        <v>1.45477384746001</v>
      </c>
      <c r="G4006">
        <v>0.303820131883977</v>
      </c>
      <c r="H4006">
        <v>0.27726449179493501</v>
      </c>
      <c r="I4006">
        <v>0.196217177441112</v>
      </c>
      <c r="J4006">
        <v>0.15370208506927599</v>
      </c>
      <c r="K4006">
        <v>0.123748059555903</v>
      </c>
      <c r="L4006">
        <v>274.605094903924</v>
      </c>
      <c r="M4006">
        <v>5.3604540130300098</v>
      </c>
      <c r="N4006">
        <v>51.2279545541221</v>
      </c>
      <c r="O4006">
        <v>45.406590879528999</v>
      </c>
      <c r="P4006">
        <v>-2.96558445739439E-2</v>
      </c>
      <c r="Q4006">
        <v>0</v>
      </c>
      <c r="R4006">
        <v>0.32835445407464597</v>
      </c>
      <c r="S4006" t="s">
        <v>9589</v>
      </c>
      <c r="T4006" t="s">
        <v>11164</v>
      </c>
      <c r="U4006" t="s">
        <v>11164</v>
      </c>
      <c r="V4006" t="s">
        <v>11164</v>
      </c>
      <c r="W4006" t="s">
        <v>15127</v>
      </c>
      <c r="X4006">
        <v>1</v>
      </c>
      <c r="Y4006" t="s">
        <v>20601</v>
      </c>
      <c r="Z4006" t="s">
        <v>26156</v>
      </c>
      <c r="AA4006">
        <v>0.51049469042654139</v>
      </c>
      <c r="AB4006" t="str">
        <f>HYPERLINK("Melting_Curves/meltCurve_Q8TAY7_FAM110D.pdf", "Melting_Curves/meltCurve_Q8TAY7_FAM110D.pdf")</f>
        <v>Melting_Curves/meltCurve_Q8TAY7_FAM110D.pdf</v>
      </c>
    </row>
    <row r="4007" spans="1:28" x14ac:dyDescent="0.25">
      <c r="A4007" t="s">
        <v>4011</v>
      </c>
      <c r="B4007">
        <v>0.99796759195183404</v>
      </c>
      <c r="C4007">
        <v>0.94695107563275205</v>
      </c>
      <c r="D4007">
        <v>0.99458291677641697</v>
      </c>
      <c r="E4007">
        <v>0.93154573266101404</v>
      </c>
      <c r="F4007">
        <v>0.82306901681950995</v>
      </c>
      <c r="G4007">
        <v>0.61141639071193099</v>
      </c>
      <c r="H4007">
        <v>0.36507802318154098</v>
      </c>
      <c r="I4007">
        <v>0.27318233152189703</v>
      </c>
      <c r="J4007">
        <v>0.26450224631036601</v>
      </c>
      <c r="K4007">
        <v>0.28599292434749202</v>
      </c>
      <c r="L4007">
        <v>1077.28593978238</v>
      </c>
      <c r="M4007">
        <v>20.229133070896602</v>
      </c>
      <c r="N4007">
        <v>55.073656319376397</v>
      </c>
      <c r="O4007">
        <v>52.741960539035297</v>
      </c>
      <c r="P4007">
        <v>-7.2520527996670997E-2</v>
      </c>
      <c r="Q4007">
        <v>0.24371335259667901</v>
      </c>
      <c r="R4007">
        <v>0.99326015482205399</v>
      </c>
      <c r="S4007" t="s">
        <v>9590</v>
      </c>
      <c r="T4007" t="s">
        <v>11164</v>
      </c>
      <c r="U4007" t="s">
        <v>11164</v>
      </c>
      <c r="V4007" t="s">
        <v>11164</v>
      </c>
      <c r="W4007" t="s">
        <v>15128</v>
      </c>
      <c r="X4007">
        <v>8</v>
      </c>
      <c r="Y4007" t="s">
        <v>20602</v>
      </c>
      <c r="Z4007" t="s">
        <v>26157</v>
      </c>
      <c r="AA4007">
        <v>0.66276774704132679</v>
      </c>
      <c r="AB4007" t="str">
        <f>HYPERLINK("Melting_Curves/meltCurve_Q8TB03_CXorf38.pdf", "Melting_Curves/meltCurve_Q8TB03_CXorf38.pdf")</f>
        <v>Melting_Curves/meltCurve_Q8TB03_CXorf38.pdf</v>
      </c>
    </row>
    <row r="4008" spans="1:28" x14ac:dyDescent="0.25">
      <c r="A4008" t="s">
        <v>4012</v>
      </c>
      <c r="B4008">
        <v>0.99796759195183404</v>
      </c>
      <c r="C4008">
        <v>0.98227585943481899</v>
      </c>
      <c r="D4008">
        <v>1.0652198191378</v>
      </c>
      <c r="E4008">
        <v>1.04688393892361</v>
      </c>
      <c r="F4008">
        <v>0.90553612760341795</v>
      </c>
      <c r="G4008">
        <v>0.59606902386391103</v>
      </c>
      <c r="H4008">
        <v>0.533947951100887</v>
      </c>
      <c r="I4008">
        <v>0.28686458405691601</v>
      </c>
      <c r="J4008">
        <v>0.124355279942975</v>
      </c>
      <c r="K4008">
        <v>0.103667461139011</v>
      </c>
      <c r="L4008">
        <v>843.45784319832103</v>
      </c>
      <c r="M4008">
        <v>14.8227525559714</v>
      </c>
      <c r="N4008">
        <v>56.9029162585081</v>
      </c>
      <c r="O4008">
        <v>55.8973428741078</v>
      </c>
      <c r="P4008">
        <v>-6.6301545874016696E-2</v>
      </c>
      <c r="Q4008">
        <v>0</v>
      </c>
      <c r="R4008">
        <v>0.97748107605688195</v>
      </c>
      <c r="S4008" t="s">
        <v>9591</v>
      </c>
      <c r="T4008" t="s">
        <v>11164</v>
      </c>
      <c r="U4008" t="s">
        <v>11164</v>
      </c>
      <c r="V4008" t="s">
        <v>11164</v>
      </c>
      <c r="W4008" t="s">
        <v>15129</v>
      </c>
      <c r="X4008">
        <v>5</v>
      </c>
      <c r="Y4008" t="s">
        <v>20603</v>
      </c>
      <c r="Z4008" t="s">
        <v>26158</v>
      </c>
      <c r="AA4008">
        <v>0.67186996237709451</v>
      </c>
      <c r="AB4008" t="str">
        <f>HYPERLINK("Melting_Curves/meltCurve_Q8TB36_GDAP1.pdf", "Melting_Curves/meltCurve_Q8TB36_GDAP1.pdf")</f>
        <v>Melting_Curves/meltCurve_Q8TB36_GDAP1.pdf</v>
      </c>
    </row>
    <row r="4009" spans="1:28" x14ac:dyDescent="0.25">
      <c r="A4009" t="s">
        <v>4013</v>
      </c>
      <c r="B4009">
        <v>0.99796759195183404</v>
      </c>
      <c r="C4009">
        <v>1.0138601959251901</v>
      </c>
      <c r="D4009">
        <v>0.96956380131256004</v>
      </c>
      <c r="E4009">
        <v>0.92499424974163102</v>
      </c>
      <c r="F4009">
        <v>0.75913347189771596</v>
      </c>
      <c r="G4009">
        <v>0.42454064831321098</v>
      </c>
      <c r="H4009">
        <v>0.21170588303606699</v>
      </c>
      <c r="I4009">
        <v>0.11283776903093699</v>
      </c>
      <c r="J4009">
        <v>8.8008917174827395E-2</v>
      </c>
      <c r="K4009">
        <v>7.6120520348315096E-2</v>
      </c>
      <c r="L4009">
        <v>1071.3390887184901</v>
      </c>
      <c r="M4009">
        <v>20.346222563348299</v>
      </c>
      <c r="N4009">
        <v>53.001707462220502</v>
      </c>
      <c r="O4009">
        <v>52.154688217220802</v>
      </c>
      <c r="P4009">
        <v>-9.1461211401599601E-2</v>
      </c>
      <c r="Q4009">
        <v>6.2236576695916999E-2</v>
      </c>
      <c r="R4009">
        <v>0.99931298937890101</v>
      </c>
      <c r="S4009" t="s">
        <v>9592</v>
      </c>
      <c r="T4009" t="s">
        <v>11164</v>
      </c>
      <c r="U4009" t="s">
        <v>11164</v>
      </c>
      <c r="V4009" t="s">
        <v>11164</v>
      </c>
      <c r="W4009" t="s">
        <v>15130</v>
      </c>
      <c r="X4009">
        <v>5</v>
      </c>
      <c r="Y4009" t="s">
        <v>20604</v>
      </c>
      <c r="Z4009" t="s">
        <v>26159</v>
      </c>
      <c r="AA4009">
        <v>0.56323552833282675</v>
      </c>
      <c r="AB4009" t="str">
        <f>HYPERLINK("Melting_Curves/meltCurve_Q8TB37_NUBPL.pdf", "Melting_Curves/meltCurve_Q8TB37_NUBPL.pdf")</f>
        <v>Melting_Curves/meltCurve_Q8TB37_NUBPL.pdf</v>
      </c>
    </row>
    <row r="4010" spans="1:28" x14ac:dyDescent="0.25">
      <c r="A4010" t="s">
        <v>4014</v>
      </c>
      <c r="B4010">
        <v>0.99796759195183404</v>
      </c>
      <c r="C4010">
        <v>0.93574435358485997</v>
      </c>
      <c r="D4010">
        <v>0.95175235728688701</v>
      </c>
      <c r="E4010">
        <v>0.83845232841688899</v>
      </c>
      <c r="F4010">
        <v>0.76236894987852599</v>
      </c>
      <c r="G4010">
        <v>0.479397489179758</v>
      </c>
      <c r="H4010">
        <v>0.17406991750815801</v>
      </c>
      <c r="I4010">
        <v>0.15091877431106901</v>
      </c>
      <c r="J4010">
        <v>8.9857679352902495E-2</v>
      </c>
      <c r="K4010">
        <v>0.11519463459479801</v>
      </c>
      <c r="L4010">
        <v>898.27302645434497</v>
      </c>
      <c r="M4010">
        <v>17.041948846786202</v>
      </c>
      <c r="N4010">
        <v>53.084397933183403</v>
      </c>
      <c r="O4010">
        <v>51.999803910857302</v>
      </c>
      <c r="P4010">
        <v>-7.7292390059300595E-2</v>
      </c>
      <c r="Q4010">
        <v>5.6693998766696597E-2</v>
      </c>
      <c r="R4010">
        <v>0.98610378732024195</v>
      </c>
      <c r="S4010" t="s">
        <v>9593</v>
      </c>
      <c r="T4010" t="s">
        <v>11164</v>
      </c>
      <c r="U4010" t="s">
        <v>11164</v>
      </c>
      <c r="V4010" t="s">
        <v>11164</v>
      </c>
      <c r="W4010" t="s">
        <v>15131</v>
      </c>
      <c r="X4010">
        <v>3</v>
      </c>
      <c r="Y4010" t="s">
        <v>20605</v>
      </c>
      <c r="Z4010" t="s">
        <v>26160</v>
      </c>
      <c r="AA4010">
        <v>0.56556351377678971</v>
      </c>
      <c r="AB4010" t="str">
        <f>HYPERLINK("Melting_Curves/meltCurve_Q8TB52_FBXO30.pdf", "Melting_Curves/meltCurve_Q8TB52_FBXO30.pdf")</f>
        <v>Melting_Curves/meltCurve_Q8TB52_FBXO30.pdf</v>
      </c>
    </row>
    <row r="4011" spans="1:28" x14ac:dyDescent="0.25">
      <c r="A4011" t="s">
        <v>4015</v>
      </c>
      <c r="B4011">
        <v>0.99796759195183404</v>
      </c>
      <c r="C4011">
        <v>0.97647711629716505</v>
      </c>
      <c r="D4011">
        <v>1.0261247703918599</v>
      </c>
      <c r="E4011">
        <v>0.95221212002054401</v>
      </c>
      <c r="F4011">
        <v>0.83572307412048497</v>
      </c>
      <c r="G4011">
        <v>0.707619409013169</v>
      </c>
      <c r="H4011">
        <v>0.63561678075874595</v>
      </c>
      <c r="I4011">
        <v>0.528600074023999</v>
      </c>
      <c r="J4011">
        <v>0.32098816920341799</v>
      </c>
      <c r="K4011">
        <v>0.175010831524963</v>
      </c>
      <c r="L4011">
        <v>614.21246318451097</v>
      </c>
      <c r="M4011">
        <v>10.2833714643637</v>
      </c>
      <c r="N4011">
        <v>59.728705267037299</v>
      </c>
      <c r="O4011">
        <v>57.602246234102601</v>
      </c>
      <c r="P4011">
        <v>-4.4650453745100398E-2</v>
      </c>
      <c r="Q4011">
        <v>0</v>
      </c>
      <c r="R4011">
        <v>0.97599121572980996</v>
      </c>
      <c r="S4011" t="s">
        <v>9594</v>
      </c>
      <c r="T4011" t="s">
        <v>11164</v>
      </c>
      <c r="U4011" t="s">
        <v>11164</v>
      </c>
      <c r="V4011" t="s">
        <v>11164</v>
      </c>
      <c r="W4011" t="s">
        <v>15132</v>
      </c>
      <c r="X4011">
        <v>6</v>
      </c>
      <c r="Y4011" t="s">
        <v>20606</v>
      </c>
      <c r="Z4011" t="s">
        <v>26161</v>
      </c>
      <c r="AA4011">
        <v>0.7351769919088994</v>
      </c>
      <c r="AB4011" t="str">
        <f>HYPERLINK("Melting_Curves/meltCurve_Q8TB61_3_SLC35B2.pdf", "Melting_Curves/meltCurve_Q8TB61_3_SLC35B2.pdf")</f>
        <v>Melting_Curves/meltCurve_Q8TB61_3_SLC35B2.pdf</v>
      </c>
    </row>
    <row r="4012" spans="1:28" x14ac:dyDescent="0.25">
      <c r="A4012" t="s">
        <v>4016</v>
      </c>
      <c r="B4012">
        <v>0.99796759195183404</v>
      </c>
      <c r="C4012">
        <v>1.0554035418321299</v>
      </c>
      <c r="D4012">
        <v>1.0131862173044801</v>
      </c>
      <c r="E4012">
        <v>0.945073984557395</v>
      </c>
      <c r="F4012">
        <v>0.89722642159017196</v>
      </c>
      <c r="G4012">
        <v>0.70586327132759996</v>
      </c>
      <c r="H4012">
        <v>0.61333368700772095</v>
      </c>
      <c r="I4012">
        <v>0.41837087692818298</v>
      </c>
      <c r="J4012">
        <v>0.37847225990757799</v>
      </c>
      <c r="K4012">
        <v>0.25021176124220601</v>
      </c>
      <c r="L4012">
        <v>676.29995986513995</v>
      </c>
      <c r="M4012">
        <v>11.664359824372999</v>
      </c>
      <c r="N4012">
        <v>59.419991247848401</v>
      </c>
      <c r="O4012">
        <v>56.354531024132001</v>
      </c>
      <c r="P4012">
        <v>-4.5386985122686498E-2</v>
      </c>
      <c r="Q4012">
        <v>0.123115430282556</v>
      </c>
      <c r="R4012">
        <v>0.98779983601769195</v>
      </c>
      <c r="S4012" t="s">
        <v>9595</v>
      </c>
      <c r="T4012" t="s">
        <v>11164</v>
      </c>
      <c r="U4012" t="s">
        <v>11164</v>
      </c>
      <c r="V4012" t="s">
        <v>11164</v>
      </c>
      <c r="W4012" t="s">
        <v>15133</v>
      </c>
      <c r="X4012">
        <v>14</v>
      </c>
      <c r="Y4012" t="s">
        <v>20607</v>
      </c>
      <c r="Z4012" t="s">
        <v>26162</v>
      </c>
      <c r="AA4012">
        <v>0.73445020891606305</v>
      </c>
      <c r="AB4012" t="str">
        <f>HYPERLINK("Melting_Curves/meltCurve_Q8TBA6_2_GOLGA5.pdf", "Melting_Curves/meltCurve_Q8TBA6_2_GOLGA5.pdf")</f>
        <v>Melting_Curves/meltCurve_Q8TBA6_2_GOLGA5.pdf</v>
      </c>
    </row>
    <row r="4013" spans="1:28" x14ac:dyDescent="0.25">
      <c r="A4013" t="s">
        <v>4017</v>
      </c>
      <c r="B4013">
        <v>0.99796759195183404</v>
      </c>
      <c r="C4013">
        <v>1.01960069823369</v>
      </c>
      <c r="D4013">
        <v>0.97831957761856803</v>
      </c>
      <c r="E4013">
        <v>0.94270407736819295</v>
      </c>
      <c r="F4013">
        <v>0.67101711186017299</v>
      </c>
      <c r="G4013">
        <v>0.43930589386789298</v>
      </c>
      <c r="H4013">
        <v>0.32235344214084199</v>
      </c>
      <c r="I4013">
        <v>0.18536291715679401</v>
      </c>
      <c r="J4013">
        <v>0.142900448923652</v>
      </c>
      <c r="K4013">
        <v>0.10406042110543801</v>
      </c>
      <c r="L4013">
        <v>843.00950136460904</v>
      </c>
      <c r="M4013">
        <v>16.075170532665499</v>
      </c>
      <c r="N4013">
        <v>53.162130723188199</v>
      </c>
      <c r="O4013">
        <v>51.650307639008403</v>
      </c>
      <c r="P4013">
        <v>-7.0197886612956506E-2</v>
      </c>
      <c r="Q4013">
        <v>9.7872705712941904E-2</v>
      </c>
      <c r="R4013">
        <v>0.99478856542975802</v>
      </c>
      <c r="S4013" t="s">
        <v>9596</v>
      </c>
      <c r="T4013" t="s">
        <v>11164</v>
      </c>
      <c r="U4013" t="s">
        <v>11164</v>
      </c>
      <c r="V4013" t="s">
        <v>11164</v>
      </c>
      <c r="W4013" t="s">
        <v>15134</v>
      </c>
      <c r="X4013">
        <v>5</v>
      </c>
      <c r="Y4013" t="s">
        <v>20608</v>
      </c>
      <c r="Z4013" t="s">
        <v>26163</v>
      </c>
      <c r="AA4013">
        <v>0.57774146282663541</v>
      </c>
      <c r="AB4013" t="str">
        <f>HYPERLINK("Melting_Curves/meltCurve_Q8TBB5_3_KLHDC4.pdf", "Melting_Curves/meltCurve_Q8TBB5_3_KLHDC4.pdf")</f>
        <v>Melting_Curves/meltCurve_Q8TBB5_3_KLHDC4.pdf</v>
      </c>
    </row>
    <row r="4014" spans="1:28" x14ac:dyDescent="0.25">
      <c r="A4014" t="s">
        <v>4018</v>
      </c>
      <c r="B4014">
        <v>0.99796759195183404</v>
      </c>
      <c r="C4014">
        <v>1.0336453460360999</v>
      </c>
      <c r="D4014">
        <v>1.0187188577994799</v>
      </c>
      <c r="E4014">
        <v>0.97680656929698295</v>
      </c>
      <c r="F4014">
        <v>0.88356638099739204</v>
      </c>
      <c r="G4014">
        <v>0.71973242607836896</v>
      </c>
      <c r="H4014">
        <v>0.21198822217122501</v>
      </c>
      <c r="I4014">
        <v>0.16135889023967001</v>
      </c>
      <c r="J4014">
        <v>0.127709104912234</v>
      </c>
      <c r="K4014">
        <v>0.103353893103498</v>
      </c>
      <c r="L4014">
        <v>2015.25224906111</v>
      </c>
      <c r="M4014">
        <v>36.843127054458797</v>
      </c>
      <c r="N4014">
        <v>55.088690998941502</v>
      </c>
      <c r="O4014">
        <v>54.537805322980702</v>
      </c>
      <c r="P4014">
        <v>-0.14947917678950801</v>
      </c>
      <c r="Q4014">
        <v>0.114924134679146</v>
      </c>
      <c r="R4014">
        <v>0.99210871260593403</v>
      </c>
      <c r="S4014" t="s">
        <v>9597</v>
      </c>
      <c r="T4014" t="s">
        <v>11164</v>
      </c>
      <c r="U4014" t="s">
        <v>11164</v>
      </c>
      <c r="V4014" t="s">
        <v>11164</v>
      </c>
      <c r="W4014" t="s">
        <v>15135</v>
      </c>
      <c r="X4014">
        <v>15</v>
      </c>
      <c r="Y4014" t="s">
        <v>20609</v>
      </c>
      <c r="Z4014" t="s">
        <v>26164</v>
      </c>
      <c r="AA4014">
        <v>0.64093586010663584</v>
      </c>
      <c r="AB4014" t="str">
        <f>HYPERLINK("Melting_Curves/meltCurve_Q8TBC4_UBA3.pdf", "Melting_Curves/meltCurve_Q8TBC4_UBA3.pdf")</f>
        <v>Melting_Curves/meltCurve_Q8TBC4_UBA3.pdf</v>
      </c>
    </row>
    <row r="4015" spans="1:28" x14ac:dyDescent="0.25">
      <c r="A4015" t="s">
        <v>4019</v>
      </c>
      <c r="B4015">
        <v>0.99796759195183404</v>
      </c>
      <c r="C4015">
        <v>0.96684905772097496</v>
      </c>
      <c r="D4015">
        <v>0.85356812005877303</v>
      </c>
      <c r="E4015">
        <v>0.85822812941385795</v>
      </c>
      <c r="F4015">
        <v>0.66560304491057098</v>
      </c>
      <c r="G4015">
        <v>0.44874370519394702</v>
      </c>
      <c r="H4015">
        <v>0.32102386779797598</v>
      </c>
      <c r="I4015">
        <v>0.27618250822964202</v>
      </c>
      <c r="J4015">
        <v>0.182233182225224</v>
      </c>
      <c r="K4015">
        <v>0.15431938164990999</v>
      </c>
      <c r="L4015">
        <v>564.16057620302502</v>
      </c>
      <c r="M4015">
        <v>10.7494985132185</v>
      </c>
      <c r="N4015">
        <v>53.285022950139698</v>
      </c>
      <c r="O4015">
        <v>50.764050923795999</v>
      </c>
      <c r="P4015">
        <v>-4.9000196266815302E-2</v>
      </c>
      <c r="Q4015">
        <v>7.4735714026177194E-2</v>
      </c>
      <c r="R4015">
        <v>0.99057800969413601</v>
      </c>
      <c r="S4015" t="s">
        <v>9598</v>
      </c>
      <c r="T4015" t="s">
        <v>11164</v>
      </c>
      <c r="U4015" t="s">
        <v>11164</v>
      </c>
      <c r="V4015" t="s">
        <v>11164</v>
      </c>
      <c r="W4015" t="s">
        <v>15136</v>
      </c>
      <c r="X4015">
        <v>3</v>
      </c>
      <c r="Y4015" t="s">
        <v>20610</v>
      </c>
      <c r="Z4015" t="s">
        <v>26165</v>
      </c>
      <c r="AA4015">
        <v>0.57442304272934819</v>
      </c>
      <c r="AB4015" t="str">
        <f>HYPERLINK("Melting_Curves/meltCurve_Q8TBE9_NANP.pdf", "Melting_Curves/meltCurve_Q8TBE9_NANP.pdf")</f>
        <v>Melting_Curves/meltCurve_Q8TBE9_NANP.pdf</v>
      </c>
    </row>
    <row r="4016" spans="1:28" x14ac:dyDescent="0.25">
      <c r="A4016" t="s">
        <v>4020</v>
      </c>
      <c r="B4016">
        <v>0.99796759195183404</v>
      </c>
      <c r="C4016">
        <v>1.08435447722614</v>
      </c>
      <c r="D4016">
        <v>1.05431402392046</v>
      </c>
      <c r="E4016">
        <v>1.0300240327965799</v>
      </c>
      <c r="F4016">
        <v>0.88302435174864302</v>
      </c>
      <c r="G4016">
        <v>0.71561147070335396</v>
      </c>
      <c r="H4016">
        <v>0.76901904997463699</v>
      </c>
      <c r="I4016">
        <v>0.56887588198082795</v>
      </c>
      <c r="J4016">
        <v>0.70316951479757495</v>
      </c>
      <c r="K4016">
        <v>0.37913890893035901</v>
      </c>
      <c r="L4016">
        <v>538.40370766001195</v>
      </c>
      <c r="M4016">
        <v>8.7846261821653098</v>
      </c>
      <c r="N4016">
        <v>65.857697034368101</v>
      </c>
      <c r="O4016">
        <v>58.362204846600001</v>
      </c>
      <c r="P4016">
        <v>-2.9067555109955099E-2</v>
      </c>
      <c r="Q4016">
        <v>0.228152683871372</v>
      </c>
      <c r="R4016">
        <v>0.85274973800315901</v>
      </c>
      <c r="S4016" t="s">
        <v>9599</v>
      </c>
      <c r="T4016" t="s">
        <v>11164</v>
      </c>
      <c r="U4016" t="s">
        <v>11164</v>
      </c>
      <c r="V4016" t="s">
        <v>11164</v>
      </c>
      <c r="W4016" t="s">
        <v>15137</v>
      </c>
      <c r="X4016">
        <v>2</v>
      </c>
      <c r="Y4016" t="s">
        <v>20611</v>
      </c>
      <c r="Z4016" t="s">
        <v>26166</v>
      </c>
      <c r="AA4016">
        <v>0.81338098962268501</v>
      </c>
      <c r="AB4016" t="str">
        <f>HYPERLINK("Melting_Curves/meltCurve_Q8TBP6_SLC25A40.pdf", "Melting_Curves/meltCurve_Q8TBP6_SLC25A40.pdf")</f>
        <v>Melting_Curves/meltCurve_Q8TBP6_SLC25A40.pdf</v>
      </c>
    </row>
    <row r="4017" spans="1:28" x14ac:dyDescent="0.25">
      <c r="A4017" t="s">
        <v>4021</v>
      </c>
      <c r="B4017">
        <v>0.99796759195183404</v>
      </c>
      <c r="C4017">
        <v>0.981380503963317</v>
      </c>
      <c r="D4017">
        <v>0.91581530049150295</v>
      </c>
      <c r="E4017">
        <v>0.81276825591238699</v>
      </c>
      <c r="F4017">
        <v>0.67079897651446996</v>
      </c>
      <c r="G4017">
        <v>0.39352546155178397</v>
      </c>
      <c r="H4017">
        <v>0.29436250702370897</v>
      </c>
      <c r="I4017">
        <v>0.22287225254265799</v>
      </c>
      <c r="J4017">
        <v>0.20409214325757899</v>
      </c>
      <c r="K4017">
        <v>0.12788154927079501</v>
      </c>
      <c r="L4017">
        <v>674.67038529782496</v>
      </c>
      <c r="M4017">
        <v>13.107770432558301</v>
      </c>
      <c r="N4017">
        <v>52.490617366459901</v>
      </c>
      <c r="O4017">
        <v>50.317239117520103</v>
      </c>
      <c r="P4017">
        <v>-5.7815904274296302E-2</v>
      </c>
      <c r="Q4017">
        <v>0.1123924320885</v>
      </c>
      <c r="R4017">
        <v>0.99503591907123401</v>
      </c>
      <c r="S4017" t="s">
        <v>9600</v>
      </c>
      <c r="T4017" t="s">
        <v>11164</v>
      </c>
      <c r="U4017" t="s">
        <v>11164</v>
      </c>
      <c r="V4017" t="s">
        <v>11164</v>
      </c>
      <c r="W4017" t="s">
        <v>15138</v>
      </c>
      <c r="X4017">
        <v>7</v>
      </c>
      <c r="Y4017" t="s">
        <v>20612</v>
      </c>
      <c r="Z4017" t="s">
        <v>26167</v>
      </c>
      <c r="AA4017">
        <v>0.56092342667495287</v>
      </c>
      <c r="AB4017" t="str">
        <f>HYPERLINK("Melting_Curves/meltCurve_Q8TBX8_PIP4K2C.pdf", "Melting_Curves/meltCurve_Q8TBX8_PIP4K2C.pdf")</f>
        <v>Melting_Curves/meltCurve_Q8TBX8_PIP4K2C.pdf</v>
      </c>
    </row>
    <row r="4018" spans="1:28" x14ac:dyDescent="0.25">
      <c r="A4018" t="s">
        <v>4022</v>
      </c>
      <c r="B4018">
        <v>0.99796759195183404</v>
      </c>
      <c r="C4018">
        <v>1.00916714963147</v>
      </c>
      <c r="D4018">
        <v>0.951959484032876</v>
      </c>
      <c r="E4018">
        <v>0.93673866495038605</v>
      </c>
      <c r="F4018">
        <v>0.84660638093361595</v>
      </c>
      <c r="G4018">
        <v>0.65256464847421203</v>
      </c>
      <c r="H4018">
        <v>0.45226285734816202</v>
      </c>
      <c r="I4018">
        <v>0.281194901792859</v>
      </c>
      <c r="J4018">
        <v>0.24408514214032201</v>
      </c>
      <c r="K4018">
        <v>0.15833576855117601</v>
      </c>
      <c r="L4018">
        <v>767.93013446511395</v>
      </c>
      <c r="M4018">
        <v>13.789061493173399</v>
      </c>
      <c r="N4018">
        <v>56.491651659984498</v>
      </c>
      <c r="O4018">
        <v>54.559148271166102</v>
      </c>
      <c r="P4018">
        <v>-5.7585488632967197E-2</v>
      </c>
      <c r="Q4018">
        <v>8.8734478689018806E-2</v>
      </c>
      <c r="R4018">
        <v>0.99749705907314501</v>
      </c>
      <c r="S4018" t="s">
        <v>9601</v>
      </c>
      <c r="T4018" t="s">
        <v>11164</v>
      </c>
      <c r="U4018" t="s">
        <v>11164</v>
      </c>
      <c r="V4018" t="s">
        <v>11164</v>
      </c>
      <c r="W4018" t="s">
        <v>15139</v>
      </c>
      <c r="X4018">
        <v>5</v>
      </c>
      <c r="Y4018" t="s">
        <v>20613</v>
      </c>
      <c r="Z4018" t="s">
        <v>26168</v>
      </c>
      <c r="AA4018">
        <v>0.66764557069173291</v>
      </c>
      <c r="AB4018" t="str">
        <f>HYPERLINK("Melting_Curves/meltCurve_Q8TBZ6_TRMT10A.pdf", "Melting_Curves/meltCurve_Q8TBZ6_TRMT10A.pdf")</f>
        <v>Melting_Curves/meltCurve_Q8TBZ6_TRMT10A.pdf</v>
      </c>
    </row>
    <row r="4019" spans="1:28" x14ac:dyDescent="0.25">
      <c r="A4019" t="s">
        <v>4023</v>
      </c>
      <c r="B4019">
        <v>0.99796759195183404</v>
      </c>
      <c r="C4019">
        <v>1.0780633342438199</v>
      </c>
      <c r="D4019">
        <v>1.05898971985668</v>
      </c>
      <c r="E4019">
        <v>0.96521843763845905</v>
      </c>
      <c r="F4019">
        <v>0.84804806007301103</v>
      </c>
      <c r="G4019">
        <v>0.378524725056268</v>
      </c>
      <c r="H4019">
        <v>0.155755726367137</v>
      </c>
      <c r="I4019">
        <v>0.10889673116998801</v>
      </c>
      <c r="J4019">
        <v>8.2420245064926997E-2</v>
      </c>
      <c r="K4019">
        <v>7.3440395656902496E-2</v>
      </c>
      <c r="L4019">
        <v>1692.0915229991199</v>
      </c>
      <c r="M4019">
        <v>32.162271217533402</v>
      </c>
      <c r="N4019">
        <v>52.919910829775397</v>
      </c>
      <c r="O4019">
        <v>52.408946121914603</v>
      </c>
      <c r="P4019">
        <v>-0.14029270415241801</v>
      </c>
      <c r="Q4019">
        <v>8.5567810908876496E-2</v>
      </c>
      <c r="R4019">
        <v>0.99409859680108503</v>
      </c>
      <c r="S4019" t="s">
        <v>9602</v>
      </c>
      <c r="T4019" t="s">
        <v>11164</v>
      </c>
      <c r="U4019" t="s">
        <v>11164</v>
      </c>
      <c r="V4019" t="s">
        <v>11164</v>
      </c>
      <c r="W4019" t="s">
        <v>15140</v>
      </c>
      <c r="X4019">
        <v>15</v>
      </c>
      <c r="Y4019" t="s">
        <v>20614</v>
      </c>
      <c r="Z4019" t="s">
        <v>26169</v>
      </c>
      <c r="AA4019">
        <v>0.56649240434608006</v>
      </c>
      <c r="AB4019" t="str">
        <f>HYPERLINK("Melting_Curves/meltCurve_Q8TC07_2_TBC1D15.pdf", "Melting_Curves/meltCurve_Q8TC07_2_TBC1D15.pdf")</f>
        <v>Melting_Curves/meltCurve_Q8TC07_2_TBC1D15.pdf</v>
      </c>
    </row>
    <row r="4020" spans="1:28" x14ac:dyDescent="0.25">
      <c r="A4020" t="s">
        <v>4024</v>
      </c>
      <c r="B4020">
        <v>0.99796759195183404</v>
      </c>
      <c r="C4020">
        <v>1.0050221914388699</v>
      </c>
      <c r="D4020">
        <v>1.0261840463299201</v>
      </c>
      <c r="E4020">
        <v>1.0255818447644101</v>
      </c>
      <c r="F4020">
        <v>0.79653110242532998</v>
      </c>
      <c r="G4020">
        <v>0.227523876974459</v>
      </c>
      <c r="H4020">
        <v>0.149857936784423</v>
      </c>
      <c r="I4020">
        <v>0.10409245488020601</v>
      </c>
      <c r="J4020">
        <v>0.103121485489476</v>
      </c>
      <c r="K4020">
        <v>6.4865854860095995E-2</v>
      </c>
      <c r="L4020">
        <v>2262.4018155444301</v>
      </c>
      <c r="M4020">
        <v>43.829868037441699</v>
      </c>
      <c r="N4020">
        <v>51.886515142588003</v>
      </c>
      <c r="O4020">
        <v>51.5107195382813</v>
      </c>
      <c r="P4020">
        <v>-0.191125411218205</v>
      </c>
      <c r="Q4020">
        <v>0.101526812379361</v>
      </c>
      <c r="R4020">
        <v>0.99745624151185197</v>
      </c>
      <c r="S4020" t="s">
        <v>9603</v>
      </c>
      <c r="T4020" t="s">
        <v>11164</v>
      </c>
      <c r="U4020" t="s">
        <v>11164</v>
      </c>
      <c r="V4020" t="s">
        <v>11164</v>
      </c>
      <c r="W4020" t="s">
        <v>15141</v>
      </c>
      <c r="X4020">
        <v>9</v>
      </c>
      <c r="Y4020" t="s">
        <v>20615</v>
      </c>
      <c r="Z4020" t="s">
        <v>26170</v>
      </c>
      <c r="AA4020">
        <v>0.54198124212051912</v>
      </c>
      <c r="AB4020" t="str">
        <f>HYPERLINK("Melting_Curves/meltCurve_Q8TC12_RDH11.pdf", "Melting_Curves/meltCurve_Q8TC12_RDH11.pdf")</f>
        <v>Melting_Curves/meltCurve_Q8TC12_RDH11.pdf</v>
      </c>
    </row>
    <row r="4021" spans="1:28" x14ac:dyDescent="0.25">
      <c r="A4021" t="s">
        <v>4025</v>
      </c>
      <c r="B4021">
        <v>0.99796759195183404</v>
      </c>
      <c r="C4021">
        <v>1.02398885571979</v>
      </c>
      <c r="D4021">
        <v>0.86935146818309705</v>
      </c>
      <c r="E4021">
        <v>0.83453608308749405</v>
      </c>
      <c r="F4021">
        <v>0.68395142327361802</v>
      </c>
      <c r="G4021">
        <v>0.59565799132265496</v>
      </c>
      <c r="H4021">
        <v>0.46232699589888598</v>
      </c>
      <c r="I4021">
        <v>0.454978444436</v>
      </c>
      <c r="J4021">
        <v>0.62818203531101502</v>
      </c>
      <c r="K4021">
        <v>0.48022884346382999</v>
      </c>
      <c r="L4021">
        <v>744.50498444102504</v>
      </c>
      <c r="M4021">
        <v>15.4566943894171</v>
      </c>
      <c r="O4021">
        <v>47.382509543168197</v>
      </c>
      <c r="P4021">
        <v>-4.1171982696474797E-2</v>
      </c>
      <c r="Q4021">
        <v>0.49519436927601301</v>
      </c>
      <c r="R4021">
        <v>0.926817591226333</v>
      </c>
      <c r="S4021" t="s">
        <v>9604</v>
      </c>
      <c r="T4021" t="s">
        <v>11164</v>
      </c>
      <c r="U4021" t="s">
        <v>11164</v>
      </c>
      <c r="V4021" t="s">
        <v>11164</v>
      </c>
      <c r="W4021" t="s">
        <v>15142</v>
      </c>
      <c r="X4021">
        <v>1</v>
      </c>
      <c r="Y4021" t="s">
        <v>20616</v>
      </c>
      <c r="Z4021" t="s">
        <v>26171</v>
      </c>
      <c r="AA4021">
        <v>0.69363570796746121</v>
      </c>
      <c r="AB4021" t="str">
        <f>HYPERLINK("Melting_Curves/meltCurve_Q8TC26_TMEM163.pdf", "Melting_Curves/meltCurve_Q8TC26_TMEM163.pdf")</f>
        <v>Melting_Curves/meltCurve_Q8TC26_TMEM163.pdf</v>
      </c>
    </row>
    <row r="4022" spans="1:28" x14ac:dyDescent="0.25">
      <c r="A4022" t="s">
        <v>4026</v>
      </c>
      <c r="B4022">
        <v>0.99796759195183404</v>
      </c>
      <c r="C4022">
        <v>1.0088580490124699</v>
      </c>
      <c r="D4022">
        <v>1.0110691234067499</v>
      </c>
      <c r="E4022">
        <v>0.97187115689039905</v>
      </c>
      <c r="F4022">
        <v>0.78471650907363799</v>
      </c>
      <c r="G4022">
        <v>0.44675832112956299</v>
      </c>
      <c r="H4022">
        <v>0.30279636252146902</v>
      </c>
      <c r="I4022">
        <v>0.43704729658017299</v>
      </c>
      <c r="J4022">
        <v>0.17756489804867201</v>
      </c>
      <c r="K4022">
        <v>0.16395812421629899</v>
      </c>
      <c r="L4022">
        <v>1237.86387088176</v>
      </c>
      <c r="M4022">
        <v>23.7976099147707</v>
      </c>
      <c r="N4022">
        <v>53.472969136502499</v>
      </c>
      <c r="O4022">
        <v>51.653183224261703</v>
      </c>
      <c r="P4022">
        <v>-8.7707904465851E-2</v>
      </c>
      <c r="Q4022">
        <v>0.23852548448778399</v>
      </c>
      <c r="R4022">
        <v>0.96242596649949497</v>
      </c>
      <c r="S4022" t="s">
        <v>9605</v>
      </c>
      <c r="T4022" t="s">
        <v>11164</v>
      </c>
      <c r="U4022" t="s">
        <v>11164</v>
      </c>
      <c r="V4022" t="s">
        <v>11164</v>
      </c>
      <c r="W4022" t="s">
        <v>15143</v>
      </c>
      <c r="X4022">
        <v>1</v>
      </c>
      <c r="Y4022" t="s">
        <v>20617</v>
      </c>
      <c r="Z4022" t="s">
        <v>26172</v>
      </c>
      <c r="AA4022">
        <v>0.62703969046939934</v>
      </c>
      <c r="AB4022" t="str">
        <f>HYPERLINK("Melting_Curves/meltCurve_Q8TC71_2_SPATA18.pdf", "Melting_Curves/meltCurve_Q8TC71_2_SPATA18.pdf")</f>
        <v>Melting_Curves/meltCurve_Q8TC71_2_SPATA18.pdf</v>
      </c>
    </row>
    <row r="4023" spans="1:28" x14ac:dyDescent="0.25">
      <c r="A4023" t="s">
        <v>4027</v>
      </c>
      <c r="B4023">
        <v>0.99796759195183404</v>
      </c>
      <c r="C4023">
        <v>0.94946603328169599</v>
      </c>
      <c r="D4023">
        <v>1.00540883769157</v>
      </c>
      <c r="E4023">
        <v>1.0883417106908</v>
      </c>
      <c r="F4023">
        <v>0.97292583079769002</v>
      </c>
      <c r="G4023">
        <v>0.56035791236851196</v>
      </c>
      <c r="H4023">
        <v>0.63897718186861396</v>
      </c>
      <c r="I4023">
        <v>0.69615800465854505</v>
      </c>
      <c r="J4023">
        <v>0.75784350287459401</v>
      </c>
      <c r="K4023">
        <v>0.73672349884691601</v>
      </c>
      <c r="L4023">
        <v>12669.881320070101</v>
      </c>
      <c r="M4023">
        <v>250</v>
      </c>
      <c r="O4023">
        <v>50.676279613063599</v>
      </c>
      <c r="P4023">
        <v>-0.39711376706044199</v>
      </c>
      <c r="Q4023">
        <v>0.67801201162899705</v>
      </c>
      <c r="R4023">
        <v>0.88045119411642803</v>
      </c>
      <c r="S4023" t="s">
        <v>9606</v>
      </c>
      <c r="T4023" t="s">
        <v>11164</v>
      </c>
      <c r="U4023" t="s">
        <v>11164</v>
      </c>
      <c r="V4023" t="s">
        <v>11164</v>
      </c>
      <c r="W4023" t="s">
        <v>15144</v>
      </c>
      <c r="X4023">
        <v>1</v>
      </c>
      <c r="Y4023" t="s">
        <v>20618</v>
      </c>
      <c r="Z4023" t="s">
        <v>26173</v>
      </c>
      <c r="AA4023">
        <v>0.82486207737547435</v>
      </c>
      <c r="AB4023" t="str">
        <f>HYPERLINK("Melting_Curves/meltCurve_Q8TCD1_C18orf32.pdf", "Melting_Curves/meltCurve_Q8TCD1_C18orf32.pdf")</f>
        <v>Melting_Curves/meltCurve_Q8TCD1_C18orf32.pdf</v>
      </c>
    </row>
    <row r="4024" spans="1:28" x14ac:dyDescent="0.25">
      <c r="A4024" t="s">
        <v>4028</v>
      </c>
      <c r="B4024">
        <v>0.99796759195183404</v>
      </c>
      <c r="C4024">
        <v>1.0019664168850699</v>
      </c>
      <c r="D4024">
        <v>0.96924096855880404</v>
      </c>
      <c r="E4024">
        <v>0.92059456108837701</v>
      </c>
      <c r="F4024">
        <v>0.89415106594895399</v>
      </c>
      <c r="G4024">
        <v>0.71340965733839801</v>
      </c>
      <c r="H4024">
        <v>0.64648216791551505</v>
      </c>
      <c r="I4024">
        <v>0.57346725960098599</v>
      </c>
      <c r="J4024">
        <v>0.60091568400123496</v>
      </c>
      <c r="K4024">
        <v>0.36279177310512201</v>
      </c>
      <c r="L4024">
        <v>428.21722927958501</v>
      </c>
      <c r="M4024">
        <v>6.8487926485436201</v>
      </c>
      <c r="N4024">
        <v>63.912685173763499</v>
      </c>
      <c r="O4024">
        <v>57.844705025350898</v>
      </c>
      <c r="P4024">
        <v>-2.7609565348319799E-2</v>
      </c>
      <c r="Q4024">
        <v>6.9111018267604102E-2</v>
      </c>
      <c r="R4024">
        <v>0.95033046836443502</v>
      </c>
      <c r="S4024" t="s">
        <v>9607</v>
      </c>
      <c r="T4024" t="s">
        <v>11164</v>
      </c>
      <c r="U4024" t="s">
        <v>11164</v>
      </c>
      <c r="V4024" t="s">
        <v>11164</v>
      </c>
      <c r="W4024" t="s">
        <v>15145</v>
      </c>
      <c r="X4024">
        <v>7</v>
      </c>
      <c r="Y4024" t="s">
        <v>20619</v>
      </c>
      <c r="Z4024" t="s">
        <v>26174</v>
      </c>
      <c r="AA4024">
        <v>0.77410193865685406</v>
      </c>
      <c r="AB4024" t="str">
        <f>HYPERLINK("Melting_Curves/meltCurve_Q8TCD5_NT5C.pdf", "Melting_Curves/meltCurve_Q8TCD5_NT5C.pdf")</f>
        <v>Melting_Curves/meltCurve_Q8TCD5_NT5C.pdf</v>
      </c>
    </row>
    <row r="4025" spans="1:28" x14ac:dyDescent="0.25">
      <c r="A4025" t="s">
        <v>4029</v>
      </c>
      <c r="B4025">
        <v>0.99796759195183404</v>
      </c>
      <c r="C4025">
        <v>0.99018356168009802</v>
      </c>
      <c r="D4025">
        <v>0.98239866623553995</v>
      </c>
      <c r="E4025">
        <v>0.89363327298404205</v>
      </c>
      <c r="F4025">
        <v>0.56363604212456397</v>
      </c>
      <c r="G4025">
        <v>0.33177240416138498</v>
      </c>
      <c r="H4025">
        <v>0.21165853873379101</v>
      </c>
      <c r="I4025">
        <v>0.208261967033083</v>
      </c>
      <c r="J4025">
        <v>0.14901052524376501</v>
      </c>
      <c r="K4025">
        <v>0.11351861313037</v>
      </c>
      <c r="L4025">
        <v>1067.42100937236</v>
      </c>
      <c r="M4025">
        <v>21.198359118129702</v>
      </c>
      <c r="N4025">
        <v>51.196354402907403</v>
      </c>
      <c r="O4025">
        <v>49.912267293611102</v>
      </c>
      <c r="P4025">
        <v>-9.0547436372144199E-2</v>
      </c>
      <c r="Q4025">
        <v>0.147233844411891</v>
      </c>
      <c r="R4025">
        <v>0.99661131918989798</v>
      </c>
      <c r="S4025" t="s">
        <v>9608</v>
      </c>
      <c r="T4025" t="s">
        <v>11164</v>
      </c>
      <c r="U4025" t="s">
        <v>11164</v>
      </c>
      <c r="V4025" t="s">
        <v>11164</v>
      </c>
      <c r="W4025" t="s">
        <v>15146</v>
      </c>
      <c r="X4025">
        <v>13</v>
      </c>
      <c r="Y4025" t="s">
        <v>20620</v>
      </c>
      <c r="Z4025" t="s">
        <v>26175</v>
      </c>
      <c r="AA4025">
        <v>0.53695743581049327</v>
      </c>
      <c r="AB4025" t="str">
        <f>HYPERLINK("Melting_Curves/meltCurve_Q8TCG1_KIAA1524.pdf", "Melting_Curves/meltCurve_Q8TCG1_KIAA1524.pdf")</f>
        <v>Melting_Curves/meltCurve_Q8TCG1_KIAA1524.pdf</v>
      </c>
    </row>
    <row r="4026" spans="1:28" x14ac:dyDescent="0.25">
      <c r="A4026" t="s">
        <v>4030</v>
      </c>
      <c r="B4026">
        <v>0.99796759195183404</v>
      </c>
      <c r="C4026">
        <v>1.03022013249554</v>
      </c>
      <c r="D4026">
        <v>0.97852439238116296</v>
      </c>
      <c r="E4026">
        <v>0.84721387881969201</v>
      </c>
      <c r="F4026">
        <v>0.79473217923210404</v>
      </c>
      <c r="G4026">
        <v>0.46448062587846101</v>
      </c>
      <c r="H4026">
        <v>0.27464328804597099</v>
      </c>
      <c r="I4026">
        <v>0.161886354294246</v>
      </c>
      <c r="J4026">
        <v>0.11279065638916901</v>
      </c>
      <c r="K4026">
        <v>9.3359793451690903E-2</v>
      </c>
      <c r="L4026">
        <v>857.02911839553894</v>
      </c>
      <c r="M4026">
        <v>16.107568716242302</v>
      </c>
      <c r="N4026">
        <v>53.596099320583797</v>
      </c>
      <c r="O4026">
        <v>52.406787544714398</v>
      </c>
      <c r="P4026">
        <v>-7.26007078532728E-2</v>
      </c>
      <c r="Q4026">
        <v>5.5231769328535602E-2</v>
      </c>
      <c r="R4026">
        <v>0.99349797356906</v>
      </c>
      <c r="S4026" t="s">
        <v>9609</v>
      </c>
      <c r="T4026" t="s">
        <v>11164</v>
      </c>
      <c r="U4026" t="s">
        <v>11164</v>
      </c>
      <c r="V4026" t="s">
        <v>11164</v>
      </c>
      <c r="W4026" t="s">
        <v>15147</v>
      </c>
      <c r="X4026">
        <v>10</v>
      </c>
      <c r="Y4026" t="s">
        <v>20621</v>
      </c>
      <c r="Z4026" t="s">
        <v>26176</v>
      </c>
      <c r="AA4026">
        <v>0.58106403294680176</v>
      </c>
      <c r="AB4026" t="str">
        <f>HYPERLINK("Melting_Curves/meltCurve_Q8TCS8_PNPT1.pdf", "Melting_Curves/meltCurve_Q8TCS8_PNPT1.pdf")</f>
        <v>Melting_Curves/meltCurve_Q8TCS8_PNPT1.pdf</v>
      </c>
    </row>
    <row r="4027" spans="1:28" x14ac:dyDescent="0.25">
      <c r="A4027" t="s">
        <v>4031</v>
      </c>
      <c r="B4027">
        <v>0.99796759195183404</v>
      </c>
      <c r="C4027">
        <v>1.1445768655747599</v>
      </c>
      <c r="D4027">
        <v>1.15926108867377</v>
      </c>
      <c r="E4027">
        <v>1.1082267024260399</v>
      </c>
      <c r="F4027">
        <v>1.0552307532863101</v>
      </c>
      <c r="G4027">
        <v>0.65511068439004605</v>
      </c>
      <c r="H4027">
        <v>0.75414161078118602</v>
      </c>
      <c r="I4027">
        <v>0.69529664678135805</v>
      </c>
      <c r="J4027">
        <v>0.74840642189263695</v>
      </c>
      <c r="K4027">
        <v>0.41068062779408299</v>
      </c>
      <c r="L4027">
        <v>13194.7806819692</v>
      </c>
      <c r="M4027">
        <v>250</v>
      </c>
      <c r="O4027">
        <v>52.775745064868303</v>
      </c>
      <c r="P4027">
        <v>-0.41197092877615898</v>
      </c>
      <c r="Q4027">
        <v>0.65212683604440802</v>
      </c>
      <c r="R4027">
        <v>0.75807849255230897</v>
      </c>
      <c r="S4027" t="s">
        <v>9610</v>
      </c>
      <c r="T4027" t="s">
        <v>11164</v>
      </c>
      <c r="U4027" t="s">
        <v>11164</v>
      </c>
      <c r="V4027" t="s">
        <v>11164</v>
      </c>
      <c r="W4027" t="s">
        <v>15148</v>
      </c>
      <c r="X4027">
        <v>6</v>
      </c>
      <c r="Y4027" t="s">
        <v>20622</v>
      </c>
      <c r="Z4027" t="s">
        <v>26177</v>
      </c>
      <c r="AA4027">
        <v>0.83513016992461286</v>
      </c>
      <c r="AB4027" t="str">
        <f>HYPERLINK("Melting_Curves/meltCurve_Q8TCT9_5_HM13.pdf", "Melting_Curves/meltCurve_Q8TCT9_5_HM13.pdf")</f>
        <v>Melting_Curves/meltCurve_Q8TCT9_5_HM13.pdf</v>
      </c>
    </row>
    <row r="4028" spans="1:28" x14ac:dyDescent="0.25">
      <c r="A4028" t="s">
        <v>4032</v>
      </c>
      <c r="B4028">
        <v>0.99796759195183404</v>
      </c>
      <c r="C4028">
        <v>0.99781646867737706</v>
      </c>
      <c r="D4028">
        <v>1.01573771236024</v>
      </c>
      <c r="E4028">
        <v>0.97398132018872297</v>
      </c>
      <c r="F4028">
        <v>0.82693634093986002</v>
      </c>
      <c r="G4028">
        <v>0.335843808628351</v>
      </c>
      <c r="H4028">
        <v>0.26356034929375899</v>
      </c>
      <c r="I4028">
        <v>0.20296109714789901</v>
      </c>
      <c r="J4028">
        <v>0.16431863005821701</v>
      </c>
      <c r="K4028">
        <v>0.126965471926059</v>
      </c>
      <c r="L4028">
        <v>1885.74010801998</v>
      </c>
      <c r="M4028">
        <v>36.326581236765897</v>
      </c>
      <c r="N4028">
        <v>52.547353798571002</v>
      </c>
      <c r="O4028">
        <v>51.754190824890898</v>
      </c>
      <c r="P4028">
        <v>-0.14423996931047101</v>
      </c>
      <c r="Q4028">
        <v>0.17801236249750499</v>
      </c>
      <c r="R4028">
        <v>0.99439263178946902</v>
      </c>
      <c r="S4028" t="s">
        <v>9611</v>
      </c>
      <c r="T4028" t="s">
        <v>11164</v>
      </c>
      <c r="U4028" t="s">
        <v>11164</v>
      </c>
      <c r="V4028" t="s">
        <v>11164</v>
      </c>
      <c r="W4028" t="s">
        <v>15149</v>
      </c>
      <c r="X4028">
        <v>28</v>
      </c>
      <c r="Y4028" t="s">
        <v>20623</v>
      </c>
      <c r="Z4028" t="s">
        <v>26178</v>
      </c>
      <c r="AA4028">
        <v>0.59012507165763239</v>
      </c>
      <c r="AB4028" t="str">
        <f>HYPERLINK("Melting_Curves/meltCurve_Q8TD16_BICD2.pdf", "Melting_Curves/meltCurve_Q8TD16_BICD2.pdf")</f>
        <v>Melting_Curves/meltCurve_Q8TD16_BICD2.pdf</v>
      </c>
    </row>
    <row r="4029" spans="1:28" x14ac:dyDescent="0.25">
      <c r="A4029" t="s">
        <v>4033</v>
      </c>
      <c r="B4029">
        <v>0.99796759195183404</v>
      </c>
      <c r="C4029">
        <v>0.98210949106475698</v>
      </c>
      <c r="D4029">
        <v>0.94624072237649504</v>
      </c>
      <c r="E4029">
        <v>0.85412900551574</v>
      </c>
      <c r="F4029">
        <v>0.76503862730737804</v>
      </c>
      <c r="G4029">
        <v>0.65158234247464697</v>
      </c>
      <c r="H4029">
        <v>0.24501837031069101</v>
      </c>
      <c r="I4029">
        <v>0.18158149934182599</v>
      </c>
      <c r="J4029">
        <v>0.166818519369137</v>
      </c>
      <c r="K4029">
        <v>0.121448287050392</v>
      </c>
      <c r="L4029">
        <v>787.77406518162002</v>
      </c>
      <c r="M4029">
        <v>14.5519443442839</v>
      </c>
      <c r="N4029">
        <v>54.525873092645</v>
      </c>
      <c r="O4029">
        <v>53.143798669991703</v>
      </c>
      <c r="P4029">
        <v>-6.5074887565110803E-2</v>
      </c>
      <c r="Q4029">
        <v>4.9492412713150802E-2</v>
      </c>
      <c r="R4029">
        <v>0.97842905079051801</v>
      </c>
      <c r="S4029" t="s">
        <v>9612</v>
      </c>
      <c r="T4029" t="s">
        <v>11164</v>
      </c>
      <c r="U4029" t="s">
        <v>11164</v>
      </c>
      <c r="V4029" t="s">
        <v>11164</v>
      </c>
      <c r="W4029" t="s">
        <v>15150</v>
      </c>
      <c r="X4029">
        <v>13</v>
      </c>
      <c r="Y4029" t="s">
        <v>20624</v>
      </c>
      <c r="Z4029" t="s">
        <v>26179</v>
      </c>
      <c r="AA4029">
        <v>0.6078525514449945</v>
      </c>
      <c r="AB4029" t="str">
        <f>HYPERLINK("Melting_Curves/meltCurve_Q8TD19_NEK9.pdf", "Melting_Curves/meltCurve_Q8TD19_NEK9.pdf")</f>
        <v>Melting_Curves/meltCurve_Q8TD19_NEK9.pdf</v>
      </c>
    </row>
    <row r="4030" spans="1:28" x14ac:dyDescent="0.25">
      <c r="A4030" t="s">
        <v>4034</v>
      </c>
      <c r="B4030">
        <v>0.99796759195183404</v>
      </c>
      <c r="C4030">
        <v>1.0209218926605901</v>
      </c>
      <c r="D4030">
        <v>1.0396198632807201</v>
      </c>
      <c r="E4030">
        <v>0.94942171907973505</v>
      </c>
      <c r="F4030">
        <v>0.79948751572137799</v>
      </c>
      <c r="G4030">
        <v>0.47939962122322799</v>
      </c>
      <c r="H4030">
        <v>0.3104319177589</v>
      </c>
      <c r="I4030">
        <v>0.19708608384700699</v>
      </c>
      <c r="J4030">
        <v>0.12140958224816301</v>
      </c>
      <c r="K4030">
        <v>6.9827177210154606E-2</v>
      </c>
      <c r="L4030">
        <v>965.01325051796596</v>
      </c>
      <c r="M4030">
        <v>18.024797755036001</v>
      </c>
      <c r="N4030">
        <v>54.030431273220699</v>
      </c>
      <c r="O4030">
        <v>52.892157176622199</v>
      </c>
      <c r="P4030">
        <v>-7.8747627627443403E-2</v>
      </c>
      <c r="Q4030">
        <v>7.5733871001563993E-2</v>
      </c>
      <c r="R4030">
        <v>0.99513954783049396</v>
      </c>
      <c r="S4030" t="s">
        <v>9613</v>
      </c>
      <c r="T4030" t="s">
        <v>11164</v>
      </c>
      <c r="U4030" t="s">
        <v>11164</v>
      </c>
      <c r="V4030" t="s">
        <v>11164</v>
      </c>
      <c r="W4030" t="s">
        <v>15151</v>
      </c>
      <c r="X4030">
        <v>9</v>
      </c>
      <c r="Y4030" t="s">
        <v>20625</v>
      </c>
      <c r="Z4030" t="s">
        <v>26180</v>
      </c>
      <c r="AA4030">
        <v>0.59829300046457445</v>
      </c>
      <c r="AB4030" t="str">
        <f>HYPERLINK("Melting_Curves/meltCurve_Q8TD30_GPT2.pdf", "Melting_Curves/meltCurve_Q8TD30_GPT2.pdf")</f>
        <v>Melting_Curves/meltCurve_Q8TD30_GPT2.pdf</v>
      </c>
    </row>
    <row r="4031" spans="1:28" x14ac:dyDescent="0.25">
      <c r="A4031" t="s">
        <v>4035</v>
      </c>
      <c r="B4031">
        <v>0.99796759195183404</v>
      </c>
      <c r="C4031">
        <v>1.14388248019918</v>
      </c>
      <c r="D4031">
        <v>1.0610811691325099</v>
      </c>
      <c r="E4031">
        <v>1.0430525247003</v>
      </c>
      <c r="F4031">
        <v>0.74149301573825999</v>
      </c>
      <c r="G4031">
        <v>0.38925406733844498</v>
      </c>
      <c r="H4031">
        <v>0.29201962132217202</v>
      </c>
      <c r="I4031">
        <v>0.232388546667086</v>
      </c>
      <c r="J4031">
        <v>0.151551727899291</v>
      </c>
      <c r="K4031">
        <v>0.145997437851456</v>
      </c>
      <c r="L4031">
        <v>1431.9276344488001</v>
      </c>
      <c r="M4031">
        <v>27.624482768803801</v>
      </c>
      <c r="N4031">
        <v>52.709636260923901</v>
      </c>
      <c r="O4031">
        <v>51.566113648019602</v>
      </c>
      <c r="P4031">
        <v>-0.10931655460077799</v>
      </c>
      <c r="Q4031">
        <v>0.18377080356230199</v>
      </c>
      <c r="R4031">
        <v>0.975083432199921</v>
      </c>
      <c r="S4031" t="s">
        <v>9614</v>
      </c>
      <c r="T4031" t="s">
        <v>11164</v>
      </c>
      <c r="U4031" t="s">
        <v>11164</v>
      </c>
      <c r="V4031" t="s">
        <v>11164</v>
      </c>
      <c r="W4031" t="s">
        <v>15152</v>
      </c>
      <c r="X4031">
        <v>1</v>
      </c>
      <c r="Y4031" t="s">
        <v>20626</v>
      </c>
      <c r="Z4031" t="s">
        <v>26181</v>
      </c>
      <c r="AA4031">
        <v>0.59342178343971008</v>
      </c>
      <c r="AB4031" t="str">
        <f>HYPERLINK("Melting_Curves/meltCurve_Q8TDD1_DDX54.pdf", "Melting_Curves/meltCurve_Q8TDD1_DDX54.pdf")</f>
        <v>Melting_Curves/meltCurve_Q8TDD1_DDX54.pdf</v>
      </c>
    </row>
    <row r="4032" spans="1:28" x14ac:dyDescent="0.25">
      <c r="A4032" t="s">
        <v>4036</v>
      </c>
      <c r="B4032">
        <v>0.99796759195183404</v>
      </c>
      <c r="C4032">
        <v>1.0148030547557001</v>
      </c>
      <c r="D4032">
        <v>0.91184588539482803</v>
      </c>
      <c r="E4032">
        <v>0.95762715093983597</v>
      </c>
      <c r="F4032">
        <v>0.86134542525193403</v>
      </c>
      <c r="G4032">
        <v>0.67096960038531706</v>
      </c>
      <c r="H4032">
        <v>0.72866342494161895</v>
      </c>
      <c r="I4032">
        <v>0.53292587177844397</v>
      </c>
      <c r="J4032">
        <v>0.409721179268764</v>
      </c>
      <c r="K4032">
        <v>0.41588557763089501</v>
      </c>
      <c r="L4032">
        <v>465.71406032959698</v>
      </c>
      <c r="M4032">
        <v>7.6826286108847297</v>
      </c>
      <c r="N4032">
        <v>62.406612555822697</v>
      </c>
      <c r="O4032">
        <v>56.921912690743902</v>
      </c>
      <c r="P4032">
        <v>-3.0449537498188201E-2</v>
      </c>
      <c r="Q4032">
        <v>9.87619075504374E-2</v>
      </c>
      <c r="R4032">
        <v>0.95581587960791203</v>
      </c>
      <c r="S4032" t="s">
        <v>9615</v>
      </c>
      <c r="T4032" t="s">
        <v>11164</v>
      </c>
      <c r="U4032" t="s">
        <v>11164</v>
      </c>
      <c r="V4032" t="s">
        <v>11164</v>
      </c>
      <c r="W4032" t="s">
        <v>15153</v>
      </c>
      <c r="X4032">
        <v>5</v>
      </c>
      <c r="Y4032" t="s">
        <v>20627</v>
      </c>
      <c r="Z4032" t="s">
        <v>26182</v>
      </c>
      <c r="AA4032">
        <v>0.75905394525017911</v>
      </c>
      <c r="AB4032" t="str">
        <f>HYPERLINK("Melting_Curves/meltCurve_Q8TDH9_BLOC1S5.pdf", "Melting_Curves/meltCurve_Q8TDH9_BLOC1S5.pdf")</f>
        <v>Melting_Curves/meltCurve_Q8TDH9_BLOC1S5.pdf</v>
      </c>
    </row>
    <row r="4033" spans="1:28" x14ac:dyDescent="0.25">
      <c r="A4033" t="s">
        <v>4037</v>
      </c>
      <c r="B4033">
        <v>0.99796759195183404</v>
      </c>
      <c r="C4033">
        <v>0.81993748253007004</v>
      </c>
      <c r="D4033">
        <v>0.88845972431204401</v>
      </c>
      <c r="E4033">
        <v>0.86565744060396399</v>
      </c>
      <c r="F4033">
        <v>0.88764198446903997</v>
      </c>
      <c r="G4033">
        <v>0.62697014282687602</v>
      </c>
      <c r="H4033">
        <v>0.44450966165713601</v>
      </c>
      <c r="I4033">
        <v>0.46255541177029802</v>
      </c>
      <c r="J4033">
        <v>0.62380718078821695</v>
      </c>
      <c r="K4033">
        <v>0.28267264041777901</v>
      </c>
      <c r="L4033">
        <v>323.028936206244</v>
      </c>
      <c r="M4033">
        <v>5.3219095622527002</v>
      </c>
      <c r="N4033">
        <v>60.697949166172698</v>
      </c>
      <c r="O4033">
        <v>53.7183026400213</v>
      </c>
      <c r="P4033">
        <v>-2.4890052845842E-2</v>
      </c>
      <c r="Q4033">
        <v>0</v>
      </c>
      <c r="R4033">
        <v>0.80055168572794899</v>
      </c>
      <c r="S4033" t="s">
        <v>9616</v>
      </c>
      <c r="T4033" t="s">
        <v>11164</v>
      </c>
      <c r="U4033" t="s">
        <v>11164</v>
      </c>
      <c r="V4033" t="s">
        <v>11164</v>
      </c>
      <c r="W4033" t="s">
        <v>15154</v>
      </c>
      <c r="X4033">
        <v>4</v>
      </c>
      <c r="Y4033" t="s">
        <v>20628</v>
      </c>
      <c r="Z4033" t="s">
        <v>26183</v>
      </c>
      <c r="AA4033">
        <v>0.69711722640083951</v>
      </c>
      <c r="AB4033" t="str">
        <f>HYPERLINK("Melting_Curves/meltCurve_Q8TDQ7_GNPDA2.pdf", "Melting_Curves/meltCurve_Q8TDQ7_GNPDA2.pdf")</f>
        <v>Melting_Curves/meltCurve_Q8TDQ7_GNPDA2.pdf</v>
      </c>
    </row>
    <row r="4034" spans="1:28" x14ac:dyDescent="0.25">
      <c r="A4034" t="s">
        <v>4038</v>
      </c>
      <c r="B4034">
        <v>0.99796759195183404</v>
      </c>
      <c r="C4034">
        <v>1.0470177800202101</v>
      </c>
      <c r="D4034">
        <v>0.96414178273861495</v>
      </c>
      <c r="E4034">
        <v>0.93999360117673203</v>
      </c>
      <c r="F4034">
        <v>0.70780074341217503</v>
      </c>
      <c r="G4034">
        <v>0.38258816531944601</v>
      </c>
      <c r="H4034">
        <v>0.21847451206277399</v>
      </c>
      <c r="I4034">
        <v>0.15412339108332701</v>
      </c>
      <c r="J4034">
        <v>0.146087325143442</v>
      </c>
      <c r="K4034">
        <v>0.106119491067717</v>
      </c>
      <c r="L4034">
        <v>1140.4375362738699</v>
      </c>
      <c r="M4034">
        <v>22.018486950380598</v>
      </c>
      <c r="N4034">
        <v>52.446835167512099</v>
      </c>
      <c r="O4034">
        <v>51.372995171316802</v>
      </c>
      <c r="P4034">
        <v>-9.4317826851180606E-2</v>
      </c>
      <c r="Q4034">
        <v>0.119779398038343</v>
      </c>
      <c r="R4034">
        <v>0.99738932902235999</v>
      </c>
      <c r="S4034" t="s">
        <v>9617</v>
      </c>
      <c r="T4034" t="s">
        <v>11164</v>
      </c>
      <c r="U4034" t="s">
        <v>11164</v>
      </c>
      <c r="V4034" t="s">
        <v>11164</v>
      </c>
      <c r="W4034" t="s">
        <v>15155</v>
      </c>
      <c r="X4034">
        <v>5</v>
      </c>
      <c r="Y4034" t="s">
        <v>20629</v>
      </c>
      <c r="Z4034" t="s">
        <v>26184</v>
      </c>
      <c r="AA4034">
        <v>0.56360330197192643</v>
      </c>
      <c r="AB4034" t="str">
        <f>HYPERLINK("Melting_Curves/meltCurve_Q8TDX7_NEK7.pdf", "Melting_Curves/meltCurve_Q8TDX7_NEK7.pdf")</f>
        <v>Melting_Curves/meltCurve_Q8TDX7_NEK7.pdf</v>
      </c>
    </row>
    <row r="4035" spans="1:28" x14ac:dyDescent="0.25">
      <c r="A4035" t="s">
        <v>4039</v>
      </c>
      <c r="B4035">
        <v>0.99796759195183404</v>
      </c>
      <c r="C4035">
        <v>1.2488201314238101</v>
      </c>
      <c r="D4035">
        <v>1.0645879482487199</v>
      </c>
      <c r="E4035">
        <v>0.984781288136097</v>
      </c>
      <c r="F4035">
        <v>0.823725598949687</v>
      </c>
      <c r="G4035">
        <v>0.63523530068401701</v>
      </c>
      <c r="H4035">
        <v>0.32973871291179302</v>
      </c>
      <c r="I4035">
        <v>0.21793028249308599</v>
      </c>
      <c r="J4035">
        <v>0.139695200753123</v>
      </c>
      <c r="K4035">
        <v>8.5085735489664499E-2</v>
      </c>
      <c r="L4035">
        <v>1016.57482389548</v>
      </c>
      <c r="M4035">
        <v>18.553643019404898</v>
      </c>
      <c r="N4035">
        <v>55.259092579765998</v>
      </c>
      <c r="O4035">
        <v>54.166512700429301</v>
      </c>
      <c r="P4035">
        <v>-7.9410327187934296E-2</v>
      </c>
      <c r="Q4035">
        <v>7.2701330460043206E-2</v>
      </c>
      <c r="R4035">
        <v>0.95755368076491099</v>
      </c>
      <c r="S4035" t="s">
        <v>9618</v>
      </c>
      <c r="T4035" t="s">
        <v>11164</v>
      </c>
      <c r="U4035" t="s">
        <v>11164</v>
      </c>
      <c r="V4035" t="s">
        <v>11164</v>
      </c>
      <c r="W4035" t="s">
        <v>15156</v>
      </c>
      <c r="X4035">
        <v>4</v>
      </c>
      <c r="Y4035" t="s">
        <v>20630</v>
      </c>
      <c r="Z4035" t="s">
        <v>26185</v>
      </c>
      <c r="AA4035">
        <v>0.63419297564016774</v>
      </c>
      <c r="AB4035" t="str">
        <f>HYPERLINK("Melting_Curves/meltCurve_Q8TDY2_2_RB1CC1.pdf", "Melting_Curves/meltCurve_Q8TDY2_2_RB1CC1.pdf")</f>
        <v>Melting_Curves/meltCurve_Q8TDY2_2_RB1CC1.pdf</v>
      </c>
    </row>
    <row r="4036" spans="1:28" x14ac:dyDescent="0.25">
      <c r="A4036" t="s">
        <v>4040</v>
      </c>
      <c r="B4036">
        <v>0.99796759195183404</v>
      </c>
      <c r="C4036">
        <v>1.05217197788174</v>
      </c>
      <c r="D4036">
        <v>0.94465340640725803</v>
      </c>
      <c r="E4036">
        <v>0.95852962805296404</v>
      </c>
      <c r="F4036">
        <v>0.76830921669097796</v>
      </c>
      <c r="G4036">
        <v>0.43939839792245999</v>
      </c>
      <c r="H4036">
        <v>0.38409938409225802</v>
      </c>
      <c r="I4036">
        <v>0.227480085541026</v>
      </c>
      <c r="J4036">
        <v>0.22468594386372101</v>
      </c>
      <c r="K4036">
        <v>0.123027636781463</v>
      </c>
      <c r="L4036">
        <v>915.99769114825699</v>
      </c>
      <c r="M4036">
        <v>17.3690235695314</v>
      </c>
      <c r="N4036">
        <v>53.886027985494998</v>
      </c>
      <c r="O4036">
        <v>52.053257585343196</v>
      </c>
      <c r="P4036">
        <v>-7.05177046295411E-2</v>
      </c>
      <c r="Q4036">
        <v>0.15470946682071501</v>
      </c>
      <c r="R4036">
        <v>0.98486592415892704</v>
      </c>
      <c r="S4036" t="s">
        <v>9619</v>
      </c>
      <c r="T4036" t="s">
        <v>11164</v>
      </c>
      <c r="U4036" t="s">
        <v>11164</v>
      </c>
      <c r="V4036" t="s">
        <v>11164</v>
      </c>
      <c r="W4036" t="s">
        <v>15157</v>
      </c>
      <c r="X4036">
        <v>7</v>
      </c>
      <c r="Y4036" t="s">
        <v>20631</v>
      </c>
      <c r="Z4036" t="s">
        <v>26186</v>
      </c>
      <c r="AA4036">
        <v>0.61115839642071768</v>
      </c>
      <c r="AB4036" t="str">
        <f>HYPERLINK("Melting_Curves/meltCurve_Q8TDZ2_MICAL1.pdf", "Melting_Curves/meltCurve_Q8TDZ2_MICAL1.pdf")</f>
        <v>Melting_Curves/meltCurve_Q8TDZ2_MICAL1.pdf</v>
      </c>
    </row>
    <row r="4037" spans="1:28" x14ac:dyDescent="0.25">
      <c r="A4037" t="s">
        <v>4041</v>
      </c>
      <c r="B4037">
        <v>0.99796759195183404</v>
      </c>
      <c r="C4037">
        <v>0.94967309401790001</v>
      </c>
      <c r="D4037">
        <v>0.96403929339850403</v>
      </c>
      <c r="E4037">
        <v>1.02812261818755</v>
      </c>
      <c r="F4037">
        <v>0.82315117003208305</v>
      </c>
      <c r="G4037">
        <v>0.55208086562740599</v>
      </c>
      <c r="H4037">
        <v>0.205851606635548</v>
      </c>
      <c r="I4037">
        <v>0.129943401763848</v>
      </c>
      <c r="J4037">
        <v>9.9031878472115697E-2</v>
      </c>
      <c r="K4037">
        <v>6.0629540563801702E-2</v>
      </c>
      <c r="L4037">
        <v>1291.4862675101999</v>
      </c>
      <c r="M4037">
        <v>24.0287118156084</v>
      </c>
      <c r="N4037">
        <v>54.065948505207999</v>
      </c>
      <c r="O4037">
        <v>53.379515193528498</v>
      </c>
      <c r="P4037">
        <v>-0.105115785761021</v>
      </c>
      <c r="Q4037">
        <v>6.5960517958168693E-2</v>
      </c>
      <c r="R4037">
        <v>0.99414511949728601</v>
      </c>
      <c r="S4037" t="s">
        <v>9620</v>
      </c>
      <c r="T4037" t="s">
        <v>11164</v>
      </c>
      <c r="U4037" t="s">
        <v>11164</v>
      </c>
      <c r="V4037" t="s">
        <v>11164</v>
      </c>
      <c r="W4037" t="s">
        <v>15158</v>
      </c>
      <c r="X4037">
        <v>7</v>
      </c>
      <c r="Y4037" t="s">
        <v>20632</v>
      </c>
      <c r="Z4037" t="s">
        <v>26187</v>
      </c>
      <c r="AA4037">
        <v>0.59612388498609836</v>
      </c>
      <c r="AB4037" t="str">
        <f>HYPERLINK("Melting_Curves/meltCurve_Q8TE04_2_PANK1.pdf", "Melting_Curves/meltCurve_Q8TE04_2_PANK1.pdf")</f>
        <v>Melting_Curves/meltCurve_Q8TE04_2_PANK1.pdf</v>
      </c>
    </row>
    <row r="4038" spans="1:28" x14ac:dyDescent="0.25">
      <c r="A4038" t="s">
        <v>4042</v>
      </c>
      <c r="B4038">
        <v>0.99796759195183404</v>
      </c>
      <c r="C4038">
        <v>0.79396382180136504</v>
      </c>
      <c r="D4038">
        <v>0.75472934659748003</v>
      </c>
      <c r="E4038">
        <v>0.77170613120890097</v>
      </c>
      <c r="F4038">
        <v>0.56109096150652005</v>
      </c>
      <c r="G4038">
        <v>0.36783320495730998</v>
      </c>
      <c r="H4038">
        <v>0.228248484328473</v>
      </c>
      <c r="I4038">
        <v>9.5963971758770403E-2</v>
      </c>
      <c r="J4038">
        <v>0.13394953772372301</v>
      </c>
      <c r="K4038">
        <v>4.32021961743582E-2</v>
      </c>
      <c r="L4038">
        <v>473.76715011526898</v>
      </c>
      <c r="M4038">
        <v>9.3921092315581607</v>
      </c>
      <c r="N4038">
        <v>50.443103689682097</v>
      </c>
      <c r="O4038">
        <v>48.314819475941498</v>
      </c>
      <c r="P4038">
        <v>-4.8628496163566501E-2</v>
      </c>
      <c r="Q4038">
        <v>0</v>
      </c>
      <c r="R4038">
        <v>0.96115385543885201</v>
      </c>
      <c r="S4038" t="s">
        <v>9621</v>
      </c>
      <c r="T4038" t="s">
        <v>11164</v>
      </c>
      <c r="U4038" t="s">
        <v>11164</v>
      </c>
      <c r="V4038" t="s">
        <v>11164</v>
      </c>
      <c r="W4038" t="s">
        <v>15159</v>
      </c>
      <c r="X4038">
        <v>1</v>
      </c>
      <c r="Y4038" t="s">
        <v>20633</v>
      </c>
      <c r="Z4038" t="s">
        <v>26188</v>
      </c>
      <c r="AA4038">
        <v>0.48225963003306282</v>
      </c>
      <c r="AB4038" t="str">
        <f>HYPERLINK("Melting_Curves/meltCurve_Q8TE77_SSH3.pdf", "Melting_Curves/meltCurve_Q8TE77_SSH3.pdf")</f>
        <v>Melting_Curves/meltCurve_Q8TE77_SSH3.pdf</v>
      </c>
    </row>
    <row r="4039" spans="1:28" x14ac:dyDescent="0.25">
      <c r="A4039" t="s">
        <v>4043</v>
      </c>
      <c r="B4039">
        <v>0.99796759195183404</v>
      </c>
      <c r="C4039">
        <v>0.98375990491153897</v>
      </c>
      <c r="D4039">
        <v>0.97339990101470697</v>
      </c>
      <c r="E4039">
        <v>0.871370524542185</v>
      </c>
      <c r="F4039">
        <v>0.70630836528400398</v>
      </c>
      <c r="G4039">
        <v>0.52810849434906404</v>
      </c>
      <c r="H4039">
        <v>0.31538993086084799</v>
      </c>
      <c r="I4039">
        <v>0.25528912313913699</v>
      </c>
      <c r="J4039">
        <v>0.180780492585606</v>
      </c>
      <c r="K4039">
        <v>0.123863016965024</v>
      </c>
      <c r="L4039">
        <v>679.05425736833104</v>
      </c>
      <c r="M4039">
        <v>12.7246963197396</v>
      </c>
      <c r="N4039">
        <v>54.048385432598799</v>
      </c>
      <c r="O4039">
        <v>52.098586670036099</v>
      </c>
      <c r="P4039">
        <v>-5.6534793972937897E-2</v>
      </c>
      <c r="Q4039">
        <v>7.4298836436595503E-2</v>
      </c>
      <c r="R4039">
        <v>0.99810168085852502</v>
      </c>
      <c r="S4039" t="s">
        <v>9622</v>
      </c>
      <c r="T4039" t="s">
        <v>11164</v>
      </c>
      <c r="U4039" t="s">
        <v>11164</v>
      </c>
      <c r="V4039" t="s">
        <v>11164</v>
      </c>
      <c r="W4039" t="s">
        <v>15160</v>
      </c>
      <c r="X4039">
        <v>13</v>
      </c>
      <c r="Y4039" t="s">
        <v>20634</v>
      </c>
      <c r="Z4039" t="s">
        <v>26189</v>
      </c>
      <c r="AA4039">
        <v>0.59726491643635837</v>
      </c>
      <c r="AB4039" t="str">
        <f>HYPERLINK("Melting_Curves/meltCurve_Q8TEA1_NSUN6.pdf", "Melting_Curves/meltCurve_Q8TEA1_NSUN6.pdf")</f>
        <v>Melting_Curves/meltCurve_Q8TEA1_NSUN6.pdf</v>
      </c>
    </row>
    <row r="4040" spans="1:28" x14ac:dyDescent="0.25">
      <c r="A4040" t="s">
        <v>4044</v>
      </c>
      <c r="B4040">
        <v>0.99796759195183404</v>
      </c>
      <c r="C4040">
        <v>1.0696928736542199</v>
      </c>
      <c r="D4040">
        <v>1.09830373497755</v>
      </c>
      <c r="E4040">
        <v>1.1132795996491001</v>
      </c>
      <c r="F4040">
        <v>1.07907622182309</v>
      </c>
      <c r="G4040">
        <v>0.81310404231481004</v>
      </c>
      <c r="H4040">
        <v>1.1540023855427499</v>
      </c>
      <c r="I4040">
        <v>0.97870139894732699</v>
      </c>
      <c r="J4040">
        <v>1.33270453180014</v>
      </c>
      <c r="K4040">
        <v>1.0958805868991099</v>
      </c>
      <c r="L4040">
        <v>15000</v>
      </c>
      <c r="M4040">
        <v>240.789890931385</v>
      </c>
      <c r="O4040">
        <v>62.290675189708502</v>
      </c>
      <c r="P4040">
        <v>0.207078573651297</v>
      </c>
      <c r="Q4040">
        <v>1.2142791698689701</v>
      </c>
      <c r="R4040">
        <v>0.23939348547936901</v>
      </c>
      <c r="S4040" t="s">
        <v>9623</v>
      </c>
      <c r="T4040" t="s">
        <v>11164</v>
      </c>
      <c r="U4040" t="s">
        <v>11164</v>
      </c>
      <c r="V4040" t="s">
        <v>11164</v>
      </c>
      <c r="W4040" t="s">
        <v>15161</v>
      </c>
      <c r="X4040">
        <v>1</v>
      </c>
      <c r="Y4040" t="s">
        <v>20635</v>
      </c>
      <c r="Z4040" t="s">
        <v>26190</v>
      </c>
      <c r="AA4040">
        <v>1.033581048885585</v>
      </c>
      <c r="AB4040" t="str">
        <f>HYPERLINK("Melting_Curves/meltCurve_Q8TEA8_DTD1.pdf", "Melting_Curves/meltCurve_Q8TEA8_DTD1.pdf")</f>
        <v>Melting_Curves/meltCurve_Q8TEA8_DTD1.pdf</v>
      </c>
    </row>
    <row r="4041" spans="1:28" x14ac:dyDescent="0.25">
      <c r="A4041" t="s">
        <v>4045</v>
      </c>
      <c r="B4041">
        <v>0.99796759195183404</v>
      </c>
      <c r="C4041">
        <v>1.1489208852025701</v>
      </c>
      <c r="D4041">
        <v>1.20893260908741</v>
      </c>
      <c r="E4041">
        <v>0.81173074365585096</v>
      </c>
      <c r="F4041">
        <v>0.72410711013429196</v>
      </c>
      <c r="G4041">
        <v>0.86026164301839303</v>
      </c>
      <c r="H4041">
        <v>0.90840952002577202</v>
      </c>
      <c r="I4041">
        <v>0.501068530460407</v>
      </c>
      <c r="J4041">
        <v>0</v>
      </c>
      <c r="K4041">
        <v>0.18409067458501199</v>
      </c>
      <c r="L4041">
        <v>15000</v>
      </c>
      <c r="M4041">
        <v>246.10034175531999</v>
      </c>
      <c r="N4041">
        <v>61.001176324162799</v>
      </c>
      <c r="O4041">
        <v>60.946722776189503</v>
      </c>
      <c r="P4041">
        <v>-0.91657253957673201</v>
      </c>
      <c r="Q4041">
        <v>9.2043635282834102E-2</v>
      </c>
      <c r="R4041">
        <v>0.842961767814428</v>
      </c>
      <c r="S4041" t="s">
        <v>9624</v>
      </c>
      <c r="T4041" t="s">
        <v>11164</v>
      </c>
      <c r="U4041" t="s">
        <v>11164</v>
      </c>
      <c r="V4041" t="s">
        <v>11164</v>
      </c>
      <c r="W4041" t="s">
        <v>15162</v>
      </c>
      <c r="X4041">
        <v>1</v>
      </c>
      <c r="Y4041" t="s">
        <v>20636</v>
      </c>
      <c r="Z4041" t="s">
        <v>26191</v>
      </c>
      <c r="AA4041">
        <v>0.81701834049099276</v>
      </c>
      <c r="AB4041" t="str">
        <f>HYPERLINK("Melting_Curves/meltCurve_Q8TEB1_2_DCAF11.pdf", "Melting_Curves/meltCurve_Q8TEB1_2_DCAF11.pdf")</f>
        <v>Melting_Curves/meltCurve_Q8TEB1_2_DCAF11.pdf</v>
      </c>
    </row>
    <row r="4042" spans="1:28" x14ac:dyDescent="0.25">
      <c r="A4042" t="s">
        <v>4046</v>
      </c>
      <c r="B4042">
        <v>0.99796759195183404</v>
      </c>
      <c r="C4042">
        <v>0.99836324355805395</v>
      </c>
      <c r="D4042">
        <v>1.2032870282753001</v>
      </c>
      <c r="E4042">
        <v>0.896949985250169</v>
      </c>
      <c r="F4042">
        <v>0.73355836319762302</v>
      </c>
      <c r="G4042">
        <v>0.50761932512433405</v>
      </c>
      <c r="H4042">
        <v>0.44189639615359799</v>
      </c>
      <c r="I4042">
        <v>0.26227438849249501</v>
      </c>
      <c r="J4042">
        <v>0.23200829536337</v>
      </c>
      <c r="K4042">
        <v>8.8006100343501106E-2</v>
      </c>
      <c r="L4042">
        <v>745.313708544517</v>
      </c>
      <c r="M4042">
        <v>13.7815823985412</v>
      </c>
      <c r="N4042">
        <v>54.919300387001996</v>
      </c>
      <c r="O4042">
        <v>52.979900912566698</v>
      </c>
      <c r="P4042">
        <v>-5.8867868549925102E-2</v>
      </c>
      <c r="Q4042">
        <v>9.4915238624906403E-2</v>
      </c>
      <c r="R4042">
        <v>0.94886422140697002</v>
      </c>
      <c r="S4042" t="s">
        <v>9625</v>
      </c>
      <c r="T4042" t="s">
        <v>11164</v>
      </c>
      <c r="U4042" t="s">
        <v>11164</v>
      </c>
      <c r="V4042" t="s">
        <v>11164</v>
      </c>
      <c r="W4042" t="s">
        <v>15163</v>
      </c>
      <c r="X4042">
        <v>2</v>
      </c>
      <c r="Y4042" t="s">
        <v>20637</v>
      </c>
      <c r="Z4042" t="s">
        <v>26192</v>
      </c>
      <c r="AA4042">
        <v>0.62549961454222958</v>
      </c>
      <c r="AB4042" t="str">
        <f>HYPERLINK("Melting_Curves/meltCurve_Q8TEH3_DENND1A.pdf", "Melting_Curves/meltCurve_Q8TEH3_DENND1A.pdf")</f>
        <v>Melting_Curves/meltCurve_Q8TEH3_DENND1A.pdf</v>
      </c>
    </row>
    <row r="4043" spans="1:28" x14ac:dyDescent="0.25">
      <c r="A4043" t="s">
        <v>4047</v>
      </c>
      <c r="B4043">
        <v>0.99796759195183404</v>
      </c>
      <c r="C4043">
        <v>1.0355074582951</v>
      </c>
      <c r="D4043">
        <v>0.97911345557824803</v>
      </c>
      <c r="E4043">
        <v>0.850248463337822</v>
      </c>
      <c r="F4043">
        <v>0.845185706620875</v>
      </c>
      <c r="G4043">
        <v>0.94562327633831</v>
      </c>
      <c r="H4043">
        <v>0.63969672065553995</v>
      </c>
      <c r="I4043">
        <v>0.27516922938341698</v>
      </c>
      <c r="J4043">
        <v>0.176179927614216</v>
      </c>
      <c r="K4043">
        <v>0.17085527098065001</v>
      </c>
      <c r="L4043">
        <v>1852.96980295549</v>
      </c>
      <c r="M4043">
        <v>32.002952734761202</v>
      </c>
      <c r="N4043">
        <v>58.5337144517189</v>
      </c>
      <c r="O4043">
        <v>57.675311456337603</v>
      </c>
      <c r="P4043">
        <v>-0.118409223786794</v>
      </c>
      <c r="Q4043">
        <v>0.14642220218624499</v>
      </c>
      <c r="R4043">
        <v>0.95833384012687295</v>
      </c>
      <c r="S4043" t="s">
        <v>9626</v>
      </c>
      <c r="T4043" t="s">
        <v>11164</v>
      </c>
      <c r="U4043" t="s">
        <v>11164</v>
      </c>
      <c r="V4043" t="s">
        <v>11164</v>
      </c>
      <c r="W4043" t="s">
        <v>15164</v>
      </c>
      <c r="X4043">
        <v>5</v>
      </c>
      <c r="Y4043" t="s">
        <v>20638</v>
      </c>
      <c r="Z4043" t="s">
        <v>26193</v>
      </c>
      <c r="AA4043">
        <v>0.74548635013745701</v>
      </c>
      <c r="AB4043" t="str">
        <f>HYPERLINK("Melting_Curves/meltCurve_Q8TEM1_NUP210.pdf", "Melting_Curves/meltCurve_Q8TEM1_NUP210.pdf")</f>
        <v>Melting_Curves/meltCurve_Q8TEM1_NUP210.pdf</v>
      </c>
    </row>
    <row r="4044" spans="1:28" x14ac:dyDescent="0.25">
      <c r="A4044" t="s">
        <v>4048</v>
      </c>
      <c r="B4044">
        <v>0.99796759195183404</v>
      </c>
      <c r="C4044">
        <v>0.89269649949121599</v>
      </c>
      <c r="D4044">
        <v>0.88950450132668002</v>
      </c>
      <c r="E4044">
        <v>0.81472936300558896</v>
      </c>
      <c r="F4044">
        <v>0.48365868481052399</v>
      </c>
      <c r="G4044">
        <v>0.64019449383460403</v>
      </c>
      <c r="H4044">
        <v>0.25523305337864</v>
      </c>
      <c r="I4044">
        <v>0.175154543391975</v>
      </c>
      <c r="J4044">
        <v>0.16585873082738201</v>
      </c>
      <c r="K4044">
        <v>8.5898036766576494E-2</v>
      </c>
      <c r="L4044">
        <v>498.100331407314</v>
      </c>
      <c r="M4044">
        <v>9.4616805461225706</v>
      </c>
      <c r="N4044">
        <v>52.643959912502403</v>
      </c>
      <c r="O4044">
        <v>50.453155343238898</v>
      </c>
      <c r="P4044">
        <v>-4.69116422016259E-2</v>
      </c>
      <c r="Q4044">
        <v>0</v>
      </c>
      <c r="R4044">
        <v>0.94130725521465097</v>
      </c>
      <c r="S4044" t="s">
        <v>9627</v>
      </c>
      <c r="T4044" t="s">
        <v>11164</v>
      </c>
      <c r="U4044" t="s">
        <v>11164</v>
      </c>
      <c r="V4044" t="s">
        <v>11164</v>
      </c>
      <c r="W4044" t="s">
        <v>15165</v>
      </c>
      <c r="X4044">
        <v>3</v>
      </c>
      <c r="Y4044" t="s">
        <v>20639</v>
      </c>
      <c r="Z4044" t="s">
        <v>26194</v>
      </c>
      <c r="AA4044">
        <v>0.54572955350014429</v>
      </c>
      <c r="AB4044" t="str">
        <f>HYPERLINK("Melting_Curves/meltCurve_Q8TEQ6_GEMIN5.pdf", "Melting_Curves/meltCurve_Q8TEQ6_GEMIN5.pdf")</f>
        <v>Melting_Curves/meltCurve_Q8TEQ6_GEMIN5.pdf</v>
      </c>
    </row>
    <row r="4045" spans="1:28" x14ac:dyDescent="0.25">
      <c r="A4045" t="s">
        <v>4049</v>
      </c>
      <c r="B4045">
        <v>0.99796759195183404</v>
      </c>
      <c r="C4045">
        <v>1.1728394770353101</v>
      </c>
      <c r="D4045">
        <v>0.74111248643175098</v>
      </c>
      <c r="E4045">
        <v>0.75250006767845901</v>
      </c>
      <c r="F4045">
        <v>0.99093529993225704</v>
      </c>
      <c r="G4045">
        <v>0.79247078860878795</v>
      </c>
      <c r="H4045">
        <v>0.24276426331770301</v>
      </c>
      <c r="I4045">
        <v>9.2709205887749099E-2</v>
      </c>
      <c r="J4045">
        <v>0</v>
      </c>
      <c r="K4045">
        <v>0</v>
      </c>
      <c r="L4045">
        <v>2032.73178462992</v>
      </c>
      <c r="M4045">
        <v>36.510149634616901</v>
      </c>
      <c r="N4045">
        <v>55.7087105387115</v>
      </c>
      <c r="O4045">
        <v>55.509560409225699</v>
      </c>
      <c r="P4045">
        <v>-0.16267798026338301</v>
      </c>
      <c r="Q4045">
        <v>1.06689404394015E-2</v>
      </c>
      <c r="R4045">
        <v>0.91180723315103296</v>
      </c>
      <c r="S4045" t="s">
        <v>9628</v>
      </c>
      <c r="T4045" t="s">
        <v>11164</v>
      </c>
      <c r="U4045" t="s">
        <v>11164</v>
      </c>
      <c r="V4045" t="s">
        <v>11164</v>
      </c>
      <c r="W4045" t="s">
        <v>15166</v>
      </c>
      <c r="X4045">
        <v>1</v>
      </c>
      <c r="Y4045" t="s">
        <v>20640</v>
      </c>
      <c r="Z4045" t="s">
        <v>26195</v>
      </c>
      <c r="AA4045">
        <v>0.63097030373147833</v>
      </c>
      <c r="AB4045" t="str">
        <f>HYPERLINK("Melting_Curves/meltCurve_Q8TEQ8_2_PIGO.pdf", "Melting_Curves/meltCurve_Q8TEQ8_2_PIGO.pdf")</f>
        <v>Melting_Curves/meltCurve_Q8TEQ8_2_PIGO.pdf</v>
      </c>
    </row>
    <row r="4046" spans="1:28" x14ac:dyDescent="0.25">
      <c r="A4046" t="s">
        <v>4050</v>
      </c>
      <c r="B4046">
        <v>0.99796759195183404</v>
      </c>
      <c r="C4046">
        <v>0.80721727847123503</v>
      </c>
      <c r="D4046">
        <v>0.80784256479941297</v>
      </c>
      <c r="E4046">
        <v>0.7855434414986</v>
      </c>
      <c r="F4046">
        <v>0.92452001034134701</v>
      </c>
      <c r="G4046">
        <v>0.72115004395429705</v>
      </c>
      <c r="H4046">
        <v>0.63298573182303597</v>
      </c>
      <c r="I4046">
        <v>0.36544495446900099</v>
      </c>
      <c r="J4046">
        <v>0.18679606976580401</v>
      </c>
      <c r="K4046">
        <v>0.145493780062838</v>
      </c>
      <c r="L4046">
        <v>669.35909748804704</v>
      </c>
      <c r="M4046">
        <v>11.506107483677299</v>
      </c>
      <c r="N4046">
        <v>58.174243480805799</v>
      </c>
      <c r="O4046">
        <v>56.500239423341398</v>
      </c>
      <c r="P4046">
        <v>-5.09261853406308E-2</v>
      </c>
      <c r="Q4046">
        <v>0</v>
      </c>
      <c r="R4046">
        <v>0.86492595773232395</v>
      </c>
      <c r="S4046" t="s">
        <v>9629</v>
      </c>
      <c r="T4046" t="s">
        <v>11164</v>
      </c>
      <c r="U4046" t="s">
        <v>11164</v>
      </c>
      <c r="V4046" t="s">
        <v>11164</v>
      </c>
      <c r="W4046" t="s">
        <v>15167</v>
      </c>
      <c r="X4046">
        <v>1</v>
      </c>
      <c r="Y4046" t="s">
        <v>20641</v>
      </c>
      <c r="Z4046" t="s">
        <v>26196</v>
      </c>
      <c r="AA4046">
        <v>0.70181662750000384</v>
      </c>
      <c r="AB4046" t="str">
        <f>HYPERLINK("Melting_Curves/meltCurve_Q8TEV9_SMCR8.pdf", "Melting_Curves/meltCurve_Q8TEV9_SMCR8.pdf")</f>
        <v>Melting_Curves/meltCurve_Q8TEV9_SMCR8.pdf</v>
      </c>
    </row>
    <row r="4047" spans="1:28" x14ac:dyDescent="0.25">
      <c r="A4047" t="s">
        <v>4051</v>
      </c>
      <c r="B4047">
        <v>0.99796759195183404</v>
      </c>
      <c r="C4047">
        <v>1.0533360368246001</v>
      </c>
      <c r="D4047">
        <v>0.95133469509339397</v>
      </c>
      <c r="E4047">
        <v>0.80030054217609403</v>
      </c>
      <c r="F4047">
        <v>0.60427653284738003</v>
      </c>
      <c r="G4047">
        <v>0.41363289404886999</v>
      </c>
      <c r="H4047">
        <v>0.32610997496729899</v>
      </c>
      <c r="I4047">
        <v>0.27630998946534002</v>
      </c>
      <c r="J4047">
        <v>0.25134339392538102</v>
      </c>
      <c r="K4047">
        <v>0.21017791908285399</v>
      </c>
      <c r="L4047">
        <v>785.01991186059399</v>
      </c>
      <c r="M4047">
        <v>15.672515704977499</v>
      </c>
      <c r="N4047">
        <v>52.014545954248902</v>
      </c>
      <c r="O4047">
        <v>49.294733796055397</v>
      </c>
      <c r="P4047">
        <v>-6.1994071644824997E-2</v>
      </c>
      <c r="Q4047">
        <v>0.220107000721812</v>
      </c>
      <c r="R4047">
        <v>0.99430698461866396</v>
      </c>
      <c r="S4047" t="s">
        <v>9630</v>
      </c>
      <c r="T4047" t="s">
        <v>11164</v>
      </c>
      <c r="U4047" t="s">
        <v>11164</v>
      </c>
      <c r="V4047" t="s">
        <v>11164</v>
      </c>
      <c r="W4047" t="s">
        <v>15168</v>
      </c>
      <c r="X4047">
        <v>7</v>
      </c>
      <c r="Y4047" t="s">
        <v>20642</v>
      </c>
      <c r="Z4047" t="s">
        <v>26197</v>
      </c>
      <c r="AA4047">
        <v>0.57561855943265783</v>
      </c>
      <c r="AB4047" t="str">
        <f>HYPERLINK("Melting_Curves/meltCurve_Q8TEW0_4_PARD3.pdf", "Melting_Curves/meltCurve_Q8TEW0_4_PARD3.pdf")</f>
        <v>Melting_Curves/meltCurve_Q8TEW0_4_PARD3.pdf</v>
      </c>
    </row>
    <row r="4048" spans="1:28" x14ac:dyDescent="0.25">
      <c r="A4048" t="s">
        <v>4052</v>
      </c>
      <c r="B4048">
        <v>0.99796759195183404</v>
      </c>
      <c r="C4048">
        <v>0.95281797415372405</v>
      </c>
      <c r="D4048">
        <v>0.95531794218568999</v>
      </c>
      <c r="E4048">
        <v>0.85919901849631497</v>
      </c>
      <c r="F4048">
        <v>0.61043501057148397</v>
      </c>
      <c r="G4048">
        <v>0.31829386446330399</v>
      </c>
      <c r="H4048">
        <v>0.15782540278248</v>
      </c>
      <c r="I4048">
        <v>0.122638939290348</v>
      </c>
      <c r="J4048">
        <v>9.6123686499875793E-2</v>
      </c>
      <c r="K4048">
        <v>7.5829926059129402E-2</v>
      </c>
      <c r="L4048">
        <v>943.33010300185697</v>
      </c>
      <c r="M4048">
        <v>18.511742902139702</v>
      </c>
      <c r="N4048">
        <v>51.371231432098298</v>
      </c>
      <c r="O4048">
        <v>50.374982351159503</v>
      </c>
      <c r="P4048">
        <v>-8.5525286580515697E-2</v>
      </c>
      <c r="Q4048">
        <v>6.9100344837924696E-2</v>
      </c>
      <c r="R4048">
        <v>0.99822815813905996</v>
      </c>
      <c r="S4048" t="s">
        <v>9631</v>
      </c>
      <c r="T4048" t="s">
        <v>11164</v>
      </c>
      <c r="U4048" t="s">
        <v>11164</v>
      </c>
      <c r="V4048" t="s">
        <v>11164</v>
      </c>
      <c r="W4048" t="s">
        <v>15169</v>
      </c>
      <c r="X4048">
        <v>20</v>
      </c>
      <c r="Y4048" t="s">
        <v>20643</v>
      </c>
      <c r="Z4048" t="s">
        <v>26198</v>
      </c>
      <c r="AA4048">
        <v>0.51605946732765062</v>
      </c>
      <c r="AB4048" t="str">
        <f>HYPERLINK("Melting_Curves/meltCurve_Q8TEX9_IPO4.pdf", "Melting_Curves/meltCurve_Q8TEX9_IPO4.pdf")</f>
        <v>Melting_Curves/meltCurve_Q8TEX9_IPO4.pdf</v>
      </c>
    </row>
    <row r="4049" spans="1:28" x14ac:dyDescent="0.25">
      <c r="A4049" t="s">
        <v>4053</v>
      </c>
      <c r="B4049">
        <v>0.99796759195183404</v>
      </c>
      <c r="C4049">
        <v>0.89550890309074405</v>
      </c>
      <c r="D4049">
        <v>0.91878154408366597</v>
      </c>
      <c r="E4049">
        <v>0.88048335983783199</v>
      </c>
      <c r="F4049">
        <v>0.66019613074222105</v>
      </c>
      <c r="G4049">
        <v>0.23135690215000801</v>
      </c>
      <c r="H4049">
        <v>0.15015762789533901</v>
      </c>
      <c r="I4049">
        <v>9.7710375060699503E-2</v>
      </c>
      <c r="J4049">
        <v>6.3401953014543003E-2</v>
      </c>
      <c r="K4049">
        <v>6.8383636509611795E-2</v>
      </c>
      <c r="L4049">
        <v>1184.23577000154</v>
      </c>
      <c r="M4049">
        <v>23.221567916851999</v>
      </c>
      <c r="N4049">
        <v>51.301862304894698</v>
      </c>
      <c r="O4049">
        <v>50.623546656751998</v>
      </c>
      <c r="P4049">
        <v>-0.107294154070895</v>
      </c>
      <c r="Q4049">
        <v>6.4401858289604999E-2</v>
      </c>
      <c r="R4049">
        <v>0.98596886629630098</v>
      </c>
      <c r="S4049" t="s">
        <v>9632</v>
      </c>
      <c r="T4049" t="s">
        <v>11164</v>
      </c>
      <c r="U4049" t="s">
        <v>11164</v>
      </c>
      <c r="V4049" t="s">
        <v>11164</v>
      </c>
      <c r="W4049" t="s">
        <v>15170</v>
      </c>
      <c r="X4049">
        <v>1</v>
      </c>
      <c r="Y4049" t="s">
        <v>20644</v>
      </c>
      <c r="Z4049" t="s">
        <v>26199</v>
      </c>
      <c r="AA4049">
        <v>0.51037706498169977</v>
      </c>
      <c r="AB4049" t="str">
        <f>HYPERLINK("Melting_Curves/meltCurve_Q8TEY7_2_USP33.pdf", "Melting_Curves/meltCurve_Q8TEY7_2_USP33.pdf")</f>
        <v>Melting_Curves/meltCurve_Q8TEY7_2_USP33.pdf</v>
      </c>
    </row>
    <row r="4050" spans="1:28" x14ac:dyDescent="0.25">
      <c r="A4050" t="s">
        <v>4054</v>
      </c>
      <c r="B4050">
        <v>0.99796759195183404</v>
      </c>
      <c r="C4050">
        <v>1.08671594379507</v>
      </c>
      <c r="D4050">
        <v>1.06203616824073</v>
      </c>
      <c r="E4050">
        <v>1.00629251076816</v>
      </c>
      <c r="F4050">
        <v>0.92027148349742305</v>
      </c>
      <c r="G4050">
        <v>0.85750997462574496</v>
      </c>
      <c r="H4050">
        <v>0.85901746538157897</v>
      </c>
      <c r="I4050">
        <v>0.63935376300239299</v>
      </c>
      <c r="J4050">
        <v>0.53725171124152904</v>
      </c>
      <c r="K4050">
        <v>0.51055390307103599</v>
      </c>
      <c r="L4050">
        <v>787.65961716540198</v>
      </c>
      <c r="M4050">
        <v>12.9475981749324</v>
      </c>
      <c r="N4050">
        <v>66.588761630946806</v>
      </c>
      <c r="O4050">
        <v>59.438076990793498</v>
      </c>
      <c r="P4050">
        <v>-3.6129959645114298E-2</v>
      </c>
      <c r="Q4050">
        <v>0.336676984128427</v>
      </c>
      <c r="R4050">
        <v>0.94731634762104699</v>
      </c>
      <c r="S4050" t="s">
        <v>9633</v>
      </c>
      <c r="T4050" t="s">
        <v>11164</v>
      </c>
      <c r="U4050" t="s">
        <v>11164</v>
      </c>
      <c r="V4050" t="s">
        <v>11164</v>
      </c>
      <c r="W4050" t="s">
        <v>15171</v>
      </c>
      <c r="X4050">
        <v>7</v>
      </c>
      <c r="Y4050" t="s">
        <v>20645</v>
      </c>
      <c r="Z4050" t="s">
        <v>26200</v>
      </c>
      <c r="AA4050">
        <v>0.85067729122371571</v>
      </c>
      <c r="AB4050" t="str">
        <f>HYPERLINK("Melting_Curves/meltCurve_Q8TF01_PNISR.pdf", "Melting_Curves/meltCurve_Q8TF01_PNISR.pdf")</f>
        <v>Melting_Curves/meltCurve_Q8TF01_PNISR.pdf</v>
      </c>
    </row>
    <row r="4051" spans="1:28" x14ac:dyDescent="0.25">
      <c r="A4051" t="s">
        <v>4055</v>
      </c>
      <c r="B4051">
        <v>0.99796759195183404</v>
      </c>
      <c r="C4051">
        <v>1.07315695235164</v>
      </c>
      <c r="D4051">
        <v>0.99917831793107303</v>
      </c>
      <c r="E4051">
        <v>1.0218764477826201</v>
      </c>
      <c r="F4051">
        <v>0.95166440498635496</v>
      </c>
      <c r="G4051">
        <v>0.89245736752349303</v>
      </c>
      <c r="H4051">
        <v>0.34140251773890501</v>
      </c>
      <c r="I4051">
        <v>0.29245475887627898</v>
      </c>
      <c r="J4051">
        <v>0.16677722516646101</v>
      </c>
      <c r="K4051">
        <v>0.117993155972864</v>
      </c>
      <c r="L4051">
        <v>2560.4089172205599</v>
      </c>
      <c r="M4051">
        <v>45.8630226786549</v>
      </c>
      <c r="N4051">
        <v>56.378863141750998</v>
      </c>
      <c r="O4051">
        <v>55.721480965267801</v>
      </c>
      <c r="P4051">
        <v>-0.168573794213528</v>
      </c>
      <c r="Q4051">
        <v>0.18076319034830701</v>
      </c>
      <c r="R4051">
        <v>0.98486183808542105</v>
      </c>
      <c r="S4051" t="s">
        <v>9634</v>
      </c>
      <c r="T4051" t="s">
        <v>11164</v>
      </c>
      <c r="U4051" t="s">
        <v>11164</v>
      </c>
      <c r="V4051" t="s">
        <v>11164</v>
      </c>
      <c r="W4051" t="s">
        <v>15172</v>
      </c>
      <c r="X4051">
        <v>5</v>
      </c>
      <c r="Y4051" t="s">
        <v>20646</v>
      </c>
      <c r="Z4051" t="s">
        <v>26201</v>
      </c>
      <c r="AA4051">
        <v>0.69727342889373134</v>
      </c>
      <c r="AB4051" t="str">
        <f>HYPERLINK("Melting_Curves/meltCurve_Q8TF05_2_PPP4R1.pdf", "Melting_Curves/meltCurve_Q8TF05_2_PPP4R1.pdf")</f>
        <v>Melting_Curves/meltCurve_Q8TF05_2_PPP4R1.pdf</v>
      </c>
    </row>
    <row r="4052" spans="1:28" x14ac:dyDescent="0.25">
      <c r="A4052" t="s">
        <v>4056</v>
      </c>
      <c r="B4052">
        <v>0.99796759195183404</v>
      </c>
      <c r="C4052">
        <v>1.0337960670844299</v>
      </c>
      <c r="D4052">
        <v>1.0349963981419299</v>
      </c>
      <c r="E4052">
        <v>1.0032090587601801</v>
      </c>
      <c r="F4052">
        <v>0.88470525702326097</v>
      </c>
      <c r="G4052">
        <v>0.80674250577972495</v>
      </c>
      <c r="H4052">
        <v>0.771607463092713</v>
      </c>
      <c r="I4052">
        <v>0.62653157857832498</v>
      </c>
      <c r="J4052">
        <v>0.83084531679804996</v>
      </c>
      <c r="K4052">
        <v>0.82207582101573495</v>
      </c>
      <c r="L4052">
        <v>1782.0097865158</v>
      </c>
      <c r="M4052">
        <v>35.308586412384798</v>
      </c>
      <c r="O4052">
        <v>50.308492816349698</v>
      </c>
      <c r="P4052">
        <v>-4.1222183413699001E-2</v>
      </c>
      <c r="Q4052">
        <v>0.76506339365743303</v>
      </c>
      <c r="R4052">
        <v>0.81732709633090495</v>
      </c>
      <c r="S4052" t="s">
        <v>9635</v>
      </c>
      <c r="T4052" t="s">
        <v>11164</v>
      </c>
      <c r="U4052" t="s">
        <v>11164</v>
      </c>
      <c r="V4052" t="s">
        <v>11164</v>
      </c>
      <c r="W4052" t="s">
        <v>15173</v>
      </c>
      <c r="X4052">
        <v>12</v>
      </c>
      <c r="Y4052" t="s">
        <v>20647</v>
      </c>
      <c r="Z4052" t="s">
        <v>26202</v>
      </c>
      <c r="AA4052">
        <v>0.87159803366337274</v>
      </c>
      <c r="AB4052" t="str">
        <f>HYPERLINK("Melting_Curves/meltCurve_Q8TF74_WIPF2.pdf", "Melting_Curves/meltCurve_Q8TF74_WIPF2.pdf")</f>
        <v>Melting_Curves/meltCurve_Q8TF74_WIPF2.pdf</v>
      </c>
    </row>
    <row r="4053" spans="1:28" x14ac:dyDescent="0.25">
      <c r="A4053" t="s">
        <v>4057</v>
      </c>
      <c r="B4053">
        <v>0.99796759195183404</v>
      </c>
      <c r="C4053">
        <v>0.97801288698708799</v>
      </c>
      <c r="D4053">
        <v>1.00538024236975</v>
      </c>
      <c r="E4053">
        <v>0.92100551483624804</v>
      </c>
      <c r="F4053">
        <v>0.80956017753544995</v>
      </c>
      <c r="G4053">
        <v>0.38422155752582399</v>
      </c>
      <c r="H4053">
        <v>0.29801943459337199</v>
      </c>
      <c r="I4053">
        <v>0.236406232184313</v>
      </c>
      <c r="J4053">
        <v>0.202871695076181</v>
      </c>
      <c r="K4053">
        <v>0.146578006569273</v>
      </c>
      <c r="L4053">
        <v>1384.7822055049701</v>
      </c>
      <c r="M4053">
        <v>26.6397978718277</v>
      </c>
      <c r="N4053">
        <v>52.955973317005203</v>
      </c>
      <c r="O4053">
        <v>51.691443690496698</v>
      </c>
      <c r="P4053">
        <v>-0.103882197202694</v>
      </c>
      <c r="Q4053">
        <v>0.193722909310035</v>
      </c>
      <c r="R4053">
        <v>0.99149964114310796</v>
      </c>
      <c r="S4053" t="s">
        <v>9636</v>
      </c>
      <c r="T4053" t="s">
        <v>11164</v>
      </c>
      <c r="U4053" t="s">
        <v>11164</v>
      </c>
      <c r="V4053" t="s">
        <v>11164</v>
      </c>
      <c r="W4053" t="s">
        <v>15174</v>
      </c>
      <c r="X4053">
        <v>6</v>
      </c>
      <c r="Y4053" t="s">
        <v>20648</v>
      </c>
      <c r="Z4053" t="s">
        <v>26203</v>
      </c>
      <c r="AA4053">
        <v>0.6027315143969173</v>
      </c>
      <c r="AB4053" t="str">
        <f>HYPERLINK("Melting_Curves/meltCurve_Q8WTS6_SETD7.pdf", "Melting_Curves/meltCurve_Q8WTS6_SETD7.pdf")</f>
        <v>Melting_Curves/meltCurve_Q8WTS6_SETD7.pdf</v>
      </c>
    </row>
    <row r="4054" spans="1:28" x14ac:dyDescent="0.25">
      <c r="A4054" t="s">
        <v>4058</v>
      </c>
      <c r="B4054">
        <v>0.99796759195183404</v>
      </c>
      <c r="C4054">
        <v>1.15761610793693</v>
      </c>
      <c r="D4054">
        <v>0.81983208606611802</v>
      </c>
      <c r="E4054">
        <v>1.0714634975708801</v>
      </c>
      <c r="F4054">
        <v>0.573806206764926</v>
      </c>
      <c r="G4054">
        <v>1.0322413449335199</v>
      </c>
      <c r="H4054">
        <v>0.59391811358980495</v>
      </c>
      <c r="I4054">
        <v>0.17784982622099299</v>
      </c>
      <c r="J4054">
        <v>0.187312098384531</v>
      </c>
      <c r="K4054">
        <v>0.34369958063108402</v>
      </c>
      <c r="L4054">
        <v>14342.7071336884</v>
      </c>
      <c r="M4054">
        <v>250</v>
      </c>
      <c r="N4054">
        <v>57.518016458305702</v>
      </c>
      <c r="O4054">
        <v>57.367162662418302</v>
      </c>
      <c r="P4054">
        <v>-0.83204500051678798</v>
      </c>
      <c r="Q4054">
        <v>0.23628709954895</v>
      </c>
      <c r="R4054">
        <v>0.79010159269532498</v>
      </c>
      <c r="S4054" t="s">
        <v>9637</v>
      </c>
      <c r="T4054" t="s">
        <v>11164</v>
      </c>
      <c r="U4054" t="s">
        <v>11164</v>
      </c>
      <c r="V4054" t="s">
        <v>11164</v>
      </c>
      <c r="W4054" t="s">
        <v>15175</v>
      </c>
      <c r="X4054">
        <v>1</v>
      </c>
      <c r="Y4054" t="s">
        <v>20649</v>
      </c>
      <c r="Z4054" t="s">
        <v>26204</v>
      </c>
      <c r="AA4054">
        <v>0.75494614541009641</v>
      </c>
      <c r="AB4054" t="str">
        <f>HYPERLINK("Melting_Curves/meltCurve_Q8WU58_FAM222B.pdf", "Melting_Curves/meltCurve_Q8WU58_FAM222B.pdf")</f>
        <v>Melting_Curves/meltCurve_Q8WU58_FAM222B.pdf</v>
      </c>
    </row>
    <row r="4055" spans="1:28" x14ac:dyDescent="0.25">
      <c r="A4055" t="s">
        <v>4059</v>
      </c>
      <c r="B4055">
        <v>0.99796759195183404</v>
      </c>
      <c r="C4055">
        <v>0.94485504239525198</v>
      </c>
      <c r="D4055">
        <v>0.96174499079130105</v>
      </c>
      <c r="E4055">
        <v>0.87744672629598797</v>
      </c>
      <c r="F4055">
        <v>0.60491098455826497</v>
      </c>
      <c r="G4055">
        <v>0.27815501463189002</v>
      </c>
      <c r="H4055">
        <v>0.155505593167997</v>
      </c>
      <c r="I4055">
        <v>0.124035032454652</v>
      </c>
      <c r="J4055">
        <v>8.3238297811321402E-2</v>
      </c>
      <c r="K4055">
        <v>6.6087087544552295E-2</v>
      </c>
      <c r="L4055">
        <v>1050.3894103683199</v>
      </c>
      <c r="M4055">
        <v>20.676634785509901</v>
      </c>
      <c r="N4055">
        <v>51.193681589055501</v>
      </c>
      <c r="O4055">
        <v>50.332771740027503</v>
      </c>
      <c r="P4055">
        <v>-9.5167589637883507E-2</v>
      </c>
      <c r="Q4055">
        <v>7.3367269614642405E-2</v>
      </c>
      <c r="R4055">
        <v>0.99721951278569299</v>
      </c>
      <c r="S4055" t="s">
        <v>9638</v>
      </c>
      <c r="T4055" t="s">
        <v>11164</v>
      </c>
      <c r="U4055" t="s">
        <v>11164</v>
      </c>
      <c r="V4055" t="s">
        <v>11164</v>
      </c>
      <c r="W4055" t="s">
        <v>15176</v>
      </c>
      <c r="X4055">
        <v>7</v>
      </c>
      <c r="Y4055" t="s">
        <v>20650</v>
      </c>
      <c r="Z4055" t="s">
        <v>26205</v>
      </c>
      <c r="AA4055">
        <v>0.51112712168256025</v>
      </c>
      <c r="AB4055" t="str">
        <f>HYPERLINK("Melting_Curves/meltCurve_Q8WU79_2_SMAP2.pdf", "Melting_Curves/meltCurve_Q8WU79_2_SMAP2.pdf")</f>
        <v>Melting_Curves/meltCurve_Q8WU79_2_SMAP2.pdf</v>
      </c>
    </row>
    <row r="4056" spans="1:28" x14ac:dyDescent="0.25">
      <c r="A4056" t="s">
        <v>4060</v>
      </c>
      <c r="B4056">
        <v>0.99796759195183404</v>
      </c>
      <c r="C4056">
        <v>0.97444900911628796</v>
      </c>
      <c r="D4056">
        <v>0.97627953920342603</v>
      </c>
      <c r="E4056">
        <v>0.95730907803259702</v>
      </c>
      <c r="F4056">
        <v>0.79698958471105996</v>
      </c>
      <c r="G4056">
        <v>0.60262106978415897</v>
      </c>
      <c r="H4056">
        <v>0.47703835837186598</v>
      </c>
      <c r="I4056">
        <v>0.321136748368752</v>
      </c>
      <c r="J4056">
        <v>0.226409901858209</v>
      </c>
      <c r="K4056">
        <v>0.17094985860506401</v>
      </c>
      <c r="L4056">
        <v>670.06411766076303</v>
      </c>
      <c r="M4056">
        <v>12.019172333204899</v>
      </c>
      <c r="N4056">
        <v>56.441102296289301</v>
      </c>
      <c r="O4056">
        <v>54.273596129433599</v>
      </c>
      <c r="P4056">
        <v>-5.15857975250485E-2</v>
      </c>
      <c r="Q4056">
        <v>6.8462934408760306E-2</v>
      </c>
      <c r="R4056">
        <v>0.99656821810373397</v>
      </c>
      <c r="S4056" t="s">
        <v>9639</v>
      </c>
      <c r="T4056" t="s">
        <v>11164</v>
      </c>
      <c r="U4056" t="s">
        <v>11164</v>
      </c>
      <c r="V4056" t="s">
        <v>11164</v>
      </c>
      <c r="W4056" t="s">
        <v>15177</v>
      </c>
      <c r="X4056">
        <v>13</v>
      </c>
      <c r="Y4056" t="s">
        <v>20651</v>
      </c>
      <c r="Z4056" t="s">
        <v>26206</v>
      </c>
      <c r="AA4056">
        <v>0.66088793199993945</v>
      </c>
      <c r="AB4056" t="str">
        <f>HYPERLINK("Melting_Curves/meltCurve_Q8WU90_ZC3H15.pdf", "Melting_Curves/meltCurve_Q8WU90_ZC3H15.pdf")</f>
        <v>Melting_Curves/meltCurve_Q8WU90_ZC3H15.pdf</v>
      </c>
    </row>
    <row r="4057" spans="1:28" x14ac:dyDescent="0.25">
      <c r="A4057" t="s">
        <v>4061</v>
      </c>
      <c r="B4057">
        <v>0.99796759195183404</v>
      </c>
      <c r="C4057">
        <v>0.97208617396284203</v>
      </c>
      <c r="D4057">
        <v>0.97243072028890798</v>
      </c>
      <c r="E4057">
        <v>0.86409552056123295</v>
      </c>
      <c r="F4057">
        <v>0.66349569688424204</v>
      </c>
      <c r="G4057">
        <v>0.33666549543598501</v>
      </c>
      <c r="H4057">
        <v>0.190307489446501</v>
      </c>
      <c r="I4057">
        <v>0.13761098321573201</v>
      </c>
      <c r="J4057">
        <v>0.111932797822132</v>
      </c>
      <c r="K4057">
        <v>7.7977443050995104E-2</v>
      </c>
      <c r="L4057">
        <v>960.55916856287399</v>
      </c>
      <c r="M4057">
        <v>18.6985913475663</v>
      </c>
      <c r="N4057">
        <v>51.851813967982501</v>
      </c>
      <c r="O4057">
        <v>50.793935419629399</v>
      </c>
      <c r="P4057">
        <v>-8.4705588875913104E-2</v>
      </c>
      <c r="Q4057">
        <v>7.9642467737279607E-2</v>
      </c>
      <c r="R4057">
        <v>0.99836078197529299</v>
      </c>
      <c r="S4057" t="s">
        <v>9640</v>
      </c>
      <c r="T4057" t="s">
        <v>11164</v>
      </c>
      <c r="U4057" t="s">
        <v>11164</v>
      </c>
      <c r="V4057" t="s">
        <v>11164</v>
      </c>
      <c r="W4057" t="s">
        <v>15178</v>
      </c>
      <c r="X4057">
        <v>10</v>
      </c>
      <c r="Y4057" t="s">
        <v>20652</v>
      </c>
      <c r="Z4057" t="s">
        <v>26207</v>
      </c>
      <c r="AA4057">
        <v>0.53387282295971716</v>
      </c>
      <c r="AB4057" t="str">
        <f>HYPERLINK("Melting_Curves/meltCurve_Q8WUA2_PPIL4.pdf", "Melting_Curves/meltCurve_Q8WUA2_PPIL4.pdf")</f>
        <v>Melting_Curves/meltCurve_Q8WUA2_PPIL4.pdf</v>
      </c>
    </row>
    <row r="4058" spans="1:28" x14ac:dyDescent="0.25">
      <c r="A4058" t="s">
        <v>4062</v>
      </c>
      <c r="B4058">
        <v>0.99796759195183404</v>
      </c>
      <c r="C4058">
        <v>1.0416725806671701</v>
      </c>
      <c r="D4058">
        <v>0.96695307060329305</v>
      </c>
      <c r="E4058">
        <v>0.94743526104029896</v>
      </c>
      <c r="F4058">
        <v>0.775466650021013</v>
      </c>
      <c r="G4058">
        <v>0.43111437429861099</v>
      </c>
      <c r="H4058">
        <v>0.252773652486522</v>
      </c>
      <c r="I4058">
        <v>0.179299040991383</v>
      </c>
      <c r="J4058">
        <v>0.150590611197193</v>
      </c>
      <c r="K4058">
        <v>0.127988509397576</v>
      </c>
      <c r="L4058">
        <v>1173.21041246761</v>
      </c>
      <c r="M4058">
        <v>22.38633203385</v>
      </c>
      <c r="N4058">
        <v>53.151767712402602</v>
      </c>
      <c r="O4058">
        <v>51.994606377456201</v>
      </c>
      <c r="P4058">
        <v>-9.3156098833776194E-2</v>
      </c>
      <c r="Q4058">
        <v>0.134558459879281</v>
      </c>
      <c r="R4058">
        <v>0.99769191566366899</v>
      </c>
      <c r="S4058" t="s">
        <v>9641</v>
      </c>
      <c r="T4058" t="s">
        <v>11164</v>
      </c>
      <c r="U4058" t="s">
        <v>11164</v>
      </c>
      <c r="V4058" t="s">
        <v>11164</v>
      </c>
      <c r="W4058" t="s">
        <v>15179</v>
      </c>
      <c r="X4058">
        <v>5</v>
      </c>
      <c r="Y4058" t="s">
        <v>20653</v>
      </c>
      <c r="Z4058" t="s">
        <v>26208</v>
      </c>
      <c r="AA4058">
        <v>0.58829698739890546</v>
      </c>
      <c r="AB4058" t="str">
        <f>HYPERLINK("Melting_Curves/meltCurve_Q8WUB8_3_PHF10.pdf", "Melting_Curves/meltCurve_Q8WUB8_3_PHF10.pdf")</f>
        <v>Melting_Curves/meltCurve_Q8WUB8_3_PHF10.pdf</v>
      </c>
    </row>
    <row r="4059" spans="1:28" x14ac:dyDescent="0.25">
      <c r="A4059" t="s">
        <v>4063</v>
      </c>
      <c r="B4059">
        <v>0.99796759195183404</v>
      </c>
      <c r="C4059">
        <v>1.02040128269389</v>
      </c>
      <c r="D4059">
        <v>1.12930982521412</v>
      </c>
      <c r="E4059">
        <v>0.999218988867972</v>
      </c>
      <c r="F4059">
        <v>0.89501157715830004</v>
      </c>
      <c r="G4059">
        <v>0.64487445237554997</v>
      </c>
      <c r="H4059">
        <v>0.69609912144661701</v>
      </c>
      <c r="I4059">
        <v>0.73223534779389798</v>
      </c>
      <c r="J4059">
        <v>0.81640181641033804</v>
      </c>
      <c r="K4059">
        <v>0.48347934104051499</v>
      </c>
      <c r="L4059">
        <v>12587.2265433876</v>
      </c>
      <c r="M4059">
        <v>250</v>
      </c>
      <c r="O4059">
        <v>50.3456899662323</v>
      </c>
      <c r="P4059">
        <v>-0.40393481014704102</v>
      </c>
      <c r="Q4059">
        <v>0.67461801023493695</v>
      </c>
      <c r="R4059">
        <v>0.78661034368360605</v>
      </c>
      <c r="S4059" t="s">
        <v>9642</v>
      </c>
      <c r="T4059" t="s">
        <v>11164</v>
      </c>
      <c r="U4059" t="s">
        <v>11164</v>
      </c>
      <c r="V4059" t="s">
        <v>11164</v>
      </c>
      <c r="W4059" t="s">
        <v>15180</v>
      </c>
      <c r="X4059">
        <v>11</v>
      </c>
      <c r="Y4059" t="s">
        <v>20654</v>
      </c>
      <c r="Z4059" t="s">
        <v>26209</v>
      </c>
      <c r="AA4059">
        <v>0.81942988322206178</v>
      </c>
      <c r="AB4059" t="str">
        <f>HYPERLINK("Melting_Curves/meltCurve_Q8WUD1_RAB2B.pdf", "Melting_Curves/meltCurve_Q8WUD1_RAB2B.pdf")</f>
        <v>Melting_Curves/meltCurve_Q8WUD1_RAB2B.pdf</v>
      </c>
    </row>
    <row r="4060" spans="1:28" x14ac:dyDescent="0.25">
      <c r="A4060" t="s">
        <v>4064</v>
      </c>
      <c r="B4060">
        <v>0.99796759195183404</v>
      </c>
      <c r="C4060">
        <v>1.0746400230323601</v>
      </c>
      <c r="D4060">
        <v>1.0325201897671501</v>
      </c>
      <c r="E4060">
        <v>0.91714843771856802</v>
      </c>
      <c r="F4060">
        <v>0.73630278486378198</v>
      </c>
      <c r="G4060">
        <v>0.80517593414366795</v>
      </c>
      <c r="H4060">
        <v>0.50696031631062799</v>
      </c>
      <c r="I4060">
        <v>0.32012752040185499</v>
      </c>
      <c r="J4060">
        <v>0.150894658856813</v>
      </c>
      <c r="K4060">
        <v>0.112719568074601</v>
      </c>
      <c r="L4060">
        <v>762.98473748899596</v>
      </c>
      <c r="M4060">
        <v>13.305097821560601</v>
      </c>
      <c r="N4060">
        <v>57.345293531060598</v>
      </c>
      <c r="O4060">
        <v>56.096315105692199</v>
      </c>
      <c r="P4060">
        <v>-5.93053444489655E-2</v>
      </c>
      <c r="Q4060">
        <v>0</v>
      </c>
      <c r="R4060">
        <v>0.96748171121156201</v>
      </c>
      <c r="S4060" t="s">
        <v>9643</v>
      </c>
      <c r="T4060" t="s">
        <v>11164</v>
      </c>
      <c r="U4060" t="s">
        <v>11164</v>
      </c>
      <c r="V4060" t="s">
        <v>11164</v>
      </c>
      <c r="W4060" t="s">
        <v>15181</v>
      </c>
      <c r="X4060">
        <v>2</v>
      </c>
      <c r="Y4060" t="s">
        <v>20655</v>
      </c>
      <c r="Z4060" t="s">
        <v>26210</v>
      </c>
      <c r="AA4060">
        <v>0.68321924115822152</v>
      </c>
      <c r="AB4060" t="str">
        <f>HYPERLINK("Melting_Curves/meltCurve_Q8WUD6_CHPT1.pdf", "Melting_Curves/meltCurve_Q8WUD6_CHPT1.pdf")</f>
        <v>Melting_Curves/meltCurve_Q8WUD6_CHPT1.pdf</v>
      </c>
    </row>
    <row r="4061" spans="1:28" x14ac:dyDescent="0.25">
      <c r="A4061" t="s">
        <v>4065</v>
      </c>
      <c r="B4061">
        <v>0.99796759195183404</v>
      </c>
      <c r="C4061">
        <v>1.0355692211585099</v>
      </c>
      <c r="D4061">
        <v>1.02774931769488</v>
      </c>
      <c r="E4061">
        <v>0.88964604361175903</v>
      </c>
      <c r="F4061">
        <v>0.85817373820294396</v>
      </c>
      <c r="G4061">
        <v>0.60232858513293497</v>
      </c>
      <c r="H4061">
        <v>0.30878903276093</v>
      </c>
      <c r="I4061">
        <v>0.27011079444456698</v>
      </c>
      <c r="J4061">
        <v>0.233863244634857</v>
      </c>
      <c r="K4061">
        <v>0.15138064330162199</v>
      </c>
      <c r="L4061">
        <v>1052.44548535687</v>
      </c>
      <c r="M4061">
        <v>19.558998373229699</v>
      </c>
      <c r="N4061">
        <v>54.944624853780603</v>
      </c>
      <c r="O4061">
        <v>53.255746202449998</v>
      </c>
      <c r="P4061">
        <v>-7.6550800888600098E-2</v>
      </c>
      <c r="Q4061">
        <v>0.166291615961216</v>
      </c>
      <c r="R4061">
        <v>0.98862948121560601</v>
      </c>
      <c r="S4061" t="s">
        <v>9644</v>
      </c>
      <c r="T4061" t="s">
        <v>11164</v>
      </c>
      <c r="U4061" t="s">
        <v>11164</v>
      </c>
      <c r="V4061" t="s">
        <v>11164</v>
      </c>
      <c r="W4061" t="s">
        <v>15182</v>
      </c>
      <c r="X4061">
        <v>4</v>
      </c>
      <c r="Y4061" t="s">
        <v>20656</v>
      </c>
      <c r="Z4061" t="s">
        <v>26211</v>
      </c>
      <c r="AA4061">
        <v>0.64388784278989908</v>
      </c>
      <c r="AB4061" t="str">
        <f>HYPERLINK("Melting_Curves/meltCurve_Q8WUF5_PPP1R13L.pdf", "Melting_Curves/meltCurve_Q8WUF5_PPP1R13L.pdf")</f>
        <v>Melting_Curves/meltCurve_Q8WUF5_PPP1R13L.pdf</v>
      </c>
    </row>
    <row r="4062" spans="1:28" x14ac:dyDescent="0.25">
      <c r="A4062" t="s">
        <v>4066</v>
      </c>
      <c r="B4062">
        <v>0.99796759195183404</v>
      </c>
      <c r="C4062">
        <v>0.950080734469812</v>
      </c>
      <c r="D4062">
        <v>0.975130005437301</v>
      </c>
      <c r="E4062">
        <v>0.92858022183206601</v>
      </c>
      <c r="F4062">
        <v>0.70787395750851501</v>
      </c>
      <c r="G4062">
        <v>0.53580850043014205</v>
      </c>
      <c r="H4062">
        <v>0.40030703715859101</v>
      </c>
      <c r="I4062">
        <v>0.34806821826944501</v>
      </c>
      <c r="J4062">
        <v>0.25036711111589</v>
      </c>
      <c r="K4062">
        <v>0.19317257055842799</v>
      </c>
      <c r="L4062">
        <v>685.66991176145496</v>
      </c>
      <c r="M4062">
        <v>12.8994317528681</v>
      </c>
      <c r="N4062">
        <v>54.905202979661198</v>
      </c>
      <c r="O4062">
        <v>51.926178891015603</v>
      </c>
      <c r="P4062">
        <v>-5.1645271077319997E-2</v>
      </c>
      <c r="Q4062">
        <v>0.168566807623553</v>
      </c>
      <c r="R4062">
        <v>0.991675769562952</v>
      </c>
      <c r="S4062" t="s">
        <v>9645</v>
      </c>
      <c r="T4062" t="s">
        <v>11164</v>
      </c>
      <c r="U4062" t="s">
        <v>11164</v>
      </c>
      <c r="V4062" t="s">
        <v>11164</v>
      </c>
      <c r="W4062" t="s">
        <v>15183</v>
      </c>
      <c r="X4062">
        <v>2</v>
      </c>
      <c r="Y4062" t="s">
        <v>20657</v>
      </c>
      <c r="Z4062" t="s">
        <v>26212</v>
      </c>
      <c r="AA4062">
        <v>0.63277043138082911</v>
      </c>
      <c r="AB4062" t="str">
        <f>HYPERLINK("Melting_Curves/meltCurve_Q8WUF8_2_FAM172A.pdf", "Melting_Curves/meltCurve_Q8WUF8_2_FAM172A.pdf")</f>
        <v>Melting_Curves/meltCurve_Q8WUF8_2_FAM172A.pdf</v>
      </c>
    </row>
    <row r="4063" spans="1:28" x14ac:dyDescent="0.25">
      <c r="A4063" t="s">
        <v>4067</v>
      </c>
      <c r="B4063">
        <v>0.99796759195183404</v>
      </c>
      <c r="C4063">
        <v>0.86794212198716703</v>
      </c>
      <c r="D4063">
        <v>0.94300994221030299</v>
      </c>
      <c r="E4063">
        <v>0.85476079807743899</v>
      </c>
      <c r="F4063">
        <v>0.80096084155667002</v>
      </c>
      <c r="G4063">
        <v>0.51854562499165602</v>
      </c>
      <c r="H4063">
        <v>0.38521231000235401</v>
      </c>
      <c r="I4063">
        <v>0.31278975794743202</v>
      </c>
      <c r="J4063">
        <v>0.34405996482206502</v>
      </c>
      <c r="K4063">
        <v>0.31123966327031699</v>
      </c>
      <c r="L4063">
        <v>791.23850731095399</v>
      </c>
      <c r="M4063">
        <v>15.2459582597506</v>
      </c>
      <c r="N4063">
        <v>54.761177408569502</v>
      </c>
      <c r="O4063">
        <v>51.029937949389797</v>
      </c>
      <c r="P4063">
        <v>-5.4180580395640797E-2</v>
      </c>
      <c r="Q4063">
        <v>0.274674747356972</v>
      </c>
      <c r="R4063">
        <v>0.96402732561523896</v>
      </c>
      <c r="S4063" t="s">
        <v>9646</v>
      </c>
      <c r="T4063" t="s">
        <v>11164</v>
      </c>
      <c r="U4063" t="s">
        <v>11164</v>
      </c>
      <c r="V4063" t="s">
        <v>11164</v>
      </c>
      <c r="W4063" t="s">
        <v>15184</v>
      </c>
      <c r="X4063">
        <v>2</v>
      </c>
      <c r="Y4063" t="s">
        <v>20658</v>
      </c>
      <c r="Z4063" t="s">
        <v>26213</v>
      </c>
      <c r="AA4063">
        <v>0.64857330350029585</v>
      </c>
      <c r="AB4063" t="str">
        <f>HYPERLINK("Melting_Curves/meltCurve_Q8WUH6_C12orf23.pdf", "Melting_Curves/meltCurve_Q8WUH6_C12orf23.pdf")</f>
        <v>Melting_Curves/meltCurve_Q8WUH6_C12orf23.pdf</v>
      </c>
    </row>
    <row r="4064" spans="1:28" x14ac:dyDescent="0.25">
      <c r="A4064" t="s">
        <v>4068</v>
      </c>
      <c r="B4064">
        <v>0.99796759195183404</v>
      </c>
      <c r="C4064">
        <v>1.7957208909513001</v>
      </c>
      <c r="D4064">
        <v>1.57233381665372</v>
      </c>
      <c r="E4064">
        <v>0.908679544708488</v>
      </c>
      <c r="F4064">
        <v>1.0323065812105101</v>
      </c>
      <c r="G4064">
        <v>0.63466598556628095</v>
      </c>
      <c r="H4064">
        <v>0.478640190537795</v>
      </c>
      <c r="I4064">
        <v>0</v>
      </c>
      <c r="J4064">
        <v>0</v>
      </c>
      <c r="K4064">
        <v>0.30114045163695802</v>
      </c>
      <c r="L4064">
        <v>1538.63809967302</v>
      </c>
      <c r="M4064">
        <v>27.791121726279801</v>
      </c>
      <c r="N4064">
        <v>55.808659771717203</v>
      </c>
      <c r="O4064">
        <v>55.0800932922063</v>
      </c>
      <c r="P4064">
        <v>-0.11362272841880899</v>
      </c>
      <c r="Q4064">
        <v>9.9238206931341097E-2</v>
      </c>
      <c r="R4064">
        <v>0.67714903732711196</v>
      </c>
      <c r="S4064" t="s">
        <v>9647</v>
      </c>
      <c r="T4064" t="s">
        <v>11164</v>
      </c>
      <c r="U4064" t="s">
        <v>11164</v>
      </c>
      <c r="V4064" t="s">
        <v>11164</v>
      </c>
      <c r="W4064" t="s">
        <v>15185</v>
      </c>
      <c r="X4064">
        <v>1</v>
      </c>
      <c r="Y4064" t="s">
        <v>20659</v>
      </c>
      <c r="Z4064" t="s">
        <v>26214</v>
      </c>
      <c r="AA4064">
        <v>0.65707872751221597</v>
      </c>
      <c r="AB4064" t="str">
        <f>HYPERLINK("Melting_Curves/meltCurve_Q8WUJ1_CYB5D2.pdf", "Melting_Curves/meltCurve_Q8WUJ1_CYB5D2.pdf")</f>
        <v>Melting_Curves/meltCurve_Q8WUJ1_CYB5D2.pdf</v>
      </c>
    </row>
    <row r="4065" spans="1:28" x14ac:dyDescent="0.25">
      <c r="A4065" t="s">
        <v>4069</v>
      </c>
      <c r="B4065">
        <v>0.99796759195183404</v>
      </c>
      <c r="C4065">
        <v>1.01646219274021</v>
      </c>
      <c r="D4065">
        <v>0.99140267663777104</v>
      </c>
      <c r="E4065">
        <v>0.99343821734900495</v>
      </c>
      <c r="F4065">
        <v>0.75826288349302995</v>
      </c>
      <c r="G4065">
        <v>0.42256160102552898</v>
      </c>
      <c r="H4065">
        <v>0.17202974577779401</v>
      </c>
      <c r="I4065">
        <v>9.32593082681554E-2</v>
      </c>
      <c r="J4065">
        <v>7.6690726177895296E-2</v>
      </c>
      <c r="K4065">
        <v>5.3641201820681002E-2</v>
      </c>
      <c r="L4065">
        <v>1244.0130286963099</v>
      </c>
      <c r="M4065">
        <v>23.613604829002</v>
      </c>
      <c r="N4065">
        <v>52.947768677825401</v>
      </c>
      <c r="O4065">
        <v>52.308605062863499</v>
      </c>
      <c r="P4065">
        <v>-0.10655288810558899</v>
      </c>
      <c r="Q4065">
        <v>5.5877003287678598E-2</v>
      </c>
      <c r="R4065">
        <v>0.99880228974083496</v>
      </c>
      <c r="S4065" t="s">
        <v>9648</v>
      </c>
      <c r="T4065" t="s">
        <v>11164</v>
      </c>
      <c r="U4065" t="s">
        <v>11164</v>
      </c>
      <c r="V4065" t="s">
        <v>11164</v>
      </c>
      <c r="W4065" t="s">
        <v>15186</v>
      </c>
      <c r="X4065">
        <v>6</v>
      </c>
      <c r="Y4065" t="s">
        <v>20660</v>
      </c>
      <c r="Z4065" t="s">
        <v>26215</v>
      </c>
      <c r="AA4065">
        <v>0.55862065527919824</v>
      </c>
      <c r="AB4065" t="str">
        <f>HYPERLINK("Melting_Curves/meltCurve_Q8WUK0_PTPMT1.pdf", "Melting_Curves/meltCurve_Q8WUK0_PTPMT1.pdf")</f>
        <v>Melting_Curves/meltCurve_Q8WUK0_PTPMT1.pdf</v>
      </c>
    </row>
    <row r="4066" spans="1:28" x14ac:dyDescent="0.25">
      <c r="A4066" t="s">
        <v>4070</v>
      </c>
      <c r="B4066">
        <v>0.99796759195183404</v>
      </c>
      <c r="C4066">
        <v>1.0340292912576201</v>
      </c>
      <c r="D4066">
        <v>1.01416143470821</v>
      </c>
      <c r="E4066">
        <v>0.96853236799555498</v>
      </c>
      <c r="F4066">
        <v>0.79884874573947795</v>
      </c>
      <c r="G4066">
        <v>0.20636751294400901</v>
      </c>
      <c r="H4066">
        <v>0.14507058359379499</v>
      </c>
      <c r="I4066">
        <v>0.110934955084142</v>
      </c>
      <c r="J4066">
        <v>8.3515536175881505E-2</v>
      </c>
      <c r="K4066">
        <v>6.0554607382574802E-2</v>
      </c>
      <c r="L4066">
        <v>2331.8444752196501</v>
      </c>
      <c r="M4066">
        <v>45.227525159843601</v>
      </c>
      <c r="N4066">
        <v>51.801564914333298</v>
      </c>
      <c r="O4066">
        <v>51.457606107415799</v>
      </c>
      <c r="P4066">
        <v>-0.19869086545578801</v>
      </c>
      <c r="Q4066">
        <v>9.5759508269995394E-2</v>
      </c>
      <c r="R4066">
        <v>0.99710172573141598</v>
      </c>
      <c r="S4066" t="s">
        <v>9649</v>
      </c>
      <c r="T4066" t="s">
        <v>11164</v>
      </c>
      <c r="U4066" t="s">
        <v>11164</v>
      </c>
      <c r="V4066" t="s">
        <v>11164</v>
      </c>
      <c r="W4066" t="s">
        <v>15187</v>
      </c>
      <c r="X4066">
        <v>49</v>
      </c>
      <c r="Y4066" t="s">
        <v>20661</v>
      </c>
      <c r="Z4066" t="s">
        <v>26216</v>
      </c>
      <c r="AA4066">
        <v>0.53707446116197721</v>
      </c>
      <c r="AB4066" t="str">
        <f>HYPERLINK("Melting_Curves/meltCurve_Q8WUM4_PDCD6IP.pdf", "Melting_Curves/meltCurve_Q8WUM4_PDCD6IP.pdf")</f>
        <v>Melting_Curves/meltCurve_Q8WUM4_PDCD6IP.pdf</v>
      </c>
    </row>
    <row r="4067" spans="1:28" x14ac:dyDescent="0.25">
      <c r="A4067" t="s">
        <v>4071</v>
      </c>
      <c r="B4067">
        <v>0.99796759195183404</v>
      </c>
      <c r="C4067">
        <v>1.07121320017184</v>
      </c>
      <c r="D4067">
        <v>1.0374584989513</v>
      </c>
      <c r="E4067">
        <v>0.85594862522145099</v>
      </c>
      <c r="F4067">
        <v>0.69238057820503296</v>
      </c>
      <c r="G4067">
        <v>0.459917827054933</v>
      </c>
      <c r="H4067">
        <v>0.43618335399821201</v>
      </c>
      <c r="I4067">
        <v>0.33591561420189398</v>
      </c>
      <c r="J4067">
        <v>0.45438856366709302</v>
      </c>
      <c r="K4067">
        <v>0.29703593478895302</v>
      </c>
      <c r="L4067">
        <v>1057.3209080614499</v>
      </c>
      <c r="M4067">
        <v>21.106948479360401</v>
      </c>
      <c r="N4067">
        <v>53.332209293697098</v>
      </c>
      <c r="O4067">
        <v>49.6503476621941</v>
      </c>
      <c r="P4067">
        <v>-6.7889346443233606E-2</v>
      </c>
      <c r="Q4067">
        <v>0.36122630461910998</v>
      </c>
      <c r="R4067">
        <v>0.96931722250374497</v>
      </c>
      <c r="S4067" t="s">
        <v>9650</v>
      </c>
      <c r="T4067" t="s">
        <v>11164</v>
      </c>
      <c r="U4067" t="s">
        <v>11164</v>
      </c>
      <c r="V4067" t="s">
        <v>11164</v>
      </c>
      <c r="W4067" t="s">
        <v>15188</v>
      </c>
      <c r="X4067">
        <v>6</v>
      </c>
      <c r="Y4067" t="s">
        <v>20662</v>
      </c>
      <c r="Z4067" t="s">
        <v>26217</v>
      </c>
      <c r="AA4067">
        <v>0.64766557466073471</v>
      </c>
      <c r="AB4067" t="str">
        <f>HYPERLINK("Melting_Curves/meltCurve_Q8WUP2_FBLIM1.pdf", "Melting_Curves/meltCurve_Q8WUP2_FBLIM1.pdf")</f>
        <v>Melting_Curves/meltCurve_Q8WUP2_FBLIM1.pdf</v>
      </c>
    </row>
    <row r="4068" spans="1:28" x14ac:dyDescent="0.25">
      <c r="A4068" t="s">
        <v>4072</v>
      </c>
      <c r="B4068">
        <v>0.99796759195183404</v>
      </c>
      <c r="C4068">
        <v>0.96694151694584396</v>
      </c>
      <c r="D4068">
        <v>1.03790256685819</v>
      </c>
      <c r="E4068">
        <v>0.844583682107788</v>
      </c>
      <c r="F4068">
        <v>0.81851680961413997</v>
      </c>
      <c r="G4068">
        <v>0.53393783991399002</v>
      </c>
      <c r="H4068">
        <v>0.49217437814531201</v>
      </c>
      <c r="I4068">
        <v>0.44555235460750803</v>
      </c>
      <c r="J4068">
        <v>0.56042960794922903</v>
      </c>
      <c r="K4068">
        <v>0.489563634779551</v>
      </c>
      <c r="L4068">
        <v>1140.96149607182</v>
      </c>
      <c r="M4068">
        <v>22.671080757116101</v>
      </c>
      <c r="N4068">
        <v>59.0590429906282</v>
      </c>
      <c r="O4068">
        <v>49.9400712244937</v>
      </c>
      <c r="P4068">
        <v>-5.8733616615108702E-2</v>
      </c>
      <c r="Q4068">
        <v>0.48249433169281902</v>
      </c>
      <c r="R4068">
        <v>0.94993052962911395</v>
      </c>
      <c r="S4068" t="s">
        <v>9651</v>
      </c>
      <c r="T4068" t="s">
        <v>11164</v>
      </c>
      <c r="U4068" t="s">
        <v>11164</v>
      </c>
      <c r="V4068" t="s">
        <v>11164</v>
      </c>
      <c r="W4068" t="s">
        <v>15189</v>
      </c>
      <c r="X4068">
        <v>2</v>
      </c>
      <c r="Y4068" t="s">
        <v>20663</v>
      </c>
      <c r="Z4068" t="s">
        <v>26218</v>
      </c>
      <c r="AA4068">
        <v>0.71782988301490713</v>
      </c>
      <c r="AB4068" t="str">
        <f>HYPERLINK("Melting_Curves/meltCurve_Q8WUR7_C15orf40.pdf", "Melting_Curves/meltCurve_Q8WUR7_C15orf40.pdf")</f>
        <v>Melting_Curves/meltCurve_Q8WUR7_C15orf40.pdf</v>
      </c>
    </row>
    <row r="4069" spans="1:28" x14ac:dyDescent="0.25">
      <c r="A4069" t="s">
        <v>4073</v>
      </c>
      <c r="B4069">
        <v>0.99796759195183404</v>
      </c>
      <c r="C4069">
        <v>0.85710365449174997</v>
      </c>
      <c r="D4069">
        <v>0.90967450756077695</v>
      </c>
      <c r="E4069">
        <v>0.88782509678464805</v>
      </c>
      <c r="F4069">
        <v>0.83044645256095495</v>
      </c>
      <c r="G4069">
        <v>0.60862263665277905</v>
      </c>
      <c r="H4069">
        <v>0.49329996830014</v>
      </c>
      <c r="I4069">
        <v>0.28504563161079899</v>
      </c>
      <c r="J4069">
        <v>0.15573057419846301</v>
      </c>
      <c r="K4069">
        <v>0.105059722825564</v>
      </c>
      <c r="L4069">
        <v>649.82693349693295</v>
      </c>
      <c r="M4069">
        <v>11.5658341025594</v>
      </c>
      <c r="N4069">
        <v>56.185047123094201</v>
      </c>
      <c r="O4069">
        <v>54.584179023700102</v>
      </c>
      <c r="P4069">
        <v>-5.29871919570261E-2</v>
      </c>
      <c r="Q4069">
        <v>0</v>
      </c>
      <c r="R4069">
        <v>0.97114178670824702</v>
      </c>
      <c r="S4069" t="s">
        <v>9652</v>
      </c>
      <c r="T4069" t="s">
        <v>11164</v>
      </c>
      <c r="U4069" t="s">
        <v>11164</v>
      </c>
      <c r="V4069" t="s">
        <v>11164</v>
      </c>
      <c r="W4069" t="s">
        <v>15190</v>
      </c>
      <c r="X4069">
        <v>3</v>
      </c>
      <c r="Y4069" t="s">
        <v>20664</v>
      </c>
      <c r="Z4069" t="s">
        <v>26219</v>
      </c>
      <c r="AA4069">
        <v>0.64776878498476675</v>
      </c>
      <c r="AB4069" t="str">
        <f>HYPERLINK("Melting_Curves/meltCurve_Q8WUX2_CHAC2.pdf", "Melting_Curves/meltCurve_Q8WUX2_CHAC2.pdf")</f>
        <v>Melting_Curves/meltCurve_Q8WUX2_CHAC2.pdf</v>
      </c>
    </row>
    <row r="4070" spans="1:28" x14ac:dyDescent="0.25">
      <c r="A4070" t="s">
        <v>4074</v>
      </c>
      <c r="B4070">
        <v>0.99796759195183404</v>
      </c>
      <c r="C4070">
        <v>0.99642225101153703</v>
      </c>
      <c r="D4070">
        <v>0.97631047338757204</v>
      </c>
      <c r="E4070">
        <v>0.937610212121051</v>
      </c>
      <c r="F4070">
        <v>0.72923222589746906</v>
      </c>
      <c r="G4070">
        <v>0.26314415850692502</v>
      </c>
      <c r="H4070">
        <v>0.21550140974874299</v>
      </c>
      <c r="I4070">
        <v>0.17013075557568699</v>
      </c>
      <c r="J4070">
        <v>0.15391148635858701</v>
      </c>
      <c r="K4070">
        <v>0.11582662887947</v>
      </c>
      <c r="L4070">
        <v>1755.89482704531</v>
      </c>
      <c r="M4070">
        <v>34.304444711038997</v>
      </c>
      <c r="N4070">
        <v>51.737605875030503</v>
      </c>
      <c r="O4070">
        <v>51.012634047352101</v>
      </c>
      <c r="P4070">
        <v>-0.14235524886780401</v>
      </c>
      <c r="Q4070">
        <v>0.15324229503574899</v>
      </c>
      <c r="R4070">
        <v>0.99591511990665804</v>
      </c>
      <c r="S4070" t="s">
        <v>9653</v>
      </c>
      <c r="T4070" t="s">
        <v>11164</v>
      </c>
      <c r="U4070" t="s">
        <v>11164</v>
      </c>
      <c r="V4070" t="s">
        <v>11164</v>
      </c>
      <c r="W4070" t="s">
        <v>15191</v>
      </c>
      <c r="X4070">
        <v>8</v>
      </c>
      <c r="Y4070" t="s">
        <v>20665</v>
      </c>
      <c r="Z4070" t="s">
        <v>26220</v>
      </c>
      <c r="AA4070">
        <v>0.5576993448905212</v>
      </c>
      <c r="AB4070" t="str">
        <f>HYPERLINK("Melting_Curves/meltCurve_Q8WUX9_CHMP7.pdf", "Melting_Curves/meltCurve_Q8WUX9_CHMP7.pdf")</f>
        <v>Melting_Curves/meltCurve_Q8WUX9_CHMP7.pdf</v>
      </c>
    </row>
    <row r="4071" spans="1:28" x14ac:dyDescent="0.25">
      <c r="A4071" t="s">
        <v>4075</v>
      </c>
      <c r="B4071">
        <v>0.99796759195183404</v>
      </c>
      <c r="C4071">
        <v>1.02492597305889</v>
      </c>
      <c r="D4071">
        <v>0.99703140053947303</v>
      </c>
      <c r="E4071">
        <v>0.95665472450780897</v>
      </c>
      <c r="F4071">
        <v>0.83816845893054104</v>
      </c>
      <c r="G4071">
        <v>0.68548765773866305</v>
      </c>
      <c r="H4071">
        <v>0.59458906067014305</v>
      </c>
      <c r="I4071">
        <v>0.49972131691127702</v>
      </c>
      <c r="J4071">
        <v>0.65505956735598703</v>
      </c>
      <c r="K4071">
        <v>0.51297749019079497</v>
      </c>
      <c r="L4071">
        <v>1145.86745135506</v>
      </c>
      <c r="M4071">
        <v>22.2315474434781</v>
      </c>
      <c r="O4071">
        <v>51.1308050138637</v>
      </c>
      <c r="P4071">
        <v>-4.8822765031971901E-2</v>
      </c>
      <c r="Q4071">
        <v>0.55085560130600797</v>
      </c>
      <c r="R4071">
        <v>0.95896459740949602</v>
      </c>
      <c r="S4071" t="s">
        <v>9654</v>
      </c>
      <c r="T4071" t="s">
        <v>11164</v>
      </c>
      <c r="U4071" t="s">
        <v>11164</v>
      </c>
      <c r="V4071" t="s">
        <v>11164</v>
      </c>
      <c r="W4071" t="s">
        <v>15192</v>
      </c>
      <c r="X4071">
        <v>5</v>
      </c>
      <c r="Y4071" t="s">
        <v>20666</v>
      </c>
      <c r="Z4071" t="s">
        <v>26221</v>
      </c>
      <c r="AA4071">
        <v>0.77347367320754046</v>
      </c>
      <c r="AB4071" t="str">
        <f>HYPERLINK("Melting_Curves/meltCurve_Q8WUY1_THEM6.pdf", "Melting_Curves/meltCurve_Q8WUY1_THEM6.pdf")</f>
        <v>Melting_Curves/meltCurve_Q8WUY1_THEM6.pdf</v>
      </c>
    </row>
    <row r="4072" spans="1:28" x14ac:dyDescent="0.25">
      <c r="A4072" t="s">
        <v>4076</v>
      </c>
      <c r="B4072">
        <v>0.99796759195183404</v>
      </c>
      <c r="C4072">
        <v>0.81229648844869595</v>
      </c>
      <c r="D4072">
        <v>0.89808521320392698</v>
      </c>
      <c r="E4072">
        <v>0.77550850603226196</v>
      </c>
      <c r="F4072">
        <v>0.72662748659024901</v>
      </c>
      <c r="G4072">
        <v>0.37564772463297602</v>
      </c>
      <c r="H4072">
        <v>0.175482806801179</v>
      </c>
      <c r="I4072">
        <v>0.18801404423581999</v>
      </c>
      <c r="J4072">
        <v>9.2867083347005996E-2</v>
      </c>
      <c r="K4072">
        <v>5.2492083206156399E-2</v>
      </c>
      <c r="L4072">
        <v>619.12155803178405</v>
      </c>
      <c r="M4072">
        <v>11.886543956549</v>
      </c>
      <c r="N4072">
        <v>52.085918347666698</v>
      </c>
      <c r="O4072">
        <v>50.677351876862197</v>
      </c>
      <c r="P4072">
        <v>-5.8653025419343002E-2</v>
      </c>
      <c r="Q4072">
        <v>0</v>
      </c>
      <c r="R4072">
        <v>0.95929362695154097</v>
      </c>
      <c r="S4072" t="s">
        <v>9655</v>
      </c>
      <c r="T4072" t="s">
        <v>11164</v>
      </c>
      <c r="U4072" t="s">
        <v>11164</v>
      </c>
      <c r="V4072" t="s">
        <v>11164</v>
      </c>
      <c r="W4072" t="s">
        <v>15193</v>
      </c>
      <c r="X4072">
        <v>2</v>
      </c>
      <c r="Y4072" t="s">
        <v>20667</v>
      </c>
      <c r="Z4072" t="s">
        <v>26222</v>
      </c>
      <c r="AA4072">
        <v>0.52657658628661719</v>
      </c>
      <c r="AB4072" t="str">
        <f>HYPERLINK("Melting_Curves/meltCurve_Q8WUY8_NAT14.pdf", "Melting_Curves/meltCurve_Q8WUY8_NAT14.pdf")</f>
        <v>Melting_Curves/meltCurve_Q8WUY8_NAT14.pdf</v>
      </c>
    </row>
    <row r="4073" spans="1:28" x14ac:dyDescent="0.25">
      <c r="A4073" t="s">
        <v>4077</v>
      </c>
      <c r="B4073">
        <v>0.99796759195183404</v>
      </c>
      <c r="C4073">
        <v>0.96709561208446604</v>
      </c>
      <c r="D4073">
        <v>0.97009071540611702</v>
      </c>
      <c r="E4073">
        <v>0.88525846580766299</v>
      </c>
      <c r="F4073">
        <v>0.63193707790896503</v>
      </c>
      <c r="G4073">
        <v>0.46502857392562402</v>
      </c>
      <c r="H4073">
        <v>0.41974581928072102</v>
      </c>
      <c r="I4073">
        <v>0.350940682851487</v>
      </c>
      <c r="J4073">
        <v>0.28223043502467099</v>
      </c>
      <c r="K4073">
        <v>0.27508633990266301</v>
      </c>
      <c r="L4073">
        <v>809.10813471350605</v>
      </c>
      <c r="M4073">
        <v>16.000120769755</v>
      </c>
      <c r="N4073">
        <v>53.3385597228812</v>
      </c>
      <c r="O4073">
        <v>49.798727722805403</v>
      </c>
      <c r="P4073">
        <v>-5.7664568481445799E-2</v>
      </c>
      <c r="Q4073">
        <v>0.282156182882838</v>
      </c>
      <c r="R4073">
        <v>0.99223453563740505</v>
      </c>
      <c r="S4073" t="s">
        <v>9656</v>
      </c>
      <c r="T4073" t="s">
        <v>11164</v>
      </c>
      <c r="U4073" t="s">
        <v>11164</v>
      </c>
      <c r="V4073" t="s">
        <v>11164</v>
      </c>
      <c r="W4073" t="s">
        <v>15194</v>
      </c>
      <c r="X4073">
        <v>3</v>
      </c>
      <c r="Y4073" t="s">
        <v>20668</v>
      </c>
      <c r="Z4073" t="s">
        <v>26223</v>
      </c>
      <c r="AA4073">
        <v>0.62026011766353928</v>
      </c>
      <c r="AB4073" t="str">
        <f>HYPERLINK("Melting_Curves/meltCurve_Q8WV22_NSMCE1.pdf", "Melting_Curves/meltCurve_Q8WV22_NSMCE1.pdf")</f>
        <v>Melting_Curves/meltCurve_Q8WV22_NSMCE1.pdf</v>
      </c>
    </row>
    <row r="4074" spans="1:28" x14ac:dyDescent="0.25">
      <c r="A4074" t="s">
        <v>4078</v>
      </c>
      <c r="B4074">
        <v>0.99796759195183404</v>
      </c>
      <c r="C4074">
        <v>0.93722843983447701</v>
      </c>
      <c r="D4074">
        <v>0.85374176100182197</v>
      </c>
      <c r="E4074">
        <v>0.94346219619190896</v>
      </c>
      <c r="F4074">
        <v>0.82818350506598604</v>
      </c>
      <c r="G4074">
        <v>0.77649569354638504</v>
      </c>
      <c r="H4074">
        <v>0.34683339422829201</v>
      </c>
      <c r="I4074">
        <v>0.41704788043096203</v>
      </c>
      <c r="J4074">
        <v>0.135679841680936</v>
      </c>
      <c r="K4074">
        <v>7.26602799478369E-2</v>
      </c>
      <c r="L4074">
        <v>757.51640623645199</v>
      </c>
      <c r="M4074">
        <v>13.3230926716644</v>
      </c>
      <c r="N4074">
        <v>56.857400012142797</v>
      </c>
      <c r="O4074">
        <v>55.6222928258791</v>
      </c>
      <c r="P4074">
        <v>-5.9891619707329001E-2</v>
      </c>
      <c r="Q4074">
        <v>0</v>
      </c>
      <c r="R4074">
        <v>0.94050412867605704</v>
      </c>
      <c r="S4074" t="s">
        <v>9657</v>
      </c>
      <c r="T4074" t="s">
        <v>11164</v>
      </c>
      <c r="U4074" t="s">
        <v>11164</v>
      </c>
      <c r="V4074" t="s">
        <v>11164</v>
      </c>
      <c r="W4074" t="s">
        <v>15195</v>
      </c>
      <c r="X4074">
        <v>1</v>
      </c>
      <c r="Y4074" t="s">
        <v>20669</v>
      </c>
      <c r="Z4074" t="s">
        <v>26224</v>
      </c>
      <c r="AA4074">
        <v>0.66927574374982413</v>
      </c>
      <c r="AB4074" t="str">
        <f>HYPERLINK("Melting_Curves/meltCurve_Q8WV74_NUDT8.pdf", "Melting_Curves/meltCurve_Q8WV74_NUDT8.pdf")</f>
        <v>Melting_Curves/meltCurve_Q8WV74_NUDT8.pdf</v>
      </c>
    </row>
    <row r="4075" spans="1:28" x14ac:dyDescent="0.25">
      <c r="A4075" t="s">
        <v>4079</v>
      </c>
      <c r="B4075">
        <v>0.99796759195183404</v>
      </c>
      <c r="C4075">
        <v>1.0977321899583701</v>
      </c>
      <c r="D4075">
        <v>1.02264201175291</v>
      </c>
      <c r="E4075">
        <v>0.98370848976344505</v>
      </c>
      <c r="F4075">
        <v>0.673793696404833</v>
      </c>
      <c r="G4075">
        <v>0.44731657519145801</v>
      </c>
      <c r="H4075">
        <v>0.25873063443426803</v>
      </c>
      <c r="I4075">
        <v>0.24513876212219901</v>
      </c>
      <c r="J4075">
        <v>0.106968313281861</v>
      </c>
      <c r="K4075">
        <v>0.111750416899074</v>
      </c>
      <c r="L4075">
        <v>1011.03327751328</v>
      </c>
      <c r="M4075">
        <v>19.3719716990304</v>
      </c>
      <c r="N4075">
        <v>52.9794495918824</v>
      </c>
      <c r="O4075">
        <v>51.643911353931401</v>
      </c>
      <c r="P4075">
        <v>-8.2030101728563398E-2</v>
      </c>
      <c r="Q4075">
        <v>0.125293196040699</v>
      </c>
      <c r="R4075">
        <v>0.98326726460555602</v>
      </c>
      <c r="S4075" t="s">
        <v>9658</v>
      </c>
      <c r="T4075" t="s">
        <v>11164</v>
      </c>
      <c r="U4075" t="s">
        <v>11164</v>
      </c>
      <c r="V4075" t="s">
        <v>11164</v>
      </c>
      <c r="W4075" t="s">
        <v>15196</v>
      </c>
      <c r="X4075">
        <v>2</v>
      </c>
      <c r="Y4075" t="s">
        <v>20670</v>
      </c>
      <c r="Z4075" t="s">
        <v>26225</v>
      </c>
      <c r="AA4075">
        <v>0.58001569100161887</v>
      </c>
      <c r="AB4075" t="str">
        <f>HYPERLINK("Melting_Curves/meltCurve_Q8WV92_MITD1.pdf", "Melting_Curves/meltCurve_Q8WV92_MITD1.pdf")</f>
        <v>Melting_Curves/meltCurve_Q8WV92_MITD1.pdf</v>
      </c>
    </row>
    <row r="4076" spans="1:28" x14ac:dyDescent="0.25">
      <c r="A4076" t="s">
        <v>4080</v>
      </c>
      <c r="B4076">
        <v>0.99796759195183404</v>
      </c>
      <c r="C4076">
        <v>0.97812960105115698</v>
      </c>
      <c r="D4076">
        <v>0.98200053452571801</v>
      </c>
      <c r="E4076">
        <v>0.92422521880201403</v>
      </c>
      <c r="F4076">
        <v>0.96229007181702797</v>
      </c>
      <c r="G4076">
        <v>0.61740655393645705</v>
      </c>
      <c r="H4076">
        <v>0.48908513493981898</v>
      </c>
      <c r="I4076">
        <v>0.37300179444196901</v>
      </c>
      <c r="J4076">
        <v>0.51543492169187199</v>
      </c>
      <c r="K4076">
        <v>0.52218089294629599</v>
      </c>
      <c r="L4076">
        <v>2599.4384476867899</v>
      </c>
      <c r="M4076">
        <v>49.283197418327802</v>
      </c>
      <c r="N4076">
        <v>56.0348043514838</v>
      </c>
      <c r="O4076">
        <v>52.658296004863402</v>
      </c>
      <c r="P4076">
        <v>-0.12346746160863301</v>
      </c>
      <c r="Q4076">
        <v>0.47230856603722698</v>
      </c>
      <c r="R4076">
        <v>0.96382689397933297</v>
      </c>
      <c r="S4076" t="s">
        <v>9659</v>
      </c>
      <c r="T4076" t="s">
        <v>11164</v>
      </c>
      <c r="U4076" t="s">
        <v>11164</v>
      </c>
      <c r="V4076" t="s">
        <v>11164</v>
      </c>
      <c r="W4076" t="s">
        <v>15197</v>
      </c>
      <c r="X4076">
        <v>4</v>
      </c>
      <c r="Y4076" t="s">
        <v>20671</v>
      </c>
      <c r="Z4076" t="s">
        <v>26226</v>
      </c>
      <c r="AA4076">
        <v>0.75052027804421206</v>
      </c>
      <c r="AB4076" t="str">
        <f>HYPERLINK("Melting_Curves/meltCurve_Q8WVC0_LEO1.pdf", "Melting_Curves/meltCurve_Q8WVC0_LEO1.pdf")</f>
        <v>Melting_Curves/meltCurve_Q8WVC0_LEO1.pdf</v>
      </c>
    </row>
    <row r="4077" spans="1:28" x14ac:dyDescent="0.25">
      <c r="A4077" t="s">
        <v>4081</v>
      </c>
      <c r="B4077">
        <v>0.99796759195183404</v>
      </c>
      <c r="C4077">
        <v>1.01703095603775</v>
      </c>
      <c r="D4077">
        <v>1.0370133784990101</v>
      </c>
      <c r="E4077">
        <v>0.92491964619693801</v>
      </c>
      <c r="F4077">
        <v>0.63754227713086098</v>
      </c>
      <c r="G4077">
        <v>0.27494268975962699</v>
      </c>
      <c r="H4077">
        <v>0.16747075342585799</v>
      </c>
      <c r="I4077">
        <v>0.12426327237861599</v>
      </c>
      <c r="J4077">
        <v>0.11302796455031799</v>
      </c>
      <c r="K4077">
        <v>0.11818890263806101</v>
      </c>
      <c r="L4077">
        <v>1384.2751622232099</v>
      </c>
      <c r="M4077">
        <v>27.220340948062699</v>
      </c>
      <c r="N4077">
        <v>51.356814824506799</v>
      </c>
      <c r="O4077">
        <v>50.582327203809498</v>
      </c>
      <c r="P4077">
        <v>-0.11881090640145001</v>
      </c>
      <c r="Q4077">
        <v>0.116884426792478</v>
      </c>
      <c r="R4077">
        <v>0.99845040730899903</v>
      </c>
      <c r="S4077" t="s">
        <v>9660</v>
      </c>
      <c r="T4077" t="s">
        <v>11164</v>
      </c>
      <c r="U4077" t="s">
        <v>11164</v>
      </c>
      <c r="V4077" t="s">
        <v>11164</v>
      </c>
      <c r="W4077" t="s">
        <v>15198</v>
      </c>
      <c r="X4077">
        <v>2</v>
      </c>
      <c r="Y4077" t="s">
        <v>20672</v>
      </c>
      <c r="Z4077" t="s">
        <v>26227</v>
      </c>
      <c r="AA4077">
        <v>0.5313470317509702</v>
      </c>
      <c r="AB4077" t="str">
        <f>HYPERLINK("Melting_Curves/meltCurve_Q8WVD3_RNF138.pdf", "Melting_Curves/meltCurve_Q8WVD3_RNF138.pdf")</f>
        <v>Melting_Curves/meltCurve_Q8WVD3_RNF138.pdf</v>
      </c>
    </row>
    <row r="4078" spans="1:28" x14ac:dyDescent="0.25">
      <c r="A4078" t="s">
        <v>4082</v>
      </c>
      <c r="B4078">
        <v>0.99796759195183404</v>
      </c>
      <c r="C4078">
        <v>1.0480278823360201</v>
      </c>
      <c r="D4078">
        <v>1.0757137818396001</v>
      </c>
      <c r="E4078">
        <v>1.00437648360502</v>
      </c>
      <c r="F4078">
        <v>0.81040951691392304</v>
      </c>
      <c r="G4078">
        <v>0.25733782127473898</v>
      </c>
      <c r="H4078">
        <v>0.13979632975766501</v>
      </c>
      <c r="I4078">
        <v>0.111699842535287</v>
      </c>
      <c r="J4078">
        <v>6.8309064118515103E-2</v>
      </c>
      <c r="K4078">
        <v>4.1962633586587098E-2</v>
      </c>
      <c r="L4078">
        <v>2037.8709759272899</v>
      </c>
      <c r="M4078">
        <v>39.264166122673899</v>
      </c>
      <c r="N4078">
        <v>52.141269803224603</v>
      </c>
      <c r="O4078">
        <v>51.767465168481699</v>
      </c>
      <c r="P4078">
        <v>-0.17395925566625001</v>
      </c>
      <c r="Q4078">
        <v>8.2582383940901893E-2</v>
      </c>
      <c r="R4078">
        <v>0.99364880495338903</v>
      </c>
      <c r="S4078" t="s">
        <v>9661</v>
      </c>
      <c r="T4078" t="s">
        <v>11164</v>
      </c>
      <c r="U4078" t="s">
        <v>11164</v>
      </c>
      <c r="V4078" t="s">
        <v>11164</v>
      </c>
      <c r="W4078" t="s">
        <v>15199</v>
      </c>
      <c r="X4078">
        <v>3</v>
      </c>
      <c r="Y4078" t="s">
        <v>20673</v>
      </c>
      <c r="Z4078" t="s">
        <v>26228</v>
      </c>
      <c r="AA4078">
        <v>0.54168803834030332</v>
      </c>
      <c r="AB4078" t="str">
        <f>HYPERLINK("Melting_Curves/meltCurve_Q8WVE0_N6AMT2.pdf", "Melting_Curves/meltCurve_Q8WVE0_N6AMT2.pdf")</f>
        <v>Melting_Curves/meltCurve_Q8WVE0_N6AMT2.pdf</v>
      </c>
    </row>
    <row r="4079" spans="1:28" x14ac:dyDescent="0.25">
      <c r="A4079" t="s">
        <v>4083</v>
      </c>
      <c r="B4079">
        <v>0.99796759195183404</v>
      </c>
      <c r="C4079">
        <v>1.0349713364352999</v>
      </c>
      <c r="D4079">
        <v>1.0644245897522</v>
      </c>
      <c r="E4079">
        <v>0.97804373940558997</v>
      </c>
      <c r="F4079">
        <v>0.71866176705457896</v>
      </c>
      <c r="G4079">
        <v>0.23952547534042101</v>
      </c>
      <c r="H4079">
        <v>0.15195911825987901</v>
      </c>
      <c r="I4079">
        <v>0.11903715493365701</v>
      </c>
      <c r="J4079">
        <v>0.10441552685257301</v>
      </c>
      <c r="K4079">
        <v>7.3253239075652801E-2</v>
      </c>
      <c r="L4079">
        <v>1834.2971938563901</v>
      </c>
      <c r="M4079">
        <v>35.764616487180703</v>
      </c>
      <c r="N4079">
        <v>51.627516562335799</v>
      </c>
      <c r="O4079">
        <v>51.128486339033401</v>
      </c>
      <c r="P4079">
        <v>-0.156552098939956</v>
      </c>
      <c r="Q4079">
        <v>0.104786029228012</v>
      </c>
      <c r="R4079">
        <v>0.99580714997977404</v>
      </c>
      <c r="S4079" t="s">
        <v>9662</v>
      </c>
      <c r="T4079" t="s">
        <v>11164</v>
      </c>
      <c r="U4079" t="s">
        <v>11164</v>
      </c>
      <c r="V4079" t="s">
        <v>11164</v>
      </c>
      <c r="W4079" t="s">
        <v>15200</v>
      </c>
      <c r="X4079">
        <v>10</v>
      </c>
      <c r="Y4079" t="s">
        <v>20674</v>
      </c>
      <c r="Z4079" t="s">
        <v>26229</v>
      </c>
      <c r="AA4079">
        <v>0.53510985993035554</v>
      </c>
      <c r="AB4079" t="str">
        <f>HYPERLINK("Melting_Curves/meltCurve_Q8WVJ2_NUDCD2.pdf", "Melting_Curves/meltCurve_Q8WVJ2_NUDCD2.pdf")</f>
        <v>Melting_Curves/meltCurve_Q8WVJ2_NUDCD2.pdf</v>
      </c>
    </row>
    <row r="4080" spans="1:28" x14ac:dyDescent="0.25">
      <c r="A4080" t="s">
        <v>4084</v>
      </c>
      <c r="B4080">
        <v>0.99796759195183404</v>
      </c>
      <c r="C4080">
        <v>1.0459581628713499</v>
      </c>
      <c r="D4080">
        <v>1.14383449891251</v>
      </c>
      <c r="E4080">
        <v>1.0192300127471099</v>
      </c>
      <c r="F4080">
        <v>1.2383763115066699</v>
      </c>
      <c r="G4080">
        <v>0.92088805731715695</v>
      </c>
      <c r="H4080">
        <v>0.62123670303642997</v>
      </c>
      <c r="I4080">
        <v>0.42891059354244498</v>
      </c>
      <c r="J4080">
        <v>0.58756108437710497</v>
      </c>
      <c r="K4080">
        <v>0.51213642943354998</v>
      </c>
      <c r="L4080">
        <v>2934.1215489348901</v>
      </c>
      <c r="M4080">
        <v>52.5472158689659</v>
      </c>
      <c r="O4080">
        <v>55.757128619404199</v>
      </c>
      <c r="P4080">
        <v>-0.115133543108822</v>
      </c>
      <c r="Q4080">
        <v>0.51133395559196704</v>
      </c>
      <c r="R4080">
        <v>0.87257432120078804</v>
      </c>
      <c r="S4080" t="s">
        <v>9663</v>
      </c>
      <c r="T4080" t="s">
        <v>11164</v>
      </c>
      <c r="U4080" t="s">
        <v>11164</v>
      </c>
      <c r="V4080" t="s">
        <v>11164</v>
      </c>
      <c r="W4080" t="s">
        <v>15201</v>
      </c>
      <c r="X4080">
        <v>5</v>
      </c>
      <c r="Y4080" t="s">
        <v>20675</v>
      </c>
      <c r="Z4080" t="s">
        <v>26230</v>
      </c>
      <c r="AA4080">
        <v>0.81926562185488827</v>
      </c>
      <c r="AB4080" t="str">
        <f>HYPERLINK("Melting_Curves/meltCurve_Q8WVK2_SNRNP27.pdf", "Melting_Curves/meltCurve_Q8WVK2_SNRNP27.pdf")</f>
        <v>Melting_Curves/meltCurve_Q8WVK2_SNRNP27.pdf</v>
      </c>
    </row>
    <row r="4081" spans="1:28" x14ac:dyDescent="0.25">
      <c r="A4081" t="s">
        <v>4085</v>
      </c>
      <c r="B4081">
        <v>0.99796759195183404</v>
      </c>
      <c r="C4081">
        <v>1.03912387063371</v>
      </c>
      <c r="D4081">
        <v>1.0566802000651101</v>
      </c>
      <c r="E4081">
        <v>0.92879685490205299</v>
      </c>
      <c r="F4081">
        <v>0.58358993354732502</v>
      </c>
      <c r="G4081">
        <v>0.45541714874956102</v>
      </c>
      <c r="H4081">
        <v>0.37138369636720198</v>
      </c>
      <c r="I4081">
        <v>0.28162509539531999</v>
      </c>
      <c r="J4081">
        <v>0.22883991382806099</v>
      </c>
      <c r="K4081">
        <v>0.15264457487695701</v>
      </c>
      <c r="L4081">
        <v>898.93649813732304</v>
      </c>
      <c r="M4081">
        <v>17.5902251126663</v>
      </c>
      <c r="N4081">
        <v>52.725581169575797</v>
      </c>
      <c r="O4081">
        <v>50.457545683124501</v>
      </c>
      <c r="P4081">
        <v>-6.8952408017951702E-2</v>
      </c>
      <c r="Q4081">
        <v>0.20888289631332599</v>
      </c>
      <c r="R4081">
        <v>0.97606238421575098</v>
      </c>
      <c r="S4081" t="s">
        <v>9664</v>
      </c>
      <c r="T4081" t="s">
        <v>11164</v>
      </c>
      <c r="U4081" t="s">
        <v>11164</v>
      </c>
      <c r="V4081" t="s">
        <v>11164</v>
      </c>
      <c r="W4081" t="s">
        <v>15202</v>
      </c>
      <c r="X4081">
        <v>1</v>
      </c>
      <c r="Y4081" t="s">
        <v>20676</v>
      </c>
      <c r="Z4081" t="s">
        <v>26231</v>
      </c>
      <c r="AA4081">
        <v>0.59350164047188325</v>
      </c>
      <c r="AB4081" t="str">
        <f>HYPERLINK("Melting_Curves/meltCurve_Q8WVK7_SKA2.pdf", "Melting_Curves/meltCurve_Q8WVK7_SKA2.pdf")</f>
        <v>Melting_Curves/meltCurve_Q8WVK7_SKA2.pdf</v>
      </c>
    </row>
    <row r="4082" spans="1:28" x14ac:dyDescent="0.25">
      <c r="A4082" t="s">
        <v>4086</v>
      </c>
      <c r="B4082">
        <v>0.99796759195183404</v>
      </c>
      <c r="C4082">
        <v>0.98832027458364402</v>
      </c>
      <c r="D4082">
        <v>0.94157920923377902</v>
      </c>
      <c r="E4082">
        <v>1.0218421833847899</v>
      </c>
      <c r="F4082">
        <v>0.853438462832941</v>
      </c>
      <c r="G4082">
        <v>0.809102621893385</v>
      </c>
      <c r="H4082">
        <v>0.485103776308906</v>
      </c>
      <c r="I4082">
        <v>0.25683502215760401</v>
      </c>
      <c r="J4082">
        <v>0.19273926346171699</v>
      </c>
      <c r="K4082">
        <v>0.161681400237846</v>
      </c>
      <c r="L4082">
        <v>1121.17935228088</v>
      </c>
      <c r="M4082">
        <v>19.8307974933651</v>
      </c>
      <c r="N4082">
        <v>57.263673663712602</v>
      </c>
      <c r="O4082">
        <v>55.9717710529751</v>
      </c>
      <c r="P4082">
        <v>-7.87276540838803E-2</v>
      </c>
      <c r="Q4082">
        <v>0.111204955786328</v>
      </c>
      <c r="R4082">
        <v>0.98806789539297701</v>
      </c>
      <c r="S4082" t="s">
        <v>9665</v>
      </c>
      <c r="T4082" t="s">
        <v>11164</v>
      </c>
      <c r="U4082" t="s">
        <v>11164</v>
      </c>
      <c r="V4082" t="s">
        <v>11164</v>
      </c>
      <c r="W4082" t="s">
        <v>15203</v>
      </c>
      <c r="X4082">
        <v>2</v>
      </c>
      <c r="Y4082" t="s">
        <v>20677</v>
      </c>
      <c r="Z4082" t="s">
        <v>26232</v>
      </c>
      <c r="AA4082">
        <v>0.69854635892619721</v>
      </c>
      <c r="AB4082" t="str">
        <f>HYPERLINK("Melting_Curves/meltCurve_Q8WVL7_ANKRD49.pdf", "Melting_Curves/meltCurve_Q8WVL7_ANKRD49.pdf")</f>
        <v>Melting_Curves/meltCurve_Q8WVL7_ANKRD49.pdf</v>
      </c>
    </row>
    <row r="4083" spans="1:28" x14ac:dyDescent="0.25">
      <c r="A4083" t="s">
        <v>4087</v>
      </c>
      <c r="B4083">
        <v>0.99796759195183404</v>
      </c>
      <c r="C4083">
        <v>0.95934647506531201</v>
      </c>
      <c r="D4083">
        <v>0.96581081378429601</v>
      </c>
      <c r="E4083">
        <v>0.88989986089322104</v>
      </c>
      <c r="F4083">
        <v>0.67548517564855803</v>
      </c>
      <c r="G4083">
        <v>0.53206906103723794</v>
      </c>
      <c r="H4083">
        <v>0.158199839166562</v>
      </c>
      <c r="I4083">
        <v>0.27593763215781197</v>
      </c>
      <c r="J4083">
        <v>0.109883726772445</v>
      </c>
      <c r="K4083">
        <v>0</v>
      </c>
      <c r="L4083">
        <v>715.53069676539997</v>
      </c>
      <c r="M4083">
        <v>13.408824158559099</v>
      </c>
      <c r="N4083">
        <v>53.362670075190699</v>
      </c>
      <c r="O4083">
        <v>52.217715103903402</v>
      </c>
      <c r="P4083">
        <v>-6.4206773133432399E-2</v>
      </c>
      <c r="Q4083">
        <v>0</v>
      </c>
      <c r="R4083">
        <v>0.97268318336263404</v>
      </c>
      <c r="S4083" t="s">
        <v>9666</v>
      </c>
      <c r="T4083" t="s">
        <v>11164</v>
      </c>
      <c r="U4083" t="s">
        <v>11164</v>
      </c>
      <c r="V4083" t="s">
        <v>11164</v>
      </c>
      <c r="W4083" t="s">
        <v>15204</v>
      </c>
      <c r="X4083">
        <v>1</v>
      </c>
      <c r="Y4083" t="s">
        <v>20678</v>
      </c>
      <c r="Z4083" t="s">
        <v>26233</v>
      </c>
      <c r="AA4083">
        <v>0.56427096700597101</v>
      </c>
      <c r="AB4083" t="str">
        <f>HYPERLINK("Melting_Curves/meltCurve_Q8WVM0_TFB1M.pdf", "Melting_Curves/meltCurve_Q8WVM0_TFB1M.pdf")</f>
        <v>Melting_Curves/meltCurve_Q8WVM0_TFB1M.pdf</v>
      </c>
    </row>
    <row r="4084" spans="1:28" x14ac:dyDescent="0.25">
      <c r="A4084" t="s">
        <v>4088</v>
      </c>
      <c r="B4084">
        <v>0.99796759195183404</v>
      </c>
      <c r="C4084">
        <v>1.06278191889947</v>
      </c>
      <c r="D4084">
        <v>1.05569599361768</v>
      </c>
      <c r="E4084">
        <v>0.92324159575601605</v>
      </c>
      <c r="F4084">
        <v>0.83632967123260504</v>
      </c>
      <c r="G4084">
        <v>0.37014384855265497</v>
      </c>
      <c r="H4084">
        <v>0.18440996167337001</v>
      </c>
      <c r="I4084">
        <v>0.16012380280958399</v>
      </c>
      <c r="J4084">
        <v>0.12819520281733801</v>
      </c>
      <c r="K4084">
        <v>0.10143644247630999</v>
      </c>
      <c r="L4084">
        <v>1658.72108387349</v>
      </c>
      <c r="M4084">
        <v>31.708206452642401</v>
      </c>
      <c r="N4084">
        <v>52.796293417726702</v>
      </c>
      <c r="O4084">
        <v>52.105281989672498</v>
      </c>
      <c r="P4084">
        <v>-0.132939677633548</v>
      </c>
      <c r="Q4084">
        <v>0.12617896936030401</v>
      </c>
      <c r="R4084">
        <v>0.99232296632443395</v>
      </c>
      <c r="S4084" t="s">
        <v>9667</v>
      </c>
      <c r="T4084" t="s">
        <v>11164</v>
      </c>
      <c r="U4084" t="s">
        <v>11164</v>
      </c>
      <c r="V4084" t="s">
        <v>11164</v>
      </c>
      <c r="W4084" t="s">
        <v>15205</v>
      </c>
      <c r="X4084">
        <v>8</v>
      </c>
      <c r="Y4084" t="s">
        <v>20679</v>
      </c>
      <c r="Z4084" t="s">
        <v>26234</v>
      </c>
      <c r="AA4084">
        <v>0.57715273353153951</v>
      </c>
      <c r="AB4084" t="str">
        <f>HYPERLINK("Melting_Curves/meltCurve_Q8WVM8_SCFD1.pdf", "Melting_Curves/meltCurve_Q8WVM8_SCFD1.pdf")</f>
        <v>Melting_Curves/meltCurve_Q8WVM8_SCFD1.pdf</v>
      </c>
    </row>
    <row r="4085" spans="1:28" x14ac:dyDescent="0.25">
      <c r="A4085" t="s">
        <v>4089</v>
      </c>
      <c r="B4085">
        <v>0.99796759195183404</v>
      </c>
      <c r="C4085">
        <v>1.1166419560271199</v>
      </c>
      <c r="D4085">
        <v>1.0493689371038299</v>
      </c>
      <c r="E4085">
        <v>1.0703340268516199</v>
      </c>
      <c r="F4085">
        <v>0.90826493514860496</v>
      </c>
      <c r="G4085">
        <v>0.62118115943222096</v>
      </c>
      <c r="H4085">
        <v>0.242643504788815</v>
      </c>
      <c r="I4085">
        <v>0.160383333990674</v>
      </c>
      <c r="J4085">
        <v>0.103338260373302</v>
      </c>
      <c r="K4085">
        <v>6.7110118057982698E-2</v>
      </c>
      <c r="L4085">
        <v>1554.5540764869299</v>
      </c>
      <c r="M4085">
        <v>28.575151243363699</v>
      </c>
      <c r="N4085">
        <v>54.774192944108997</v>
      </c>
      <c r="O4085">
        <v>54.137957605292499</v>
      </c>
      <c r="P4085">
        <v>-0.120320363439766</v>
      </c>
      <c r="Q4085">
        <v>8.8180181687692399E-2</v>
      </c>
      <c r="R4085">
        <v>0.98637961670233099</v>
      </c>
      <c r="S4085" t="s">
        <v>9668</v>
      </c>
      <c r="T4085" t="s">
        <v>11164</v>
      </c>
      <c r="U4085" t="s">
        <v>11164</v>
      </c>
      <c r="V4085" t="s">
        <v>11164</v>
      </c>
      <c r="W4085" t="s">
        <v>15206</v>
      </c>
      <c r="X4085">
        <v>5</v>
      </c>
      <c r="Y4085" t="s">
        <v>20680</v>
      </c>
      <c r="Z4085" t="s">
        <v>26235</v>
      </c>
      <c r="AA4085">
        <v>0.62343817013326797</v>
      </c>
      <c r="AB4085" t="str">
        <f>HYPERLINK("Melting_Curves/meltCurve_Q8WVX9_FAR1.pdf", "Melting_Curves/meltCurve_Q8WVX9_FAR1.pdf")</f>
        <v>Melting_Curves/meltCurve_Q8WVX9_FAR1.pdf</v>
      </c>
    </row>
    <row r="4086" spans="1:28" x14ac:dyDescent="0.25">
      <c r="A4086" t="s">
        <v>4090</v>
      </c>
      <c r="B4086">
        <v>0.99796759195183404</v>
      </c>
      <c r="C4086">
        <v>0.96071339731322802</v>
      </c>
      <c r="D4086">
        <v>0.97167067216552205</v>
      </c>
      <c r="E4086">
        <v>0.88053161567661098</v>
      </c>
      <c r="F4086">
        <v>0.66936402728830402</v>
      </c>
      <c r="G4086">
        <v>0.22248216369436499</v>
      </c>
      <c r="H4086">
        <v>0.118288569222763</v>
      </c>
      <c r="I4086">
        <v>9.0785677126395195E-2</v>
      </c>
      <c r="J4086">
        <v>6.9016665959706194E-2</v>
      </c>
      <c r="K4086">
        <v>5.1711391155876203E-2</v>
      </c>
      <c r="L4086">
        <v>1331.4875898647599</v>
      </c>
      <c r="M4086">
        <v>26.079177731410098</v>
      </c>
      <c r="N4086">
        <v>51.3100369507954</v>
      </c>
      <c r="O4086">
        <v>50.7582410152893</v>
      </c>
      <c r="P4086">
        <v>-0.120657946123901</v>
      </c>
      <c r="Q4086">
        <v>6.0658586358725702E-2</v>
      </c>
      <c r="R4086">
        <v>0.99557199617637104</v>
      </c>
      <c r="S4086" t="s">
        <v>9669</v>
      </c>
      <c r="T4086" t="s">
        <v>11164</v>
      </c>
      <c r="U4086" t="s">
        <v>11164</v>
      </c>
      <c r="V4086" t="s">
        <v>11164</v>
      </c>
      <c r="W4086" t="s">
        <v>15207</v>
      </c>
      <c r="X4086">
        <v>11</v>
      </c>
      <c r="Y4086" t="s">
        <v>20681</v>
      </c>
      <c r="Z4086" t="s">
        <v>26236</v>
      </c>
      <c r="AA4086">
        <v>0.50841934225458862</v>
      </c>
      <c r="AB4086" t="str">
        <f>HYPERLINK("Melting_Curves/meltCurve_Q8WVY7_UBLCP1.pdf", "Melting_Curves/meltCurve_Q8WVY7_UBLCP1.pdf")</f>
        <v>Melting_Curves/meltCurve_Q8WVY7_UBLCP1.pdf</v>
      </c>
    </row>
    <row r="4087" spans="1:28" x14ac:dyDescent="0.25">
      <c r="A4087" t="s">
        <v>4091</v>
      </c>
      <c r="B4087">
        <v>0.99796759195183404</v>
      </c>
      <c r="C4087">
        <v>1.6849711332424</v>
      </c>
      <c r="D4087">
        <v>1.2019811937559399</v>
      </c>
      <c r="E4087">
        <v>1.2007892532569</v>
      </c>
      <c r="F4087">
        <v>1.58243066851949</v>
      </c>
      <c r="G4087">
        <v>0.99960110009629399</v>
      </c>
      <c r="H4087">
        <v>0.94040872412103305</v>
      </c>
      <c r="I4087">
        <v>0.512065619088651</v>
      </c>
      <c r="J4087">
        <v>0.69416335347115699</v>
      </c>
      <c r="K4087">
        <v>0.40892713969281602</v>
      </c>
      <c r="L4087">
        <v>14459.5761283027</v>
      </c>
      <c r="M4087">
        <v>250</v>
      </c>
      <c r="O4087">
        <v>57.834607183467597</v>
      </c>
      <c r="P4087">
        <v>-0.49885246425868901</v>
      </c>
      <c r="Q4087">
        <v>0.53838505093391398</v>
      </c>
      <c r="R4087">
        <v>0.40649965256974702</v>
      </c>
      <c r="S4087" t="s">
        <v>9670</v>
      </c>
      <c r="T4087" t="s">
        <v>11164</v>
      </c>
      <c r="U4087" t="s">
        <v>11164</v>
      </c>
      <c r="V4087" t="s">
        <v>11164</v>
      </c>
      <c r="W4087" t="s">
        <v>15208</v>
      </c>
      <c r="X4087">
        <v>1</v>
      </c>
      <c r="Y4087" t="s">
        <v>20682</v>
      </c>
      <c r="Z4087" t="s">
        <v>26237</v>
      </c>
      <c r="AA4087">
        <v>0.85907433652531406</v>
      </c>
      <c r="AB4087" t="str">
        <f>HYPERLINK("Melting_Curves/meltCurve_Q8WW01_TSEN15.pdf", "Melting_Curves/meltCurve_Q8WW01_TSEN15.pdf")</f>
        <v>Melting_Curves/meltCurve_Q8WW01_TSEN15.pdf</v>
      </c>
    </row>
    <row r="4088" spans="1:28" x14ac:dyDescent="0.25">
      <c r="A4088" t="s">
        <v>4092</v>
      </c>
      <c r="B4088">
        <v>0.99796759195183404</v>
      </c>
      <c r="C4088">
        <v>0.986881959171381</v>
      </c>
      <c r="D4088">
        <v>1.0328844103813799</v>
      </c>
      <c r="E4088">
        <v>1.0076668837165299</v>
      </c>
      <c r="F4088">
        <v>0.80222682166912695</v>
      </c>
      <c r="G4088">
        <v>0.56927738700511399</v>
      </c>
      <c r="H4088">
        <v>0.73407901009362597</v>
      </c>
      <c r="I4088">
        <v>0.70737399510006005</v>
      </c>
      <c r="J4088">
        <v>0.91790130393140901</v>
      </c>
      <c r="K4088">
        <v>0.872233789564416</v>
      </c>
      <c r="L4088">
        <v>12472.2816989571</v>
      </c>
      <c r="M4088">
        <v>250</v>
      </c>
      <c r="O4088">
        <v>49.885934247987102</v>
      </c>
      <c r="P4088">
        <v>-0.30046909096892699</v>
      </c>
      <c r="Q4088">
        <v>0.76017309935300503</v>
      </c>
      <c r="R4088">
        <v>0.63793256096273598</v>
      </c>
      <c r="S4088" t="s">
        <v>9671</v>
      </c>
      <c r="T4088" t="s">
        <v>11164</v>
      </c>
      <c r="U4088" t="s">
        <v>11164</v>
      </c>
      <c r="V4088" t="s">
        <v>11164</v>
      </c>
      <c r="W4088" t="s">
        <v>15209</v>
      </c>
      <c r="X4088">
        <v>16</v>
      </c>
      <c r="Y4088" t="s">
        <v>20683</v>
      </c>
      <c r="Z4088" t="s">
        <v>26238</v>
      </c>
      <c r="AA4088">
        <v>0.8632327416942025</v>
      </c>
      <c r="AB4088" t="str">
        <f>HYPERLINK("Melting_Curves/meltCurve_Q8WW12_PCNP.pdf", "Melting_Curves/meltCurve_Q8WW12_PCNP.pdf")</f>
        <v>Melting_Curves/meltCurve_Q8WW12_PCNP.pdf</v>
      </c>
    </row>
    <row r="4089" spans="1:28" x14ac:dyDescent="0.25">
      <c r="A4089" t="s">
        <v>4093</v>
      </c>
      <c r="B4089">
        <v>0.99796759195183404</v>
      </c>
      <c r="C4089">
        <v>0.96668362295850296</v>
      </c>
      <c r="D4089">
        <v>1.0108591217082199</v>
      </c>
      <c r="E4089">
        <v>0.94614712915549404</v>
      </c>
      <c r="F4089">
        <v>0.84850754513125604</v>
      </c>
      <c r="G4089">
        <v>0.49991788822125299</v>
      </c>
      <c r="H4089">
        <v>0.36366634887223698</v>
      </c>
      <c r="I4089">
        <v>0.216172239120381</v>
      </c>
      <c r="J4089">
        <v>0.15990309221853799</v>
      </c>
      <c r="K4089">
        <v>0.12756137464063499</v>
      </c>
      <c r="L4089">
        <v>1002.75232509919</v>
      </c>
      <c r="M4089">
        <v>18.677784739056602</v>
      </c>
      <c r="N4089">
        <v>54.5096739666863</v>
      </c>
      <c r="O4089">
        <v>53.082835112808603</v>
      </c>
      <c r="P4089">
        <v>-7.7163389545455999E-2</v>
      </c>
      <c r="Q4089">
        <v>0.12283450909803099</v>
      </c>
      <c r="R4089">
        <v>0.99414065543147601</v>
      </c>
      <c r="S4089" t="s">
        <v>9672</v>
      </c>
      <c r="T4089" t="s">
        <v>11164</v>
      </c>
      <c r="U4089" t="s">
        <v>11164</v>
      </c>
      <c r="V4089" t="s">
        <v>11164</v>
      </c>
      <c r="W4089" t="s">
        <v>15210</v>
      </c>
      <c r="X4089">
        <v>7</v>
      </c>
      <c r="Y4089" t="s">
        <v>20684</v>
      </c>
      <c r="Z4089" t="s">
        <v>26239</v>
      </c>
      <c r="AA4089">
        <v>0.62249396089664144</v>
      </c>
      <c r="AB4089" t="str">
        <f>HYPERLINK("Melting_Curves/meltCurve_Q8WW59_SPRYD4.pdf", "Melting_Curves/meltCurve_Q8WW59_SPRYD4.pdf")</f>
        <v>Melting_Curves/meltCurve_Q8WW59_SPRYD4.pdf</v>
      </c>
    </row>
    <row r="4090" spans="1:28" x14ac:dyDescent="0.25">
      <c r="A4090" t="s">
        <v>4094</v>
      </c>
      <c r="B4090">
        <v>0.99796759195183404</v>
      </c>
      <c r="C4090">
        <v>1.07414493771561</v>
      </c>
      <c r="D4090">
        <v>0.97838807096976199</v>
      </c>
      <c r="E4090">
        <v>1.01997413675358</v>
      </c>
      <c r="F4090">
        <v>0.86294720646431899</v>
      </c>
      <c r="G4090">
        <v>0.64867706591146901</v>
      </c>
      <c r="H4090">
        <v>0.50813925755798806</v>
      </c>
      <c r="I4090">
        <v>0.32645925023957301</v>
      </c>
      <c r="J4090">
        <v>0.22261913203362799</v>
      </c>
      <c r="K4090">
        <v>0.14399400698291301</v>
      </c>
      <c r="L4090">
        <v>791.73431070429797</v>
      </c>
      <c r="M4090">
        <v>13.992589782301</v>
      </c>
      <c r="N4090">
        <v>57.148697251455999</v>
      </c>
      <c r="O4090">
        <v>55.464312053908401</v>
      </c>
      <c r="P4090">
        <v>-5.8995156045155303E-2</v>
      </c>
      <c r="Q4090">
        <v>6.4735849349795399E-2</v>
      </c>
      <c r="R4090">
        <v>0.98846473823417103</v>
      </c>
      <c r="S4090" t="s">
        <v>9673</v>
      </c>
      <c r="T4090" t="s">
        <v>11164</v>
      </c>
      <c r="U4090" t="s">
        <v>11164</v>
      </c>
      <c r="V4090" t="s">
        <v>11164</v>
      </c>
      <c r="W4090" t="s">
        <v>15211</v>
      </c>
      <c r="X4090">
        <v>4</v>
      </c>
      <c r="Y4090" t="s">
        <v>20685</v>
      </c>
      <c r="Z4090" t="s">
        <v>26240</v>
      </c>
      <c r="AA4090">
        <v>0.68375070206915234</v>
      </c>
      <c r="AB4090" t="str">
        <f>HYPERLINK("Melting_Curves/meltCurve_Q8WWC4_C2orf47.pdf", "Melting_Curves/meltCurve_Q8WWC4_C2orf47.pdf")</f>
        <v>Melting_Curves/meltCurve_Q8WWC4_C2orf47.pdf</v>
      </c>
    </row>
    <row r="4091" spans="1:28" x14ac:dyDescent="0.25">
      <c r="A4091" t="s">
        <v>4095</v>
      </c>
      <c r="B4091">
        <v>0.99796759195183404</v>
      </c>
      <c r="C4091">
        <v>0.97908158162927195</v>
      </c>
      <c r="D4091">
        <v>0.931614376706701</v>
      </c>
      <c r="E4091">
        <v>0.899140202409071</v>
      </c>
      <c r="F4091">
        <v>0.71205765454279801</v>
      </c>
      <c r="G4091">
        <v>0.375488462013436</v>
      </c>
      <c r="H4091">
        <v>0.21732109555362</v>
      </c>
      <c r="I4091">
        <v>0.14849128707131401</v>
      </c>
      <c r="J4091">
        <v>0.18955295596124899</v>
      </c>
      <c r="K4091">
        <v>0.122593644167625</v>
      </c>
      <c r="L4091">
        <v>1080.7268047479999</v>
      </c>
      <c r="M4091">
        <v>20.957953338584701</v>
      </c>
      <c r="N4091">
        <v>52.335770807316699</v>
      </c>
      <c r="O4091">
        <v>51.103830988543301</v>
      </c>
      <c r="P4091">
        <v>-8.8936473095876406E-2</v>
      </c>
      <c r="Q4091">
        <v>0.13257337623407001</v>
      </c>
      <c r="R4091">
        <v>0.99460868467645702</v>
      </c>
      <c r="S4091" t="s">
        <v>9674</v>
      </c>
      <c r="T4091" t="s">
        <v>11164</v>
      </c>
      <c r="U4091" t="s">
        <v>11164</v>
      </c>
      <c r="V4091" t="s">
        <v>11164</v>
      </c>
      <c r="W4091" t="s">
        <v>15212</v>
      </c>
      <c r="X4091">
        <v>7</v>
      </c>
      <c r="Y4091" t="s">
        <v>20686</v>
      </c>
      <c r="Z4091" t="s">
        <v>26241</v>
      </c>
      <c r="AA4091">
        <v>0.56420024048157014</v>
      </c>
      <c r="AB4091" t="str">
        <f>HYPERLINK("Melting_Curves/meltCurve_Q8WWH5_TRUB1.pdf", "Melting_Curves/meltCurve_Q8WWH5_TRUB1.pdf")</f>
        <v>Melting_Curves/meltCurve_Q8WWH5_TRUB1.pdf</v>
      </c>
    </row>
    <row r="4092" spans="1:28" x14ac:dyDescent="0.25">
      <c r="A4092" t="s">
        <v>4096</v>
      </c>
      <c r="B4092">
        <v>0.99796759195183404</v>
      </c>
      <c r="C4092">
        <v>1.00944363278344</v>
      </c>
      <c r="D4092">
        <v>1.0038563374121301</v>
      </c>
      <c r="E4092">
        <v>0.96408965880732</v>
      </c>
      <c r="F4092">
        <v>0.81110774152505105</v>
      </c>
      <c r="G4092">
        <v>0.65217889055143496</v>
      </c>
      <c r="H4092">
        <v>0.50930099948745899</v>
      </c>
      <c r="I4092">
        <v>0.29508556645321998</v>
      </c>
      <c r="J4092">
        <v>0.18283867933612499</v>
      </c>
      <c r="K4092">
        <v>0.143609805686985</v>
      </c>
      <c r="L4092">
        <v>700.20545770181104</v>
      </c>
      <c r="M4092">
        <v>12.3080604472121</v>
      </c>
      <c r="N4092">
        <v>56.889991918801599</v>
      </c>
      <c r="O4092">
        <v>55.450758287828997</v>
      </c>
      <c r="P4092">
        <v>-5.5503073078692802E-2</v>
      </c>
      <c r="Q4092">
        <v>0</v>
      </c>
      <c r="R4092">
        <v>0.99625640733824705</v>
      </c>
      <c r="S4092" t="s">
        <v>9675</v>
      </c>
      <c r="T4092" t="s">
        <v>11164</v>
      </c>
      <c r="U4092" t="s">
        <v>11164</v>
      </c>
      <c r="V4092" t="s">
        <v>11164</v>
      </c>
      <c r="W4092" t="s">
        <v>12064</v>
      </c>
      <c r="X4092">
        <v>33</v>
      </c>
      <c r="Y4092" t="s">
        <v>17596</v>
      </c>
      <c r="Z4092" t="s">
        <v>26242</v>
      </c>
      <c r="AA4092">
        <v>0.66879826308884172</v>
      </c>
      <c r="AB4092" t="str">
        <f>HYPERLINK("Melting_Curves/meltCurve_Q8WWM7_ATXN2L.pdf", "Melting_Curves/meltCurve_Q8WWM7_ATXN2L.pdf")</f>
        <v>Melting_Curves/meltCurve_Q8WWM7_ATXN2L.pdf</v>
      </c>
    </row>
    <row r="4093" spans="1:28" x14ac:dyDescent="0.25">
      <c r="A4093" t="s">
        <v>4097</v>
      </c>
      <c r="B4093">
        <v>0.99796759195183404</v>
      </c>
      <c r="C4093">
        <v>0.97657873380440796</v>
      </c>
      <c r="D4093">
        <v>0.97895196992537303</v>
      </c>
      <c r="E4093">
        <v>0.83215855945795703</v>
      </c>
      <c r="F4093">
        <v>0.68777837238505501</v>
      </c>
      <c r="G4093">
        <v>0.37138604243444601</v>
      </c>
      <c r="H4093">
        <v>0.18131542268637099</v>
      </c>
      <c r="I4093">
        <v>0.150156242244018</v>
      </c>
      <c r="J4093">
        <v>0.115550387954181</v>
      </c>
      <c r="K4093">
        <v>8.1424965872348806E-2</v>
      </c>
      <c r="L4093">
        <v>886.81699596108797</v>
      </c>
      <c r="M4093">
        <v>17.172625594608299</v>
      </c>
      <c r="N4093">
        <v>52.102301637975302</v>
      </c>
      <c r="O4093">
        <v>50.956291850898403</v>
      </c>
      <c r="P4093">
        <v>-7.8318441913280495E-2</v>
      </c>
      <c r="Q4093">
        <v>7.0478726408242307E-2</v>
      </c>
      <c r="R4093">
        <v>0.99621290882020097</v>
      </c>
      <c r="S4093" t="s">
        <v>9676</v>
      </c>
      <c r="T4093" t="s">
        <v>11164</v>
      </c>
      <c r="U4093" t="s">
        <v>11164</v>
      </c>
      <c r="V4093" t="s">
        <v>11164</v>
      </c>
      <c r="W4093" t="s">
        <v>15213</v>
      </c>
      <c r="X4093">
        <v>6</v>
      </c>
      <c r="Y4093" t="s">
        <v>20687</v>
      </c>
      <c r="Z4093" t="s">
        <v>26243</v>
      </c>
      <c r="AA4093">
        <v>0.53932400844318096</v>
      </c>
      <c r="AB4093" t="str">
        <f>HYPERLINK("Melting_Curves/meltCurve_Q8WWV3_RTN4IP1.pdf", "Melting_Curves/meltCurve_Q8WWV3_RTN4IP1.pdf")</f>
        <v>Melting_Curves/meltCurve_Q8WWV3_RTN4IP1.pdf</v>
      </c>
    </row>
    <row r="4094" spans="1:28" x14ac:dyDescent="0.25">
      <c r="A4094" t="s">
        <v>4098</v>
      </c>
      <c r="B4094">
        <v>0.99796759195183404</v>
      </c>
      <c r="C4094">
        <v>0.96730051527921901</v>
      </c>
      <c r="D4094">
        <v>0.910586408584527</v>
      </c>
      <c r="E4094">
        <v>0.84547258529110803</v>
      </c>
      <c r="F4094">
        <v>0.72584060333367695</v>
      </c>
      <c r="G4094">
        <v>0.60639769778022101</v>
      </c>
      <c r="H4094">
        <v>0.53797092005859903</v>
      </c>
      <c r="I4094">
        <v>0.39352322333360601</v>
      </c>
      <c r="J4094">
        <v>0.45529429712262498</v>
      </c>
      <c r="K4094">
        <v>0.37256416054687402</v>
      </c>
      <c r="L4094">
        <v>505.82587424494199</v>
      </c>
      <c r="M4094">
        <v>9.6658164115100007</v>
      </c>
      <c r="N4094">
        <v>58.128070009514602</v>
      </c>
      <c r="O4094">
        <v>50.238705275760502</v>
      </c>
      <c r="P4094">
        <v>-3.3240756786302297E-2</v>
      </c>
      <c r="Q4094">
        <v>0.30929856293701202</v>
      </c>
      <c r="R4094">
        <v>0.98816564048591204</v>
      </c>
      <c r="S4094" t="s">
        <v>9677</v>
      </c>
      <c r="T4094" t="s">
        <v>11164</v>
      </c>
      <c r="U4094" t="s">
        <v>11164</v>
      </c>
      <c r="V4094" t="s">
        <v>11164</v>
      </c>
      <c r="W4094" t="s">
        <v>15214</v>
      </c>
      <c r="X4094">
        <v>2</v>
      </c>
      <c r="Y4094" t="s">
        <v>20688</v>
      </c>
      <c r="Z4094" t="s">
        <v>26244</v>
      </c>
      <c r="AA4094">
        <v>0.67996453455718731</v>
      </c>
      <c r="AB4094" t="str">
        <f>HYPERLINK("Melting_Curves/meltCurve_Q8WWX9_SELM.pdf", "Melting_Curves/meltCurve_Q8WWX9_SELM.pdf")</f>
        <v>Melting_Curves/meltCurve_Q8WWX9_SELM.pdf</v>
      </c>
    </row>
    <row r="4095" spans="1:28" x14ac:dyDescent="0.25">
      <c r="A4095" t="s">
        <v>4099</v>
      </c>
      <c r="B4095">
        <v>0.99796759195183404</v>
      </c>
      <c r="C4095">
        <v>1.03587563666071</v>
      </c>
      <c r="D4095">
        <v>1.0022827629156099</v>
      </c>
      <c r="E4095">
        <v>0.94038978508317395</v>
      </c>
      <c r="F4095">
        <v>0.98889572900689005</v>
      </c>
      <c r="G4095">
        <v>0.428503423226826</v>
      </c>
      <c r="H4095">
        <v>0.26586917784641001</v>
      </c>
      <c r="I4095">
        <v>0.21875857875397201</v>
      </c>
      <c r="J4095">
        <v>0.158787241103717</v>
      </c>
      <c r="K4095">
        <v>0.12718020511389599</v>
      </c>
      <c r="L4095">
        <v>2989.5547485941602</v>
      </c>
      <c r="M4095">
        <v>56.3878048882695</v>
      </c>
      <c r="N4095">
        <v>53.466123714028598</v>
      </c>
      <c r="O4095">
        <v>52.951197866363103</v>
      </c>
      <c r="P4095">
        <v>-0.21607047172745</v>
      </c>
      <c r="Q4095">
        <v>0.18839303750473699</v>
      </c>
      <c r="R4095">
        <v>0.98964954202478705</v>
      </c>
      <c r="S4095" t="s">
        <v>9678</v>
      </c>
      <c r="T4095" t="s">
        <v>11164</v>
      </c>
      <c r="U4095" t="s">
        <v>11164</v>
      </c>
      <c r="V4095" t="s">
        <v>11164</v>
      </c>
      <c r="W4095" t="s">
        <v>15215</v>
      </c>
      <c r="X4095">
        <v>12</v>
      </c>
      <c r="Y4095" t="s">
        <v>20689</v>
      </c>
      <c r="Z4095" t="s">
        <v>26245</v>
      </c>
      <c r="AA4095">
        <v>0.6232206359870105</v>
      </c>
      <c r="AB4095" t="str">
        <f>HYPERLINK("Melting_Curves/meltCurve_Q8WX92_NELFB.pdf", "Melting_Curves/meltCurve_Q8WX92_NELFB.pdf")</f>
        <v>Melting_Curves/meltCurve_Q8WX92_NELFB.pdf</v>
      </c>
    </row>
    <row r="4096" spans="1:28" x14ac:dyDescent="0.25">
      <c r="A4096" t="s">
        <v>4100</v>
      </c>
      <c r="B4096">
        <v>0.99796759195183404</v>
      </c>
      <c r="C4096">
        <v>1.03442090975797</v>
      </c>
      <c r="D4096">
        <v>1.0128070825458</v>
      </c>
      <c r="E4096">
        <v>0.96105039555270999</v>
      </c>
      <c r="F4096">
        <v>0.82375128317837898</v>
      </c>
      <c r="G4096">
        <v>0.45120692700674803</v>
      </c>
      <c r="H4096">
        <v>0.250063836438005</v>
      </c>
      <c r="I4096">
        <v>0.19649146866700101</v>
      </c>
      <c r="J4096">
        <v>0.156813517680672</v>
      </c>
      <c r="K4096">
        <v>0.115509437217188</v>
      </c>
      <c r="L4096">
        <v>1320.0003534544801</v>
      </c>
      <c r="M4096">
        <v>25.032529658832701</v>
      </c>
      <c r="N4096">
        <v>53.446278756769701</v>
      </c>
      <c r="O4096">
        <v>52.398336207997602</v>
      </c>
      <c r="P4096">
        <v>-0.10244386581880199</v>
      </c>
      <c r="Q4096">
        <v>0.14226549583452</v>
      </c>
      <c r="R4096">
        <v>0.99744094902889202</v>
      </c>
      <c r="S4096" t="s">
        <v>9679</v>
      </c>
      <c r="T4096" t="s">
        <v>11164</v>
      </c>
      <c r="U4096" t="s">
        <v>11164</v>
      </c>
      <c r="V4096" t="s">
        <v>11164</v>
      </c>
      <c r="W4096" t="s">
        <v>15216</v>
      </c>
      <c r="X4096">
        <v>16</v>
      </c>
      <c r="Y4096" t="s">
        <v>20690</v>
      </c>
      <c r="Z4096" t="s">
        <v>26246</v>
      </c>
      <c r="AA4096">
        <v>0.59961813202360992</v>
      </c>
      <c r="AB4096" t="str">
        <f>HYPERLINK("Melting_Curves/meltCurve_Q8WX93_3_PALLD.pdf", "Melting_Curves/meltCurve_Q8WX93_3_PALLD.pdf")</f>
        <v>Melting_Curves/meltCurve_Q8WX93_3_PALLD.pdf</v>
      </c>
    </row>
    <row r="4097" spans="1:28" x14ac:dyDescent="0.25">
      <c r="A4097" t="s">
        <v>4101</v>
      </c>
      <c r="B4097">
        <v>0.99796759195183404</v>
      </c>
      <c r="C4097">
        <v>0.96247526380861104</v>
      </c>
      <c r="D4097">
        <v>0.92767549376348502</v>
      </c>
      <c r="E4097">
        <v>0.80880287321254496</v>
      </c>
      <c r="F4097">
        <v>0.55458916524721302</v>
      </c>
      <c r="G4097">
        <v>0.31421475692044398</v>
      </c>
      <c r="H4097">
        <v>0.23153474590443901</v>
      </c>
      <c r="I4097">
        <v>0.14891732763000001</v>
      </c>
      <c r="J4097">
        <v>0.134171876637179</v>
      </c>
      <c r="K4097">
        <v>8.5923873896563294E-2</v>
      </c>
      <c r="L4097">
        <v>763.81602233316596</v>
      </c>
      <c r="M4097">
        <v>15.1652480223757</v>
      </c>
      <c r="N4097">
        <v>51.001565496530297</v>
      </c>
      <c r="O4097">
        <v>49.514789031708801</v>
      </c>
      <c r="P4097">
        <v>-6.9985367324415806E-2</v>
      </c>
      <c r="Q4097">
        <v>8.6074863501521895E-2</v>
      </c>
      <c r="R4097">
        <v>0.99807680199374704</v>
      </c>
      <c r="S4097" t="s">
        <v>9680</v>
      </c>
      <c r="T4097" t="s">
        <v>11164</v>
      </c>
      <c r="U4097" t="s">
        <v>11164</v>
      </c>
      <c r="V4097" t="s">
        <v>11164</v>
      </c>
      <c r="W4097" t="s">
        <v>15217</v>
      </c>
      <c r="X4097">
        <v>5</v>
      </c>
      <c r="Y4097" t="s">
        <v>20691</v>
      </c>
      <c r="Z4097" t="s">
        <v>26247</v>
      </c>
      <c r="AA4097">
        <v>0.51184289322964882</v>
      </c>
      <c r="AB4097" t="str">
        <f>HYPERLINK("Melting_Curves/meltCurve_Q8WXA3_RUFY2.pdf", "Melting_Curves/meltCurve_Q8WXA3_RUFY2.pdf")</f>
        <v>Melting_Curves/meltCurve_Q8WXA3_RUFY2.pdf</v>
      </c>
    </row>
    <row r="4098" spans="1:28" x14ac:dyDescent="0.25">
      <c r="A4098" t="s">
        <v>4102</v>
      </c>
      <c r="B4098">
        <v>0.99796759195183404</v>
      </c>
      <c r="C4098">
        <v>1.0741716419727101</v>
      </c>
      <c r="D4098">
        <v>0.91534090700096005</v>
      </c>
      <c r="E4098">
        <v>0.85391111004214104</v>
      </c>
      <c r="F4098">
        <v>0.66669434142730399</v>
      </c>
      <c r="G4098">
        <v>0.40047983767554601</v>
      </c>
      <c r="H4098">
        <v>0.26582199752570801</v>
      </c>
      <c r="I4098">
        <v>0.22638963355157601</v>
      </c>
      <c r="J4098">
        <v>0.22917491950034399</v>
      </c>
      <c r="K4098">
        <v>0.104257922893208</v>
      </c>
      <c r="L4098">
        <v>805.16896228899805</v>
      </c>
      <c r="M4098">
        <v>15.681331583372399</v>
      </c>
      <c r="N4098">
        <v>52.433486009824499</v>
      </c>
      <c r="O4098">
        <v>50.532448945008397</v>
      </c>
      <c r="P4098">
        <v>-6.6813843779144802E-2</v>
      </c>
      <c r="Q4098">
        <v>0.138853654543866</v>
      </c>
      <c r="R4098">
        <v>0.98639169142654404</v>
      </c>
      <c r="S4098" t="s">
        <v>9681</v>
      </c>
      <c r="T4098" t="s">
        <v>11164</v>
      </c>
      <c r="U4098" t="s">
        <v>11164</v>
      </c>
      <c r="V4098" t="s">
        <v>11164</v>
      </c>
      <c r="W4098" t="s">
        <v>15218</v>
      </c>
      <c r="X4098">
        <v>3</v>
      </c>
      <c r="Y4098" t="s">
        <v>20692</v>
      </c>
      <c r="Z4098" t="s">
        <v>26248</v>
      </c>
      <c r="AA4098">
        <v>0.56675964032718751</v>
      </c>
      <c r="AB4098" t="str">
        <f>HYPERLINK("Melting_Curves/meltCurve_Q8WXA9_2_SREK1.pdf", "Melting_Curves/meltCurve_Q8WXA9_2_SREK1.pdf")</f>
        <v>Melting_Curves/meltCurve_Q8WXA9_2_SREK1.pdf</v>
      </c>
    </row>
    <row r="4099" spans="1:28" x14ac:dyDescent="0.25">
      <c r="A4099" t="s">
        <v>4103</v>
      </c>
      <c r="B4099">
        <v>0.99796759195183404</v>
      </c>
      <c r="C4099">
        <v>1.0235020861564399</v>
      </c>
      <c r="D4099">
        <v>0.95560115052162298</v>
      </c>
      <c r="E4099">
        <v>0.93744099557552496</v>
      </c>
      <c r="F4099">
        <v>0.89025652884628503</v>
      </c>
      <c r="G4099">
        <v>0.59483187394152304</v>
      </c>
      <c r="H4099">
        <v>0.53905093859174102</v>
      </c>
      <c r="I4099">
        <v>0.39983019894139199</v>
      </c>
      <c r="J4099">
        <v>0.35604478459225197</v>
      </c>
      <c r="K4099">
        <v>0.24136202701155801</v>
      </c>
      <c r="L4099">
        <v>706.25237275574398</v>
      </c>
      <c r="M4099">
        <v>12.753618818967</v>
      </c>
      <c r="N4099">
        <v>57.7017063882247</v>
      </c>
      <c r="O4099">
        <v>54.068098726361598</v>
      </c>
      <c r="P4099">
        <v>-4.7130697713905802E-2</v>
      </c>
      <c r="Q4099">
        <v>0.20092232882562899</v>
      </c>
      <c r="R4099">
        <v>0.98158020746775398</v>
      </c>
      <c r="S4099" t="s">
        <v>9682</v>
      </c>
      <c r="T4099" t="s">
        <v>11164</v>
      </c>
      <c r="U4099" t="s">
        <v>11164</v>
      </c>
      <c r="V4099" t="s">
        <v>11164</v>
      </c>
      <c r="W4099" t="s">
        <v>15219</v>
      </c>
      <c r="X4099">
        <v>4</v>
      </c>
      <c r="Y4099" t="s">
        <v>20693</v>
      </c>
      <c r="Z4099" t="s">
        <v>26249</v>
      </c>
      <c r="AA4099">
        <v>0.70081539127852066</v>
      </c>
      <c r="AB4099" t="str">
        <f>HYPERLINK("Melting_Curves/meltCurve_Q8WXD5_GEMIN6.pdf", "Melting_Curves/meltCurve_Q8WXD5_GEMIN6.pdf")</f>
        <v>Melting_Curves/meltCurve_Q8WXD5_GEMIN6.pdf</v>
      </c>
    </row>
    <row r="4100" spans="1:28" x14ac:dyDescent="0.25">
      <c r="A4100" t="s">
        <v>4104</v>
      </c>
      <c r="B4100">
        <v>0.99796759195183404</v>
      </c>
      <c r="C4100">
        <v>1.0563726116865999</v>
      </c>
      <c r="D4100">
        <v>1.0365224695734201</v>
      </c>
      <c r="E4100">
        <v>0.83858163890013704</v>
      </c>
      <c r="F4100">
        <v>0.56447486279292403</v>
      </c>
      <c r="G4100">
        <v>0.46081012506340702</v>
      </c>
      <c r="H4100">
        <v>0.28136891530202901</v>
      </c>
      <c r="I4100">
        <v>0.18536680410084899</v>
      </c>
      <c r="J4100">
        <v>0.16534010141130201</v>
      </c>
      <c r="K4100">
        <v>0.116577709131208</v>
      </c>
      <c r="L4100">
        <v>773.52139248512401</v>
      </c>
      <c r="M4100">
        <v>15.0664619625478</v>
      </c>
      <c r="N4100">
        <v>52.256008138882002</v>
      </c>
      <c r="O4100">
        <v>50.461627673929797</v>
      </c>
      <c r="P4100">
        <v>-6.5992215698861101E-2</v>
      </c>
      <c r="Q4100">
        <v>0.11598515841353001</v>
      </c>
      <c r="R4100">
        <v>0.98535291967822503</v>
      </c>
      <c r="S4100" t="s">
        <v>9683</v>
      </c>
      <c r="T4100" t="s">
        <v>11164</v>
      </c>
      <c r="U4100" t="s">
        <v>11164</v>
      </c>
      <c r="V4100" t="s">
        <v>11164</v>
      </c>
      <c r="W4100" t="s">
        <v>15220</v>
      </c>
      <c r="X4100">
        <v>4</v>
      </c>
      <c r="Y4100" t="s">
        <v>20694</v>
      </c>
      <c r="Z4100" t="s">
        <v>26250</v>
      </c>
      <c r="AA4100">
        <v>0.55598680329946515</v>
      </c>
      <c r="AB4100" t="str">
        <f>HYPERLINK("Melting_Curves/meltCurve_Q8WXE0_CASKIN2.pdf", "Melting_Curves/meltCurve_Q8WXE0_CASKIN2.pdf")</f>
        <v>Melting_Curves/meltCurve_Q8WXE0_CASKIN2.pdf</v>
      </c>
    </row>
    <row r="4101" spans="1:28" x14ac:dyDescent="0.25">
      <c r="A4101" t="s">
        <v>4105</v>
      </c>
      <c r="B4101">
        <v>0.99796759195183404</v>
      </c>
      <c r="C4101">
        <v>0.94709158457904796</v>
      </c>
      <c r="D4101">
        <v>0.94515502998582701</v>
      </c>
      <c r="E4101">
        <v>0.91928906146881395</v>
      </c>
      <c r="F4101">
        <v>0.72701234081212995</v>
      </c>
      <c r="G4101">
        <v>0.40678450955439499</v>
      </c>
      <c r="H4101">
        <v>0.26860860117264701</v>
      </c>
      <c r="I4101">
        <v>0.18654100992344599</v>
      </c>
      <c r="J4101">
        <v>0.16342589136240501</v>
      </c>
      <c r="K4101">
        <v>0.10571557750741201</v>
      </c>
      <c r="L4101">
        <v>958.08707420696601</v>
      </c>
      <c r="M4101">
        <v>18.383303679865602</v>
      </c>
      <c r="N4101">
        <v>52.894128037377001</v>
      </c>
      <c r="O4101">
        <v>51.512257239205297</v>
      </c>
      <c r="P4101">
        <v>-7.8666217161053195E-2</v>
      </c>
      <c r="Q4101">
        <v>0.118310516185426</v>
      </c>
      <c r="R4101">
        <v>0.99481865459510799</v>
      </c>
      <c r="S4101" t="s">
        <v>9684</v>
      </c>
      <c r="T4101" t="s">
        <v>11164</v>
      </c>
      <c r="U4101" t="s">
        <v>11164</v>
      </c>
      <c r="V4101" t="s">
        <v>11164</v>
      </c>
      <c r="W4101" t="s">
        <v>15221</v>
      </c>
      <c r="X4101">
        <v>16</v>
      </c>
      <c r="Y4101" t="s">
        <v>20695</v>
      </c>
      <c r="Z4101" t="s">
        <v>26251</v>
      </c>
      <c r="AA4101">
        <v>0.57548936400962891</v>
      </c>
      <c r="AB4101" t="str">
        <f>HYPERLINK("Melting_Curves/meltCurve_Q8WXF1_PSPC1.pdf", "Melting_Curves/meltCurve_Q8WXF1_PSPC1.pdf")</f>
        <v>Melting_Curves/meltCurve_Q8WXF1_PSPC1.pdf</v>
      </c>
    </row>
    <row r="4102" spans="1:28" x14ac:dyDescent="0.25">
      <c r="A4102" t="s">
        <v>4106</v>
      </c>
      <c r="B4102">
        <v>0.99796759195183404</v>
      </c>
      <c r="C4102">
        <v>1.1027269606683101</v>
      </c>
      <c r="D4102">
        <v>0.97200357080446298</v>
      </c>
      <c r="E4102">
        <v>0.77115641740339003</v>
      </c>
      <c r="F4102">
        <v>0.625771135437585</v>
      </c>
      <c r="G4102">
        <v>0.49831844465118202</v>
      </c>
      <c r="H4102">
        <v>0.30254649382344101</v>
      </c>
      <c r="I4102">
        <v>0.20202705433262</v>
      </c>
      <c r="J4102">
        <v>0.15072884979974899</v>
      </c>
      <c r="K4102">
        <v>0.11390398750889399</v>
      </c>
      <c r="L4102">
        <v>625.08066138401205</v>
      </c>
      <c r="M4102">
        <v>11.9167398663828</v>
      </c>
      <c r="N4102">
        <v>52.964815018882298</v>
      </c>
      <c r="O4102">
        <v>51.042326866973603</v>
      </c>
      <c r="P4102">
        <v>-5.52121208822626E-2</v>
      </c>
      <c r="Q4102">
        <v>5.4285859178942103E-2</v>
      </c>
      <c r="R4102">
        <v>0.982403174216816</v>
      </c>
      <c r="S4102" t="s">
        <v>9685</v>
      </c>
      <c r="T4102" t="s">
        <v>11164</v>
      </c>
      <c r="U4102" t="s">
        <v>11164</v>
      </c>
      <c r="V4102" t="s">
        <v>11164</v>
      </c>
      <c r="W4102" t="s">
        <v>15222</v>
      </c>
      <c r="X4102">
        <v>3</v>
      </c>
      <c r="Y4102" t="s">
        <v>20696</v>
      </c>
      <c r="Z4102" t="s">
        <v>26252</v>
      </c>
      <c r="AA4102">
        <v>0.56292267582134659</v>
      </c>
      <c r="AB4102" t="str">
        <f>HYPERLINK("Melting_Curves/meltCurve_Q8WXI9_GATAD2B.pdf", "Melting_Curves/meltCurve_Q8WXI9_GATAD2B.pdf")</f>
        <v>Melting_Curves/meltCurve_Q8WXI9_GATAD2B.pdf</v>
      </c>
    </row>
    <row r="4103" spans="1:28" x14ac:dyDescent="0.25">
      <c r="A4103" t="s">
        <v>4107</v>
      </c>
      <c r="B4103">
        <v>0.99796759195183404</v>
      </c>
      <c r="C4103">
        <v>0.97922332723806804</v>
      </c>
      <c r="D4103">
        <v>0.96433322275117594</v>
      </c>
      <c r="E4103">
        <v>0.84646485903859503</v>
      </c>
      <c r="F4103">
        <v>0.80552570259822498</v>
      </c>
      <c r="G4103">
        <v>0.57386780972942897</v>
      </c>
      <c r="H4103">
        <v>0.330811014001123</v>
      </c>
      <c r="I4103">
        <v>0.200718519896078</v>
      </c>
      <c r="J4103">
        <v>0.15878448518909799</v>
      </c>
      <c r="K4103">
        <v>0.106744089286708</v>
      </c>
      <c r="L4103">
        <v>718.20982915340198</v>
      </c>
      <c r="M4103">
        <v>13.165898864514199</v>
      </c>
      <c r="N4103">
        <v>54.746700117545501</v>
      </c>
      <c r="O4103">
        <v>53.338319615518799</v>
      </c>
      <c r="P4103">
        <v>-6.0299355740595202E-2</v>
      </c>
      <c r="Q4103">
        <v>2.3013742699336599E-2</v>
      </c>
      <c r="R4103">
        <v>0.99405919502862194</v>
      </c>
      <c r="S4103" t="s">
        <v>9686</v>
      </c>
      <c r="T4103" t="s">
        <v>11164</v>
      </c>
      <c r="U4103" t="s">
        <v>11164</v>
      </c>
      <c r="V4103" t="s">
        <v>11164</v>
      </c>
      <c r="W4103" t="s">
        <v>15223</v>
      </c>
      <c r="X4103">
        <v>16</v>
      </c>
      <c r="Y4103" t="s">
        <v>20697</v>
      </c>
      <c r="Z4103" t="s">
        <v>26253</v>
      </c>
      <c r="AA4103">
        <v>0.61007457145166755</v>
      </c>
      <c r="AB4103" t="str">
        <f>HYPERLINK("Melting_Curves/meltCurve_Q8WXX5_DNAJC9.pdf", "Melting_Curves/meltCurve_Q8WXX5_DNAJC9.pdf")</f>
        <v>Melting_Curves/meltCurve_Q8WXX5_DNAJC9.pdf</v>
      </c>
    </row>
    <row r="4104" spans="1:28" x14ac:dyDescent="0.25">
      <c r="A4104" t="s">
        <v>4108</v>
      </c>
      <c r="B4104">
        <v>0.99796759195183404</v>
      </c>
      <c r="C4104">
        <v>0.87192725423700201</v>
      </c>
      <c r="D4104">
        <v>0.80442219080009103</v>
      </c>
      <c r="E4104">
        <v>0.81233675571953001</v>
      </c>
      <c r="F4104">
        <v>0.90640870360405801</v>
      </c>
      <c r="G4104">
        <v>0.635309841720897</v>
      </c>
      <c r="H4104">
        <v>0.58686580787792297</v>
      </c>
      <c r="I4104">
        <v>0.57095910278945206</v>
      </c>
      <c r="J4104">
        <v>0.60009212094443098</v>
      </c>
      <c r="K4104">
        <v>0.56421466138251197</v>
      </c>
      <c r="L4104">
        <v>279.02864439932199</v>
      </c>
      <c r="M4104">
        <v>5.15885426352156</v>
      </c>
      <c r="O4104">
        <v>47.544317672997998</v>
      </c>
      <c r="P4104">
        <v>-1.6941878162440201E-2</v>
      </c>
      <c r="Q4104">
        <v>0.37886891975788001</v>
      </c>
      <c r="R4104">
        <v>0.82223378998440499</v>
      </c>
      <c r="S4104" t="s">
        <v>9687</v>
      </c>
      <c r="T4104" t="s">
        <v>11164</v>
      </c>
      <c r="U4104" t="s">
        <v>11164</v>
      </c>
      <c r="V4104" t="s">
        <v>11164</v>
      </c>
      <c r="W4104" t="s">
        <v>15224</v>
      </c>
      <c r="X4104">
        <v>2</v>
      </c>
      <c r="Y4104" t="s">
        <v>20698</v>
      </c>
      <c r="Z4104" t="s">
        <v>26254</v>
      </c>
      <c r="AA4104">
        <v>0.73280770528307371</v>
      </c>
      <c r="AB4104" t="str">
        <f>HYPERLINK("Melting_Curves/meltCurve_Q8WXX7_2_AUTS2.pdf", "Melting_Curves/meltCurve_Q8WXX7_2_AUTS2.pdf")</f>
        <v>Melting_Curves/meltCurve_Q8WXX7_2_AUTS2.pdf</v>
      </c>
    </row>
    <row r="4105" spans="1:28" x14ac:dyDescent="0.25">
      <c r="A4105" t="s">
        <v>4109</v>
      </c>
      <c r="B4105">
        <v>0.99796759195183404</v>
      </c>
      <c r="C4105">
        <v>1.07243968557168</v>
      </c>
      <c r="D4105">
        <v>1.11711774464506</v>
      </c>
      <c r="E4105">
        <v>1.1224144706866499</v>
      </c>
      <c r="F4105">
        <v>1.0030358701286799</v>
      </c>
      <c r="G4105">
        <v>0.53795592204739795</v>
      </c>
      <c r="H4105">
        <v>0.80990892530098202</v>
      </c>
      <c r="I4105">
        <v>0.79510648412874996</v>
      </c>
      <c r="J4105">
        <v>0.78802385654907603</v>
      </c>
      <c r="K4105">
        <v>0.52056869328194499</v>
      </c>
      <c r="L4105">
        <v>12887.4018884212</v>
      </c>
      <c r="M4105">
        <v>250</v>
      </c>
      <c r="O4105">
        <v>51.546308464876098</v>
      </c>
      <c r="P4105">
        <v>-0.37549646539427201</v>
      </c>
      <c r="Q4105">
        <v>0.69031269270281703</v>
      </c>
      <c r="R4105">
        <v>0.73012782334904203</v>
      </c>
      <c r="S4105" t="s">
        <v>9688</v>
      </c>
      <c r="T4105" t="s">
        <v>11164</v>
      </c>
      <c r="U4105" t="s">
        <v>11164</v>
      </c>
      <c r="V4105" t="s">
        <v>11164</v>
      </c>
      <c r="W4105" t="s">
        <v>15225</v>
      </c>
      <c r="X4105">
        <v>2</v>
      </c>
      <c r="Y4105" t="s">
        <v>20699</v>
      </c>
      <c r="Z4105" t="s">
        <v>26255</v>
      </c>
      <c r="AA4105">
        <v>0.84053500258022262</v>
      </c>
      <c r="AB4105" t="str">
        <f>HYPERLINK("Melting_Curves/meltCurve_Q8WY22_BRI3BP.pdf", "Melting_Curves/meltCurve_Q8WY22_BRI3BP.pdf")</f>
        <v>Melting_Curves/meltCurve_Q8WY22_BRI3BP.pdf</v>
      </c>
    </row>
    <row r="4106" spans="1:28" x14ac:dyDescent="0.25">
      <c r="A4106" t="s">
        <v>4110</v>
      </c>
      <c r="B4106">
        <v>0.99796759195183404</v>
      </c>
      <c r="C4106">
        <v>0.85549544481366302</v>
      </c>
      <c r="D4106">
        <v>0.86647560719051497</v>
      </c>
      <c r="E4106">
        <v>0.880655275109962</v>
      </c>
      <c r="F4106">
        <v>0.78352024600047698</v>
      </c>
      <c r="G4106">
        <v>0.64059061586334298</v>
      </c>
      <c r="H4106">
        <v>0.57190309330585698</v>
      </c>
      <c r="I4106">
        <v>0.202593401622922</v>
      </c>
      <c r="J4106">
        <v>9.4871921252863395E-2</v>
      </c>
      <c r="K4106">
        <v>8.6057012016145296E-2</v>
      </c>
      <c r="L4106">
        <v>700.54985419616298</v>
      </c>
      <c r="M4106">
        <v>12.491833752888899</v>
      </c>
      <c r="N4106">
        <v>56.080625919707899</v>
      </c>
      <c r="O4106">
        <v>54.701627648182402</v>
      </c>
      <c r="P4106">
        <v>-5.7102554495500599E-2</v>
      </c>
      <c r="Q4106">
        <v>0</v>
      </c>
      <c r="R4106">
        <v>0.938913305387302</v>
      </c>
      <c r="S4106" t="s">
        <v>9689</v>
      </c>
      <c r="T4106" t="s">
        <v>11164</v>
      </c>
      <c r="U4106" t="s">
        <v>11164</v>
      </c>
      <c r="V4106" t="s">
        <v>11164</v>
      </c>
      <c r="W4106" t="s">
        <v>15226</v>
      </c>
      <c r="X4106">
        <v>3</v>
      </c>
      <c r="Y4106" t="s">
        <v>20700</v>
      </c>
      <c r="Z4106" t="s">
        <v>26256</v>
      </c>
      <c r="AA4106">
        <v>0.6459772595134694</v>
      </c>
      <c r="AB4106" t="str">
        <f>HYPERLINK("Melting_Curves/meltCurve_Q8WY54_2_PPM1E.pdf", "Melting_Curves/meltCurve_Q8WY54_2_PPM1E.pdf")</f>
        <v>Melting_Curves/meltCurve_Q8WY54_2_PPM1E.pdf</v>
      </c>
    </row>
    <row r="4107" spans="1:28" x14ac:dyDescent="0.25">
      <c r="A4107" t="s">
        <v>4111</v>
      </c>
      <c r="B4107">
        <v>0.99796759195183404</v>
      </c>
      <c r="C4107">
        <v>1.2420782207200201</v>
      </c>
      <c r="D4107">
        <v>1.09031566748626</v>
      </c>
      <c r="E4107">
        <v>1.0693271487065501</v>
      </c>
      <c r="F4107">
        <v>1.1357832522538001</v>
      </c>
      <c r="G4107">
        <v>0.32955010697738701</v>
      </c>
      <c r="H4107">
        <v>0.319495889026706</v>
      </c>
      <c r="I4107">
        <v>0.29664859019244799</v>
      </c>
      <c r="J4107">
        <v>0.30974258839247598</v>
      </c>
      <c r="K4107">
        <v>7.0366879430183493E-2</v>
      </c>
      <c r="L4107">
        <v>13335.951868600599</v>
      </c>
      <c r="M4107">
        <v>250</v>
      </c>
      <c r="N4107">
        <v>53.491299114156298</v>
      </c>
      <c r="O4107">
        <v>53.3403944078769</v>
      </c>
      <c r="P4107">
        <v>-0.87988731044341595</v>
      </c>
      <c r="Q4107">
        <v>0.24906343031449399</v>
      </c>
      <c r="R4107">
        <v>0.92830047029996499</v>
      </c>
      <c r="S4107" t="s">
        <v>9690</v>
      </c>
      <c r="T4107" t="s">
        <v>11164</v>
      </c>
      <c r="U4107" t="s">
        <v>11164</v>
      </c>
      <c r="V4107" t="s">
        <v>11164</v>
      </c>
      <c r="W4107" t="s">
        <v>15227</v>
      </c>
      <c r="X4107">
        <v>2</v>
      </c>
      <c r="Y4107" t="s">
        <v>20701</v>
      </c>
      <c r="Z4107" t="s">
        <v>26257</v>
      </c>
      <c r="AA4107">
        <v>0.65823915517205256</v>
      </c>
      <c r="AB4107" t="str">
        <f>HYPERLINK("Melting_Curves/meltCurve_Q8WY91_THAP4.pdf", "Melting_Curves/meltCurve_Q8WY91_THAP4.pdf")</f>
        <v>Melting_Curves/meltCurve_Q8WY91_THAP4.pdf</v>
      </c>
    </row>
    <row r="4108" spans="1:28" x14ac:dyDescent="0.25">
      <c r="A4108" t="s">
        <v>4112</v>
      </c>
      <c r="B4108">
        <v>0.99796759195183404</v>
      </c>
      <c r="C4108">
        <v>1.0197834572038</v>
      </c>
      <c r="D4108">
        <v>0.53494509219830499</v>
      </c>
      <c r="E4108">
        <v>0.32588238231384398</v>
      </c>
      <c r="F4108">
        <v>0.294486401563543</v>
      </c>
      <c r="G4108">
        <v>0.195920577372444</v>
      </c>
      <c r="H4108">
        <v>0.146916872607641</v>
      </c>
      <c r="I4108">
        <v>0.112291903098564</v>
      </c>
      <c r="J4108">
        <v>7.6285724434351707E-2</v>
      </c>
      <c r="K4108">
        <v>4.4950953383794699E-2</v>
      </c>
      <c r="L4108">
        <v>864.92386450307094</v>
      </c>
      <c r="M4108">
        <v>19.776257042195098</v>
      </c>
      <c r="N4108">
        <v>44.3721429215692</v>
      </c>
      <c r="O4108">
        <v>43.2956391346262</v>
      </c>
      <c r="P4108">
        <v>-0.100090750685284</v>
      </c>
      <c r="Q4108">
        <v>0.123525631381768</v>
      </c>
      <c r="R4108">
        <v>0.95655771975687098</v>
      </c>
      <c r="S4108" t="s">
        <v>9691</v>
      </c>
      <c r="T4108" t="s">
        <v>11164</v>
      </c>
      <c r="U4108" t="s">
        <v>11164</v>
      </c>
      <c r="V4108" t="s">
        <v>11164</v>
      </c>
      <c r="W4108" t="s">
        <v>15228</v>
      </c>
      <c r="X4108">
        <v>1</v>
      </c>
      <c r="Y4108" t="s">
        <v>20702</v>
      </c>
      <c r="Z4108" t="s">
        <v>26258</v>
      </c>
      <c r="AA4108">
        <v>0.33243201336879452</v>
      </c>
      <c r="AB4108" t="str">
        <f>HYPERLINK("Melting_Curves/meltCurve_Q8WYA6_3_CTNNBL1.pdf", "Melting_Curves/meltCurve_Q8WYA6_3_CTNNBL1.pdf")</f>
        <v>Melting_Curves/meltCurve_Q8WYA6_3_CTNNBL1.pdf</v>
      </c>
    </row>
    <row r="4109" spans="1:28" x14ac:dyDescent="0.25">
      <c r="A4109" t="s">
        <v>4113</v>
      </c>
      <c r="B4109">
        <v>0.99796759195183404</v>
      </c>
      <c r="C4109">
        <v>0.95607233485165399</v>
      </c>
      <c r="D4109">
        <v>0.966912564669408</v>
      </c>
      <c r="E4109">
        <v>0.88270488436735295</v>
      </c>
      <c r="F4109">
        <v>0.69790416750286399</v>
      </c>
      <c r="G4109">
        <v>0.25277313487129799</v>
      </c>
      <c r="H4109">
        <v>0.172581487459365</v>
      </c>
      <c r="I4109">
        <v>0.15048646823620099</v>
      </c>
      <c r="J4109">
        <v>0.10290596853948</v>
      </c>
      <c r="K4109">
        <v>8.0545849080779594E-2</v>
      </c>
      <c r="L4109">
        <v>1320.3251313677099</v>
      </c>
      <c r="M4109">
        <v>25.824820110239099</v>
      </c>
      <c r="N4109">
        <v>51.5861335828614</v>
      </c>
      <c r="O4109">
        <v>50.822598638830101</v>
      </c>
      <c r="P4109">
        <v>-0.11397245168791301</v>
      </c>
      <c r="Q4109">
        <v>0.102830895117741</v>
      </c>
      <c r="R4109">
        <v>0.99259952605617197</v>
      </c>
      <c r="S4109" t="s">
        <v>9692</v>
      </c>
      <c r="T4109" t="s">
        <v>11164</v>
      </c>
      <c r="U4109" t="s">
        <v>11164</v>
      </c>
      <c r="V4109" t="s">
        <v>11164</v>
      </c>
      <c r="W4109" t="s">
        <v>15229</v>
      </c>
      <c r="X4109">
        <v>3</v>
      </c>
      <c r="Y4109" t="s">
        <v>20703</v>
      </c>
      <c r="Z4109" t="s">
        <v>26259</v>
      </c>
      <c r="AA4109">
        <v>0.53274147149203666</v>
      </c>
      <c r="AB4109" t="str">
        <f>HYPERLINK("Melting_Curves/meltCurve_Q8WZ82_OVCA2.pdf", "Melting_Curves/meltCurve_Q8WZ82_OVCA2.pdf")</f>
        <v>Melting_Curves/meltCurve_Q8WZ82_OVCA2.pdf</v>
      </c>
    </row>
    <row r="4110" spans="1:28" x14ac:dyDescent="0.25">
      <c r="A4110" t="s">
        <v>4114</v>
      </c>
      <c r="B4110">
        <v>0.99796759195183404</v>
      </c>
      <c r="C4110">
        <v>1.0649529336179699</v>
      </c>
      <c r="D4110">
        <v>1.0875144059103199</v>
      </c>
      <c r="E4110">
        <v>1.0277435053858099</v>
      </c>
      <c r="F4110">
        <v>0.92143212123434703</v>
      </c>
      <c r="G4110">
        <v>0.58084856587863798</v>
      </c>
      <c r="H4110">
        <v>0.20757923646757501</v>
      </c>
      <c r="I4110">
        <v>0.149585946466609</v>
      </c>
      <c r="J4110">
        <v>0.112865414118886</v>
      </c>
      <c r="K4110">
        <v>7.9160646967670001E-2</v>
      </c>
      <c r="L4110">
        <v>1742.03443946793</v>
      </c>
      <c r="M4110">
        <v>32.2595058784431</v>
      </c>
      <c r="N4110">
        <v>54.3834049468336</v>
      </c>
      <c r="O4110">
        <v>53.794414936114698</v>
      </c>
      <c r="P4110">
        <v>-0.134695480034911</v>
      </c>
      <c r="Q4110">
        <v>0.10155732922779</v>
      </c>
      <c r="R4110">
        <v>0.99176899063492796</v>
      </c>
      <c r="S4110" t="s">
        <v>9693</v>
      </c>
      <c r="T4110" t="s">
        <v>11164</v>
      </c>
      <c r="U4110" t="s">
        <v>11164</v>
      </c>
      <c r="V4110" t="s">
        <v>11164</v>
      </c>
      <c r="W4110" t="s">
        <v>15230</v>
      </c>
      <c r="X4110">
        <v>18</v>
      </c>
      <c r="Y4110" t="s">
        <v>20704</v>
      </c>
      <c r="Z4110" t="s">
        <v>26260</v>
      </c>
      <c r="AA4110">
        <v>0.61571655555816662</v>
      </c>
      <c r="AB4110" t="str">
        <f>HYPERLINK("Melting_Curves/meltCurve_Q8WZA9_IRGQ.pdf", "Melting_Curves/meltCurve_Q8WZA9_IRGQ.pdf")</f>
        <v>Melting_Curves/meltCurve_Q8WZA9_IRGQ.pdf</v>
      </c>
    </row>
    <row r="4111" spans="1:28" x14ac:dyDescent="0.25">
      <c r="A4111" t="s">
        <v>4115</v>
      </c>
      <c r="B4111">
        <v>0.99796759195183404</v>
      </c>
      <c r="C4111">
        <v>0.94926100995017204</v>
      </c>
      <c r="D4111">
        <v>0.91218688184284202</v>
      </c>
      <c r="E4111">
        <v>0.93025735407948595</v>
      </c>
      <c r="F4111">
        <v>0.81720619228760205</v>
      </c>
      <c r="G4111">
        <v>1.2817582615418801</v>
      </c>
      <c r="H4111">
        <v>1.0119161231632201</v>
      </c>
      <c r="I4111">
        <v>0.74500144548071401</v>
      </c>
      <c r="J4111">
        <v>0.528020210036935</v>
      </c>
      <c r="K4111">
        <v>0.38387753202333103</v>
      </c>
      <c r="L4111">
        <v>2531.5694687763598</v>
      </c>
      <c r="M4111">
        <v>40.952816231699103</v>
      </c>
      <c r="N4111">
        <v>64.023801298129598</v>
      </c>
      <c r="O4111">
        <v>61.669886976768197</v>
      </c>
      <c r="P4111">
        <v>-0.10323857185975301</v>
      </c>
      <c r="Q4111">
        <v>0.378142990386439</v>
      </c>
      <c r="R4111">
        <v>0.77476780770794595</v>
      </c>
      <c r="S4111" t="s">
        <v>9694</v>
      </c>
      <c r="T4111" t="s">
        <v>11164</v>
      </c>
      <c r="U4111" t="s">
        <v>11164</v>
      </c>
      <c r="V4111" t="s">
        <v>11164</v>
      </c>
      <c r="W4111" t="s">
        <v>15231</v>
      </c>
      <c r="X4111">
        <v>1</v>
      </c>
      <c r="Y4111" t="s">
        <v>20705</v>
      </c>
      <c r="Z4111" t="s">
        <v>26261</v>
      </c>
      <c r="AA4111">
        <v>0.89348973537809706</v>
      </c>
      <c r="AB4111" t="str">
        <f>HYPERLINK("Melting_Curves/meltCurve_Q92466_4_DDB2.pdf", "Melting_Curves/meltCurve_Q92466_4_DDB2.pdf")</f>
        <v>Melting_Curves/meltCurve_Q92466_4_DDB2.pdf</v>
      </c>
    </row>
    <row r="4112" spans="1:28" x14ac:dyDescent="0.25">
      <c r="A4112" t="s">
        <v>4116</v>
      </c>
      <c r="B4112">
        <v>0.99796759195183404</v>
      </c>
      <c r="C4112">
        <v>1.0055362895473301</v>
      </c>
      <c r="D4112">
        <v>0.95467612718355799</v>
      </c>
      <c r="E4112">
        <v>0.93346771754213897</v>
      </c>
      <c r="F4112">
        <v>0.87267118782675601</v>
      </c>
      <c r="G4112">
        <v>0.71221417305705603</v>
      </c>
      <c r="H4112">
        <v>0.23060905530062001</v>
      </c>
      <c r="I4112">
        <v>0.19558659596632799</v>
      </c>
      <c r="J4112">
        <v>0.14557112270988001</v>
      </c>
      <c r="K4112">
        <v>0.12918823662196699</v>
      </c>
      <c r="L4112">
        <v>1737.95744949802</v>
      </c>
      <c r="M4112">
        <v>31.837457231533701</v>
      </c>
      <c r="N4112">
        <v>55.123901593071203</v>
      </c>
      <c r="O4112">
        <v>54.3744397176117</v>
      </c>
      <c r="P4112">
        <v>-0.12691173648895501</v>
      </c>
      <c r="Q4112">
        <v>0.13300629049094001</v>
      </c>
      <c r="R4112">
        <v>0.98684382201770404</v>
      </c>
      <c r="S4112" t="s">
        <v>9695</v>
      </c>
      <c r="T4112" t="s">
        <v>11164</v>
      </c>
      <c r="U4112" t="s">
        <v>11164</v>
      </c>
      <c r="V4112" t="s">
        <v>11164</v>
      </c>
      <c r="W4112" t="s">
        <v>15232</v>
      </c>
      <c r="X4112">
        <v>14</v>
      </c>
      <c r="Y4112" t="s">
        <v>20706</v>
      </c>
      <c r="Z4112" t="s">
        <v>26262</v>
      </c>
      <c r="AA4112">
        <v>0.64627859252205844</v>
      </c>
      <c r="AB4112" t="str">
        <f>HYPERLINK("Melting_Curves/meltCurve_Q92499_DDX1.pdf", "Melting_Curves/meltCurve_Q92499_DDX1.pdf")</f>
        <v>Melting_Curves/meltCurve_Q92499_DDX1.pdf</v>
      </c>
    </row>
    <row r="4113" spans="1:28" x14ac:dyDescent="0.25">
      <c r="A4113" t="s">
        <v>4117</v>
      </c>
      <c r="B4113">
        <v>0.99796759195183404</v>
      </c>
      <c r="C4113">
        <v>1.04464774108185</v>
      </c>
      <c r="D4113">
        <v>1.03212605660569</v>
      </c>
      <c r="E4113">
        <v>0.97606492074803797</v>
      </c>
      <c r="F4113">
        <v>0.92712419173156702</v>
      </c>
      <c r="G4113">
        <v>0.82236821354168999</v>
      </c>
      <c r="H4113">
        <v>0.68184939162311697</v>
      </c>
      <c r="I4113">
        <v>0.59406342998467998</v>
      </c>
      <c r="J4113">
        <v>0.60969513585097701</v>
      </c>
      <c r="K4113">
        <v>0.50927483487739</v>
      </c>
      <c r="L4113">
        <v>935.96383056958098</v>
      </c>
      <c r="M4113">
        <v>16.8937559759752</v>
      </c>
      <c r="O4113">
        <v>54.644110769428401</v>
      </c>
      <c r="P4113">
        <v>-3.7237695966568798E-2</v>
      </c>
      <c r="Q4113">
        <v>0.51823812412619297</v>
      </c>
      <c r="R4113">
        <v>0.98159908098330095</v>
      </c>
      <c r="S4113" t="s">
        <v>9696</v>
      </c>
      <c r="T4113" t="s">
        <v>11164</v>
      </c>
      <c r="U4113" t="s">
        <v>11164</v>
      </c>
      <c r="V4113" t="s">
        <v>11164</v>
      </c>
      <c r="W4113" t="s">
        <v>15233</v>
      </c>
      <c r="X4113">
        <v>8</v>
      </c>
      <c r="Y4113" t="s">
        <v>20707</v>
      </c>
      <c r="Z4113" t="s">
        <v>26263</v>
      </c>
      <c r="AA4113">
        <v>0.81979199866216745</v>
      </c>
      <c r="AB4113" t="str">
        <f>HYPERLINK("Melting_Curves/meltCurve_Q92506_HSD17B8.pdf", "Melting_Curves/meltCurve_Q92506_HSD17B8.pdf")</f>
        <v>Melting_Curves/meltCurve_Q92506_HSD17B8.pdf</v>
      </c>
    </row>
    <row r="4114" spans="1:28" x14ac:dyDescent="0.25">
      <c r="A4114" t="s">
        <v>4118</v>
      </c>
      <c r="B4114">
        <v>0.99796759195183404</v>
      </c>
      <c r="C4114">
        <v>0.99123227901659905</v>
      </c>
      <c r="D4114">
        <v>1.0314063191831699</v>
      </c>
      <c r="E4114">
        <v>1.01505952532682</v>
      </c>
      <c r="F4114">
        <v>0.85621569191786195</v>
      </c>
      <c r="G4114">
        <v>0.62994116069963602</v>
      </c>
      <c r="H4114">
        <v>0.53141300387118395</v>
      </c>
      <c r="I4114">
        <v>0.29705784322258499</v>
      </c>
      <c r="J4114">
        <v>0.24725448672146799</v>
      </c>
      <c r="K4114">
        <v>0.19240505531442201</v>
      </c>
      <c r="L4114">
        <v>845.98637460528505</v>
      </c>
      <c r="M4114">
        <v>15.1799818775714</v>
      </c>
      <c r="N4114">
        <v>56.921500469571001</v>
      </c>
      <c r="O4114">
        <v>54.790065177526699</v>
      </c>
      <c r="P4114">
        <v>-5.9845245745715599E-2</v>
      </c>
      <c r="Q4114">
        <v>0.136070291659665</v>
      </c>
      <c r="R4114">
        <v>0.98898627515072102</v>
      </c>
      <c r="S4114" t="s">
        <v>9697</v>
      </c>
      <c r="T4114" t="s">
        <v>11164</v>
      </c>
      <c r="U4114" t="s">
        <v>11164</v>
      </c>
      <c r="V4114" t="s">
        <v>11164</v>
      </c>
      <c r="W4114" t="s">
        <v>15234</v>
      </c>
      <c r="X4114">
        <v>10</v>
      </c>
      <c r="Y4114" t="s">
        <v>20708</v>
      </c>
      <c r="Z4114" t="s">
        <v>26264</v>
      </c>
      <c r="AA4114">
        <v>0.68602515565149491</v>
      </c>
      <c r="AB4114" t="str">
        <f>HYPERLINK("Melting_Curves/meltCurve_Q92520_FAM3C.pdf", "Melting_Curves/meltCurve_Q92520_FAM3C.pdf")</f>
        <v>Melting_Curves/meltCurve_Q92520_FAM3C.pdf</v>
      </c>
    </row>
    <row r="4115" spans="1:28" x14ac:dyDescent="0.25">
      <c r="A4115" t="s">
        <v>4119</v>
      </c>
      <c r="B4115">
        <v>0.99796759195183404</v>
      </c>
      <c r="C4115">
        <v>0.89752048821970698</v>
      </c>
      <c r="D4115">
        <v>0.96377500018934004</v>
      </c>
      <c r="E4115">
        <v>0.91846474040064796</v>
      </c>
      <c r="F4115">
        <v>0.81429620932569102</v>
      </c>
      <c r="G4115">
        <v>0.72506753128828905</v>
      </c>
      <c r="H4115">
        <v>0.52597384252506796</v>
      </c>
      <c r="I4115">
        <v>0.40721892402343102</v>
      </c>
      <c r="J4115">
        <v>0.30095313889417702</v>
      </c>
      <c r="K4115">
        <v>0.155416580767512</v>
      </c>
      <c r="L4115">
        <v>589.87216258643696</v>
      </c>
      <c r="M4115">
        <v>10.137338010032099</v>
      </c>
      <c r="N4115">
        <v>58.188072864344697</v>
      </c>
      <c r="O4115">
        <v>56.0599466795491</v>
      </c>
      <c r="P4115">
        <v>-4.52284500019772E-2</v>
      </c>
      <c r="Q4115">
        <v>0</v>
      </c>
      <c r="R4115">
        <v>0.98324020333042095</v>
      </c>
      <c r="S4115" t="s">
        <v>9698</v>
      </c>
      <c r="T4115" t="s">
        <v>11164</v>
      </c>
      <c r="U4115" t="s">
        <v>11164</v>
      </c>
      <c r="V4115" t="s">
        <v>11164</v>
      </c>
      <c r="W4115" t="s">
        <v>15235</v>
      </c>
      <c r="X4115">
        <v>2</v>
      </c>
      <c r="Y4115" t="s">
        <v>20709</v>
      </c>
      <c r="Z4115" t="s">
        <v>26265</v>
      </c>
      <c r="AA4115">
        <v>0.69679097213046914</v>
      </c>
      <c r="AB4115" t="str">
        <f>HYPERLINK("Melting_Curves/meltCurve_Q92522_H1FX.pdf", "Melting_Curves/meltCurve_Q92522_H1FX.pdf")</f>
        <v>Melting_Curves/meltCurve_Q92522_H1FX.pdf</v>
      </c>
    </row>
    <row r="4116" spans="1:28" x14ac:dyDescent="0.25">
      <c r="A4116" t="s">
        <v>4120</v>
      </c>
      <c r="B4116">
        <v>0.99796759195183404</v>
      </c>
      <c r="C4116">
        <v>0.97141531386118796</v>
      </c>
      <c r="D4116">
        <v>0.962103745481656</v>
      </c>
      <c r="E4116">
        <v>0.85274806298358397</v>
      </c>
      <c r="F4116">
        <v>0.74444473843158898</v>
      </c>
      <c r="G4116">
        <v>0.475181180154364</v>
      </c>
      <c r="H4116">
        <v>0.33311334189979003</v>
      </c>
      <c r="I4116">
        <v>0.314696652257831</v>
      </c>
      <c r="J4116">
        <v>0.19990351199214201</v>
      </c>
      <c r="K4116">
        <v>0.15120067236101101</v>
      </c>
      <c r="L4116">
        <v>682.53378860305099</v>
      </c>
      <c r="M4116">
        <v>12.91522944007</v>
      </c>
      <c r="N4116">
        <v>54.015397101654202</v>
      </c>
      <c r="O4116">
        <v>51.628314305045599</v>
      </c>
      <c r="P4116">
        <v>-5.4928946524671798E-2</v>
      </c>
      <c r="Q4116">
        <v>0.121850244011546</v>
      </c>
      <c r="R4116">
        <v>0.99230979878875303</v>
      </c>
      <c r="S4116" t="s">
        <v>9699</v>
      </c>
      <c r="T4116" t="s">
        <v>11164</v>
      </c>
      <c r="U4116" t="s">
        <v>11164</v>
      </c>
      <c r="V4116" t="s">
        <v>11164</v>
      </c>
      <c r="W4116" t="s">
        <v>15236</v>
      </c>
      <c r="X4116">
        <v>4</v>
      </c>
      <c r="Y4116" t="s">
        <v>20710</v>
      </c>
      <c r="Z4116" t="s">
        <v>26266</v>
      </c>
      <c r="AA4116">
        <v>0.60375119564607815</v>
      </c>
      <c r="AB4116" t="str">
        <f>HYPERLINK("Melting_Curves/meltCurve_Q92526_3_CCT6B.pdf", "Melting_Curves/meltCurve_Q92526_3_CCT6B.pdf")</f>
        <v>Melting_Curves/meltCurve_Q92526_3_CCT6B.pdf</v>
      </c>
    </row>
    <row r="4117" spans="1:28" x14ac:dyDescent="0.25">
      <c r="A4117" t="s">
        <v>4121</v>
      </c>
      <c r="B4117">
        <v>0.99796759195183404</v>
      </c>
      <c r="C4117">
        <v>1.0490093697006599</v>
      </c>
      <c r="D4117">
        <v>0.99976000886180205</v>
      </c>
      <c r="E4117">
        <v>0.93842171075254799</v>
      </c>
      <c r="F4117">
        <v>0.89580337761458395</v>
      </c>
      <c r="G4117">
        <v>0.44715959195348598</v>
      </c>
      <c r="H4117">
        <v>0.24436815898189701</v>
      </c>
      <c r="I4117">
        <v>0.17390384534919801</v>
      </c>
      <c r="J4117">
        <v>0.15995747126260801</v>
      </c>
      <c r="K4117">
        <v>0.131687270056522</v>
      </c>
      <c r="L4117">
        <v>1698.96205798542</v>
      </c>
      <c r="M4117">
        <v>32.121679702893999</v>
      </c>
      <c r="N4117">
        <v>53.510390614733197</v>
      </c>
      <c r="O4117">
        <v>52.687715592071399</v>
      </c>
      <c r="P4117">
        <v>-0.12876618899471601</v>
      </c>
      <c r="Q4117">
        <v>0.155167140819053</v>
      </c>
      <c r="R4117">
        <v>0.99505959240159103</v>
      </c>
      <c r="S4117" t="s">
        <v>9700</v>
      </c>
      <c r="T4117" t="s">
        <v>11164</v>
      </c>
      <c r="U4117" t="s">
        <v>11164</v>
      </c>
      <c r="V4117" t="s">
        <v>11164</v>
      </c>
      <c r="W4117" t="s">
        <v>15237</v>
      </c>
      <c r="X4117">
        <v>12</v>
      </c>
      <c r="Y4117" t="s">
        <v>20711</v>
      </c>
      <c r="Z4117" t="s">
        <v>26267</v>
      </c>
      <c r="AA4117">
        <v>0.60740887076248318</v>
      </c>
      <c r="AB4117" t="str">
        <f>HYPERLINK("Melting_Curves/meltCurve_Q92538_GBF1.pdf", "Melting_Curves/meltCurve_Q92538_GBF1.pdf")</f>
        <v>Melting_Curves/meltCurve_Q92538_GBF1.pdf</v>
      </c>
    </row>
    <row r="4118" spans="1:28" x14ac:dyDescent="0.25">
      <c r="A4118" t="s">
        <v>4122</v>
      </c>
      <c r="B4118">
        <v>0.99796759195183404</v>
      </c>
      <c r="C4118">
        <v>0.995057079751685</v>
      </c>
      <c r="D4118">
        <v>0.96744217826479695</v>
      </c>
      <c r="E4118">
        <v>0.96946112907239901</v>
      </c>
      <c r="F4118">
        <v>0.78514741322383896</v>
      </c>
      <c r="G4118">
        <v>0.46686399018458402</v>
      </c>
      <c r="H4118">
        <v>0.289434699507155</v>
      </c>
      <c r="I4118">
        <v>0.23319770752105701</v>
      </c>
      <c r="J4118">
        <v>0.18106846286348299</v>
      </c>
      <c r="K4118">
        <v>0.13347194766666201</v>
      </c>
      <c r="L4118">
        <v>1118.4272127552999</v>
      </c>
      <c r="M4118">
        <v>21.242973983466999</v>
      </c>
      <c r="N4118">
        <v>53.606445399880897</v>
      </c>
      <c r="O4118">
        <v>52.189387913253199</v>
      </c>
      <c r="P4118">
        <v>-8.5700549528439404E-2</v>
      </c>
      <c r="Q4118">
        <v>0.15783105354187199</v>
      </c>
      <c r="R4118">
        <v>0.99714382184997896</v>
      </c>
      <c r="S4118" t="s">
        <v>9701</v>
      </c>
      <c r="T4118" t="s">
        <v>11164</v>
      </c>
      <c r="U4118" t="s">
        <v>11164</v>
      </c>
      <c r="V4118" t="s">
        <v>11164</v>
      </c>
      <c r="W4118" t="s">
        <v>15238</v>
      </c>
      <c r="X4118">
        <v>24</v>
      </c>
      <c r="Y4118" t="s">
        <v>20712</v>
      </c>
      <c r="Z4118" t="s">
        <v>26268</v>
      </c>
      <c r="AA4118">
        <v>0.6069162899724474</v>
      </c>
      <c r="AB4118" t="str">
        <f>HYPERLINK("Melting_Curves/meltCurve_Q92541_RTF1.pdf", "Melting_Curves/meltCurve_Q92541_RTF1.pdf")</f>
        <v>Melting_Curves/meltCurve_Q92541_RTF1.pdf</v>
      </c>
    </row>
    <row r="4119" spans="1:28" x14ac:dyDescent="0.25">
      <c r="A4119" t="s">
        <v>4123</v>
      </c>
      <c r="B4119">
        <v>0.99796759195183404</v>
      </c>
      <c r="C4119">
        <v>0.99013582791773902</v>
      </c>
      <c r="D4119">
        <v>1.06617426327438</v>
      </c>
      <c r="E4119">
        <v>1.0462264566606301</v>
      </c>
      <c r="F4119">
        <v>0.81045063236554205</v>
      </c>
      <c r="G4119">
        <v>0.55675220241872303</v>
      </c>
      <c r="H4119">
        <v>0.22086296890562501</v>
      </c>
      <c r="I4119">
        <v>0.16888960734701899</v>
      </c>
      <c r="J4119">
        <v>0.14827811658012599</v>
      </c>
      <c r="K4119">
        <v>0.11825095307191601</v>
      </c>
      <c r="L4119">
        <v>1352.81429219192</v>
      </c>
      <c r="M4119">
        <v>25.312096398755099</v>
      </c>
      <c r="N4119">
        <v>54.040721631846701</v>
      </c>
      <c r="O4119">
        <v>53.1151364270249</v>
      </c>
      <c r="P4119">
        <v>-0.104642936147713</v>
      </c>
      <c r="Q4119">
        <v>0.121676528637312</v>
      </c>
      <c r="R4119">
        <v>0.99102294549525505</v>
      </c>
      <c r="S4119" t="s">
        <v>9702</v>
      </c>
      <c r="T4119" t="s">
        <v>11164</v>
      </c>
      <c r="U4119" t="s">
        <v>11164</v>
      </c>
      <c r="V4119" t="s">
        <v>11164</v>
      </c>
      <c r="W4119" t="s">
        <v>15239</v>
      </c>
      <c r="X4119">
        <v>7</v>
      </c>
      <c r="Y4119" t="s">
        <v>20713</v>
      </c>
      <c r="Z4119" t="s">
        <v>26269</v>
      </c>
      <c r="AA4119">
        <v>0.61072594998561536</v>
      </c>
      <c r="AB4119" t="str">
        <f>HYPERLINK("Melting_Curves/meltCurve_Q92544_TM9SF4.pdf", "Melting_Curves/meltCurve_Q92544_TM9SF4.pdf")</f>
        <v>Melting_Curves/meltCurve_Q92544_TM9SF4.pdf</v>
      </c>
    </row>
    <row r="4120" spans="1:28" x14ac:dyDescent="0.25">
      <c r="A4120" t="s">
        <v>4124</v>
      </c>
      <c r="B4120">
        <v>0.99796759195183404</v>
      </c>
      <c r="C4120">
        <v>0.978668667228344</v>
      </c>
      <c r="D4120">
        <v>0.92138208952980805</v>
      </c>
      <c r="E4120">
        <v>0.87234111361185096</v>
      </c>
      <c r="F4120">
        <v>0.54125779494149595</v>
      </c>
      <c r="G4120">
        <v>0.30752499065030903</v>
      </c>
      <c r="H4120">
        <v>0.29571947107429197</v>
      </c>
      <c r="I4120">
        <v>0.275372467096407</v>
      </c>
      <c r="J4120">
        <v>0.21664491456526999</v>
      </c>
      <c r="K4120">
        <v>0.191752865485358</v>
      </c>
      <c r="L4120">
        <v>1126.55401504983</v>
      </c>
      <c r="M4120">
        <v>22.788881011797599</v>
      </c>
      <c r="N4120">
        <v>50.784487555541602</v>
      </c>
      <c r="O4120">
        <v>49.058435820206299</v>
      </c>
      <c r="P4120">
        <v>-8.9748720360916495E-2</v>
      </c>
      <c r="Q4120">
        <v>0.2271939407645</v>
      </c>
      <c r="R4120">
        <v>0.991494610893908</v>
      </c>
      <c r="S4120" t="s">
        <v>9703</v>
      </c>
      <c r="T4120" t="s">
        <v>11164</v>
      </c>
      <c r="U4120" t="s">
        <v>11164</v>
      </c>
      <c r="V4120" t="s">
        <v>11164</v>
      </c>
      <c r="W4120" t="s">
        <v>15240</v>
      </c>
      <c r="X4120">
        <v>3</v>
      </c>
      <c r="Y4120" t="s">
        <v>20714</v>
      </c>
      <c r="Z4120" t="s">
        <v>26270</v>
      </c>
      <c r="AA4120">
        <v>0.5555168445969082</v>
      </c>
      <c r="AB4120" t="str">
        <f>HYPERLINK("Melting_Curves/meltCurve_Q92547_TOPBP1.pdf", "Melting_Curves/meltCurve_Q92547_TOPBP1.pdf")</f>
        <v>Melting_Curves/meltCurve_Q92547_TOPBP1.pdf</v>
      </c>
    </row>
    <row r="4121" spans="1:28" x14ac:dyDescent="0.25">
      <c r="A4121" t="s">
        <v>4125</v>
      </c>
      <c r="B4121">
        <v>0.99796759195183404</v>
      </c>
      <c r="C4121">
        <v>0.93666649583445205</v>
      </c>
      <c r="D4121">
        <v>0.91581229282404397</v>
      </c>
      <c r="E4121">
        <v>0.82905667108413506</v>
      </c>
      <c r="F4121">
        <v>0.76138737062725104</v>
      </c>
      <c r="G4121">
        <v>0.64774651832538899</v>
      </c>
      <c r="H4121">
        <v>0.53303668587346098</v>
      </c>
      <c r="I4121">
        <v>0.56908655690562404</v>
      </c>
      <c r="J4121">
        <v>0.57735838942390605</v>
      </c>
      <c r="K4121">
        <v>1.15756146357338</v>
      </c>
      <c r="L4121">
        <v>937.00123903340898</v>
      </c>
      <c r="M4121">
        <v>20.755942905534798</v>
      </c>
      <c r="O4121">
        <v>44.730975574447001</v>
      </c>
      <c r="P4121">
        <v>-3.4590279112942698E-2</v>
      </c>
      <c r="Q4121">
        <v>0.70182737974404197</v>
      </c>
      <c r="R4121">
        <v>0.30136872280732302</v>
      </c>
      <c r="S4121" t="s">
        <v>9704</v>
      </c>
      <c r="T4121" t="s">
        <v>11164</v>
      </c>
      <c r="U4121" t="s">
        <v>11164</v>
      </c>
      <c r="V4121" t="s">
        <v>11164</v>
      </c>
      <c r="W4121" t="s">
        <v>15241</v>
      </c>
      <c r="X4121">
        <v>3</v>
      </c>
      <c r="Y4121" t="s">
        <v>20715</v>
      </c>
      <c r="Z4121" t="s">
        <v>26271</v>
      </c>
      <c r="AA4121">
        <v>0.78638889359133279</v>
      </c>
      <c r="AB4121" t="str">
        <f>HYPERLINK("Melting_Curves/meltCurve_Q92552_MRPS27.pdf", "Melting_Curves/meltCurve_Q92552_MRPS27.pdf")</f>
        <v>Melting_Curves/meltCurve_Q92552_MRPS27.pdf</v>
      </c>
    </row>
    <row r="4122" spans="1:28" x14ac:dyDescent="0.25">
      <c r="A4122" t="s">
        <v>4126</v>
      </c>
      <c r="B4122">
        <v>0.99796759195183404</v>
      </c>
      <c r="C4122">
        <v>0.953181537088579</v>
      </c>
      <c r="D4122">
        <v>0.93225903447927805</v>
      </c>
      <c r="E4122">
        <v>0.95423421019523602</v>
      </c>
      <c r="F4122">
        <v>0.73973108293970602</v>
      </c>
      <c r="G4122">
        <v>1.3857067576368201</v>
      </c>
      <c r="H4122">
        <v>1.01228427268657</v>
      </c>
      <c r="I4122">
        <v>0.75861086277239098</v>
      </c>
      <c r="J4122">
        <v>0.70900949302357696</v>
      </c>
      <c r="K4122">
        <v>0.61778562054833397</v>
      </c>
      <c r="L4122">
        <v>5030.0143577044701</v>
      </c>
      <c r="M4122">
        <v>83.325695787432906</v>
      </c>
      <c r="O4122">
        <v>60.330960605327697</v>
      </c>
      <c r="P4122">
        <v>-0.117043481742095</v>
      </c>
      <c r="Q4122">
        <v>0.66102437399747704</v>
      </c>
      <c r="R4122">
        <v>0.46142777556991899</v>
      </c>
      <c r="S4122" t="s">
        <v>9705</v>
      </c>
      <c r="T4122" t="s">
        <v>11164</v>
      </c>
      <c r="U4122" t="s">
        <v>11164</v>
      </c>
      <c r="V4122" t="s">
        <v>11164</v>
      </c>
      <c r="W4122" t="s">
        <v>15242</v>
      </c>
      <c r="X4122">
        <v>3</v>
      </c>
      <c r="Y4122" t="s">
        <v>20716</v>
      </c>
      <c r="Z4122" t="s">
        <v>26272</v>
      </c>
      <c r="AA4122">
        <v>0.92535898609411371</v>
      </c>
      <c r="AB4122" t="str">
        <f>HYPERLINK("Melting_Curves/meltCurve_Q92558_WASF1.pdf", "Melting_Curves/meltCurve_Q92558_WASF1.pdf")</f>
        <v>Melting_Curves/meltCurve_Q92558_WASF1.pdf</v>
      </c>
    </row>
    <row r="4123" spans="1:28" x14ac:dyDescent="0.25">
      <c r="A4123" t="s">
        <v>4127</v>
      </c>
      <c r="B4123">
        <v>0.99796759195183404</v>
      </c>
      <c r="C4123">
        <v>1.0574151447497999</v>
      </c>
      <c r="D4123">
        <v>1.0535635258813301</v>
      </c>
      <c r="E4123">
        <v>1.07708595192418</v>
      </c>
      <c r="F4123">
        <v>0.88338276088871903</v>
      </c>
      <c r="G4123">
        <v>0.52874986871764096</v>
      </c>
      <c r="H4123">
        <v>0.33782491724354102</v>
      </c>
      <c r="I4123">
        <v>0.20212893470693999</v>
      </c>
      <c r="J4123">
        <v>0.141830800239655</v>
      </c>
      <c r="K4123">
        <v>0.120563646552098</v>
      </c>
      <c r="L4123">
        <v>1312.8975644780101</v>
      </c>
      <c r="M4123">
        <v>24.392927717353199</v>
      </c>
      <c r="N4123">
        <v>54.5441255408277</v>
      </c>
      <c r="O4123">
        <v>53.465054681572497</v>
      </c>
      <c r="P4123">
        <v>-9.8338303177828504E-2</v>
      </c>
      <c r="Q4123">
        <v>0.13785095916538201</v>
      </c>
      <c r="R4123">
        <v>0.98653458730351495</v>
      </c>
      <c r="S4123" t="s">
        <v>9706</v>
      </c>
      <c r="T4123" t="s">
        <v>11164</v>
      </c>
      <c r="U4123" t="s">
        <v>11164</v>
      </c>
      <c r="V4123" t="s">
        <v>11164</v>
      </c>
      <c r="W4123" t="s">
        <v>15243</v>
      </c>
      <c r="X4123">
        <v>11</v>
      </c>
      <c r="Y4123" t="s">
        <v>20717</v>
      </c>
      <c r="Z4123" t="s">
        <v>26273</v>
      </c>
      <c r="AA4123">
        <v>0.62916853251991012</v>
      </c>
      <c r="AB4123" t="str">
        <f>HYPERLINK("Melting_Curves/meltCurve_Q92575_UBXN4.pdf", "Melting_Curves/meltCurve_Q92575_UBXN4.pdf")</f>
        <v>Melting_Curves/meltCurve_Q92575_UBXN4.pdf</v>
      </c>
    </row>
    <row r="4124" spans="1:28" x14ac:dyDescent="0.25">
      <c r="A4124" t="s">
        <v>4128</v>
      </c>
      <c r="B4124">
        <v>0.99796759195183404</v>
      </c>
      <c r="C4124">
        <v>0.95812489576954296</v>
      </c>
      <c r="D4124">
        <v>0.96814253726768795</v>
      </c>
      <c r="E4124">
        <v>0.96678643409047604</v>
      </c>
      <c r="F4124">
        <v>0.91318486263114795</v>
      </c>
      <c r="G4124">
        <v>0.53506804205735903</v>
      </c>
      <c r="H4124">
        <v>0.47262239715670801</v>
      </c>
      <c r="I4124">
        <v>0.43878872970801103</v>
      </c>
      <c r="J4124">
        <v>0.34952197926108303</v>
      </c>
      <c r="K4124">
        <v>0.22822187605730301</v>
      </c>
      <c r="L4124">
        <v>1087.75409657212</v>
      </c>
      <c r="M4124">
        <v>20.416394064640301</v>
      </c>
      <c r="N4124">
        <v>55.913492133113699</v>
      </c>
      <c r="O4124">
        <v>52.7752276023852</v>
      </c>
      <c r="P4124">
        <v>-6.6834533404343296E-2</v>
      </c>
      <c r="Q4124">
        <v>0.30896684849536499</v>
      </c>
      <c r="R4124">
        <v>0.963273669448935</v>
      </c>
      <c r="S4124" t="s">
        <v>9707</v>
      </c>
      <c r="T4124" t="s">
        <v>11164</v>
      </c>
      <c r="U4124" t="s">
        <v>11164</v>
      </c>
      <c r="V4124" t="s">
        <v>11164</v>
      </c>
      <c r="W4124" t="s">
        <v>15244</v>
      </c>
      <c r="X4124">
        <v>7</v>
      </c>
      <c r="Y4124" t="s">
        <v>20718</v>
      </c>
      <c r="Z4124" t="s">
        <v>26274</v>
      </c>
      <c r="AA4124">
        <v>0.69230597252786708</v>
      </c>
      <c r="AB4124" t="str">
        <f>HYPERLINK("Melting_Curves/meltCurve_Q92576_2_PHF3.pdf", "Melting_Curves/meltCurve_Q92576_2_PHF3.pdf")</f>
        <v>Melting_Curves/meltCurve_Q92576_2_PHF3.pdf</v>
      </c>
    </row>
    <row r="4125" spans="1:28" x14ac:dyDescent="0.25">
      <c r="A4125" t="s">
        <v>4129</v>
      </c>
      <c r="B4125">
        <v>0.99796759195183404</v>
      </c>
      <c r="C4125">
        <v>1.01022326204692</v>
      </c>
      <c r="D4125">
        <v>0.92010707356655896</v>
      </c>
      <c r="E4125">
        <v>0.96985159476585303</v>
      </c>
      <c r="F4125">
        <v>0.84381988069187497</v>
      </c>
      <c r="G4125">
        <v>0.58865054818728302</v>
      </c>
      <c r="H4125">
        <v>0.57008632926191405</v>
      </c>
      <c r="I4125">
        <v>0.46584085965370903</v>
      </c>
      <c r="J4125">
        <v>0.401275080830238</v>
      </c>
      <c r="K4125">
        <v>0.34904048343676702</v>
      </c>
      <c r="L4125">
        <v>734.44025358905003</v>
      </c>
      <c r="M4125">
        <v>13.6696823756262</v>
      </c>
      <c r="N4125">
        <v>58.411781127922403</v>
      </c>
      <c r="O4125">
        <v>52.616980921272798</v>
      </c>
      <c r="P4125">
        <v>-4.3331917386100698E-2</v>
      </c>
      <c r="Q4125">
        <v>0.33292864446603299</v>
      </c>
      <c r="R4125">
        <v>0.97615230023127098</v>
      </c>
      <c r="S4125" t="s">
        <v>9708</v>
      </c>
      <c r="T4125" t="s">
        <v>11164</v>
      </c>
      <c r="U4125" t="s">
        <v>11164</v>
      </c>
      <c r="V4125" t="s">
        <v>11164</v>
      </c>
      <c r="W4125" t="s">
        <v>15245</v>
      </c>
      <c r="X4125">
        <v>2</v>
      </c>
      <c r="Y4125" t="s">
        <v>20719</v>
      </c>
      <c r="Z4125" t="s">
        <v>26275</v>
      </c>
      <c r="AA4125">
        <v>0.71674951570271872</v>
      </c>
      <c r="AB4125" t="str">
        <f>HYPERLINK("Melting_Curves/meltCurve_Q92585_MAML1.pdf", "Melting_Curves/meltCurve_Q92585_MAML1.pdf")</f>
        <v>Melting_Curves/meltCurve_Q92585_MAML1.pdf</v>
      </c>
    </row>
    <row r="4126" spans="1:28" x14ac:dyDescent="0.25">
      <c r="A4126" t="s">
        <v>4130</v>
      </c>
      <c r="B4126">
        <v>0.99796759195183404</v>
      </c>
      <c r="C4126">
        <v>1.0366620541254601</v>
      </c>
      <c r="D4126">
        <v>1.01557973920429</v>
      </c>
      <c r="E4126">
        <v>0.97900433168129097</v>
      </c>
      <c r="F4126">
        <v>0.87319391587099604</v>
      </c>
      <c r="G4126">
        <v>0.754652351837657</v>
      </c>
      <c r="H4126">
        <v>0.34743416111486602</v>
      </c>
      <c r="I4126">
        <v>0.173054649777893</v>
      </c>
      <c r="J4126">
        <v>0.12941472524890199</v>
      </c>
      <c r="K4126">
        <v>8.2963831511722E-2</v>
      </c>
      <c r="L4126">
        <v>1305.7253855957399</v>
      </c>
      <c r="M4126">
        <v>23.479688654266699</v>
      </c>
      <c r="N4126">
        <v>55.983117433527298</v>
      </c>
      <c r="O4126">
        <v>55.212149713600297</v>
      </c>
      <c r="P4126">
        <v>-9.8633247439687904E-2</v>
      </c>
      <c r="Q4126">
        <v>7.2277051164524195E-2</v>
      </c>
      <c r="R4126">
        <v>0.99450370579428604</v>
      </c>
      <c r="S4126" t="s">
        <v>9709</v>
      </c>
      <c r="T4126" t="s">
        <v>11164</v>
      </c>
      <c r="U4126" t="s">
        <v>11164</v>
      </c>
      <c r="V4126" t="s">
        <v>11164</v>
      </c>
      <c r="W4126" t="s">
        <v>15246</v>
      </c>
      <c r="X4126">
        <v>11</v>
      </c>
      <c r="Y4126" t="s">
        <v>20720</v>
      </c>
      <c r="Z4126" t="s">
        <v>26276</v>
      </c>
      <c r="AA4126">
        <v>0.65615013049869486</v>
      </c>
      <c r="AB4126" t="str">
        <f>HYPERLINK("Melting_Curves/meltCurve_Q92597_NDRG1.pdf", "Melting_Curves/meltCurve_Q92597_NDRG1.pdf")</f>
        <v>Melting_Curves/meltCurve_Q92597_NDRG1.pdf</v>
      </c>
    </row>
    <row r="4127" spans="1:28" x14ac:dyDescent="0.25">
      <c r="A4127" t="s">
        <v>4131</v>
      </c>
      <c r="B4127">
        <v>0.99796759195183404</v>
      </c>
      <c r="C4127">
        <v>0.99285767731181396</v>
      </c>
      <c r="D4127">
        <v>0.99000389903659003</v>
      </c>
      <c r="E4127">
        <v>0.93089008485259195</v>
      </c>
      <c r="F4127">
        <v>0.83954739187118099</v>
      </c>
      <c r="G4127">
        <v>0.38448322067924101</v>
      </c>
      <c r="H4127">
        <v>0.220183613881757</v>
      </c>
      <c r="I4127">
        <v>0.16433135781952499</v>
      </c>
      <c r="J4127">
        <v>0.140842344120297</v>
      </c>
      <c r="K4127">
        <v>0.10572480478615</v>
      </c>
      <c r="L4127">
        <v>1558.09398130868</v>
      </c>
      <c r="M4127">
        <v>29.739118395902299</v>
      </c>
      <c r="N4127">
        <v>52.952117029435499</v>
      </c>
      <c r="O4127">
        <v>52.156866871396097</v>
      </c>
      <c r="P4127">
        <v>-0.123312609530505</v>
      </c>
      <c r="Q4127">
        <v>0.13493627811801401</v>
      </c>
      <c r="R4127">
        <v>0.99628360412987105</v>
      </c>
      <c r="S4127" t="s">
        <v>9710</v>
      </c>
      <c r="T4127" t="s">
        <v>11164</v>
      </c>
      <c r="U4127" t="s">
        <v>11164</v>
      </c>
      <c r="V4127" t="s">
        <v>11164</v>
      </c>
      <c r="W4127" t="s">
        <v>15247</v>
      </c>
      <c r="X4127">
        <v>53</v>
      </c>
      <c r="Y4127" t="s">
        <v>20721</v>
      </c>
      <c r="Z4127" t="s">
        <v>26277</v>
      </c>
      <c r="AA4127">
        <v>0.58434515388517705</v>
      </c>
      <c r="AB4127" t="str">
        <f>HYPERLINK("Melting_Curves/meltCurve_Q92598_2_HSPH1.pdf", "Melting_Curves/meltCurve_Q92598_2_HSPH1.pdf")</f>
        <v>Melting_Curves/meltCurve_Q92598_2_HSPH1.pdf</v>
      </c>
    </row>
    <row r="4128" spans="1:28" x14ac:dyDescent="0.25">
      <c r="A4128" t="s">
        <v>4132</v>
      </c>
      <c r="B4128">
        <v>0.99796759195183404</v>
      </c>
      <c r="C4128">
        <v>1.02524222918982</v>
      </c>
      <c r="D4128">
        <v>0.98561844940989496</v>
      </c>
      <c r="E4128">
        <v>1.08822996776335</v>
      </c>
      <c r="F4128">
        <v>0.82321443596329602</v>
      </c>
      <c r="G4128">
        <v>0.362740947816242</v>
      </c>
      <c r="H4128">
        <v>0.166938798994648</v>
      </c>
      <c r="I4128">
        <v>0.16149742404393</v>
      </c>
      <c r="J4128">
        <v>0.120439309928702</v>
      </c>
      <c r="K4128">
        <v>0.111889121335708</v>
      </c>
      <c r="L4128">
        <v>1885.49179946973</v>
      </c>
      <c r="M4128">
        <v>36.082710616160298</v>
      </c>
      <c r="N4128">
        <v>52.697326949813402</v>
      </c>
      <c r="O4128">
        <v>52.0949917139476</v>
      </c>
      <c r="P4128">
        <v>-0.150522155046589</v>
      </c>
      <c r="Q4128">
        <v>0.130727617635885</v>
      </c>
      <c r="R4128">
        <v>0.99280956273300802</v>
      </c>
      <c r="S4128" t="s">
        <v>9711</v>
      </c>
      <c r="T4128" t="s">
        <v>11164</v>
      </c>
      <c r="U4128" t="s">
        <v>11164</v>
      </c>
      <c r="V4128" t="s">
        <v>11164</v>
      </c>
      <c r="W4128" t="s">
        <v>15248</v>
      </c>
      <c r="X4128">
        <v>2</v>
      </c>
      <c r="Y4128" t="s">
        <v>20722</v>
      </c>
      <c r="Z4128" t="s">
        <v>26278</v>
      </c>
      <c r="AA4128">
        <v>0.57658548110939478</v>
      </c>
      <c r="AB4128" t="str">
        <f>HYPERLINK("Melting_Curves/meltCurve_Q92604_LPGAT1.pdf", "Melting_Curves/meltCurve_Q92604_LPGAT1.pdf")</f>
        <v>Melting_Curves/meltCurve_Q92604_LPGAT1.pdf</v>
      </c>
    </row>
    <row r="4129" spans="1:28" x14ac:dyDescent="0.25">
      <c r="A4129" t="s">
        <v>4133</v>
      </c>
      <c r="B4129">
        <v>0.99796759195183404</v>
      </c>
      <c r="C4129">
        <v>0.98358582906026404</v>
      </c>
      <c r="D4129">
        <v>0.93532802446465202</v>
      </c>
      <c r="E4129">
        <v>0.800724033146058</v>
      </c>
      <c r="F4129">
        <v>0.316501163639894</v>
      </c>
      <c r="G4129">
        <v>0.20568916122962999</v>
      </c>
      <c r="H4129">
        <v>0.14312322366358601</v>
      </c>
      <c r="I4129">
        <v>0.12129822637870701</v>
      </c>
      <c r="J4129">
        <v>9.5578753989376999E-2</v>
      </c>
      <c r="K4129">
        <v>7.5789905804712301E-2</v>
      </c>
      <c r="L4129">
        <v>1355.41721856097</v>
      </c>
      <c r="M4129">
        <v>28.0056299573262</v>
      </c>
      <c r="N4129">
        <v>48.835721601647499</v>
      </c>
      <c r="O4129">
        <v>48.153274664442797</v>
      </c>
      <c r="P4129">
        <v>-0.12926167036826</v>
      </c>
      <c r="Q4129">
        <v>0.110990266034638</v>
      </c>
      <c r="R4129">
        <v>0.99497042931271995</v>
      </c>
      <c r="S4129" t="s">
        <v>9712</v>
      </c>
      <c r="T4129" t="s">
        <v>11164</v>
      </c>
      <c r="U4129" t="s">
        <v>11164</v>
      </c>
      <c r="V4129" t="s">
        <v>11164</v>
      </c>
      <c r="W4129" t="s">
        <v>15249</v>
      </c>
      <c r="X4129">
        <v>55</v>
      </c>
      <c r="Y4129" t="s">
        <v>20723</v>
      </c>
      <c r="Z4129" t="s">
        <v>26279</v>
      </c>
      <c r="AA4129">
        <v>0.45484098065533052</v>
      </c>
      <c r="AB4129" t="str">
        <f>HYPERLINK("Melting_Curves/meltCurve_Q92616_GCN1L1.pdf", "Melting_Curves/meltCurve_Q92616_GCN1L1.pdf")</f>
        <v>Melting_Curves/meltCurve_Q92616_GCN1L1.pdf</v>
      </c>
    </row>
    <row r="4130" spans="1:28" x14ac:dyDescent="0.25">
      <c r="A4130" t="s">
        <v>4134</v>
      </c>
      <c r="B4130">
        <v>0.99796759195183404</v>
      </c>
      <c r="C4130">
        <v>1.09381308202417</v>
      </c>
      <c r="D4130">
        <v>1.02378748342285</v>
      </c>
      <c r="E4130">
        <v>1.0033451302698599</v>
      </c>
      <c r="F4130">
        <v>0.93180677042372995</v>
      </c>
      <c r="G4130">
        <v>0.80796826873463301</v>
      </c>
      <c r="H4130">
        <v>0.41626241070319298</v>
      </c>
      <c r="I4130">
        <v>0.30434816471951098</v>
      </c>
      <c r="J4130">
        <v>0.272435834835423</v>
      </c>
      <c r="K4130">
        <v>0.19919760741258599</v>
      </c>
      <c r="L4130">
        <v>1656.10134062933</v>
      </c>
      <c r="M4130">
        <v>29.834250164160899</v>
      </c>
      <c r="N4130">
        <v>56.689669164384199</v>
      </c>
      <c r="O4130">
        <v>55.262463203273803</v>
      </c>
      <c r="P4130">
        <v>-0.10375731467280699</v>
      </c>
      <c r="Q4130">
        <v>0.23123972720699401</v>
      </c>
      <c r="R4130">
        <v>0.98764193898688402</v>
      </c>
      <c r="S4130" t="s">
        <v>9713</v>
      </c>
      <c r="T4130" t="s">
        <v>11164</v>
      </c>
      <c r="U4130" t="s">
        <v>11164</v>
      </c>
      <c r="V4130" t="s">
        <v>11164</v>
      </c>
      <c r="W4130" t="s">
        <v>15250</v>
      </c>
      <c r="X4130">
        <v>8</v>
      </c>
      <c r="Y4130" t="s">
        <v>20724</v>
      </c>
      <c r="Z4130" t="s">
        <v>26280</v>
      </c>
      <c r="AA4130">
        <v>0.7104549805012178</v>
      </c>
      <c r="AB4130" t="str">
        <f>HYPERLINK("Melting_Curves/meltCurve_Q92620_DHX38.pdf", "Melting_Curves/meltCurve_Q92620_DHX38.pdf")</f>
        <v>Melting_Curves/meltCurve_Q92620_DHX38.pdf</v>
      </c>
    </row>
    <row r="4131" spans="1:28" x14ac:dyDescent="0.25">
      <c r="A4131" t="s">
        <v>4135</v>
      </c>
      <c r="B4131">
        <v>0.99796759195183404</v>
      </c>
      <c r="C4131">
        <v>0.98890073491277297</v>
      </c>
      <c r="D4131">
        <v>0.95693630142953001</v>
      </c>
      <c r="E4131">
        <v>0.83119423289110805</v>
      </c>
      <c r="F4131">
        <v>0.74705892748723701</v>
      </c>
      <c r="G4131">
        <v>0.81735317487344095</v>
      </c>
      <c r="H4131">
        <v>0.23058535854265699</v>
      </c>
      <c r="I4131">
        <v>0.19752534026197299</v>
      </c>
      <c r="J4131">
        <v>0.13693491814524</v>
      </c>
      <c r="K4131">
        <v>9.4947534652790697E-2</v>
      </c>
      <c r="L4131">
        <v>805.87542185600103</v>
      </c>
      <c r="M4131">
        <v>14.5451108266312</v>
      </c>
      <c r="N4131">
        <v>55.405244939062698</v>
      </c>
      <c r="O4131">
        <v>54.389545632189503</v>
      </c>
      <c r="P4131">
        <v>-6.6863807281735493E-2</v>
      </c>
      <c r="Q4131">
        <v>0</v>
      </c>
      <c r="R4131">
        <v>0.93664121446275295</v>
      </c>
      <c r="S4131" t="s">
        <v>9714</v>
      </c>
      <c r="T4131" t="s">
        <v>11164</v>
      </c>
      <c r="U4131" t="s">
        <v>11164</v>
      </c>
      <c r="V4131" t="s">
        <v>11164</v>
      </c>
      <c r="W4131" t="s">
        <v>15251</v>
      </c>
      <c r="X4131">
        <v>11</v>
      </c>
      <c r="Y4131" t="s">
        <v>20725</v>
      </c>
      <c r="Z4131" t="s">
        <v>26281</v>
      </c>
      <c r="AA4131">
        <v>0.6266771126720172</v>
      </c>
      <c r="AB4131" t="str">
        <f>HYPERLINK("Melting_Curves/meltCurve_Q92621_NUP205.pdf", "Melting_Curves/meltCurve_Q92621_NUP205.pdf")</f>
        <v>Melting_Curves/meltCurve_Q92621_NUP205.pdf</v>
      </c>
    </row>
    <row r="4132" spans="1:28" x14ac:dyDescent="0.25">
      <c r="A4132" t="s">
        <v>4136</v>
      </c>
      <c r="B4132">
        <v>0.99796759195183404</v>
      </c>
      <c r="C4132">
        <v>1.03026547478082</v>
      </c>
      <c r="D4132">
        <v>0.91479651633645298</v>
      </c>
      <c r="E4132">
        <v>0.91469534739041503</v>
      </c>
      <c r="F4132">
        <v>0.89981328300021102</v>
      </c>
      <c r="G4132">
        <v>0.546783340209958</v>
      </c>
      <c r="H4132">
        <v>0.41278378937839899</v>
      </c>
      <c r="I4132">
        <v>0.29479441459623801</v>
      </c>
      <c r="J4132">
        <v>0.18342552304026499</v>
      </c>
      <c r="K4132">
        <v>0.25255222952863998</v>
      </c>
      <c r="L4132">
        <v>1039.1463316335301</v>
      </c>
      <c r="M4132">
        <v>19.3462992997549</v>
      </c>
      <c r="N4132">
        <v>55.224807598438602</v>
      </c>
      <c r="O4132">
        <v>53.148879971563602</v>
      </c>
      <c r="P4132">
        <v>-7.2294321815905602E-2</v>
      </c>
      <c r="Q4132">
        <v>0.20559042720607401</v>
      </c>
      <c r="R4132">
        <v>0.97987255871812096</v>
      </c>
      <c r="S4132" t="s">
        <v>9715</v>
      </c>
      <c r="T4132" t="s">
        <v>11164</v>
      </c>
      <c r="U4132" t="s">
        <v>11164</v>
      </c>
      <c r="V4132" t="s">
        <v>11164</v>
      </c>
      <c r="W4132" t="s">
        <v>15252</v>
      </c>
      <c r="X4132">
        <v>1</v>
      </c>
      <c r="Y4132" t="s">
        <v>20726</v>
      </c>
      <c r="Z4132" t="s">
        <v>26282</v>
      </c>
      <c r="AA4132">
        <v>0.65832604913376269</v>
      </c>
      <c r="AB4132" t="str">
        <f>HYPERLINK("Melting_Curves/meltCurve_Q92623_TTC9.pdf", "Melting_Curves/meltCurve_Q92623_TTC9.pdf")</f>
        <v>Melting_Curves/meltCurve_Q92623_TTC9.pdf</v>
      </c>
    </row>
    <row r="4133" spans="1:28" x14ac:dyDescent="0.25">
      <c r="A4133" t="s">
        <v>4137</v>
      </c>
      <c r="B4133">
        <v>0.99796759195183404</v>
      </c>
      <c r="C4133">
        <v>1.06841134002325</v>
      </c>
      <c r="D4133">
        <v>1.0039535076516399</v>
      </c>
      <c r="E4133">
        <v>0.85250290221759395</v>
      </c>
      <c r="F4133">
        <v>0.43716265775789698</v>
      </c>
      <c r="G4133">
        <v>0.30028911285686299</v>
      </c>
      <c r="H4133">
        <v>0.20830353428439699</v>
      </c>
      <c r="I4133">
        <v>0.16689128422827501</v>
      </c>
      <c r="J4133">
        <v>0.16476689954554999</v>
      </c>
      <c r="K4133">
        <v>0.109085947487982</v>
      </c>
      <c r="L4133">
        <v>1236.12115474644</v>
      </c>
      <c r="M4133">
        <v>25.127846668089902</v>
      </c>
      <c r="N4133">
        <v>49.964046366273202</v>
      </c>
      <c r="O4133">
        <v>48.884887983289197</v>
      </c>
      <c r="P4133">
        <v>-0.107859720346872</v>
      </c>
      <c r="Q4133">
        <v>0.16066968742315599</v>
      </c>
      <c r="R4133">
        <v>0.99049217806578305</v>
      </c>
      <c r="S4133" t="s">
        <v>9716</v>
      </c>
      <c r="T4133" t="s">
        <v>11164</v>
      </c>
      <c r="U4133" t="s">
        <v>11164</v>
      </c>
      <c r="V4133" t="s">
        <v>11164</v>
      </c>
      <c r="W4133" t="s">
        <v>15253</v>
      </c>
      <c r="X4133">
        <v>10</v>
      </c>
      <c r="Y4133" t="s">
        <v>20727</v>
      </c>
      <c r="Z4133" t="s">
        <v>26283</v>
      </c>
      <c r="AA4133">
        <v>0.50900878722663134</v>
      </c>
      <c r="AB4133" t="str">
        <f>HYPERLINK("Melting_Curves/meltCurve_Q92625_ANKS1A.pdf", "Melting_Curves/meltCurve_Q92625_ANKS1A.pdf")</f>
        <v>Melting_Curves/meltCurve_Q92625_ANKS1A.pdf</v>
      </c>
    </row>
    <row r="4134" spans="1:28" x14ac:dyDescent="0.25">
      <c r="A4134" t="s">
        <v>4138</v>
      </c>
      <c r="B4134">
        <v>0.99796759195183404</v>
      </c>
      <c r="C4134">
        <v>1.1113800251457699</v>
      </c>
      <c r="D4134">
        <v>1.01495592888901</v>
      </c>
      <c r="E4134">
        <v>0.99410091363520403</v>
      </c>
      <c r="F4134">
        <v>0.741270629102323</v>
      </c>
      <c r="G4134">
        <v>0.65197761302215196</v>
      </c>
      <c r="H4134">
        <v>0.25382327436523899</v>
      </c>
      <c r="I4134">
        <v>0.28092743081299398</v>
      </c>
      <c r="J4134">
        <v>0.222806913636659</v>
      </c>
      <c r="K4134">
        <v>0.203617363797886</v>
      </c>
      <c r="L4134">
        <v>1070.90078378984</v>
      </c>
      <c r="M4134">
        <v>20.084612100766599</v>
      </c>
      <c r="N4134">
        <v>54.609376606932997</v>
      </c>
      <c r="O4134">
        <v>52.7993286791014</v>
      </c>
      <c r="P4134">
        <v>-7.7139305161449595E-2</v>
      </c>
      <c r="Q4134">
        <v>0.188876911855235</v>
      </c>
      <c r="R4134">
        <v>0.96940388203743899</v>
      </c>
      <c r="S4134" t="s">
        <v>9717</v>
      </c>
      <c r="T4134" t="s">
        <v>11164</v>
      </c>
      <c r="U4134" t="s">
        <v>11164</v>
      </c>
      <c r="V4134" t="s">
        <v>11164</v>
      </c>
      <c r="W4134" t="s">
        <v>15254</v>
      </c>
      <c r="X4134">
        <v>1</v>
      </c>
      <c r="Y4134" t="s">
        <v>20728</v>
      </c>
      <c r="Z4134" t="s">
        <v>26284</v>
      </c>
      <c r="AA4134">
        <v>0.64015917710180381</v>
      </c>
      <c r="AB4134" t="str">
        <f>HYPERLINK("Melting_Curves/meltCurve_Q92665_MRPS31.pdf", "Melting_Curves/meltCurve_Q92665_MRPS31.pdf")</f>
        <v>Melting_Curves/meltCurve_Q92665_MRPS31.pdf</v>
      </c>
    </row>
    <row r="4135" spans="1:28" x14ac:dyDescent="0.25">
      <c r="A4135" t="s">
        <v>4139</v>
      </c>
      <c r="B4135">
        <v>0.99796759195183404</v>
      </c>
      <c r="C4135">
        <v>0.98175163980150904</v>
      </c>
      <c r="D4135">
        <v>1.0120404217449299</v>
      </c>
      <c r="E4135">
        <v>0.87534513496526001</v>
      </c>
      <c r="F4135">
        <v>0.63831553054033696</v>
      </c>
      <c r="G4135">
        <v>0.360848298787875</v>
      </c>
      <c r="H4135">
        <v>0.299185202197711</v>
      </c>
      <c r="I4135">
        <v>0.25825457098032201</v>
      </c>
      <c r="J4135">
        <v>0.26212771186941503</v>
      </c>
      <c r="K4135">
        <v>0.21274157063266499</v>
      </c>
      <c r="L4135">
        <v>1135.29090698186</v>
      </c>
      <c r="M4135">
        <v>22.580612409680601</v>
      </c>
      <c r="N4135">
        <v>51.763158146448099</v>
      </c>
      <c r="O4135">
        <v>49.887904117868601</v>
      </c>
      <c r="P4135">
        <v>-8.6169818242401996E-2</v>
      </c>
      <c r="Q4135">
        <v>0.238506954474413</v>
      </c>
      <c r="R4135">
        <v>0.996978179759056</v>
      </c>
      <c r="S4135" t="s">
        <v>9718</v>
      </c>
      <c r="T4135" t="s">
        <v>11164</v>
      </c>
      <c r="U4135" t="s">
        <v>11164</v>
      </c>
      <c r="V4135" t="s">
        <v>11164</v>
      </c>
      <c r="W4135" t="s">
        <v>15255</v>
      </c>
      <c r="X4135">
        <v>16</v>
      </c>
      <c r="Y4135" t="s">
        <v>20729</v>
      </c>
      <c r="Z4135" t="s">
        <v>26285</v>
      </c>
      <c r="AA4135">
        <v>0.58359645412863648</v>
      </c>
      <c r="AB4135" t="str">
        <f>HYPERLINK("Melting_Curves/meltCurve_Q92667_AKAP1.pdf", "Melting_Curves/meltCurve_Q92667_AKAP1.pdf")</f>
        <v>Melting_Curves/meltCurve_Q92667_AKAP1.pdf</v>
      </c>
    </row>
    <row r="4136" spans="1:28" x14ac:dyDescent="0.25">
      <c r="A4136" t="s">
        <v>4140</v>
      </c>
      <c r="B4136">
        <v>0.99796759195183404</v>
      </c>
      <c r="C4136">
        <v>1.3737752495607201</v>
      </c>
      <c r="D4136">
        <v>1.1048001158141401</v>
      </c>
      <c r="E4136">
        <v>1.20464005301488</v>
      </c>
      <c r="F4136">
        <v>1.21000351325309</v>
      </c>
      <c r="G4136">
        <v>0.83760944866681197</v>
      </c>
      <c r="H4136">
        <v>1.0946523465723501</v>
      </c>
      <c r="I4136">
        <v>1.05799202944648</v>
      </c>
      <c r="J4136">
        <v>1.41231887395628</v>
      </c>
      <c r="K4136">
        <v>1.4269787889957399</v>
      </c>
      <c r="L4136">
        <v>6397.5939738843899</v>
      </c>
      <c r="M4136">
        <v>103.03375465628901</v>
      </c>
      <c r="O4136">
        <v>62.068833629095998</v>
      </c>
      <c r="P4136">
        <v>0.177574494526682</v>
      </c>
      <c r="Q4136">
        <v>1.4278924393782799</v>
      </c>
      <c r="R4136">
        <v>0.179750039046151</v>
      </c>
      <c r="S4136" t="s">
        <v>9719</v>
      </c>
      <c r="T4136" t="s">
        <v>11164</v>
      </c>
      <c r="U4136" t="s">
        <v>11164</v>
      </c>
      <c r="V4136" t="s">
        <v>11164</v>
      </c>
      <c r="W4136" t="s">
        <v>15256</v>
      </c>
      <c r="X4136">
        <v>4</v>
      </c>
      <c r="Y4136" t="s">
        <v>20730</v>
      </c>
      <c r="Z4136" t="s">
        <v>26286</v>
      </c>
      <c r="AA4136">
        <v>1.0697307264945899</v>
      </c>
      <c r="AB4136" t="str">
        <f>HYPERLINK("Melting_Curves/meltCurve_Q92686_NRGN.pdf", "Melting_Curves/meltCurve_Q92686_NRGN.pdf")</f>
        <v>Melting_Curves/meltCurve_Q92686_NRGN.pdf</v>
      </c>
    </row>
    <row r="4137" spans="1:28" x14ac:dyDescent="0.25">
      <c r="A4137" t="s">
        <v>4141</v>
      </c>
      <c r="B4137">
        <v>0.99796759195183404</v>
      </c>
      <c r="C4137">
        <v>0.98868751429910695</v>
      </c>
      <c r="D4137">
        <v>0.938139882310152</v>
      </c>
      <c r="E4137">
        <v>0.87733573229378803</v>
      </c>
      <c r="F4137">
        <v>0.75903881833985798</v>
      </c>
      <c r="G4137">
        <v>0.51554818902299004</v>
      </c>
      <c r="H4137">
        <v>0.40063155585672899</v>
      </c>
      <c r="I4137">
        <v>0.17061438225662301</v>
      </c>
      <c r="J4137">
        <v>0.12899921827164301</v>
      </c>
      <c r="K4137">
        <v>9.1985248717061402E-2</v>
      </c>
      <c r="L4137">
        <v>671.67915885033301</v>
      </c>
      <c r="M4137">
        <v>12.328803375451599</v>
      </c>
      <c r="N4137">
        <v>54.480495565674097</v>
      </c>
      <c r="O4137">
        <v>53.106647735407101</v>
      </c>
      <c r="P4137">
        <v>-5.8050547162114198E-2</v>
      </c>
      <c r="Q4137">
        <v>0</v>
      </c>
      <c r="R4137">
        <v>0.99502899351491803</v>
      </c>
      <c r="S4137" t="s">
        <v>9720</v>
      </c>
      <c r="T4137" t="s">
        <v>11164</v>
      </c>
      <c r="U4137" t="s">
        <v>11164</v>
      </c>
      <c r="V4137" t="s">
        <v>11164</v>
      </c>
      <c r="W4137" t="s">
        <v>15257</v>
      </c>
      <c r="X4137">
        <v>12</v>
      </c>
      <c r="Y4137" t="s">
        <v>20731</v>
      </c>
      <c r="Z4137" t="s">
        <v>26287</v>
      </c>
      <c r="AA4137">
        <v>0.59889046818810165</v>
      </c>
      <c r="AB4137" t="str">
        <f>HYPERLINK("Melting_Curves/meltCurve_Q92688_ANP32B.pdf", "Melting_Curves/meltCurve_Q92688_ANP32B.pdf")</f>
        <v>Melting_Curves/meltCurve_Q92688_ANP32B.pdf</v>
      </c>
    </row>
    <row r="4138" spans="1:28" x14ac:dyDescent="0.25">
      <c r="A4138" t="s">
        <v>4142</v>
      </c>
      <c r="B4138">
        <v>0.99796759195183404</v>
      </c>
      <c r="C4138">
        <v>0.96274629014928204</v>
      </c>
      <c r="D4138">
        <v>0.93222258637993405</v>
      </c>
      <c r="E4138">
        <v>0.87724762054081096</v>
      </c>
      <c r="F4138">
        <v>0.74556496375547299</v>
      </c>
      <c r="G4138">
        <v>0.62072262745494799</v>
      </c>
      <c r="H4138">
        <v>0.62033636892376498</v>
      </c>
      <c r="I4138">
        <v>0.53336400585475296</v>
      </c>
      <c r="J4138">
        <v>0.57104517685293099</v>
      </c>
      <c r="K4138">
        <v>0.372890311129979</v>
      </c>
      <c r="L4138">
        <v>424.35988277160902</v>
      </c>
      <c r="M4138">
        <v>7.8371502342794797</v>
      </c>
      <c r="N4138">
        <v>62.789269378249998</v>
      </c>
      <c r="O4138">
        <v>50.961431191326596</v>
      </c>
      <c r="P4138">
        <v>-2.5791501728855502E-2</v>
      </c>
      <c r="Q4138">
        <v>0.32997659484966302</v>
      </c>
      <c r="R4138">
        <v>0.95314155768519504</v>
      </c>
      <c r="S4138" t="s">
        <v>9721</v>
      </c>
      <c r="T4138" t="s">
        <v>11164</v>
      </c>
      <c r="U4138" t="s">
        <v>11164</v>
      </c>
      <c r="V4138" t="s">
        <v>11164</v>
      </c>
      <c r="W4138" t="s">
        <v>15258</v>
      </c>
      <c r="X4138">
        <v>8</v>
      </c>
      <c r="Y4138" t="s">
        <v>20732</v>
      </c>
      <c r="Z4138" t="s">
        <v>26288</v>
      </c>
      <c r="AA4138">
        <v>0.72167599271086902</v>
      </c>
      <c r="AB4138" t="str">
        <f>HYPERLINK("Melting_Curves/meltCurve_Q92692_PVRL2.pdf", "Melting_Curves/meltCurve_Q92692_PVRL2.pdf")</f>
        <v>Melting_Curves/meltCurve_Q92692_PVRL2.pdf</v>
      </c>
    </row>
    <row r="4139" spans="1:28" x14ac:dyDescent="0.25">
      <c r="A4139" t="s">
        <v>4143</v>
      </c>
      <c r="B4139">
        <v>0.99796759195183404</v>
      </c>
      <c r="C4139">
        <v>1.0351494288418499</v>
      </c>
      <c r="D4139">
        <v>1.0580434739069</v>
      </c>
      <c r="E4139">
        <v>1.16102200570308</v>
      </c>
      <c r="F4139">
        <v>0.91092177327504298</v>
      </c>
      <c r="G4139">
        <v>0.77259882288958404</v>
      </c>
      <c r="H4139">
        <v>0.74584952991618902</v>
      </c>
      <c r="I4139">
        <v>0.64300430510568096</v>
      </c>
      <c r="J4139">
        <v>0.756539519364405</v>
      </c>
      <c r="K4139">
        <v>0.49004863090869599</v>
      </c>
      <c r="L4139">
        <v>1124.75528091055</v>
      </c>
      <c r="M4139">
        <v>20.779455406663001</v>
      </c>
      <c r="O4139">
        <v>53.634414855030201</v>
      </c>
      <c r="P4139">
        <v>-3.7337906016668101E-2</v>
      </c>
      <c r="Q4139">
        <v>0.61451531960844696</v>
      </c>
      <c r="R4139">
        <v>0.81582352613952103</v>
      </c>
      <c r="S4139" t="s">
        <v>9722</v>
      </c>
      <c r="T4139" t="s">
        <v>11164</v>
      </c>
      <c r="U4139" t="s">
        <v>11164</v>
      </c>
      <c r="V4139" t="s">
        <v>11164</v>
      </c>
      <c r="W4139" t="s">
        <v>15259</v>
      </c>
      <c r="X4139">
        <v>7</v>
      </c>
      <c r="Y4139" t="s">
        <v>20732</v>
      </c>
      <c r="Z4139" t="s">
        <v>26289</v>
      </c>
      <c r="AA4139">
        <v>0.83901094794949882</v>
      </c>
      <c r="AB4139" t="str">
        <f>HYPERLINK("Melting_Curves/meltCurve_Q92692_2_PVRL2.pdf", "Melting_Curves/meltCurve_Q92692_2_PVRL2.pdf")</f>
        <v>Melting_Curves/meltCurve_Q92692_2_PVRL2.pdf</v>
      </c>
    </row>
    <row r="4140" spans="1:28" x14ac:dyDescent="0.25">
      <c r="A4140" t="s">
        <v>4144</v>
      </c>
      <c r="B4140">
        <v>0.99796759195183404</v>
      </c>
      <c r="C4140">
        <v>0.95365630008911295</v>
      </c>
      <c r="D4140">
        <v>0.96308698160000905</v>
      </c>
      <c r="E4140">
        <v>0.90694097876874802</v>
      </c>
      <c r="F4140">
        <v>0.85074686497085705</v>
      </c>
      <c r="G4140">
        <v>0.75063410871151004</v>
      </c>
      <c r="H4140">
        <v>0.50942819187043598</v>
      </c>
      <c r="I4140">
        <v>0.211702603145727</v>
      </c>
      <c r="J4140">
        <v>0.13351650357356201</v>
      </c>
      <c r="K4140">
        <v>0.10666373389644999</v>
      </c>
      <c r="L4140">
        <v>889.120598574327</v>
      </c>
      <c r="M4140">
        <v>15.6047247795758</v>
      </c>
      <c r="N4140">
        <v>56.977653486675898</v>
      </c>
      <c r="O4140">
        <v>56.066544212670202</v>
      </c>
      <c r="P4140">
        <v>-6.9587285187694206E-2</v>
      </c>
      <c r="Q4140">
        <v>0</v>
      </c>
      <c r="R4140">
        <v>0.98785034988684495</v>
      </c>
      <c r="S4140" t="s">
        <v>9723</v>
      </c>
      <c r="T4140" t="s">
        <v>11164</v>
      </c>
      <c r="U4140" t="s">
        <v>11164</v>
      </c>
      <c r="V4140" t="s">
        <v>11164</v>
      </c>
      <c r="W4140" t="s">
        <v>15260</v>
      </c>
      <c r="X4140">
        <v>11</v>
      </c>
      <c r="Y4140" t="s">
        <v>20733</v>
      </c>
      <c r="Z4140" t="s">
        <v>26290</v>
      </c>
      <c r="AA4140">
        <v>0.67449722501771059</v>
      </c>
      <c r="AB4140" t="str">
        <f>HYPERLINK("Melting_Curves/meltCurve_Q92696_RABGGTA.pdf", "Melting_Curves/meltCurve_Q92696_RABGGTA.pdf")</f>
        <v>Melting_Curves/meltCurve_Q92696_RABGGTA.pdf</v>
      </c>
    </row>
    <row r="4141" spans="1:28" x14ac:dyDescent="0.25">
      <c r="A4141" t="s">
        <v>4145</v>
      </c>
      <c r="B4141">
        <v>0.99796759195183404</v>
      </c>
      <c r="C4141">
        <v>1.0255831330060801</v>
      </c>
      <c r="D4141">
        <v>1.02493628352779</v>
      </c>
      <c r="E4141">
        <v>1.0545790230834999</v>
      </c>
      <c r="F4141">
        <v>0.75712099525888399</v>
      </c>
      <c r="G4141">
        <v>0.87094433182857001</v>
      </c>
      <c r="H4141">
        <v>0.68507340326744204</v>
      </c>
      <c r="I4141">
        <v>0.72874900679533505</v>
      </c>
      <c r="J4141">
        <v>0.58318447484749103</v>
      </c>
      <c r="K4141">
        <v>0.54889416990106699</v>
      </c>
      <c r="L4141">
        <v>580.07531921165105</v>
      </c>
      <c r="M4141">
        <v>10.1318970832452</v>
      </c>
      <c r="O4141">
        <v>55.156369159002303</v>
      </c>
      <c r="P4141">
        <v>-2.4473139290306398E-2</v>
      </c>
      <c r="Q4141">
        <v>0.46733554619062601</v>
      </c>
      <c r="R4141">
        <v>0.86767246471472403</v>
      </c>
      <c r="S4141" t="s">
        <v>9724</v>
      </c>
      <c r="T4141" t="s">
        <v>11164</v>
      </c>
      <c r="U4141" t="s">
        <v>11164</v>
      </c>
      <c r="V4141" t="s">
        <v>11164</v>
      </c>
      <c r="W4141" t="s">
        <v>15261</v>
      </c>
      <c r="X4141">
        <v>4</v>
      </c>
      <c r="Y4141" t="s">
        <v>20734</v>
      </c>
      <c r="Z4141" t="s">
        <v>26291</v>
      </c>
      <c r="AA4141">
        <v>0.82575636344702652</v>
      </c>
      <c r="AB4141" t="str">
        <f>HYPERLINK("Melting_Curves/meltCurve_Q92734_2_TFG.pdf", "Melting_Curves/meltCurve_Q92734_2_TFG.pdf")</f>
        <v>Melting_Curves/meltCurve_Q92734_2_TFG.pdf</v>
      </c>
    </row>
    <row r="4142" spans="1:28" x14ac:dyDescent="0.25">
      <c r="A4142" t="s">
        <v>4146</v>
      </c>
      <c r="B4142">
        <v>0.99796759195183404</v>
      </c>
      <c r="C4142">
        <v>1.07811216084271</v>
      </c>
      <c r="D4142">
        <v>1.02665616518134</v>
      </c>
      <c r="E4142">
        <v>0.98461648039013205</v>
      </c>
      <c r="F4142">
        <v>0.95873814667157398</v>
      </c>
      <c r="G4142">
        <v>0.93054414526837903</v>
      </c>
      <c r="H4142">
        <v>0.96487957287732395</v>
      </c>
      <c r="I4142">
        <v>1.1474254724392301</v>
      </c>
      <c r="J4142">
        <v>1.05881825675109</v>
      </c>
      <c r="K4142">
        <v>0.565242960308597</v>
      </c>
      <c r="L4142">
        <v>15000</v>
      </c>
      <c r="M4142">
        <v>223.618098788428</v>
      </c>
      <c r="Q4142">
        <v>0</v>
      </c>
      <c r="R4142">
        <v>0.81877998572010802</v>
      </c>
      <c r="S4142" t="s">
        <v>9725</v>
      </c>
      <c r="T4142" t="s">
        <v>11164</v>
      </c>
      <c r="U4142" t="s">
        <v>11164</v>
      </c>
      <c r="V4142" t="s">
        <v>11164</v>
      </c>
      <c r="W4142" t="s">
        <v>15262</v>
      </c>
      <c r="X4142">
        <v>2</v>
      </c>
      <c r="Y4142" t="s">
        <v>20735</v>
      </c>
      <c r="Z4142" t="s">
        <v>26292</v>
      </c>
      <c r="AA4142">
        <v>0.99436679663806704</v>
      </c>
      <c r="AB4142" t="str">
        <f>HYPERLINK("Melting_Curves/meltCurve_Q92747_ARPC1A.pdf", "Melting_Curves/meltCurve_Q92747_ARPC1A.pdf")</f>
        <v>Melting_Curves/meltCurve_Q92747_ARPC1A.pdf</v>
      </c>
    </row>
    <row r="4143" spans="1:28" x14ac:dyDescent="0.25">
      <c r="A4143" t="s">
        <v>4147</v>
      </c>
      <c r="B4143">
        <v>0.99796759195183404</v>
      </c>
      <c r="C4143">
        <v>0.92172368494837997</v>
      </c>
      <c r="D4143">
        <v>0.96592650010473602</v>
      </c>
      <c r="E4143">
        <v>0.84171262375658296</v>
      </c>
      <c r="F4143">
        <v>0.79907002293163298</v>
      </c>
      <c r="G4143">
        <v>0.66614687435481901</v>
      </c>
      <c r="H4143">
        <v>0.37653666269721398</v>
      </c>
      <c r="I4143">
        <v>0.22034860805923101</v>
      </c>
      <c r="J4143">
        <v>0.18459305269640899</v>
      </c>
      <c r="K4143">
        <v>0.14236594686944801</v>
      </c>
      <c r="L4143">
        <v>650.55782242442001</v>
      </c>
      <c r="M4143">
        <v>11.692724929511201</v>
      </c>
      <c r="N4143">
        <v>55.637828370346</v>
      </c>
      <c r="O4143">
        <v>54.085200298564999</v>
      </c>
      <c r="P4143">
        <v>-5.4062111844363103E-2</v>
      </c>
      <c r="Q4143">
        <v>0</v>
      </c>
      <c r="R4143">
        <v>0.98381132810313598</v>
      </c>
      <c r="S4143" t="s">
        <v>9726</v>
      </c>
      <c r="T4143" t="s">
        <v>11164</v>
      </c>
      <c r="U4143" t="s">
        <v>11164</v>
      </c>
      <c r="V4143" t="s">
        <v>11164</v>
      </c>
      <c r="W4143" t="s">
        <v>15263</v>
      </c>
      <c r="X4143">
        <v>6</v>
      </c>
      <c r="Y4143" t="s">
        <v>20736</v>
      </c>
      <c r="Z4143" t="s">
        <v>26293</v>
      </c>
      <c r="AA4143">
        <v>0.63241820558306094</v>
      </c>
      <c r="AB4143" t="str">
        <f>HYPERLINK("Melting_Curves/meltCurve_Q92783_2_STAM.pdf", "Melting_Curves/meltCurve_Q92783_2_STAM.pdf")</f>
        <v>Melting_Curves/meltCurve_Q92783_2_STAM.pdf</v>
      </c>
    </row>
    <row r="4144" spans="1:28" x14ac:dyDescent="0.25">
      <c r="A4144" t="s">
        <v>4148</v>
      </c>
      <c r="B4144">
        <v>0.99796759195183404</v>
      </c>
      <c r="C4144">
        <v>0.84591556950159796</v>
      </c>
      <c r="D4144">
        <v>0.96768157870461002</v>
      </c>
      <c r="E4144">
        <v>0.80230444389090305</v>
      </c>
      <c r="F4144">
        <v>0.61129395355307703</v>
      </c>
      <c r="G4144">
        <v>0.65727628599381804</v>
      </c>
      <c r="H4144">
        <v>0.43876640303981002</v>
      </c>
      <c r="I4144">
        <v>0.446121635481325</v>
      </c>
      <c r="J4144">
        <v>0.30671697536977099</v>
      </c>
      <c r="K4144">
        <v>0.28689115920694502</v>
      </c>
      <c r="L4144">
        <v>357.35235038104503</v>
      </c>
      <c r="M4144">
        <v>6.3337622960917104</v>
      </c>
      <c r="N4144">
        <v>56.829110792171001</v>
      </c>
      <c r="O4144">
        <v>51.580741439861796</v>
      </c>
      <c r="P4144">
        <v>-3.0094583268513601E-2</v>
      </c>
      <c r="Q4144">
        <v>2.22734807765992E-2</v>
      </c>
      <c r="R4144">
        <v>0.94598965936894597</v>
      </c>
      <c r="S4144" t="s">
        <v>9727</v>
      </c>
      <c r="T4144" t="s">
        <v>11164</v>
      </c>
      <c r="U4144" t="s">
        <v>11164</v>
      </c>
      <c r="V4144" t="s">
        <v>11164</v>
      </c>
      <c r="W4144" t="s">
        <v>15264</v>
      </c>
      <c r="X4144">
        <v>2</v>
      </c>
      <c r="Y4144" t="s">
        <v>20737</v>
      </c>
      <c r="Z4144" t="s">
        <v>26294</v>
      </c>
      <c r="AA4144">
        <v>0.63745144617210459</v>
      </c>
      <c r="AB4144" t="str">
        <f>HYPERLINK("Melting_Curves/meltCurve_Q92791_LEPREL4.pdf", "Melting_Curves/meltCurve_Q92791_LEPREL4.pdf")</f>
        <v>Melting_Curves/meltCurve_Q92791_LEPREL4.pdf</v>
      </c>
    </row>
    <row r="4145" spans="1:28" x14ac:dyDescent="0.25">
      <c r="A4145" t="s">
        <v>4149</v>
      </c>
      <c r="B4145">
        <v>0.99796759195183404</v>
      </c>
      <c r="C4145">
        <v>0.98339528948521604</v>
      </c>
      <c r="D4145">
        <v>0.97001716101944802</v>
      </c>
      <c r="E4145">
        <v>0.87044710595025898</v>
      </c>
      <c r="F4145">
        <v>0.81570541144001496</v>
      </c>
      <c r="G4145">
        <v>0.718385588847404</v>
      </c>
      <c r="H4145">
        <v>0.427247082199323</v>
      </c>
      <c r="I4145">
        <v>0.26040322536784</v>
      </c>
      <c r="J4145">
        <v>0.230315964562568</v>
      </c>
      <c r="K4145">
        <v>0.171467714651933</v>
      </c>
      <c r="L4145">
        <v>696.20629404258</v>
      </c>
      <c r="M4145">
        <v>12.406370451589099</v>
      </c>
      <c r="N4145">
        <v>56.545718232860096</v>
      </c>
      <c r="O4145">
        <v>54.7186560821524</v>
      </c>
      <c r="P4145">
        <v>-5.4148787673530097E-2</v>
      </c>
      <c r="Q4145">
        <v>4.4903165720328299E-2</v>
      </c>
      <c r="R4145">
        <v>0.98824747515829703</v>
      </c>
      <c r="S4145" t="s">
        <v>9728</v>
      </c>
      <c r="T4145" t="s">
        <v>11164</v>
      </c>
      <c r="U4145" t="s">
        <v>11164</v>
      </c>
      <c r="V4145" t="s">
        <v>11164</v>
      </c>
      <c r="W4145" t="s">
        <v>15265</v>
      </c>
      <c r="X4145">
        <v>9</v>
      </c>
      <c r="Y4145" t="s">
        <v>20738</v>
      </c>
      <c r="Z4145" t="s">
        <v>26295</v>
      </c>
      <c r="AA4145">
        <v>0.66278761056363134</v>
      </c>
      <c r="AB4145" t="str">
        <f>HYPERLINK("Melting_Curves/meltCurve_Q92793_2_CREBBP.pdf", "Melting_Curves/meltCurve_Q92793_2_CREBBP.pdf")</f>
        <v>Melting_Curves/meltCurve_Q92793_2_CREBBP.pdf</v>
      </c>
    </row>
    <row r="4146" spans="1:28" x14ac:dyDescent="0.25">
      <c r="A4146" t="s">
        <v>4150</v>
      </c>
      <c r="B4146">
        <v>0.99796759195183404</v>
      </c>
      <c r="C4146">
        <v>1.0251393585864901</v>
      </c>
      <c r="D4146">
        <v>0.99547001298248095</v>
      </c>
      <c r="E4146">
        <v>0.883112906297426</v>
      </c>
      <c r="F4146">
        <v>0.64278774743641198</v>
      </c>
      <c r="G4146">
        <v>0.224498660061594</v>
      </c>
      <c r="H4146">
        <v>0.16379856414298999</v>
      </c>
      <c r="I4146">
        <v>0.115912356232722</v>
      </c>
      <c r="J4146">
        <v>0.13012039993163199</v>
      </c>
      <c r="K4146">
        <v>6.3537445130305001E-2</v>
      </c>
      <c r="L4146">
        <v>1339.02505166642</v>
      </c>
      <c r="M4146">
        <v>26.392584693912301</v>
      </c>
      <c r="N4146">
        <v>51.161315728865603</v>
      </c>
      <c r="O4146">
        <v>50.4463139011376</v>
      </c>
      <c r="P4146">
        <v>-0.117883078820277</v>
      </c>
      <c r="Q4146">
        <v>9.8731370098403395E-2</v>
      </c>
      <c r="R4146">
        <v>0.99543644865408498</v>
      </c>
      <c r="S4146" t="s">
        <v>9729</v>
      </c>
      <c r="T4146" t="s">
        <v>11164</v>
      </c>
      <c r="U4146" t="s">
        <v>11164</v>
      </c>
      <c r="V4146" t="s">
        <v>11164</v>
      </c>
      <c r="W4146" t="s">
        <v>15266</v>
      </c>
      <c r="X4146">
        <v>15</v>
      </c>
      <c r="Y4146" t="s">
        <v>20739</v>
      </c>
      <c r="Z4146" t="s">
        <v>26296</v>
      </c>
      <c r="AA4146">
        <v>0.51852339077053422</v>
      </c>
      <c r="AB4146" t="str">
        <f>HYPERLINK("Melting_Curves/meltCurve_Q92797_SYMPK.pdf", "Melting_Curves/meltCurve_Q92797_SYMPK.pdf")</f>
        <v>Melting_Curves/meltCurve_Q92797_SYMPK.pdf</v>
      </c>
    </row>
    <row r="4147" spans="1:28" x14ac:dyDescent="0.25">
      <c r="A4147" t="s">
        <v>4151</v>
      </c>
      <c r="B4147">
        <v>0.99796759195183404</v>
      </c>
      <c r="C4147">
        <v>1.1646617550335401</v>
      </c>
      <c r="D4147">
        <v>1.1333123969055301</v>
      </c>
      <c r="E4147">
        <v>0.99930604981147497</v>
      </c>
      <c r="F4147">
        <v>0.97987470551273903</v>
      </c>
      <c r="G4147">
        <v>0.74263532399356702</v>
      </c>
      <c r="H4147">
        <v>0.64128794388807797</v>
      </c>
      <c r="I4147">
        <v>0.56556659843887602</v>
      </c>
      <c r="J4147">
        <v>0.691977011985069</v>
      </c>
      <c r="K4147">
        <v>0.60884925476596397</v>
      </c>
      <c r="L4147">
        <v>2696.6976463477399</v>
      </c>
      <c r="M4147">
        <v>50.896637491094701</v>
      </c>
      <c r="O4147">
        <v>52.902222953929098</v>
      </c>
      <c r="P4147">
        <v>-9.0240887247775403E-2</v>
      </c>
      <c r="Q4147">
        <v>0.624813089360433</v>
      </c>
      <c r="R4147">
        <v>0.88397442908395496</v>
      </c>
      <c r="S4147" t="s">
        <v>9730</v>
      </c>
      <c r="T4147" t="s">
        <v>11164</v>
      </c>
      <c r="U4147" t="s">
        <v>11164</v>
      </c>
      <c r="V4147" t="s">
        <v>11164</v>
      </c>
      <c r="W4147" t="s">
        <v>15267</v>
      </c>
      <c r="X4147">
        <v>7</v>
      </c>
      <c r="Y4147" t="s">
        <v>20740</v>
      </c>
      <c r="Z4147" t="s">
        <v>26297</v>
      </c>
      <c r="AA4147">
        <v>0.82555582194826782</v>
      </c>
      <c r="AB4147" t="str">
        <f>HYPERLINK("Melting_Curves/meltCurve_Q92804_2_TAF15.pdf", "Melting_Curves/meltCurve_Q92804_2_TAF15.pdf")</f>
        <v>Melting_Curves/meltCurve_Q92804_2_TAF15.pdf</v>
      </c>
    </row>
    <row r="4148" spans="1:28" x14ac:dyDescent="0.25">
      <c r="A4148" t="s">
        <v>4152</v>
      </c>
      <c r="B4148">
        <v>0.99796759195183404</v>
      </c>
      <c r="C4148">
        <v>1.0648586575507499</v>
      </c>
      <c r="D4148">
        <v>1.0347770096644699</v>
      </c>
      <c r="E4148">
        <v>0.96369919787522695</v>
      </c>
      <c r="F4148">
        <v>0.603143930360587</v>
      </c>
      <c r="G4148">
        <v>0.31360120431273802</v>
      </c>
      <c r="H4148">
        <v>0.213488626829797</v>
      </c>
      <c r="I4148">
        <v>0.17565524491978299</v>
      </c>
      <c r="J4148">
        <v>0.125671527817555</v>
      </c>
      <c r="K4148">
        <v>9.42849113580978E-2</v>
      </c>
      <c r="L4148">
        <v>1307.6640283353199</v>
      </c>
      <c r="M4148">
        <v>25.746507686089402</v>
      </c>
      <c r="N4148">
        <v>51.429819138652697</v>
      </c>
      <c r="O4148">
        <v>50.4865243825489</v>
      </c>
      <c r="P4148">
        <v>-0.11002109678520899</v>
      </c>
      <c r="Q4148">
        <v>0.13704546251226901</v>
      </c>
      <c r="R4148">
        <v>0.99172164887608005</v>
      </c>
      <c r="S4148" t="s">
        <v>9731</v>
      </c>
      <c r="T4148" t="s">
        <v>11164</v>
      </c>
      <c r="U4148" t="s">
        <v>11164</v>
      </c>
      <c r="V4148" t="s">
        <v>11164</v>
      </c>
      <c r="W4148" t="s">
        <v>15268</v>
      </c>
      <c r="X4148">
        <v>17</v>
      </c>
      <c r="Y4148" t="s">
        <v>20741</v>
      </c>
      <c r="Z4148" t="s">
        <v>26298</v>
      </c>
      <c r="AA4148">
        <v>0.54090906794973159</v>
      </c>
      <c r="AB4148" t="str">
        <f>HYPERLINK("Melting_Curves/meltCurve_Q92805_GOLGA1.pdf", "Melting_Curves/meltCurve_Q92805_GOLGA1.pdf")</f>
        <v>Melting_Curves/meltCurve_Q92805_GOLGA1.pdf</v>
      </c>
    </row>
    <row r="4149" spans="1:28" x14ac:dyDescent="0.25">
      <c r="A4149" t="s">
        <v>4153</v>
      </c>
      <c r="B4149">
        <v>0.99796759195183404</v>
      </c>
      <c r="C4149">
        <v>0.85768936148726405</v>
      </c>
      <c r="D4149">
        <v>0.82960481228692895</v>
      </c>
      <c r="E4149">
        <v>0.74003794540046697</v>
      </c>
      <c r="F4149">
        <v>0.74032597336140504</v>
      </c>
      <c r="G4149">
        <v>0.505380500978029</v>
      </c>
      <c r="H4149">
        <v>0.44582607846383299</v>
      </c>
      <c r="I4149">
        <v>0.38149541335895698</v>
      </c>
      <c r="J4149">
        <v>0.44106308918697601</v>
      </c>
      <c r="K4149">
        <v>0.32038325469321599</v>
      </c>
      <c r="L4149">
        <v>352.66614731343799</v>
      </c>
      <c r="M4149">
        <v>6.7775494315531901</v>
      </c>
      <c r="N4149">
        <v>56.167285162874698</v>
      </c>
      <c r="O4149">
        <v>48.067595495150101</v>
      </c>
      <c r="P4149">
        <v>-2.8388236088068598E-2</v>
      </c>
      <c r="Q4149">
        <v>0.19633896096777301</v>
      </c>
      <c r="R4149">
        <v>0.95328244260640704</v>
      </c>
      <c r="S4149" t="s">
        <v>9732</v>
      </c>
      <c r="T4149" t="s">
        <v>11164</v>
      </c>
      <c r="U4149" t="s">
        <v>11164</v>
      </c>
      <c r="V4149" t="s">
        <v>11164</v>
      </c>
      <c r="W4149" t="s">
        <v>15269</v>
      </c>
      <c r="X4149">
        <v>3</v>
      </c>
      <c r="Y4149" t="s">
        <v>20742</v>
      </c>
      <c r="Z4149" t="s">
        <v>26299</v>
      </c>
      <c r="AA4149">
        <v>0.62188806234437055</v>
      </c>
      <c r="AB4149" t="str">
        <f>HYPERLINK("Melting_Curves/meltCurve_Q92820_GGH.pdf", "Melting_Curves/meltCurve_Q92820_GGH.pdf")</f>
        <v>Melting_Curves/meltCurve_Q92820_GGH.pdf</v>
      </c>
    </row>
    <row r="4150" spans="1:28" x14ac:dyDescent="0.25">
      <c r="A4150" t="s">
        <v>4154</v>
      </c>
      <c r="B4150">
        <v>0.99796759195183404</v>
      </c>
      <c r="C4150">
        <v>0.91919042950851204</v>
      </c>
      <c r="D4150">
        <v>1.0000011982939301</v>
      </c>
      <c r="E4150">
        <v>0.94369669307313597</v>
      </c>
      <c r="F4150">
        <v>0.81458530163277798</v>
      </c>
      <c r="G4150">
        <v>0.495393855778959</v>
      </c>
      <c r="H4150">
        <v>0.43741143578634301</v>
      </c>
      <c r="I4150">
        <v>0.34380066330654602</v>
      </c>
      <c r="J4150">
        <v>0.29965936161798201</v>
      </c>
      <c r="K4150">
        <v>0.26540122945053102</v>
      </c>
      <c r="L4150">
        <v>1046.62970956766</v>
      </c>
      <c r="M4150">
        <v>19.997840869822198</v>
      </c>
      <c r="N4150">
        <v>54.6542419844344</v>
      </c>
      <c r="O4150">
        <v>51.822213788870997</v>
      </c>
      <c r="P4150">
        <v>-6.8900894570842794E-2</v>
      </c>
      <c r="Q4150">
        <v>0.28582677913945498</v>
      </c>
      <c r="R4150">
        <v>0.98445947651625798</v>
      </c>
      <c r="S4150" t="s">
        <v>9733</v>
      </c>
      <c r="T4150" t="s">
        <v>11164</v>
      </c>
      <c r="U4150" t="s">
        <v>11164</v>
      </c>
      <c r="V4150" t="s">
        <v>11164</v>
      </c>
      <c r="W4150" t="s">
        <v>15270</v>
      </c>
      <c r="X4150">
        <v>4</v>
      </c>
      <c r="Y4150" t="s">
        <v>20743</v>
      </c>
      <c r="Z4150" t="s">
        <v>26300</v>
      </c>
      <c r="AA4150">
        <v>0.66009978375756984</v>
      </c>
      <c r="AB4150" t="str">
        <f>HYPERLINK("Melting_Curves/meltCurve_Q92834_4_RPGR.pdf", "Melting_Curves/meltCurve_Q92834_4_RPGR.pdf")</f>
        <v>Melting_Curves/meltCurve_Q92834_4_RPGR.pdf</v>
      </c>
    </row>
    <row r="4151" spans="1:28" x14ac:dyDescent="0.25">
      <c r="A4151" t="s">
        <v>4155</v>
      </c>
      <c r="B4151">
        <v>0.99796759195183404</v>
      </c>
      <c r="C4151">
        <v>1.09117493949404</v>
      </c>
      <c r="D4151">
        <v>1.0313625699707201</v>
      </c>
      <c r="E4151">
        <v>0.95661971409777002</v>
      </c>
      <c r="F4151">
        <v>0.900794932711939</v>
      </c>
      <c r="G4151">
        <v>0.71428589873319703</v>
      </c>
      <c r="H4151">
        <v>0.294819242081231</v>
      </c>
      <c r="I4151">
        <v>0.211363996478176</v>
      </c>
      <c r="J4151">
        <v>0.171940189192546</v>
      </c>
      <c r="K4151">
        <v>0.116070658632037</v>
      </c>
      <c r="L4151">
        <v>1513.0340322761999</v>
      </c>
      <c r="M4151">
        <v>27.5836436091158</v>
      </c>
      <c r="N4151">
        <v>55.487569555211699</v>
      </c>
      <c r="O4151">
        <v>54.566711310240201</v>
      </c>
      <c r="P4151">
        <v>-0.10927181828195601</v>
      </c>
      <c r="Q4151">
        <v>0.13535000537529601</v>
      </c>
      <c r="R4151">
        <v>0.98885784839899105</v>
      </c>
      <c r="S4151" t="s">
        <v>9734</v>
      </c>
      <c r="T4151" t="s">
        <v>11164</v>
      </c>
      <c r="U4151" t="s">
        <v>11164</v>
      </c>
      <c r="V4151" t="s">
        <v>11164</v>
      </c>
      <c r="W4151" t="s">
        <v>15271</v>
      </c>
      <c r="X4151">
        <v>2</v>
      </c>
      <c r="Y4151" t="s">
        <v>20744</v>
      </c>
      <c r="Z4151" t="s">
        <v>26301</v>
      </c>
      <c r="AA4151">
        <v>0.65622380979550909</v>
      </c>
      <c r="AB4151" t="str">
        <f>HYPERLINK("Melting_Curves/meltCurve_Q92843_2_BCL2L2.pdf", "Melting_Curves/meltCurve_Q92843_2_BCL2L2.pdf")</f>
        <v>Melting_Curves/meltCurve_Q92843_2_BCL2L2.pdf</v>
      </c>
    </row>
    <row r="4152" spans="1:28" x14ac:dyDescent="0.25">
      <c r="A4152" t="s">
        <v>4156</v>
      </c>
      <c r="B4152">
        <v>0.99796759195183404</v>
      </c>
      <c r="C4152">
        <v>1.07478916847519</v>
      </c>
      <c r="D4152">
        <v>1.06771253190562</v>
      </c>
      <c r="E4152">
        <v>1.03232799931728</v>
      </c>
      <c r="F4152">
        <v>0.83224885714978603</v>
      </c>
      <c r="G4152">
        <v>0.35205851937305299</v>
      </c>
      <c r="H4152">
        <v>0.36642527947438602</v>
      </c>
      <c r="I4152">
        <v>0.24853816060306799</v>
      </c>
      <c r="J4152">
        <v>0.16198488907484199</v>
      </c>
      <c r="K4152">
        <v>0.167086593453628</v>
      </c>
      <c r="L4152">
        <v>1940.6131892925901</v>
      </c>
      <c r="M4152">
        <v>37.4234635198845</v>
      </c>
      <c r="N4152">
        <v>52.690180400497098</v>
      </c>
      <c r="O4152">
        <v>51.708118434316503</v>
      </c>
      <c r="P4152">
        <v>-0.140476056664183</v>
      </c>
      <c r="Q4152">
        <v>0.223617250747847</v>
      </c>
      <c r="R4152">
        <v>0.97541956722648904</v>
      </c>
      <c r="S4152" t="s">
        <v>9735</v>
      </c>
      <c r="T4152" t="s">
        <v>11164</v>
      </c>
      <c r="U4152" t="s">
        <v>11164</v>
      </c>
      <c r="V4152" t="s">
        <v>11164</v>
      </c>
      <c r="W4152" t="s">
        <v>15272</v>
      </c>
      <c r="X4152">
        <v>3</v>
      </c>
      <c r="Y4152" t="s">
        <v>20745</v>
      </c>
      <c r="Z4152" t="s">
        <v>26302</v>
      </c>
      <c r="AA4152">
        <v>0.61124013722144854</v>
      </c>
      <c r="AB4152" t="str">
        <f>HYPERLINK("Melting_Curves/meltCurve_Q92845_4_KIFAP3.pdf", "Melting_Curves/meltCurve_Q92845_4_KIFAP3.pdf")</f>
        <v>Melting_Curves/meltCurve_Q92845_4_KIFAP3.pdf</v>
      </c>
    </row>
    <row r="4153" spans="1:28" x14ac:dyDescent="0.25">
      <c r="A4153" t="s">
        <v>4157</v>
      </c>
      <c r="B4153">
        <v>0.99796759195183404</v>
      </c>
      <c r="C4153">
        <v>0.9838782549567</v>
      </c>
      <c r="D4153">
        <v>0.92740604303492302</v>
      </c>
      <c r="E4153">
        <v>0.829826565198167</v>
      </c>
      <c r="F4153">
        <v>0.76636434939335896</v>
      </c>
      <c r="G4153">
        <v>0.53555840195936599</v>
      </c>
      <c r="H4153">
        <v>0.32768157911936002</v>
      </c>
      <c r="I4153">
        <v>0.218847627930221</v>
      </c>
      <c r="J4153">
        <v>0.22492438721133401</v>
      </c>
      <c r="K4153">
        <v>0.192226492984542</v>
      </c>
      <c r="L4153">
        <v>691.968626704955</v>
      </c>
      <c r="M4153">
        <v>13.043392414491199</v>
      </c>
      <c r="N4153">
        <v>54.185024523518798</v>
      </c>
      <c r="O4153">
        <v>51.850734077400197</v>
      </c>
      <c r="P4153">
        <v>-5.5388490689401E-2</v>
      </c>
      <c r="Q4153">
        <v>0.119421303047359</v>
      </c>
      <c r="R4153">
        <v>0.99113956293123795</v>
      </c>
      <c r="S4153" t="s">
        <v>9736</v>
      </c>
      <c r="T4153" t="s">
        <v>11164</v>
      </c>
      <c r="U4153" t="s">
        <v>11164</v>
      </c>
      <c r="V4153" t="s">
        <v>11164</v>
      </c>
      <c r="W4153" t="s">
        <v>15273</v>
      </c>
      <c r="X4153">
        <v>6</v>
      </c>
      <c r="Y4153" t="s">
        <v>20746</v>
      </c>
      <c r="Z4153" t="s">
        <v>26303</v>
      </c>
      <c r="AA4153">
        <v>0.60810851422217127</v>
      </c>
      <c r="AB4153" t="str">
        <f>HYPERLINK("Melting_Curves/meltCurve_Q92871_PMM1.pdf", "Melting_Curves/meltCurve_Q92871_PMM1.pdf")</f>
        <v>Melting_Curves/meltCurve_Q92871_PMM1.pdf</v>
      </c>
    </row>
    <row r="4154" spans="1:28" x14ac:dyDescent="0.25">
      <c r="A4154" t="s">
        <v>4158</v>
      </c>
      <c r="B4154">
        <v>0.99796759195183404</v>
      </c>
      <c r="C4154">
        <v>1.0059751997108199</v>
      </c>
      <c r="D4154">
        <v>0.92090555330028501</v>
      </c>
      <c r="E4154">
        <v>0.85096949598152705</v>
      </c>
      <c r="F4154">
        <v>0.64212959303195905</v>
      </c>
      <c r="G4154">
        <v>0.39870769870171002</v>
      </c>
      <c r="H4154">
        <v>0.253309335866097</v>
      </c>
      <c r="I4154">
        <v>0.191072402669378</v>
      </c>
      <c r="J4154">
        <v>0.134642013886249</v>
      </c>
      <c r="K4154">
        <v>0.10913976891947701</v>
      </c>
      <c r="L4154">
        <v>746.64463742555995</v>
      </c>
      <c r="M4154">
        <v>14.4677533809518</v>
      </c>
      <c r="N4154">
        <v>52.2772968187979</v>
      </c>
      <c r="O4154">
        <v>50.651592776118903</v>
      </c>
      <c r="P4154">
        <v>-6.5374740216907506E-2</v>
      </c>
      <c r="Q4154">
        <v>8.45988872134084E-2</v>
      </c>
      <c r="R4154">
        <v>0.99837112066841505</v>
      </c>
      <c r="S4154" t="s">
        <v>9737</v>
      </c>
      <c r="T4154" t="s">
        <v>11164</v>
      </c>
      <c r="U4154" t="s">
        <v>11164</v>
      </c>
      <c r="V4154" t="s">
        <v>11164</v>
      </c>
      <c r="W4154" t="s">
        <v>15274</v>
      </c>
      <c r="X4154">
        <v>30</v>
      </c>
      <c r="Y4154" t="s">
        <v>20747</v>
      </c>
      <c r="Z4154" t="s">
        <v>26304</v>
      </c>
      <c r="AA4154">
        <v>0.54901196448264289</v>
      </c>
      <c r="AB4154" t="str">
        <f>HYPERLINK("Melting_Curves/meltCurve_Q92878_RAD50.pdf", "Melting_Curves/meltCurve_Q92878_RAD50.pdf")</f>
        <v>Melting_Curves/meltCurve_Q92878_RAD50.pdf</v>
      </c>
    </row>
    <row r="4155" spans="1:28" x14ac:dyDescent="0.25">
      <c r="A4155" t="s">
        <v>4159</v>
      </c>
      <c r="B4155">
        <v>0.99796759195183404</v>
      </c>
      <c r="C4155">
        <v>1.0928301278774599</v>
      </c>
      <c r="D4155">
        <v>1.07748720848331</v>
      </c>
      <c r="E4155">
        <v>1.03403297404167</v>
      </c>
      <c r="F4155">
        <v>0.81813887607098801</v>
      </c>
      <c r="G4155">
        <v>0.39040272748506</v>
      </c>
      <c r="H4155">
        <v>0.28942502739128501</v>
      </c>
      <c r="I4155">
        <v>0.187556094949792</v>
      </c>
      <c r="J4155">
        <v>0.18715909767314901</v>
      </c>
      <c r="K4155">
        <v>0.192342438196655</v>
      </c>
      <c r="L4155">
        <v>1746.50588074095</v>
      </c>
      <c r="M4155">
        <v>33.543675718275402</v>
      </c>
      <c r="N4155">
        <v>52.876164973710502</v>
      </c>
      <c r="O4155">
        <v>51.882632547530399</v>
      </c>
      <c r="P4155">
        <v>-0.1291741955016</v>
      </c>
      <c r="Q4155">
        <v>0.200819006397535</v>
      </c>
      <c r="R4155">
        <v>0.98603707719993905</v>
      </c>
      <c r="S4155" t="s">
        <v>9738</v>
      </c>
      <c r="T4155" t="s">
        <v>11164</v>
      </c>
      <c r="U4155" t="s">
        <v>11164</v>
      </c>
      <c r="V4155" t="s">
        <v>11164</v>
      </c>
      <c r="W4155" t="s">
        <v>15275</v>
      </c>
      <c r="X4155">
        <v>7</v>
      </c>
      <c r="Y4155" t="s">
        <v>20748</v>
      </c>
      <c r="Z4155" t="s">
        <v>26305</v>
      </c>
      <c r="AA4155">
        <v>0.60624886987681526</v>
      </c>
      <c r="AB4155" t="str">
        <f>HYPERLINK("Melting_Curves/meltCurve_Q92882_OSTF1.pdf", "Melting_Curves/meltCurve_Q92882_OSTF1.pdf")</f>
        <v>Melting_Curves/meltCurve_Q92882_OSTF1.pdf</v>
      </c>
    </row>
    <row r="4156" spans="1:28" x14ac:dyDescent="0.25">
      <c r="A4156" t="s">
        <v>4160</v>
      </c>
      <c r="B4156">
        <v>0.99796759195183404</v>
      </c>
      <c r="C4156">
        <v>1.02147451555308</v>
      </c>
      <c r="D4156">
        <v>0.95584950108449196</v>
      </c>
      <c r="E4156">
        <v>0.90995914346312701</v>
      </c>
      <c r="F4156">
        <v>0.64394644786882804</v>
      </c>
      <c r="G4156">
        <v>0.28288963363987601</v>
      </c>
      <c r="H4156">
        <v>0.23391691624105099</v>
      </c>
      <c r="I4156">
        <v>0.210465078641246</v>
      </c>
      <c r="J4156">
        <v>0.15131032756660601</v>
      </c>
      <c r="K4156">
        <v>0.121373691631897</v>
      </c>
      <c r="L4156">
        <v>1263.9649315745301</v>
      </c>
      <c r="M4156">
        <v>24.9471297516031</v>
      </c>
      <c r="N4156">
        <v>51.449011478660601</v>
      </c>
      <c r="O4156">
        <v>50.3435701422584</v>
      </c>
      <c r="P4156">
        <v>-0.104312411115817</v>
      </c>
      <c r="Q4156">
        <v>0.15799750522605599</v>
      </c>
      <c r="R4156">
        <v>0.99445330670243404</v>
      </c>
      <c r="S4156" t="s">
        <v>9739</v>
      </c>
      <c r="T4156" t="s">
        <v>11164</v>
      </c>
      <c r="U4156" t="s">
        <v>11164</v>
      </c>
      <c r="V4156" t="s">
        <v>11164</v>
      </c>
      <c r="W4156" t="s">
        <v>15276</v>
      </c>
      <c r="X4156">
        <v>20</v>
      </c>
      <c r="Y4156" t="s">
        <v>20749</v>
      </c>
      <c r="Z4156" t="s">
        <v>26306</v>
      </c>
      <c r="AA4156">
        <v>0.54899011764169892</v>
      </c>
      <c r="AB4156" t="str">
        <f>HYPERLINK("Melting_Curves/meltCurve_Q92888_3_ARHGEF1.pdf", "Melting_Curves/meltCurve_Q92888_3_ARHGEF1.pdf")</f>
        <v>Melting_Curves/meltCurve_Q92888_3_ARHGEF1.pdf</v>
      </c>
    </row>
    <row r="4157" spans="1:28" x14ac:dyDescent="0.25">
      <c r="A4157" t="s">
        <v>4161</v>
      </c>
      <c r="B4157">
        <v>0.99796759195183404</v>
      </c>
      <c r="C4157">
        <v>0.93339185935086899</v>
      </c>
      <c r="D4157">
        <v>0.91709669300834296</v>
      </c>
      <c r="E4157">
        <v>0.79789945735087098</v>
      </c>
      <c r="F4157">
        <v>0.81266116510360198</v>
      </c>
      <c r="G4157">
        <v>0.358087326957228</v>
      </c>
      <c r="H4157">
        <v>0.17423942584211799</v>
      </c>
      <c r="I4157">
        <v>0.130883787670764</v>
      </c>
      <c r="J4157">
        <v>0.133753545174361</v>
      </c>
      <c r="K4157">
        <v>0.12122482565859399</v>
      </c>
      <c r="L4157">
        <v>1090.2908588933501</v>
      </c>
      <c r="M4157">
        <v>20.9647318941959</v>
      </c>
      <c r="N4157">
        <v>52.5407449080693</v>
      </c>
      <c r="O4157">
        <v>51.539696900986499</v>
      </c>
      <c r="P4157">
        <v>-9.1924118933568305E-2</v>
      </c>
      <c r="Q4157">
        <v>9.6079158174818699E-2</v>
      </c>
      <c r="R4157">
        <v>0.96999415210387296</v>
      </c>
      <c r="S4157" t="s">
        <v>9740</v>
      </c>
      <c r="T4157" t="s">
        <v>11164</v>
      </c>
      <c r="U4157" t="s">
        <v>11164</v>
      </c>
      <c r="V4157" t="s">
        <v>11164</v>
      </c>
      <c r="W4157" t="s">
        <v>15277</v>
      </c>
      <c r="X4157">
        <v>6</v>
      </c>
      <c r="Y4157" t="s">
        <v>20750</v>
      </c>
      <c r="Z4157" t="s">
        <v>26307</v>
      </c>
      <c r="AA4157">
        <v>0.55904709542746245</v>
      </c>
      <c r="AB4157" t="str">
        <f>HYPERLINK("Melting_Curves/meltCurve_Q92889_ERCC4.pdf", "Melting_Curves/meltCurve_Q92889_ERCC4.pdf")</f>
        <v>Melting_Curves/meltCurve_Q92889_ERCC4.pdf</v>
      </c>
    </row>
    <row r="4158" spans="1:28" x14ac:dyDescent="0.25">
      <c r="A4158" t="s">
        <v>4162</v>
      </c>
      <c r="B4158">
        <v>0.99796759195183404</v>
      </c>
      <c r="C4158">
        <v>1.02083197033521</v>
      </c>
      <c r="D4158">
        <v>1.0011619850715201</v>
      </c>
      <c r="E4158">
        <v>0.96183347495113403</v>
      </c>
      <c r="F4158">
        <v>0.83886533590358603</v>
      </c>
      <c r="G4158">
        <v>0.712717043116052</v>
      </c>
      <c r="H4158">
        <v>0.62303898514326805</v>
      </c>
      <c r="I4158">
        <v>0.42513506698679399</v>
      </c>
      <c r="J4158">
        <v>0.33090201590777502</v>
      </c>
      <c r="K4158">
        <v>0.157750430693988</v>
      </c>
      <c r="L4158">
        <v>642.78035848853801</v>
      </c>
      <c r="M4158">
        <v>10.874795331961201</v>
      </c>
      <c r="N4158">
        <v>59.107352296895002</v>
      </c>
      <c r="O4158">
        <v>57.213971119406402</v>
      </c>
      <c r="P4158">
        <v>-4.75348290039821E-2</v>
      </c>
      <c r="Q4158">
        <v>0</v>
      </c>
      <c r="R4158">
        <v>0.98885867557196605</v>
      </c>
      <c r="S4158" t="s">
        <v>9741</v>
      </c>
      <c r="T4158" t="s">
        <v>11164</v>
      </c>
      <c r="U4158" t="s">
        <v>11164</v>
      </c>
      <c r="V4158" t="s">
        <v>11164</v>
      </c>
      <c r="W4158" t="s">
        <v>15278</v>
      </c>
      <c r="X4158">
        <v>13</v>
      </c>
      <c r="Y4158" t="s">
        <v>20751</v>
      </c>
      <c r="Z4158" t="s">
        <v>26308</v>
      </c>
      <c r="AA4158">
        <v>0.72321053807637592</v>
      </c>
      <c r="AB4158" t="str">
        <f>HYPERLINK("Melting_Curves/meltCurve_Q92890_UFD1L.pdf", "Melting_Curves/meltCurve_Q92890_UFD1L.pdf")</f>
        <v>Melting_Curves/meltCurve_Q92890_UFD1L.pdf</v>
      </c>
    </row>
    <row r="4159" spans="1:28" x14ac:dyDescent="0.25">
      <c r="A4159" t="s">
        <v>4163</v>
      </c>
      <c r="B4159">
        <v>0.99796759195183404</v>
      </c>
      <c r="C4159">
        <v>0.97592039715038303</v>
      </c>
      <c r="D4159">
        <v>0.97036964116952096</v>
      </c>
      <c r="E4159">
        <v>0.937915136818118</v>
      </c>
      <c r="F4159">
        <v>0.93932599518871496</v>
      </c>
      <c r="G4159">
        <v>1.1086692209064799</v>
      </c>
      <c r="H4159">
        <v>1.0180842577429401</v>
      </c>
      <c r="I4159">
        <v>0.84478545283426199</v>
      </c>
      <c r="J4159">
        <v>0.56488525685019297</v>
      </c>
      <c r="K4159">
        <v>0.361487342106114</v>
      </c>
      <c r="L4159">
        <v>2390.5368456794499</v>
      </c>
      <c r="M4159">
        <v>37.787522450737001</v>
      </c>
      <c r="N4159">
        <v>64.725982977751798</v>
      </c>
      <c r="O4159">
        <v>63.086207404154401</v>
      </c>
      <c r="P4159">
        <v>-0.10673638701779301</v>
      </c>
      <c r="Q4159">
        <v>0.28721701213756301</v>
      </c>
      <c r="R4159">
        <v>0.95326408516415195</v>
      </c>
      <c r="S4159" t="s">
        <v>9742</v>
      </c>
      <c r="T4159" t="s">
        <v>11164</v>
      </c>
      <c r="U4159" t="s">
        <v>11164</v>
      </c>
      <c r="V4159" t="s">
        <v>11164</v>
      </c>
      <c r="W4159" t="s">
        <v>15279</v>
      </c>
      <c r="X4159">
        <v>18</v>
      </c>
      <c r="Y4159" t="s">
        <v>20752</v>
      </c>
      <c r="Z4159" t="s">
        <v>26309</v>
      </c>
      <c r="AA4159">
        <v>0.90925938018415497</v>
      </c>
      <c r="AB4159" t="str">
        <f>HYPERLINK("Melting_Curves/meltCurve_Q92896_GLG1.pdf", "Melting_Curves/meltCurve_Q92896_GLG1.pdf")</f>
        <v>Melting_Curves/meltCurve_Q92896_GLG1.pdf</v>
      </c>
    </row>
    <row r="4160" spans="1:28" x14ac:dyDescent="0.25">
      <c r="A4160" t="s">
        <v>4164</v>
      </c>
      <c r="B4160">
        <v>0.99796759195183404</v>
      </c>
      <c r="C4160">
        <v>0.96636487477891597</v>
      </c>
      <c r="D4160">
        <v>0.96771185680650196</v>
      </c>
      <c r="E4160">
        <v>0.89881463253454597</v>
      </c>
      <c r="F4160">
        <v>0.72238169598923696</v>
      </c>
      <c r="G4160">
        <v>0.58103322298218396</v>
      </c>
      <c r="H4160">
        <v>0.37935444119738798</v>
      </c>
      <c r="I4160">
        <v>0.269073839699142</v>
      </c>
      <c r="J4160">
        <v>0.236949532929913</v>
      </c>
      <c r="K4160">
        <v>0.16160837318077101</v>
      </c>
      <c r="L4160">
        <v>654.21349158710905</v>
      </c>
      <c r="M4160">
        <v>12.107445830367</v>
      </c>
      <c r="N4160">
        <v>54.993558653509098</v>
      </c>
      <c r="O4160">
        <v>52.623285320389101</v>
      </c>
      <c r="P4160">
        <v>-5.2054615767378402E-2</v>
      </c>
      <c r="Q4160">
        <v>9.5218877208506802E-2</v>
      </c>
      <c r="R4160">
        <v>0.99745430336385799</v>
      </c>
      <c r="S4160" t="s">
        <v>9743</v>
      </c>
      <c r="T4160" t="s">
        <v>11164</v>
      </c>
      <c r="U4160" t="s">
        <v>11164</v>
      </c>
      <c r="V4160" t="s">
        <v>11164</v>
      </c>
      <c r="W4160" t="s">
        <v>15280</v>
      </c>
      <c r="X4160">
        <v>32</v>
      </c>
      <c r="Y4160" t="s">
        <v>20753</v>
      </c>
      <c r="Z4160" t="s">
        <v>26310</v>
      </c>
      <c r="AA4160">
        <v>0.62503377167748364</v>
      </c>
      <c r="AB4160" t="str">
        <f>HYPERLINK("Melting_Curves/meltCurve_Q92900_2_UPF1.pdf", "Melting_Curves/meltCurve_Q92900_2_UPF1.pdf")</f>
        <v>Melting_Curves/meltCurve_Q92900_2_UPF1.pdf</v>
      </c>
    </row>
    <row r="4161" spans="1:28" x14ac:dyDescent="0.25">
      <c r="A4161" t="s">
        <v>4165</v>
      </c>
      <c r="B4161">
        <v>0.99796759195183404</v>
      </c>
      <c r="C4161">
        <v>1.09757400011005</v>
      </c>
      <c r="D4161">
        <v>0.83329805360652898</v>
      </c>
      <c r="E4161">
        <v>0.84293708832995196</v>
      </c>
      <c r="F4161">
        <v>0.83490717783081503</v>
      </c>
      <c r="G4161">
        <v>1.4152874641234501</v>
      </c>
      <c r="H4161">
        <v>1.38537770169111</v>
      </c>
      <c r="I4161">
        <v>0.64480124603786504</v>
      </c>
      <c r="J4161">
        <v>0.214368993588887</v>
      </c>
      <c r="K4161">
        <v>0.21480434985420599</v>
      </c>
      <c r="L4161">
        <v>15000</v>
      </c>
      <c r="M4161">
        <v>245.71002383398701</v>
      </c>
      <c r="N4161">
        <v>61.187186467216897</v>
      </c>
      <c r="O4161">
        <v>61.043526273668</v>
      </c>
      <c r="P4161">
        <v>-0.790357088498574</v>
      </c>
      <c r="Q4161">
        <v>0.214583387825692</v>
      </c>
      <c r="R4161">
        <v>0.73353691671274801</v>
      </c>
      <c r="S4161" t="s">
        <v>9744</v>
      </c>
      <c r="T4161" t="s">
        <v>11164</v>
      </c>
      <c r="U4161" t="s">
        <v>11164</v>
      </c>
      <c r="V4161" t="s">
        <v>11164</v>
      </c>
      <c r="W4161" t="s">
        <v>15281</v>
      </c>
      <c r="X4161">
        <v>1</v>
      </c>
      <c r="Y4161" t="s">
        <v>20754</v>
      </c>
      <c r="Z4161" t="s">
        <v>26311</v>
      </c>
      <c r="AA4161">
        <v>0.84424921160325417</v>
      </c>
      <c r="AB4161" t="str">
        <f>HYPERLINK("Melting_Curves/meltCurve_Q92905_COPS5.pdf", "Melting_Curves/meltCurve_Q92905_COPS5.pdf")</f>
        <v>Melting_Curves/meltCurve_Q92905_COPS5.pdf</v>
      </c>
    </row>
    <row r="4162" spans="1:28" x14ac:dyDescent="0.25">
      <c r="A4162" t="s">
        <v>4166</v>
      </c>
      <c r="B4162">
        <v>0.99796759195183404</v>
      </c>
      <c r="C4162">
        <v>1.04218456037073</v>
      </c>
      <c r="D4162">
        <v>1.0323535723613899</v>
      </c>
      <c r="E4162">
        <v>0.91890808008048597</v>
      </c>
      <c r="F4162">
        <v>0.75518826205963896</v>
      </c>
      <c r="G4162">
        <v>0.31184573802308901</v>
      </c>
      <c r="H4162">
        <v>0.23244380045101201</v>
      </c>
      <c r="I4162">
        <v>0.17059382606533699</v>
      </c>
      <c r="J4162">
        <v>0.129760593721504</v>
      </c>
      <c r="K4162">
        <v>8.4132946298124595E-2</v>
      </c>
      <c r="L4162">
        <v>1384.4958554336799</v>
      </c>
      <c r="M4162">
        <v>26.7956930304093</v>
      </c>
      <c r="N4162">
        <v>52.247197101228998</v>
      </c>
      <c r="O4162">
        <v>51.383397884141601</v>
      </c>
      <c r="P4162">
        <v>-0.113635088992107</v>
      </c>
      <c r="Q4162">
        <v>0.12838271189025799</v>
      </c>
      <c r="R4162">
        <v>0.99216536591706594</v>
      </c>
      <c r="S4162" t="s">
        <v>9745</v>
      </c>
      <c r="T4162" t="s">
        <v>11164</v>
      </c>
      <c r="U4162" t="s">
        <v>11164</v>
      </c>
      <c r="V4162" t="s">
        <v>11164</v>
      </c>
      <c r="W4162" t="s">
        <v>15282</v>
      </c>
      <c r="X4162">
        <v>19</v>
      </c>
      <c r="Y4162" t="s">
        <v>20755</v>
      </c>
      <c r="Z4162" t="s">
        <v>26312</v>
      </c>
      <c r="AA4162">
        <v>0.56135245687055335</v>
      </c>
      <c r="AB4162" t="str">
        <f>HYPERLINK("Melting_Curves/meltCurve_Q92917_GPKOW.pdf", "Melting_Curves/meltCurve_Q92917_GPKOW.pdf")</f>
        <v>Melting_Curves/meltCurve_Q92917_GPKOW.pdf</v>
      </c>
    </row>
    <row r="4163" spans="1:28" x14ac:dyDescent="0.25">
      <c r="A4163" t="s">
        <v>4167</v>
      </c>
      <c r="B4163">
        <v>0.99796759195183404</v>
      </c>
      <c r="C4163">
        <v>0.84254494451128104</v>
      </c>
      <c r="D4163">
        <v>0.92724437957922501</v>
      </c>
      <c r="E4163">
        <v>1.11697642229175</v>
      </c>
      <c r="F4163">
        <v>1.12937930810256</v>
      </c>
      <c r="G4163">
        <v>0.50376858685736903</v>
      </c>
      <c r="H4163">
        <v>0.27101165706510799</v>
      </c>
      <c r="I4163">
        <v>0.19264493921300799</v>
      </c>
      <c r="J4163">
        <v>0.155047494928373</v>
      </c>
      <c r="K4163">
        <v>0.10033489853189601</v>
      </c>
      <c r="L4163">
        <v>7988.25711865843</v>
      </c>
      <c r="M4163">
        <v>148.906614466646</v>
      </c>
      <c r="N4163">
        <v>53.807059374946299</v>
      </c>
      <c r="O4163">
        <v>53.6364119136216</v>
      </c>
      <c r="P4163">
        <v>-0.56930530976843796</v>
      </c>
      <c r="Q4163">
        <v>0.17974110734920201</v>
      </c>
      <c r="R4163">
        <v>0.952467036627066</v>
      </c>
      <c r="S4163" t="s">
        <v>9746</v>
      </c>
      <c r="T4163" t="s">
        <v>11164</v>
      </c>
      <c r="U4163" t="s">
        <v>11164</v>
      </c>
      <c r="V4163" t="s">
        <v>11164</v>
      </c>
      <c r="W4163" t="s">
        <v>15283</v>
      </c>
      <c r="X4163">
        <v>4</v>
      </c>
      <c r="Y4163" t="s">
        <v>20756</v>
      </c>
      <c r="Z4163" t="s">
        <v>26313</v>
      </c>
      <c r="AA4163">
        <v>0.63509555528599537</v>
      </c>
      <c r="AB4163" t="str">
        <f>HYPERLINK("Melting_Curves/meltCurve_Q92922_SMARCC1.pdf", "Melting_Curves/meltCurve_Q92922_SMARCC1.pdf")</f>
        <v>Melting_Curves/meltCurve_Q92922_SMARCC1.pdf</v>
      </c>
    </row>
    <row r="4164" spans="1:28" x14ac:dyDescent="0.25">
      <c r="A4164" t="s">
        <v>4168</v>
      </c>
      <c r="B4164">
        <v>0.99796759195183404</v>
      </c>
      <c r="C4164">
        <v>0.96174688454422497</v>
      </c>
      <c r="D4164">
        <v>0.94361308121107201</v>
      </c>
      <c r="E4164">
        <v>0.925123674067452</v>
      </c>
      <c r="F4164">
        <v>0.82833076553696405</v>
      </c>
      <c r="G4164">
        <v>0.67080252545613805</v>
      </c>
      <c r="H4164">
        <v>0.71439878687146696</v>
      </c>
      <c r="I4164">
        <v>0.545974614410907</v>
      </c>
      <c r="J4164">
        <v>0.56921523293891296</v>
      </c>
      <c r="K4164">
        <v>0.357113340224262</v>
      </c>
      <c r="L4164">
        <v>379.20050921792</v>
      </c>
      <c r="M4164">
        <v>5.9620612491541998</v>
      </c>
      <c r="N4164">
        <v>63.602249847308101</v>
      </c>
      <c r="O4164">
        <v>57.551465122299398</v>
      </c>
      <c r="P4164">
        <v>-2.5984605428962599E-2</v>
      </c>
      <c r="Q4164">
        <v>0</v>
      </c>
      <c r="R4164">
        <v>0.94777666413404005</v>
      </c>
      <c r="S4164" t="s">
        <v>9747</v>
      </c>
      <c r="T4164" t="s">
        <v>11164</v>
      </c>
      <c r="U4164" t="s">
        <v>11164</v>
      </c>
      <c r="V4164" t="s">
        <v>11164</v>
      </c>
      <c r="W4164" t="s">
        <v>15284</v>
      </c>
      <c r="X4164">
        <v>9</v>
      </c>
      <c r="Y4164" t="s">
        <v>20757</v>
      </c>
      <c r="Z4164" t="s">
        <v>26314</v>
      </c>
      <c r="AA4164">
        <v>0.75919825694771303</v>
      </c>
      <c r="AB4164" t="str">
        <f>HYPERLINK("Melting_Curves/meltCurve_Q92930_RAB8B.pdf", "Melting_Curves/meltCurve_Q92930_RAB8B.pdf")</f>
        <v>Melting_Curves/meltCurve_Q92930_RAB8B.pdf</v>
      </c>
    </row>
    <row r="4165" spans="1:28" x14ac:dyDescent="0.25">
      <c r="A4165" t="s">
        <v>4169</v>
      </c>
      <c r="B4165">
        <v>0.99796759195183404</v>
      </c>
      <c r="C4165">
        <v>0.92854208694260298</v>
      </c>
      <c r="D4165">
        <v>1.1195524058416499</v>
      </c>
      <c r="E4165">
        <v>0.98065482819957905</v>
      </c>
      <c r="F4165">
        <v>0.95574676818748805</v>
      </c>
      <c r="G4165">
        <v>0.50498783089558696</v>
      </c>
      <c r="H4165">
        <v>0.66977535010978595</v>
      </c>
      <c r="I4165">
        <v>0.72275910328992299</v>
      </c>
      <c r="J4165">
        <v>0.97181914155083904</v>
      </c>
      <c r="K4165">
        <v>0.81777679943649095</v>
      </c>
      <c r="L4165">
        <v>12630.121087153</v>
      </c>
      <c r="M4165">
        <v>250</v>
      </c>
      <c r="O4165">
        <v>50.517251328641798</v>
      </c>
      <c r="P4165">
        <v>-0.324859747645043</v>
      </c>
      <c r="Q4165">
        <v>0.73742365578522195</v>
      </c>
      <c r="R4165">
        <v>0.54794560605370202</v>
      </c>
      <c r="S4165" t="s">
        <v>9748</v>
      </c>
      <c r="T4165" t="s">
        <v>11164</v>
      </c>
      <c r="U4165" t="s">
        <v>11164</v>
      </c>
      <c r="V4165" t="s">
        <v>11164</v>
      </c>
      <c r="W4165" t="s">
        <v>15285</v>
      </c>
      <c r="X4165">
        <v>2</v>
      </c>
      <c r="Y4165" t="s">
        <v>20758</v>
      </c>
      <c r="Z4165" t="s">
        <v>26315</v>
      </c>
      <c r="AA4165">
        <v>0.85578558157906248</v>
      </c>
      <c r="AB4165" t="str">
        <f>HYPERLINK("Melting_Curves/meltCurve_Q92934_BAD.pdf", "Melting_Curves/meltCurve_Q92934_BAD.pdf")</f>
        <v>Melting_Curves/meltCurve_Q92934_BAD.pdf</v>
      </c>
    </row>
    <row r="4166" spans="1:28" x14ac:dyDescent="0.25">
      <c r="A4166" t="s">
        <v>4170</v>
      </c>
      <c r="B4166">
        <v>0.99796759195183404</v>
      </c>
      <c r="C4166">
        <v>0.98455129739676805</v>
      </c>
      <c r="D4166">
        <v>0.96738763031419495</v>
      </c>
      <c r="E4166">
        <v>0.95004050805619999</v>
      </c>
      <c r="F4166">
        <v>0.81831384772565297</v>
      </c>
      <c r="G4166">
        <v>0.61320509392177802</v>
      </c>
      <c r="H4166">
        <v>0.65353434651519804</v>
      </c>
      <c r="I4166">
        <v>0.53442602774974801</v>
      </c>
      <c r="J4166">
        <v>0.62704084073252397</v>
      </c>
      <c r="K4166">
        <v>0.56035856900412795</v>
      </c>
      <c r="L4166">
        <v>1370.8820241585499</v>
      </c>
      <c r="M4166">
        <v>27.197928868296199</v>
      </c>
      <c r="O4166">
        <v>50.1338077303501</v>
      </c>
      <c r="P4166">
        <v>-5.6568905500254001E-2</v>
      </c>
      <c r="Q4166">
        <v>0.58291142999969303</v>
      </c>
      <c r="R4166">
        <v>0.96751989516495696</v>
      </c>
      <c r="S4166" t="s">
        <v>9749</v>
      </c>
      <c r="T4166" t="s">
        <v>11164</v>
      </c>
      <c r="U4166" t="s">
        <v>11164</v>
      </c>
      <c r="V4166" t="s">
        <v>11164</v>
      </c>
      <c r="W4166" t="s">
        <v>15286</v>
      </c>
      <c r="X4166">
        <v>62</v>
      </c>
      <c r="Y4166" t="s">
        <v>20759</v>
      </c>
      <c r="Z4166" t="s">
        <v>26316</v>
      </c>
      <c r="AA4166">
        <v>0.77238331914844105</v>
      </c>
      <c r="AB4166" t="str">
        <f>HYPERLINK("Melting_Curves/meltCurve_Q92945_KHSRP.pdf", "Melting_Curves/meltCurve_Q92945_KHSRP.pdf")</f>
        <v>Melting_Curves/meltCurve_Q92945_KHSRP.pdf</v>
      </c>
    </row>
    <row r="4167" spans="1:28" x14ac:dyDescent="0.25">
      <c r="A4167" t="s">
        <v>4171</v>
      </c>
      <c r="B4167">
        <v>0.99796759195183404</v>
      </c>
      <c r="C4167">
        <v>1.03895166630836</v>
      </c>
      <c r="D4167">
        <v>1.0197550339955701</v>
      </c>
      <c r="E4167">
        <v>0.94722482413607401</v>
      </c>
      <c r="F4167">
        <v>0.84133810324940095</v>
      </c>
      <c r="G4167">
        <v>0.82584629184576697</v>
      </c>
      <c r="H4167">
        <v>0.55162516840849096</v>
      </c>
      <c r="I4167">
        <v>0.269167509341667</v>
      </c>
      <c r="J4167">
        <v>0.175968449900721</v>
      </c>
      <c r="K4167">
        <v>0.110777164229983</v>
      </c>
      <c r="L4167">
        <v>931.46549397542299</v>
      </c>
      <c r="M4167">
        <v>16.085697816451798</v>
      </c>
      <c r="N4167">
        <v>57.906440021911003</v>
      </c>
      <c r="O4167">
        <v>57.033647193288502</v>
      </c>
      <c r="P4167">
        <v>-7.0515074814307493E-2</v>
      </c>
      <c r="Q4167">
        <v>0</v>
      </c>
      <c r="R4167">
        <v>0.98840803846030001</v>
      </c>
      <c r="S4167" t="s">
        <v>9750</v>
      </c>
      <c r="T4167" t="s">
        <v>11164</v>
      </c>
      <c r="U4167" t="s">
        <v>11164</v>
      </c>
      <c r="V4167" t="s">
        <v>11164</v>
      </c>
      <c r="W4167" t="s">
        <v>15287</v>
      </c>
      <c r="X4167">
        <v>9</v>
      </c>
      <c r="Y4167" t="s">
        <v>20760</v>
      </c>
      <c r="Z4167" t="s">
        <v>26317</v>
      </c>
      <c r="AA4167">
        <v>0.70243670092657284</v>
      </c>
      <c r="AB4167" t="str">
        <f>HYPERLINK("Melting_Curves/meltCurve_Q92947_GCDH.pdf", "Melting_Curves/meltCurve_Q92947_GCDH.pdf")</f>
        <v>Melting_Curves/meltCurve_Q92947_GCDH.pdf</v>
      </c>
    </row>
    <row r="4168" spans="1:28" x14ac:dyDescent="0.25">
      <c r="A4168" t="s">
        <v>4172</v>
      </c>
      <c r="B4168">
        <v>0.99796759195183404</v>
      </c>
      <c r="C4168">
        <v>1.00255318735219</v>
      </c>
      <c r="D4168">
        <v>0.92059652416297999</v>
      </c>
      <c r="E4168">
        <v>0.97624172642583795</v>
      </c>
      <c r="F4168">
        <v>0.78558860998352797</v>
      </c>
      <c r="G4168">
        <v>0.61201099714878704</v>
      </c>
      <c r="H4168">
        <v>0.56730300769480402</v>
      </c>
      <c r="I4168">
        <v>0.34647587153147402</v>
      </c>
      <c r="J4168">
        <v>0.41448378331108598</v>
      </c>
      <c r="K4168">
        <v>0.41297803055176102</v>
      </c>
      <c r="L4168">
        <v>851.29868905008595</v>
      </c>
      <c r="M4168">
        <v>16.177344472709098</v>
      </c>
      <c r="N4168">
        <v>57.390526591421398</v>
      </c>
      <c r="O4168">
        <v>51.838496178757303</v>
      </c>
      <c r="P4168">
        <v>-4.9187207053029501E-2</v>
      </c>
      <c r="Q4168">
        <v>0.36958767408400001</v>
      </c>
      <c r="R4168">
        <v>0.96944866465659996</v>
      </c>
      <c r="S4168" t="s">
        <v>9751</v>
      </c>
      <c r="T4168" t="s">
        <v>11164</v>
      </c>
      <c r="U4168" t="s">
        <v>11164</v>
      </c>
      <c r="V4168" t="s">
        <v>11164</v>
      </c>
      <c r="W4168" t="s">
        <v>15288</v>
      </c>
      <c r="X4168">
        <v>1</v>
      </c>
      <c r="Y4168" t="s">
        <v>20761</v>
      </c>
      <c r="Z4168" t="s">
        <v>26318</v>
      </c>
      <c r="AA4168">
        <v>0.70853928153998225</v>
      </c>
      <c r="AB4168" t="str">
        <f>HYPERLINK("Melting_Curves/meltCurve_Q92968_PEX13.pdf", "Melting_Curves/meltCurve_Q92968_PEX13.pdf")</f>
        <v>Melting_Curves/meltCurve_Q92968_PEX13.pdf</v>
      </c>
    </row>
    <row r="4169" spans="1:28" x14ac:dyDescent="0.25">
      <c r="A4169" t="s">
        <v>4173</v>
      </c>
      <c r="B4169">
        <v>0.99796759195183404</v>
      </c>
      <c r="C4169">
        <v>0.96675483839325804</v>
      </c>
      <c r="D4169">
        <v>0.94716464919770005</v>
      </c>
      <c r="E4169">
        <v>0.87884099989450504</v>
      </c>
      <c r="F4169">
        <v>0.80049924211442702</v>
      </c>
      <c r="G4169">
        <v>0.44079220077939202</v>
      </c>
      <c r="H4169">
        <v>0.213282588538523</v>
      </c>
      <c r="I4169">
        <v>0.22078702963588201</v>
      </c>
      <c r="J4169">
        <v>0.133388843983926</v>
      </c>
      <c r="K4169">
        <v>6.7830820892927995E-2</v>
      </c>
      <c r="L4169">
        <v>981.82306724630905</v>
      </c>
      <c r="M4169">
        <v>18.613029460728001</v>
      </c>
      <c r="N4169">
        <v>53.3063685744279</v>
      </c>
      <c r="O4169">
        <v>52.151666333471297</v>
      </c>
      <c r="P4169">
        <v>-8.1342348992784599E-2</v>
      </c>
      <c r="Q4169">
        <v>8.8390065790729194E-2</v>
      </c>
      <c r="R4169">
        <v>0.98817851528801803</v>
      </c>
      <c r="S4169" t="s">
        <v>9752</v>
      </c>
      <c r="T4169" t="s">
        <v>11164</v>
      </c>
      <c r="U4169" t="s">
        <v>11164</v>
      </c>
      <c r="V4169" t="s">
        <v>11164</v>
      </c>
      <c r="W4169" t="s">
        <v>15289</v>
      </c>
      <c r="X4169">
        <v>19</v>
      </c>
      <c r="Y4169" t="s">
        <v>20762</v>
      </c>
      <c r="Z4169" t="s">
        <v>26319</v>
      </c>
      <c r="AA4169">
        <v>0.57977864583705874</v>
      </c>
      <c r="AB4169" t="str">
        <f>HYPERLINK("Melting_Curves/meltCurve_Q92973_2_TNPO1.pdf", "Melting_Curves/meltCurve_Q92973_2_TNPO1.pdf")</f>
        <v>Melting_Curves/meltCurve_Q92973_2_TNPO1.pdf</v>
      </c>
    </row>
    <row r="4170" spans="1:28" x14ac:dyDescent="0.25">
      <c r="A4170" t="s">
        <v>4174</v>
      </c>
      <c r="B4170">
        <v>0.99796759195183404</v>
      </c>
      <c r="C4170">
        <v>0.97684369323319298</v>
      </c>
      <c r="D4170">
        <v>0.95898460306136701</v>
      </c>
      <c r="E4170">
        <v>0.96383803386486699</v>
      </c>
      <c r="F4170">
        <v>0.818665828584483</v>
      </c>
      <c r="G4170">
        <v>0.69912530338644396</v>
      </c>
      <c r="H4170">
        <v>0.61637424662162299</v>
      </c>
      <c r="I4170">
        <v>0.40188567308435302</v>
      </c>
      <c r="J4170">
        <v>0.267866863749114</v>
      </c>
      <c r="K4170">
        <v>0.17512474967127101</v>
      </c>
      <c r="L4170">
        <v>632.49337045510902</v>
      </c>
      <c r="M4170">
        <v>10.7967764147479</v>
      </c>
      <c r="N4170">
        <v>58.581686473300998</v>
      </c>
      <c r="O4170">
        <v>56.679401599035202</v>
      </c>
      <c r="P4170">
        <v>-4.7639400788764198E-2</v>
      </c>
      <c r="Q4170">
        <v>0</v>
      </c>
      <c r="R4170">
        <v>0.99049918322616604</v>
      </c>
      <c r="S4170" t="s">
        <v>9753</v>
      </c>
      <c r="T4170" t="s">
        <v>11164</v>
      </c>
      <c r="U4170" t="s">
        <v>11164</v>
      </c>
      <c r="V4170" t="s">
        <v>11164</v>
      </c>
      <c r="W4170" t="s">
        <v>15290</v>
      </c>
      <c r="X4170">
        <v>5</v>
      </c>
      <c r="Y4170" t="s">
        <v>20763</v>
      </c>
      <c r="Z4170" t="s">
        <v>26320</v>
      </c>
      <c r="AA4170">
        <v>0.70967177356473343</v>
      </c>
      <c r="AB4170" t="str">
        <f>HYPERLINK("Melting_Curves/meltCurve_Q92979_EMG1.pdf", "Melting_Curves/meltCurve_Q92979_EMG1.pdf")</f>
        <v>Melting_Curves/meltCurve_Q92979_EMG1.pdf</v>
      </c>
    </row>
    <row r="4171" spans="1:28" x14ac:dyDescent="0.25">
      <c r="A4171" t="s">
        <v>4175</v>
      </c>
      <c r="B4171">
        <v>0.99796759195183404</v>
      </c>
      <c r="C4171">
        <v>1.01000493657408</v>
      </c>
      <c r="D4171">
        <v>1.0346705020415401</v>
      </c>
      <c r="E4171">
        <v>0.98801640033086502</v>
      </c>
      <c r="F4171">
        <v>0.88157158668018099</v>
      </c>
      <c r="G4171">
        <v>0.55890003095068896</v>
      </c>
      <c r="H4171">
        <v>0.28344057112843901</v>
      </c>
      <c r="I4171">
        <v>0.177262702237204</v>
      </c>
      <c r="J4171">
        <v>0.132153068363286</v>
      </c>
      <c r="K4171">
        <v>9.9729933564211601E-2</v>
      </c>
      <c r="L4171">
        <v>1296.07774530548</v>
      </c>
      <c r="M4171">
        <v>24.0234155646612</v>
      </c>
      <c r="N4171">
        <v>54.510506573267101</v>
      </c>
      <c r="O4171">
        <v>53.580938424940904</v>
      </c>
      <c r="P4171">
        <v>-9.9835717230916596E-2</v>
      </c>
      <c r="Q4171">
        <v>0.109334450109471</v>
      </c>
      <c r="R4171">
        <v>0.99846712929561199</v>
      </c>
      <c r="S4171" t="s">
        <v>9754</v>
      </c>
      <c r="T4171" t="s">
        <v>11164</v>
      </c>
      <c r="U4171" t="s">
        <v>11164</v>
      </c>
      <c r="V4171" t="s">
        <v>11164</v>
      </c>
      <c r="W4171" t="s">
        <v>15291</v>
      </c>
      <c r="X4171">
        <v>12</v>
      </c>
      <c r="Y4171" t="s">
        <v>20764</v>
      </c>
      <c r="Z4171" t="s">
        <v>26321</v>
      </c>
      <c r="AA4171">
        <v>0.62087234785088485</v>
      </c>
      <c r="AB4171" t="str">
        <f>HYPERLINK("Melting_Curves/meltCurve_Q92990_GLMN.pdf", "Melting_Curves/meltCurve_Q92990_GLMN.pdf")</f>
        <v>Melting_Curves/meltCurve_Q92990_GLMN.pdf</v>
      </c>
    </row>
    <row r="4172" spans="1:28" x14ac:dyDescent="0.25">
      <c r="A4172" t="s">
        <v>4176</v>
      </c>
      <c r="B4172">
        <v>0.99796759195183404</v>
      </c>
      <c r="C4172">
        <v>0.88492567493364105</v>
      </c>
      <c r="D4172">
        <v>0.94271968921854898</v>
      </c>
      <c r="E4172">
        <v>0.80724243947764096</v>
      </c>
      <c r="F4172">
        <v>0.82729619924791198</v>
      </c>
      <c r="G4172">
        <v>0.416455172426697</v>
      </c>
      <c r="H4172">
        <v>0.26734690446586701</v>
      </c>
      <c r="I4172">
        <v>0.22379559285529199</v>
      </c>
      <c r="J4172">
        <v>0.246566249646191</v>
      </c>
      <c r="K4172">
        <v>0.15820637598316201</v>
      </c>
      <c r="L4172">
        <v>899.77665780259201</v>
      </c>
      <c r="M4172">
        <v>17.277752770823401</v>
      </c>
      <c r="N4172">
        <v>53.273423274770998</v>
      </c>
      <c r="O4172">
        <v>51.394579968241899</v>
      </c>
      <c r="P4172">
        <v>-7.0535785165741105E-2</v>
      </c>
      <c r="Q4172">
        <v>0.16078293186005699</v>
      </c>
      <c r="R4172">
        <v>0.95897246333276198</v>
      </c>
      <c r="S4172" t="s">
        <v>9755</v>
      </c>
      <c r="T4172" t="s">
        <v>11164</v>
      </c>
      <c r="U4172" t="s">
        <v>11164</v>
      </c>
      <c r="V4172" t="s">
        <v>11164</v>
      </c>
      <c r="W4172" t="s">
        <v>15292</v>
      </c>
      <c r="X4172">
        <v>5</v>
      </c>
      <c r="Y4172" t="s">
        <v>20765</v>
      </c>
      <c r="Z4172" t="s">
        <v>26322</v>
      </c>
      <c r="AA4172">
        <v>0.59594810777626583</v>
      </c>
      <c r="AB4172" t="str">
        <f>HYPERLINK("Melting_Curves/meltCurve_Q92995_USP13.pdf", "Melting_Curves/meltCurve_Q92995_USP13.pdf")</f>
        <v>Melting_Curves/meltCurve_Q92995_USP13.pdf</v>
      </c>
    </row>
    <row r="4173" spans="1:28" x14ac:dyDescent="0.25">
      <c r="A4173" t="s">
        <v>4177</v>
      </c>
      <c r="B4173">
        <v>0.99796759195183404</v>
      </c>
      <c r="C4173">
        <v>0.99505333645687299</v>
      </c>
      <c r="D4173">
        <v>0.91576878242012405</v>
      </c>
      <c r="E4173">
        <v>0.83171688608918704</v>
      </c>
      <c r="F4173">
        <v>0.77493925812928499</v>
      </c>
      <c r="G4173">
        <v>1.1353578299545199</v>
      </c>
      <c r="H4173">
        <v>0.39336784753968101</v>
      </c>
      <c r="I4173">
        <v>0.28980504223964498</v>
      </c>
      <c r="J4173">
        <v>0.200506713824153</v>
      </c>
      <c r="K4173">
        <v>0.13626858579067899</v>
      </c>
      <c r="L4173">
        <v>14281.6808392395</v>
      </c>
      <c r="M4173">
        <v>250</v>
      </c>
      <c r="N4173">
        <v>57.250559436984702</v>
      </c>
      <c r="O4173">
        <v>57.123089733054002</v>
      </c>
      <c r="P4173">
        <v>-0.86560911492103698</v>
      </c>
      <c r="Q4173">
        <v>0.20886003093422101</v>
      </c>
      <c r="R4173">
        <v>0.90722274587431895</v>
      </c>
      <c r="S4173" t="s">
        <v>9756</v>
      </c>
      <c r="T4173" t="s">
        <v>11164</v>
      </c>
      <c r="U4173" t="s">
        <v>11164</v>
      </c>
      <c r="V4173" t="s">
        <v>11164</v>
      </c>
      <c r="W4173" t="s">
        <v>15293</v>
      </c>
      <c r="X4173">
        <v>7</v>
      </c>
      <c r="Y4173" t="s">
        <v>20766</v>
      </c>
      <c r="Z4173" t="s">
        <v>26323</v>
      </c>
      <c r="AA4173">
        <v>0.73970785766740133</v>
      </c>
      <c r="AB4173" t="str">
        <f>HYPERLINK("Melting_Curves/meltCurve_Q93008_1_USP9X.pdf", "Melting_Curves/meltCurve_Q93008_1_USP9X.pdf")</f>
        <v>Melting_Curves/meltCurve_Q93008_1_USP9X.pdf</v>
      </c>
    </row>
    <row r="4174" spans="1:28" x14ac:dyDescent="0.25">
      <c r="A4174" t="s">
        <v>4178</v>
      </c>
      <c r="B4174">
        <v>0.99796759195183404</v>
      </c>
      <c r="C4174">
        <v>0.97920302627506794</v>
      </c>
      <c r="D4174">
        <v>0.95511781422075803</v>
      </c>
      <c r="E4174">
        <v>0.94326400458181403</v>
      </c>
      <c r="F4174">
        <v>0.91135919066981597</v>
      </c>
      <c r="G4174">
        <v>1.11095720536341</v>
      </c>
      <c r="H4174">
        <v>0.96777165614076799</v>
      </c>
      <c r="I4174">
        <v>0.87671483932156302</v>
      </c>
      <c r="J4174">
        <v>0.194007592274406</v>
      </c>
      <c r="K4174">
        <v>0.17928158924416901</v>
      </c>
      <c r="L4174">
        <v>7181.8553980126599</v>
      </c>
      <c r="M4174">
        <v>116.00251248303699</v>
      </c>
      <c r="N4174">
        <v>62.148497502084403</v>
      </c>
      <c r="O4174">
        <v>61.892822111932801</v>
      </c>
      <c r="P4174">
        <v>-0.384728362690198</v>
      </c>
      <c r="Q4174">
        <v>0.178917118226495</v>
      </c>
      <c r="R4174">
        <v>0.97339959320032898</v>
      </c>
      <c r="S4174" t="s">
        <v>9757</v>
      </c>
      <c r="T4174" t="s">
        <v>11164</v>
      </c>
      <c r="U4174" t="s">
        <v>11164</v>
      </c>
      <c r="V4174" t="s">
        <v>11164</v>
      </c>
      <c r="W4174" t="s">
        <v>15294</v>
      </c>
      <c r="X4174">
        <v>19</v>
      </c>
      <c r="Y4174" t="s">
        <v>20767</v>
      </c>
      <c r="Z4174" t="s">
        <v>26324</v>
      </c>
      <c r="AA4174">
        <v>0.86113469208445226</v>
      </c>
      <c r="AB4174" t="str">
        <f>HYPERLINK("Melting_Curves/meltCurve_Q93034_CUL5.pdf", "Melting_Curves/meltCurve_Q93034_CUL5.pdf")</f>
        <v>Melting_Curves/meltCurve_Q93034_CUL5.pdf</v>
      </c>
    </row>
    <row r="4175" spans="1:28" x14ac:dyDescent="0.25">
      <c r="A4175" t="s">
        <v>4179</v>
      </c>
      <c r="B4175">
        <v>0.99796759195183404</v>
      </c>
      <c r="C4175">
        <v>1.0245491657829899</v>
      </c>
      <c r="D4175">
        <v>1.03256283961277</v>
      </c>
      <c r="E4175">
        <v>0.99786975019492197</v>
      </c>
      <c r="F4175">
        <v>0.85676794506501697</v>
      </c>
      <c r="G4175">
        <v>0.63812188246479196</v>
      </c>
      <c r="H4175">
        <v>0.63778154911018603</v>
      </c>
      <c r="I4175">
        <v>0.54453135891316695</v>
      </c>
      <c r="J4175">
        <v>0.72296712936325702</v>
      </c>
      <c r="K4175">
        <v>0.56285481387173397</v>
      </c>
      <c r="L4175">
        <v>2481.6801005069201</v>
      </c>
      <c r="M4175">
        <v>48.915785587831003</v>
      </c>
      <c r="O4175">
        <v>50.649150062275602</v>
      </c>
      <c r="P4175">
        <v>-9.2592520943989606E-2</v>
      </c>
      <c r="Q4175">
        <v>0.61650595377982398</v>
      </c>
      <c r="R4175">
        <v>0.94130427302379405</v>
      </c>
      <c r="S4175" t="s">
        <v>9758</v>
      </c>
      <c r="T4175" t="s">
        <v>11164</v>
      </c>
      <c r="U4175" t="s">
        <v>11164</v>
      </c>
      <c r="V4175" t="s">
        <v>11164</v>
      </c>
      <c r="W4175" t="s">
        <v>15295</v>
      </c>
      <c r="X4175">
        <v>18</v>
      </c>
      <c r="Y4175" t="s">
        <v>20768</v>
      </c>
      <c r="Z4175" t="s">
        <v>26325</v>
      </c>
      <c r="AA4175">
        <v>0.7929627745493707</v>
      </c>
      <c r="AB4175" t="str">
        <f>HYPERLINK("Melting_Curves/meltCurve_Q93052_LPP.pdf", "Melting_Curves/meltCurve_Q93052_LPP.pdf")</f>
        <v>Melting_Curves/meltCurve_Q93052_LPP.pdf</v>
      </c>
    </row>
    <row r="4176" spans="1:28" x14ac:dyDescent="0.25">
      <c r="A4176" t="s">
        <v>4180</v>
      </c>
      <c r="B4176">
        <v>0.99796759195183404</v>
      </c>
      <c r="C4176">
        <v>0.942302238678279</v>
      </c>
      <c r="D4176">
        <v>1.02298283900078</v>
      </c>
      <c r="E4176">
        <v>0.86740942402260901</v>
      </c>
      <c r="F4176">
        <v>0.76872922729777804</v>
      </c>
      <c r="G4176">
        <v>0.72854076925583799</v>
      </c>
      <c r="H4176">
        <v>0.49458540911104198</v>
      </c>
      <c r="I4176">
        <v>0.49046231645236499</v>
      </c>
      <c r="J4176">
        <v>0.35409727466709101</v>
      </c>
      <c r="K4176">
        <v>0.25481857962830001</v>
      </c>
      <c r="L4176">
        <v>467.71522842968801</v>
      </c>
      <c r="M4176">
        <v>7.9260850915440697</v>
      </c>
      <c r="N4176">
        <v>59.009611721917501</v>
      </c>
      <c r="O4176">
        <v>55.608004066532999</v>
      </c>
      <c r="P4176">
        <v>-3.5675476169139603E-2</v>
      </c>
      <c r="Q4176">
        <v>0</v>
      </c>
      <c r="R4176">
        <v>0.97435092422091596</v>
      </c>
      <c r="S4176" t="s">
        <v>9759</v>
      </c>
      <c r="T4176" t="s">
        <v>11164</v>
      </c>
      <c r="U4176" t="s">
        <v>11164</v>
      </c>
      <c r="V4176" t="s">
        <v>11164</v>
      </c>
      <c r="W4176" t="s">
        <v>15296</v>
      </c>
      <c r="X4176">
        <v>7</v>
      </c>
      <c r="Y4176" t="s">
        <v>20769</v>
      </c>
      <c r="Z4176" t="s">
        <v>26326</v>
      </c>
      <c r="AA4176">
        <v>0.70115259474179548</v>
      </c>
      <c r="AB4176" t="str">
        <f>HYPERLINK("Melting_Curves/meltCurve_Q93077_HIST1H2AC.pdf", "Melting_Curves/meltCurve_Q93077_HIST1H2AC.pdf")</f>
        <v>Melting_Curves/meltCurve_Q93077_HIST1H2AC.pdf</v>
      </c>
    </row>
    <row r="4177" spans="1:28" x14ac:dyDescent="0.25">
      <c r="A4177" t="s">
        <v>4181</v>
      </c>
      <c r="B4177">
        <v>0.99796759195183404</v>
      </c>
      <c r="C4177">
        <v>1.0455048407830501</v>
      </c>
      <c r="D4177">
        <v>1.0213860417676599</v>
      </c>
      <c r="E4177">
        <v>0.92315914220462103</v>
      </c>
      <c r="F4177">
        <v>0.58449427874889404</v>
      </c>
      <c r="G4177">
        <v>0.40645154586746501</v>
      </c>
      <c r="H4177">
        <v>0.285841438608889</v>
      </c>
      <c r="I4177">
        <v>0.220976696964609</v>
      </c>
      <c r="J4177">
        <v>0.25386009013794503</v>
      </c>
      <c r="K4177">
        <v>0.19143131420877299</v>
      </c>
      <c r="L4177">
        <v>1144.86958273204</v>
      </c>
      <c r="M4177">
        <v>22.732694342892302</v>
      </c>
      <c r="N4177">
        <v>51.715399570240997</v>
      </c>
      <c r="O4177">
        <v>49.977384027935997</v>
      </c>
      <c r="P4177">
        <v>-8.8225616047354405E-2</v>
      </c>
      <c r="Q4177">
        <v>0.22416604841608501</v>
      </c>
      <c r="R4177">
        <v>0.99177117284214</v>
      </c>
      <c r="S4177" t="s">
        <v>9760</v>
      </c>
      <c r="T4177" t="s">
        <v>11164</v>
      </c>
      <c r="U4177" t="s">
        <v>11164</v>
      </c>
      <c r="V4177" t="s">
        <v>11164</v>
      </c>
      <c r="W4177" t="s">
        <v>15297</v>
      </c>
      <c r="X4177">
        <v>12</v>
      </c>
      <c r="Y4177" t="s">
        <v>20770</v>
      </c>
      <c r="Z4177" t="s">
        <v>26327</v>
      </c>
      <c r="AA4177">
        <v>0.57785551609662589</v>
      </c>
      <c r="AB4177" t="str">
        <f>HYPERLINK("Melting_Curves/meltCurve_Q93079_HIST1H2BH.pdf", "Melting_Curves/meltCurve_Q93079_HIST1H2BH.pdf")</f>
        <v>Melting_Curves/meltCurve_Q93079_HIST1H2BH.pdf</v>
      </c>
    </row>
    <row r="4178" spans="1:28" x14ac:dyDescent="0.25">
      <c r="A4178" t="s">
        <v>4182</v>
      </c>
      <c r="B4178">
        <v>0.99796759195183404</v>
      </c>
      <c r="C4178">
        <v>0.94779536140533105</v>
      </c>
      <c r="D4178">
        <v>1.0083798968112401</v>
      </c>
      <c r="E4178">
        <v>0.94090635679858403</v>
      </c>
      <c r="F4178">
        <v>0.85192578939244901</v>
      </c>
      <c r="G4178">
        <v>0.53484548136772303</v>
      </c>
      <c r="H4178">
        <v>0.55510129856441004</v>
      </c>
      <c r="I4178">
        <v>0.46137022920176102</v>
      </c>
      <c r="J4178">
        <v>0.64623215509328302</v>
      </c>
      <c r="K4178">
        <v>0.48446359061125499</v>
      </c>
      <c r="L4178">
        <v>3619.2569924951399</v>
      </c>
      <c r="M4178">
        <v>71.345843389444596</v>
      </c>
      <c r="O4178">
        <v>50.688540567189001</v>
      </c>
      <c r="P4178">
        <v>-0.16366327191785299</v>
      </c>
      <c r="Q4178">
        <v>0.53489368450601604</v>
      </c>
      <c r="R4178">
        <v>0.94161788860152595</v>
      </c>
      <c r="S4178" t="s">
        <v>9761</v>
      </c>
      <c r="T4178" t="s">
        <v>11164</v>
      </c>
      <c r="U4178" t="s">
        <v>11164</v>
      </c>
      <c r="V4178" t="s">
        <v>11164</v>
      </c>
      <c r="W4178" t="s">
        <v>15298</v>
      </c>
      <c r="X4178">
        <v>2</v>
      </c>
      <c r="Y4178" t="s">
        <v>20771</v>
      </c>
      <c r="Z4178" t="s">
        <v>26328</v>
      </c>
      <c r="AA4178">
        <v>0.74824146864305263</v>
      </c>
      <c r="AB4178" t="str">
        <f>HYPERLINK("Melting_Curves/meltCurve_Q969E2_2_SCAMP4.pdf", "Melting_Curves/meltCurve_Q969E2_2_SCAMP4.pdf")</f>
        <v>Melting_Curves/meltCurve_Q969E2_2_SCAMP4.pdf</v>
      </c>
    </row>
    <row r="4179" spans="1:28" x14ac:dyDescent="0.25">
      <c r="A4179" t="s">
        <v>4183</v>
      </c>
      <c r="B4179">
        <v>0.99796759195183404</v>
      </c>
      <c r="C4179">
        <v>1.0027191849369801</v>
      </c>
      <c r="D4179">
        <v>0.95273917638912697</v>
      </c>
      <c r="E4179">
        <v>1.0136757298796499</v>
      </c>
      <c r="F4179">
        <v>0.87742484062803505</v>
      </c>
      <c r="G4179">
        <v>0.43721252290210899</v>
      </c>
      <c r="H4179">
        <v>0.53837678475346495</v>
      </c>
      <c r="I4179">
        <v>0.54168760455842702</v>
      </c>
      <c r="J4179">
        <v>0.55207003811424005</v>
      </c>
      <c r="K4179">
        <v>0.86083493230211405</v>
      </c>
      <c r="L4179">
        <v>12593.4697855336</v>
      </c>
      <c r="M4179">
        <v>250</v>
      </c>
      <c r="O4179">
        <v>50.370654519548303</v>
      </c>
      <c r="P4179">
        <v>-0.513646811017197</v>
      </c>
      <c r="Q4179">
        <v>0.58603637502532702</v>
      </c>
      <c r="R4179">
        <v>0.78121500651851505</v>
      </c>
      <c r="S4179" t="s">
        <v>9762</v>
      </c>
      <c r="T4179" t="s">
        <v>11164</v>
      </c>
      <c r="U4179" t="s">
        <v>11164</v>
      </c>
      <c r="V4179" t="s">
        <v>11164</v>
      </c>
      <c r="W4179" t="s">
        <v>15299</v>
      </c>
      <c r="X4179">
        <v>2</v>
      </c>
      <c r="Y4179" t="s">
        <v>20772</v>
      </c>
      <c r="Z4179" t="s">
        <v>26329</v>
      </c>
      <c r="AA4179">
        <v>0.77061628795607795</v>
      </c>
      <c r="AB4179" t="str">
        <f>HYPERLINK("Melting_Curves/meltCurve_Q969E8_TSR2.pdf", "Melting_Curves/meltCurve_Q969E8_TSR2.pdf")</f>
        <v>Melting_Curves/meltCurve_Q969E8_TSR2.pdf</v>
      </c>
    </row>
    <row r="4180" spans="1:28" x14ac:dyDescent="0.25">
      <c r="A4180" t="s">
        <v>4184</v>
      </c>
      <c r="B4180">
        <v>0.99796759195183404</v>
      </c>
      <c r="C4180">
        <v>1.0249589170457301</v>
      </c>
      <c r="D4180">
        <v>1.0439551710141</v>
      </c>
      <c r="E4180">
        <v>1.0609106415383101</v>
      </c>
      <c r="F4180">
        <v>1.00024793060874</v>
      </c>
      <c r="G4180">
        <v>0.75834042184417805</v>
      </c>
      <c r="H4180">
        <v>0.58030562836366795</v>
      </c>
      <c r="I4180">
        <v>0.58120863884715801</v>
      </c>
      <c r="J4180">
        <v>0.545928456445812</v>
      </c>
      <c r="K4180">
        <v>0.46240906348417499</v>
      </c>
      <c r="L4180">
        <v>2151.8459536028499</v>
      </c>
      <c r="M4180">
        <v>39.964710905947697</v>
      </c>
      <c r="O4180">
        <v>53.709365788564597</v>
      </c>
      <c r="P4180">
        <v>-8.72978604738536E-2</v>
      </c>
      <c r="Q4180">
        <v>0.53071569909852201</v>
      </c>
      <c r="R4180">
        <v>0.97315619684751098</v>
      </c>
      <c r="S4180" t="s">
        <v>9763</v>
      </c>
      <c r="T4180" t="s">
        <v>11164</v>
      </c>
      <c r="U4180" t="s">
        <v>11164</v>
      </c>
      <c r="V4180" t="s">
        <v>11164</v>
      </c>
      <c r="W4180" t="s">
        <v>15300</v>
      </c>
      <c r="X4180">
        <v>2</v>
      </c>
      <c r="Y4180" t="s">
        <v>20773</v>
      </c>
      <c r="Z4180" t="s">
        <v>26330</v>
      </c>
      <c r="AA4180">
        <v>0.79593432239158013</v>
      </c>
      <c r="AB4180" t="str">
        <f>HYPERLINK("Melting_Curves/meltCurve_Q969F2_2_NKD2.pdf", "Melting_Curves/meltCurve_Q969F2_2_NKD2.pdf")</f>
        <v>Melting_Curves/meltCurve_Q969F2_2_NKD2.pdf</v>
      </c>
    </row>
    <row r="4181" spans="1:28" x14ac:dyDescent="0.25">
      <c r="A4181" t="s">
        <v>4185</v>
      </c>
      <c r="B4181">
        <v>0.99796759195183404</v>
      </c>
      <c r="C4181">
        <v>1.00928175962464</v>
      </c>
      <c r="D4181">
        <v>1.0282214547570401</v>
      </c>
      <c r="E4181">
        <v>1.03471132858564</v>
      </c>
      <c r="F4181">
        <v>0.79530532462773196</v>
      </c>
      <c r="G4181">
        <v>0.61591094248658596</v>
      </c>
      <c r="H4181">
        <v>0.31642826645691502</v>
      </c>
      <c r="I4181">
        <v>0.141964222980762</v>
      </c>
      <c r="J4181">
        <v>7.4191854283751593E-2</v>
      </c>
      <c r="K4181">
        <v>5.8457181077665399E-2</v>
      </c>
      <c r="L4181">
        <v>1020.5530995573801</v>
      </c>
      <c r="M4181">
        <v>18.6155963807761</v>
      </c>
      <c r="N4181">
        <v>54.933839068670302</v>
      </c>
      <c r="O4181">
        <v>54.201589778379301</v>
      </c>
      <c r="P4181">
        <v>-8.4276539705453499E-2</v>
      </c>
      <c r="Q4181">
        <v>1.85165339696307E-2</v>
      </c>
      <c r="R4181">
        <v>0.99387918198703695</v>
      </c>
      <c r="S4181" t="s">
        <v>9764</v>
      </c>
      <c r="T4181" t="s">
        <v>11164</v>
      </c>
      <c r="U4181" t="s">
        <v>11164</v>
      </c>
      <c r="V4181" t="s">
        <v>11164</v>
      </c>
      <c r="W4181" t="s">
        <v>15301</v>
      </c>
      <c r="X4181">
        <v>5</v>
      </c>
      <c r="Y4181" t="s">
        <v>20774</v>
      </c>
      <c r="Z4181" t="s">
        <v>26331</v>
      </c>
      <c r="AA4181">
        <v>0.61376963625881431</v>
      </c>
      <c r="AB4181" t="str">
        <f>HYPERLINK("Melting_Curves/meltCurve_Q969G6_RFK.pdf", "Melting_Curves/meltCurve_Q969G6_RFK.pdf")</f>
        <v>Melting_Curves/meltCurve_Q969G6_RFK.pdf</v>
      </c>
    </row>
    <row r="4182" spans="1:28" x14ac:dyDescent="0.25">
      <c r="A4182" t="s">
        <v>4186</v>
      </c>
      <c r="B4182">
        <v>0.99796759195183404</v>
      </c>
      <c r="C4182">
        <v>0.96025587758778497</v>
      </c>
      <c r="D4182">
        <v>1.02605144308254</v>
      </c>
      <c r="E4182">
        <v>0.97322426515990101</v>
      </c>
      <c r="F4182">
        <v>0.80099223319998303</v>
      </c>
      <c r="G4182">
        <v>0.62046600949549002</v>
      </c>
      <c r="H4182">
        <v>0.61367632769412905</v>
      </c>
      <c r="I4182">
        <v>0.50669550055110801</v>
      </c>
      <c r="J4182">
        <v>0.57421694388740097</v>
      </c>
      <c r="K4182">
        <v>0.26121627258568703</v>
      </c>
      <c r="L4182">
        <v>518.24221356171097</v>
      </c>
      <c r="M4182">
        <v>9.0978180493020595</v>
      </c>
      <c r="N4182">
        <v>60.852512916542999</v>
      </c>
      <c r="O4182">
        <v>54.413514336918901</v>
      </c>
      <c r="P4182">
        <v>-3.2607166975500097E-2</v>
      </c>
      <c r="Q4182">
        <v>0.22045722682045299</v>
      </c>
      <c r="R4182">
        <v>0.910287121831451</v>
      </c>
      <c r="S4182" t="s">
        <v>9765</v>
      </c>
      <c r="T4182" t="s">
        <v>11164</v>
      </c>
      <c r="U4182" t="s">
        <v>11164</v>
      </c>
      <c r="V4182" t="s">
        <v>11164</v>
      </c>
      <c r="W4182" t="s">
        <v>15302</v>
      </c>
      <c r="X4182">
        <v>6</v>
      </c>
      <c r="Y4182" t="s">
        <v>20775</v>
      </c>
      <c r="Z4182" t="s">
        <v>26332</v>
      </c>
      <c r="AA4182">
        <v>0.73580011423656877</v>
      </c>
      <c r="AB4182" t="str">
        <f>HYPERLINK("Melting_Curves/meltCurve_Q969H8_C19orf10.pdf", "Melting_Curves/meltCurve_Q969H8_C19orf10.pdf")</f>
        <v>Melting_Curves/meltCurve_Q969H8_C19orf10.pdf</v>
      </c>
    </row>
    <row r="4183" spans="1:28" x14ac:dyDescent="0.25">
      <c r="A4183" t="s">
        <v>4187</v>
      </c>
      <c r="B4183">
        <v>0.99796759195183404</v>
      </c>
      <c r="C4183">
        <v>0.83350387134051596</v>
      </c>
      <c r="D4183">
        <v>0.84311867770909299</v>
      </c>
      <c r="E4183">
        <v>0.69531741614811704</v>
      </c>
      <c r="F4183">
        <v>0.990064683656531</v>
      </c>
      <c r="G4183">
        <v>0.46306518032784999</v>
      </c>
      <c r="H4183">
        <v>0.24808665661169299</v>
      </c>
      <c r="I4183">
        <v>0.16502076323082299</v>
      </c>
      <c r="J4183">
        <v>0.27049679536655902</v>
      </c>
      <c r="K4183">
        <v>9.5591988499491201E-2</v>
      </c>
      <c r="L4183">
        <v>566.90510531781797</v>
      </c>
      <c r="M4183">
        <v>10.487423672690801</v>
      </c>
      <c r="N4183">
        <v>54.055707352812803</v>
      </c>
      <c r="O4183">
        <v>52.201213970016099</v>
      </c>
      <c r="P4183">
        <v>-5.0246315529092103E-2</v>
      </c>
      <c r="Q4183">
        <v>0</v>
      </c>
      <c r="R4183">
        <v>0.84693798258346398</v>
      </c>
      <c r="S4183" t="s">
        <v>9766</v>
      </c>
      <c r="T4183" t="s">
        <v>11164</v>
      </c>
      <c r="U4183" t="s">
        <v>11164</v>
      </c>
      <c r="V4183" t="s">
        <v>11164</v>
      </c>
      <c r="W4183" t="s">
        <v>15303</v>
      </c>
      <c r="X4183">
        <v>1</v>
      </c>
      <c r="Y4183" t="s">
        <v>20776</v>
      </c>
      <c r="Z4183" t="s">
        <v>26333</v>
      </c>
      <c r="AA4183">
        <v>0.5861155517755845</v>
      </c>
      <c r="AB4183" t="str">
        <f>HYPERLINK("Melting_Curves/meltCurve_Q969K3_RNF34.pdf", "Melting_Curves/meltCurve_Q969K3_RNF34.pdf")</f>
        <v>Melting_Curves/meltCurve_Q969K3_RNF34.pdf</v>
      </c>
    </row>
    <row r="4184" spans="1:28" x14ac:dyDescent="0.25">
      <c r="A4184" t="s">
        <v>4188</v>
      </c>
      <c r="B4184">
        <v>0.99796759195183404</v>
      </c>
      <c r="C4184">
        <v>0.99889444548856599</v>
      </c>
      <c r="D4184">
        <v>0.98710168167267698</v>
      </c>
      <c r="E4184">
        <v>1.00074857184058</v>
      </c>
      <c r="F4184">
        <v>0.87594495790585103</v>
      </c>
      <c r="G4184">
        <v>0.68897587472681199</v>
      </c>
      <c r="H4184">
        <v>0.655638841339647</v>
      </c>
      <c r="I4184">
        <v>0.50932234647187402</v>
      </c>
      <c r="J4184">
        <v>0.51554188919275801</v>
      </c>
      <c r="K4184">
        <v>0.26651709243815103</v>
      </c>
      <c r="L4184">
        <v>515.97367292990396</v>
      </c>
      <c r="M4184">
        <v>8.3879210767467605</v>
      </c>
      <c r="N4184">
        <v>61.513887192602397</v>
      </c>
      <c r="O4184">
        <v>58.315631585567999</v>
      </c>
      <c r="P4184">
        <v>-3.5993204299317502E-2</v>
      </c>
      <c r="Q4184">
        <v>0</v>
      </c>
      <c r="R4184">
        <v>0.95856503928772696</v>
      </c>
      <c r="S4184" t="s">
        <v>9767</v>
      </c>
      <c r="T4184" t="s">
        <v>11164</v>
      </c>
      <c r="U4184" t="s">
        <v>11164</v>
      </c>
      <c r="V4184" t="s">
        <v>11164</v>
      </c>
      <c r="W4184" t="s">
        <v>15304</v>
      </c>
      <c r="X4184">
        <v>1</v>
      </c>
      <c r="Y4184" t="s">
        <v>20777</v>
      </c>
      <c r="Z4184" t="s">
        <v>26334</v>
      </c>
      <c r="AA4184">
        <v>0.75872168133888873</v>
      </c>
      <c r="AB4184" t="str">
        <f>HYPERLINK("Melting_Curves/meltCurve_Q969M3_YIPF5.pdf", "Melting_Curves/meltCurve_Q969M3_YIPF5.pdf")</f>
        <v>Melting_Curves/meltCurve_Q969M3_YIPF5.pdf</v>
      </c>
    </row>
    <row r="4185" spans="1:28" x14ac:dyDescent="0.25">
      <c r="A4185" t="s">
        <v>4189</v>
      </c>
      <c r="B4185">
        <v>0.99796759195183404</v>
      </c>
      <c r="C4185">
        <v>0.97147831076722402</v>
      </c>
      <c r="D4185">
        <v>0.90762030813422001</v>
      </c>
      <c r="E4185">
        <v>0.97484928034507501</v>
      </c>
      <c r="F4185">
        <v>0.84496932123162904</v>
      </c>
      <c r="G4185">
        <v>0.89620340963099299</v>
      </c>
      <c r="H4185">
        <v>0.48294923456147998</v>
      </c>
      <c r="I4185">
        <v>0.43271107512949702</v>
      </c>
      <c r="J4185">
        <v>0.34516531919779397</v>
      </c>
      <c r="K4185">
        <v>0.22406640595049901</v>
      </c>
      <c r="L4185">
        <v>838.19300329846499</v>
      </c>
      <c r="M4185">
        <v>14.5708874104392</v>
      </c>
      <c r="N4185">
        <v>59.0038728885932</v>
      </c>
      <c r="O4185">
        <v>56.474240839354302</v>
      </c>
      <c r="P4185">
        <v>-5.4642481245701098E-2</v>
      </c>
      <c r="Q4185">
        <v>0.152956643617082</v>
      </c>
      <c r="R4185">
        <v>0.95077176413958098</v>
      </c>
      <c r="S4185" t="s">
        <v>9768</v>
      </c>
      <c r="T4185" t="s">
        <v>11164</v>
      </c>
      <c r="U4185" t="s">
        <v>11164</v>
      </c>
      <c r="V4185" t="s">
        <v>11164</v>
      </c>
      <c r="W4185" t="s">
        <v>15305</v>
      </c>
      <c r="X4185">
        <v>2</v>
      </c>
      <c r="Y4185" t="s">
        <v>20778</v>
      </c>
      <c r="Z4185" t="s">
        <v>26335</v>
      </c>
      <c r="AA4185">
        <v>0.73736491884369959</v>
      </c>
      <c r="AB4185" t="str">
        <f>HYPERLINK("Melting_Curves/meltCurve_Q969N2_4_PIGT.pdf", "Melting_Curves/meltCurve_Q969N2_4_PIGT.pdf")</f>
        <v>Melting_Curves/meltCurve_Q969N2_4_PIGT.pdf</v>
      </c>
    </row>
    <row r="4186" spans="1:28" x14ac:dyDescent="0.25">
      <c r="A4186" t="s">
        <v>4190</v>
      </c>
      <c r="B4186">
        <v>0.99796759195183404</v>
      </c>
      <c r="C4186">
        <v>1.2816595000339299</v>
      </c>
      <c r="D4186">
        <v>1.1107987596286399</v>
      </c>
      <c r="E4186">
        <v>1.02766424978492</v>
      </c>
      <c r="F4186">
        <v>0.95511839547429001</v>
      </c>
      <c r="G4186">
        <v>1.0853209985616099</v>
      </c>
      <c r="H4186">
        <v>1.0625627351839</v>
      </c>
      <c r="I4186">
        <v>0.83560171877954004</v>
      </c>
      <c r="J4186">
        <v>0.66536167521502299</v>
      </c>
      <c r="K4186">
        <v>0.29919386536477999</v>
      </c>
      <c r="L4186">
        <v>1988.8006689788201</v>
      </c>
      <c r="M4186">
        <v>30.4730523102901</v>
      </c>
      <c r="N4186">
        <v>65.264242235965597</v>
      </c>
      <c r="O4186">
        <v>64.985116867686997</v>
      </c>
      <c r="P4186">
        <v>-0.11723160819712999</v>
      </c>
      <c r="Q4186">
        <v>0</v>
      </c>
      <c r="R4186">
        <v>0.83695409485743399</v>
      </c>
      <c r="S4186" t="s">
        <v>9769</v>
      </c>
      <c r="T4186" t="s">
        <v>11164</v>
      </c>
      <c r="U4186" t="s">
        <v>11164</v>
      </c>
      <c r="V4186" t="s">
        <v>11164</v>
      </c>
      <c r="W4186" t="s">
        <v>15306</v>
      </c>
      <c r="X4186">
        <v>7</v>
      </c>
      <c r="Y4186" t="s">
        <v>20779</v>
      </c>
      <c r="Z4186" t="s">
        <v>26336</v>
      </c>
      <c r="AA4186">
        <v>0.91945891799632673</v>
      </c>
      <c r="AB4186" t="str">
        <f>HYPERLINK("Melting_Curves/meltCurve_Q969P0_3_IGSF8.pdf", "Melting_Curves/meltCurve_Q969P0_3_IGSF8.pdf")</f>
        <v>Melting_Curves/meltCurve_Q969P0_3_IGSF8.pdf</v>
      </c>
    </row>
    <row r="4187" spans="1:28" x14ac:dyDescent="0.25">
      <c r="A4187" t="s">
        <v>4191</v>
      </c>
      <c r="B4187">
        <v>0.99796759195183404</v>
      </c>
      <c r="C4187">
        <v>1.0763639982690201</v>
      </c>
      <c r="D4187">
        <v>1.0086062252135399</v>
      </c>
      <c r="E4187">
        <v>0.99704496827622402</v>
      </c>
      <c r="F4187">
        <v>0.92066941670435598</v>
      </c>
      <c r="G4187">
        <v>0.82023929599290901</v>
      </c>
      <c r="H4187">
        <v>0.64311742839652797</v>
      </c>
      <c r="I4187">
        <v>0.55281753368286202</v>
      </c>
      <c r="J4187">
        <v>0.343286163815403</v>
      </c>
      <c r="K4187">
        <v>0.17662312854847301</v>
      </c>
      <c r="L4187">
        <v>777.65116900913301</v>
      </c>
      <c r="M4187">
        <v>12.8159400381656</v>
      </c>
      <c r="N4187">
        <v>60.678442314149699</v>
      </c>
      <c r="O4187">
        <v>59.258025876745101</v>
      </c>
      <c r="P4187">
        <v>-5.40784769810322E-2</v>
      </c>
      <c r="Q4187">
        <v>0</v>
      </c>
      <c r="R4187">
        <v>0.98190540620921196</v>
      </c>
      <c r="S4187" t="s">
        <v>9770</v>
      </c>
      <c r="T4187" t="s">
        <v>11164</v>
      </c>
      <c r="U4187" t="s">
        <v>11164</v>
      </c>
      <c r="V4187" t="s">
        <v>11164</v>
      </c>
      <c r="W4187" t="s">
        <v>15307</v>
      </c>
      <c r="X4187">
        <v>4</v>
      </c>
      <c r="Y4187" t="s">
        <v>20780</v>
      </c>
      <c r="Z4187" t="s">
        <v>26337</v>
      </c>
      <c r="AA4187">
        <v>0.77052846599664282</v>
      </c>
      <c r="AB4187" t="str">
        <f>HYPERLINK("Melting_Curves/meltCurve_Q969Q0_RPL36AL.pdf", "Melting_Curves/meltCurve_Q969Q0_RPL36AL.pdf")</f>
        <v>Melting_Curves/meltCurve_Q969Q0_RPL36AL.pdf</v>
      </c>
    </row>
    <row r="4188" spans="1:28" x14ac:dyDescent="0.25">
      <c r="A4188" t="s">
        <v>4192</v>
      </c>
      <c r="B4188">
        <v>0.99796759195183404</v>
      </c>
      <c r="C4188">
        <v>1.0411697114232501</v>
      </c>
      <c r="D4188">
        <v>1.03249574391826</v>
      </c>
      <c r="E4188">
        <v>0.90799092743055698</v>
      </c>
      <c r="F4188">
        <v>0.82531061875643896</v>
      </c>
      <c r="G4188">
        <v>0.49712041828444398</v>
      </c>
      <c r="H4188">
        <v>0.46475329428075501</v>
      </c>
      <c r="I4188">
        <v>0.40367695696959499</v>
      </c>
      <c r="J4188">
        <v>0.456376406648491</v>
      </c>
      <c r="K4188">
        <v>0.28782160878183999</v>
      </c>
      <c r="L4188">
        <v>1245.06296898443</v>
      </c>
      <c r="M4188">
        <v>24.155158202228002</v>
      </c>
      <c r="N4188">
        <v>54.751619313496697</v>
      </c>
      <c r="O4188">
        <v>51.195014699916698</v>
      </c>
      <c r="P4188">
        <v>-7.3307546409474303E-2</v>
      </c>
      <c r="Q4188">
        <v>0.37853057439666299</v>
      </c>
      <c r="R4188">
        <v>0.96880853954226698</v>
      </c>
      <c r="S4188" t="s">
        <v>9771</v>
      </c>
      <c r="T4188" t="s">
        <v>11164</v>
      </c>
      <c r="U4188" t="s">
        <v>11164</v>
      </c>
      <c r="V4188" t="s">
        <v>11164</v>
      </c>
      <c r="W4188" t="s">
        <v>15308</v>
      </c>
      <c r="X4188">
        <v>9</v>
      </c>
      <c r="Y4188" t="s">
        <v>20781</v>
      </c>
      <c r="Z4188" t="s">
        <v>26338</v>
      </c>
      <c r="AA4188">
        <v>0.68567996588707103</v>
      </c>
      <c r="AB4188" t="str">
        <f>HYPERLINK("Melting_Curves/meltCurve_Q969Q5_RAB24.pdf", "Melting_Curves/meltCurve_Q969Q5_RAB24.pdf")</f>
        <v>Melting_Curves/meltCurve_Q969Q5_RAB24.pdf</v>
      </c>
    </row>
    <row r="4189" spans="1:28" x14ac:dyDescent="0.25">
      <c r="A4189" t="s">
        <v>4193</v>
      </c>
      <c r="B4189">
        <v>0.99796759195183404</v>
      </c>
      <c r="C4189">
        <v>1.2175879828709699</v>
      </c>
      <c r="D4189">
        <v>1.0552594956825101</v>
      </c>
      <c r="E4189">
        <v>1.0215366355684199</v>
      </c>
      <c r="F4189">
        <v>0.91096188445423198</v>
      </c>
      <c r="G4189">
        <v>0.54389443016328498</v>
      </c>
      <c r="H4189">
        <v>0.40041685110722902</v>
      </c>
      <c r="I4189">
        <v>0.291916233246096</v>
      </c>
      <c r="J4189">
        <v>0.27382899434966002</v>
      </c>
      <c r="K4189">
        <v>0.239933938915846</v>
      </c>
      <c r="L4189">
        <v>1529.7337376705</v>
      </c>
      <c r="M4189">
        <v>28.748068231885899</v>
      </c>
      <c r="N4189">
        <v>54.687452902728097</v>
      </c>
      <c r="O4189">
        <v>52.956220809321103</v>
      </c>
      <c r="P4189">
        <v>-9.9097282828224803E-2</v>
      </c>
      <c r="Q4189">
        <v>0.26982543166969403</v>
      </c>
      <c r="R4189">
        <v>0.95639843279308001</v>
      </c>
      <c r="S4189" t="s">
        <v>9772</v>
      </c>
      <c r="T4189" t="s">
        <v>11164</v>
      </c>
      <c r="U4189" t="s">
        <v>11164</v>
      </c>
      <c r="V4189" t="s">
        <v>11164</v>
      </c>
      <c r="W4189" t="s">
        <v>15309</v>
      </c>
      <c r="X4189">
        <v>1</v>
      </c>
      <c r="Y4189" t="s">
        <v>20782</v>
      </c>
      <c r="Z4189" t="s">
        <v>26339</v>
      </c>
      <c r="AA4189">
        <v>0.66943808191918308</v>
      </c>
      <c r="AB4189" t="str">
        <f>HYPERLINK("Melting_Curves/meltCurve_Q969S2_3_NEIL2.pdf", "Melting_Curves/meltCurve_Q969S2_3_NEIL2.pdf")</f>
        <v>Melting_Curves/meltCurve_Q969S2_3_NEIL2.pdf</v>
      </c>
    </row>
    <row r="4190" spans="1:28" x14ac:dyDescent="0.25">
      <c r="A4190" t="s">
        <v>4194</v>
      </c>
      <c r="B4190">
        <v>0.99796759195183404</v>
      </c>
      <c r="C4190">
        <v>1.11248229150572</v>
      </c>
      <c r="D4190">
        <v>1.00055986387991</v>
      </c>
      <c r="E4190">
        <v>0.88391754203985096</v>
      </c>
      <c r="F4190">
        <v>0.61754299253665101</v>
      </c>
      <c r="G4190">
        <v>0.33965304375889799</v>
      </c>
      <c r="H4190">
        <v>0.20854054979683301</v>
      </c>
      <c r="I4190">
        <v>0.14009021507753999</v>
      </c>
      <c r="J4190">
        <v>0.11503972271954201</v>
      </c>
      <c r="K4190">
        <v>8.9878340576744903E-2</v>
      </c>
      <c r="L4190">
        <v>1016.91943884381</v>
      </c>
      <c r="M4190">
        <v>19.909866333309001</v>
      </c>
      <c r="N4190">
        <v>51.655327083318703</v>
      </c>
      <c r="O4190">
        <v>50.569262036037799</v>
      </c>
      <c r="P4190">
        <v>-8.8585205530080799E-2</v>
      </c>
      <c r="Q4190">
        <v>0.100036127859253</v>
      </c>
      <c r="R4190">
        <v>0.99062384067781195</v>
      </c>
      <c r="S4190" t="s">
        <v>9773</v>
      </c>
      <c r="T4190" t="s">
        <v>11164</v>
      </c>
      <c r="U4190" t="s">
        <v>11164</v>
      </c>
      <c r="V4190" t="s">
        <v>11164</v>
      </c>
      <c r="W4190" t="s">
        <v>15310</v>
      </c>
      <c r="X4190">
        <v>9</v>
      </c>
      <c r="Y4190" t="s">
        <v>20783</v>
      </c>
      <c r="Z4190" t="s">
        <v>26340</v>
      </c>
      <c r="AA4190">
        <v>0.53416659394765054</v>
      </c>
      <c r="AB4190" t="str">
        <f>HYPERLINK("Melting_Curves/meltCurve_Q969S3_ZNF622.pdf", "Melting_Curves/meltCurve_Q969S3_ZNF622.pdf")</f>
        <v>Melting_Curves/meltCurve_Q969S3_ZNF622.pdf</v>
      </c>
    </row>
    <row r="4191" spans="1:28" x14ac:dyDescent="0.25">
      <c r="A4191" t="s">
        <v>4195</v>
      </c>
      <c r="B4191">
        <v>0.99796759195183404</v>
      </c>
      <c r="C4191">
        <v>0.96906609869300897</v>
      </c>
      <c r="D4191">
        <v>0.88525531800364199</v>
      </c>
      <c r="E4191">
        <v>0.83429574793029904</v>
      </c>
      <c r="F4191">
        <v>0.52858503014844505</v>
      </c>
      <c r="G4191">
        <v>0.21166951403636</v>
      </c>
      <c r="H4191">
        <v>0.16724726174760299</v>
      </c>
      <c r="I4191">
        <v>0.12268873920335301</v>
      </c>
      <c r="J4191">
        <v>7.2085502982284694E-2</v>
      </c>
      <c r="K4191">
        <v>5.8602894950938199E-2</v>
      </c>
      <c r="L4191">
        <v>924.90683281597001</v>
      </c>
      <c r="M4191">
        <v>18.512576228775401</v>
      </c>
      <c r="N4191">
        <v>50.334469449770197</v>
      </c>
      <c r="O4191">
        <v>49.388974834087101</v>
      </c>
      <c r="P4191">
        <v>-8.7698675373357404E-2</v>
      </c>
      <c r="Q4191">
        <v>6.4169905145825296E-2</v>
      </c>
      <c r="R4191">
        <v>0.99261403444042795</v>
      </c>
      <c r="S4191" t="s">
        <v>9774</v>
      </c>
      <c r="T4191" t="s">
        <v>11164</v>
      </c>
      <c r="U4191" t="s">
        <v>11164</v>
      </c>
      <c r="V4191" t="s">
        <v>11164</v>
      </c>
      <c r="W4191" t="s">
        <v>15311</v>
      </c>
      <c r="X4191">
        <v>10</v>
      </c>
      <c r="Y4191" t="s">
        <v>20784</v>
      </c>
      <c r="Z4191" t="s">
        <v>26341</v>
      </c>
      <c r="AA4191">
        <v>0.48255522197827311</v>
      </c>
      <c r="AB4191" t="str">
        <f>HYPERLINK("Melting_Curves/meltCurve_Q969S9_2_GFM2.pdf", "Melting_Curves/meltCurve_Q969S9_2_GFM2.pdf")</f>
        <v>Melting_Curves/meltCurve_Q969S9_2_GFM2.pdf</v>
      </c>
    </row>
    <row r="4192" spans="1:28" x14ac:dyDescent="0.25">
      <c r="A4192" t="s">
        <v>4196</v>
      </c>
      <c r="B4192">
        <v>0.99796759195183404</v>
      </c>
      <c r="C4192">
        <v>0.98895652096278996</v>
      </c>
      <c r="D4192">
        <v>0.96237706934830902</v>
      </c>
      <c r="E4192">
        <v>0.92397832928508905</v>
      </c>
      <c r="F4192">
        <v>0.66941705218470005</v>
      </c>
      <c r="G4192">
        <v>0.40170406539914899</v>
      </c>
      <c r="H4192">
        <v>0.14357151687463901</v>
      </c>
      <c r="I4192">
        <v>0.101660865949111</v>
      </c>
      <c r="J4192">
        <v>7.65114255857864E-2</v>
      </c>
      <c r="K4192">
        <v>6.4797262646692499E-2</v>
      </c>
      <c r="L4192">
        <v>1022.81417866949</v>
      </c>
      <c r="M4192">
        <v>19.668442763684499</v>
      </c>
      <c r="N4192">
        <v>52.270791618859398</v>
      </c>
      <c r="O4192">
        <v>51.474181635967803</v>
      </c>
      <c r="P4192">
        <v>-9.0947479442226503E-2</v>
      </c>
      <c r="Q4192">
        <v>4.7960350196304798E-2</v>
      </c>
      <c r="R4192">
        <v>0.99805928489937301</v>
      </c>
      <c r="S4192" t="s">
        <v>9775</v>
      </c>
      <c r="T4192" t="s">
        <v>11164</v>
      </c>
      <c r="U4192" t="s">
        <v>11164</v>
      </c>
      <c r="V4192" t="s">
        <v>11164</v>
      </c>
      <c r="W4192" t="s">
        <v>15312</v>
      </c>
      <c r="X4192">
        <v>10</v>
      </c>
      <c r="Y4192" t="s">
        <v>20785</v>
      </c>
      <c r="Z4192" t="s">
        <v>26342</v>
      </c>
      <c r="AA4192">
        <v>0.53668706433002822</v>
      </c>
      <c r="AB4192" t="str">
        <f>HYPERLINK("Melting_Curves/meltCurve_Q969T7_2_NT5C3B.pdf", "Melting_Curves/meltCurve_Q969T7_2_NT5C3B.pdf")</f>
        <v>Melting_Curves/meltCurve_Q969T7_2_NT5C3B.pdf</v>
      </c>
    </row>
    <row r="4193" spans="1:28" x14ac:dyDescent="0.25">
      <c r="A4193" t="s">
        <v>4197</v>
      </c>
      <c r="B4193">
        <v>0.99796759195183404</v>
      </c>
      <c r="C4193">
        <v>1.0513195126747401</v>
      </c>
      <c r="D4193">
        <v>1.01938021148576</v>
      </c>
      <c r="E4193">
        <v>0.97652619068797297</v>
      </c>
      <c r="F4193">
        <v>1.0239692367644799</v>
      </c>
      <c r="G4193">
        <v>1.0695135440566399</v>
      </c>
      <c r="H4193">
        <v>0.91012121938799895</v>
      </c>
      <c r="I4193">
        <v>0.65954358068249397</v>
      </c>
      <c r="J4193">
        <v>0.289853635861129</v>
      </c>
      <c r="K4193">
        <v>0.17680864387957199</v>
      </c>
      <c r="L4193">
        <v>2197.3521628773301</v>
      </c>
      <c r="M4193">
        <v>35.629203090766502</v>
      </c>
      <c r="N4193">
        <v>62.158122736286003</v>
      </c>
      <c r="O4193">
        <v>61.479468641847603</v>
      </c>
      <c r="P4193">
        <v>-0.127290373842564</v>
      </c>
      <c r="Q4193">
        <v>0.121426458087163</v>
      </c>
      <c r="R4193">
        <v>0.98871695738265297</v>
      </c>
      <c r="S4193" t="s">
        <v>9776</v>
      </c>
      <c r="T4193" t="s">
        <v>11164</v>
      </c>
      <c r="U4193" t="s">
        <v>11164</v>
      </c>
      <c r="V4193" t="s">
        <v>11164</v>
      </c>
      <c r="W4193" t="s">
        <v>15313</v>
      </c>
      <c r="X4193">
        <v>7</v>
      </c>
      <c r="Y4193" t="s">
        <v>20786</v>
      </c>
      <c r="Z4193" t="s">
        <v>26343</v>
      </c>
      <c r="AA4193">
        <v>0.84506667390196943</v>
      </c>
      <c r="AB4193" t="str">
        <f>HYPERLINK("Melting_Curves/meltCurve_Q969U7_PSMG2.pdf", "Melting_Curves/meltCurve_Q969U7_PSMG2.pdf")</f>
        <v>Melting_Curves/meltCurve_Q969U7_PSMG2.pdf</v>
      </c>
    </row>
    <row r="4194" spans="1:28" x14ac:dyDescent="0.25">
      <c r="A4194" t="s">
        <v>4198</v>
      </c>
      <c r="B4194">
        <v>0.99796759195183404</v>
      </c>
      <c r="C4194">
        <v>0.99149370934268999</v>
      </c>
      <c r="D4194">
        <v>0.96442088727294195</v>
      </c>
      <c r="E4194">
        <v>0.93534204108750896</v>
      </c>
      <c r="F4194">
        <v>0.80163455025474295</v>
      </c>
      <c r="G4194">
        <v>0.730187962281309</v>
      </c>
      <c r="H4194">
        <v>0.33801360063473901</v>
      </c>
      <c r="I4194">
        <v>0.204573944007305</v>
      </c>
      <c r="J4194">
        <v>0.115412846817604</v>
      </c>
      <c r="K4194">
        <v>8.6528609247068594E-2</v>
      </c>
      <c r="L4194">
        <v>895.02612969593702</v>
      </c>
      <c r="M4194">
        <v>16.062052544797499</v>
      </c>
      <c r="N4194">
        <v>55.789211371473797</v>
      </c>
      <c r="O4194">
        <v>54.880746919706098</v>
      </c>
      <c r="P4194">
        <v>-7.2483046235136905E-2</v>
      </c>
      <c r="Q4194">
        <v>9.4375729897000302E-3</v>
      </c>
      <c r="R4194">
        <v>0.98889552241927403</v>
      </c>
      <c r="S4194" t="s">
        <v>9777</v>
      </c>
      <c r="T4194" t="s">
        <v>11164</v>
      </c>
      <c r="U4194" t="s">
        <v>11164</v>
      </c>
      <c r="V4194" t="s">
        <v>11164</v>
      </c>
      <c r="W4194" t="s">
        <v>15314</v>
      </c>
      <c r="X4194">
        <v>15</v>
      </c>
      <c r="Y4194" t="s">
        <v>20787</v>
      </c>
      <c r="Z4194" t="s">
        <v>26344</v>
      </c>
      <c r="AA4194">
        <v>0.63965084918120818</v>
      </c>
      <c r="AB4194" t="str">
        <f>HYPERLINK("Melting_Curves/meltCurve_Q969V3_2_NCLN.pdf", "Melting_Curves/meltCurve_Q969V3_2_NCLN.pdf")</f>
        <v>Melting_Curves/meltCurve_Q969V3_2_NCLN.pdf</v>
      </c>
    </row>
    <row r="4195" spans="1:28" x14ac:dyDescent="0.25">
      <c r="A4195" t="s">
        <v>4199</v>
      </c>
      <c r="B4195">
        <v>0.99796759195183404</v>
      </c>
      <c r="C4195">
        <v>0.98906278114457902</v>
      </c>
      <c r="D4195">
        <v>0.98250397315053695</v>
      </c>
      <c r="E4195">
        <v>0.93847409445725505</v>
      </c>
      <c r="F4195">
        <v>0.887861213332098</v>
      </c>
      <c r="G4195">
        <v>0.654053962920365</v>
      </c>
      <c r="H4195">
        <v>0.53445619171881498</v>
      </c>
      <c r="I4195">
        <v>0.48547808809495802</v>
      </c>
      <c r="J4195">
        <v>0.335894650342143</v>
      </c>
      <c r="K4195">
        <v>0.11952843965733401</v>
      </c>
      <c r="L4195">
        <v>609.32230881042904</v>
      </c>
      <c r="M4195">
        <v>10.391355170151</v>
      </c>
      <c r="N4195">
        <v>58.637424964484701</v>
      </c>
      <c r="O4195">
        <v>56.5905135336901</v>
      </c>
      <c r="P4195">
        <v>-4.5925181578978902E-2</v>
      </c>
      <c r="Q4195">
        <v>0</v>
      </c>
      <c r="R4195">
        <v>0.97293055211439206</v>
      </c>
      <c r="S4195" t="s">
        <v>9778</v>
      </c>
      <c r="T4195" t="s">
        <v>11164</v>
      </c>
      <c r="U4195" t="s">
        <v>11164</v>
      </c>
      <c r="V4195" t="s">
        <v>11164</v>
      </c>
      <c r="W4195" t="s">
        <v>15315</v>
      </c>
      <c r="X4195">
        <v>2</v>
      </c>
      <c r="Y4195" t="s">
        <v>20788</v>
      </c>
      <c r="Z4195" t="s">
        <v>26345</v>
      </c>
      <c r="AA4195">
        <v>0.70923130410108437</v>
      </c>
      <c r="AB4195" t="str">
        <f>HYPERLINK("Melting_Curves/meltCurve_Q969X5_2_ERGIC1.pdf", "Melting_Curves/meltCurve_Q969X5_2_ERGIC1.pdf")</f>
        <v>Melting_Curves/meltCurve_Q969X5_2_ERGIC1.pdf</v>
      </c>
    </row>
    <row r="4196" spans="1:28" x14ac:dyDescent="0.25">
      <c r="A4196" t="s">
        <v>4200</v>
      </c>
      <c r="B4196">
        <v>0.99796759195183404</v>
      </c>
      <c r="C4196">
        <v>0.97289794241358496</v>
      </c>
      <c r="D4196">
        <v>0.96378100781265497</v>
      </c>
      <c r="E4196">
        <v>0.92008047218009203</v>
      </c>
      <c r="F4196">
        <v>0.74135184189821801</v>
      </c>
      <c r="G4196">
        <v>0.53328257685971903</v>
      </c>
      <c r="H4196">
        <v>0.39295002173002702</v>
      </c>
      <c r="I4196">
        <v>0.25053458803317202</v>
      </c>
      <c r="J4196">
        <v>0.20906494130233899</v>
      </c>
      <c r="K4196">
        <v>0.13073357996106</v>
      </c>
      <c r="L4196">
        <v>686.07106930329201</v>
      </c>
      <c r="M4196">
        <v>12.6866130361923</v>
      </c>
      <c r="N4196">
        <v>54.798669010921202</v>
      </c>
      <c r="O4196">
        <v>52.787508259105003</v>
      </c>
      <c r="P4196">
        <v>-5.54797544753238E-2</v>
      </c>
      <c r="Q4196">
        <v>7.6800295464754906E-2</v>
      </c>
      <c r="R4196">
        <v>0.99765347847623298</v>
      </c>
      <c r="S4196" t="s">
        <v>9779</v>
      </c>
      <c r="T4196" t="s">
        <v>11164</v>
      </c>
      <c r="U4196" t="s">
        <v>11164</v>
      </c>
      <c r="V4196" t="s">
        <v>11164</v>
      </c>
      <c r="W4196" t="s">
        <v>15316</v>
      </c>
      <c r="X4196">
        <v>10</v>
      </c>
      <c r="Y4196" t="s">
        <v>20789</v>
      </c>
      <c r="Z4196" t="s">
        <v>26346</v>
      </c>
      <c r="AA4196">
        <v>0.61845923438574546</v>
      </c>
      <c r="AB4196" t="str">
        <f>HYPERLINK("Melting_Curves/meltCurve_Q969Y2_3_GTPBP3.pdf", "Melting_Curves/meltCurve_Q969Y2_3_GTPBP3.pdf")</f>
        <v>Melting_Curves/meltCurve_Q969Y2_3_GTPBP3.pdf</v>
      </c>
    </row>
    <row r="4197" spans="1:28" x14ac:dyDescent="0.25">
      <c r="A4197" t="s">
        <v>4201</v>
      </c>
      <c r="B4197">
        <v>0.99796759195183404</v>
      </c>
      <c r="C4197">
        <v>0.98624097700459101</v>
      </c>
      <c r="D4197">
        <v>0.86224439479211501</v>
      </c>
      <c r="E4197">
        <v>0.82298676576089203</v>
      </c>
      <c r="F4197">
        <v>0.51480765139310203</v>
      </c>
      <c r="G4197">
        <v>0.18689810982417099</v>
      </c>
      <c r="H4197">
        <v>0.145696086534748</v>
      </c>
      <c r="I4197">
        <v>9.3979973086601498E-2</v>
      </c>
      <c r="J4197">
        <v>6.8594457756867802E-2</v>
      </c>
      <c r="K4197">
        <v>4.7557995506086102E-2</v>
      </c>
      <c r="L4197">
        <v>919.23528236094205</v>
      </c>
      <c r="M4197">
        <v>18.4520531318488</v>
      </c>
      <c r="N4197">
        <v>50.093857177594401</v>
      </c>
      <c r="O4197">
        <v>49.243449005332501</v>
      </c>
      <c r="P4197">
        <v>-8.9148444860537704E-2</v>
      </c>
      <c r="Q4197">
        <v>4.8391969042146897E-2</v>
      </c>
      <c r="R4197">
        <v>0.99108856108051202</v>
      </c>
      <c r="S4197" t="s">
        <v>9780</v>
      </c>
      <c r="T4197" t="s">
        <v>11164</v>
      </c>
      <c r="U4197" t="s">
        <v>11164</v>
      </c>
      <c r="V4197" t="s">
        <v>11164</v>
      </c>
      <c r="W4197" t="s">
        <v>15317</v>
      </c>
      <c r="X4197">
        <v>15</v>
      </c>
      <c r="Y4197" t="s">
        <v>20790</v>
      </c>
      <c r="Z4197" t="s">
        <v>26347</v>
      </c>
      <c r="AA4197">
        <v>0.46937695101753801</v>
      </c>
      <c r="AB4197" t="str">
        <f>HYPERLINK("Melting_Curves/meltCurve_Q969Z0_TBRG4.pdf", "Melting_Curves/meltCurve_Q969Z0_TBRG4.pdf")</f>
        <v>Melting_Curves/meltCurve_Q969Z0_TBRG4.pdf</v>
      </c>
    </row>
    <row r="4198" spans="1:28" x14ac:dyDescent="0.25">
      <c r="A4198" t="s">
        <v>4202</v>
      </c>
      <c r="B4198">
        <v>0.99796759195183404</v>
      </c>
      <c r="C4198">
        <v>0.68044443907229701</v>
      </c>
      <c r="D4198">
        <v>0.65933292625801898</v>
      </c>
      <c r="E4198">
        <v>0.79022394793274298</v>
      </c>
      <c r="F4198">
        <v>0.85651316481249895</v>
      </c>
      <c r="G4198">
        <v>0.69500870979142804</v>
      </c>
      <c r="H4198">
        <v>0.52517461733247905</v>
      </c>
      <c r="I4198">
        <v>0.40240425507781402</v>
      </c>
      <c r="J4198">
        <v>0.321550922815934</v>
      </c>
      <c r="K4198">
        <v>9.0264252910330703E-2</v>
      </c>
      <c r="L4198">
        <v>320.33643629675902</v>
      </c>
      <c r="M4198">
        <v>5.66297104407926</v>
      </c>
      <c r="N4198">
        <v>56.566864093598802</v>
      </c>
      <c r="O4198">
        <v>50.697853791952298</v>
      </c>
      <c r="P4198">
        <v>-2.8036111758959498E-2</v>
      </c>
      <c r="Q4198">
        <v>0</v>
      </c>
      <c r="R4198">
        <v>0.71505821501933897</v>
      </c>
      <c r="S4198" t="s">
        <v>9781</v>
      </c>
      <c r="T4198" t="s">
        <v>11164</v>
      </c>
      <c r="U4198" t="s">
        <v>11164</v>
      </c>
      <c r="V4198" t="s">
        <v>11164</v>
      </c>
      <c r="W4198" t="s">
        <v>15318</v>
      </c>
      <c r="X4198">
        <v>3</v>
      </c>
      <c r="Y4198" t="s">
        <v>20791</v>
      </c>
      <c r="Z4198" t="s">
        <v>26348</v>
      </c>
      <c r="AA4198">
        <v>0.62513147807170688</v>
      </c>
      <c r="AB4198" t="str">
        <f>HYPERLINK("Melting_Curves/meltCurve_Q969Z3_MARC2.pdf", "Melting_Curves/meltCurve_Q969Z3_MARC2.pdf")</f>
        <v>Melting_Curves/meltCurve_Q969Z3_MARC2.pdf</v>
      </c>
    </row>
    <row r="4199" spans="1:28" x14ac:dyDescent="0.25">
      <c r="A4199" t="s">
        <v>4203</v>
      </c>
      <c r="B4199">
        <v>0.99796759195183404</v>
      </c>
      <c r="C4199">
        <v>0.84647028396255497</v>
      </c>
      <c r="D4199">
        <v>0.73848378819608596</v>
      </c>
      <c r="E4199">
        <v>0.66697654450701704</v>
      </c>
      <c r="F4199">
        <v>0.80301804844283098</v>
      </c>
      <c r="G4199">
        <v>0.67257996367433204</v>
      </c>
      <c r="H4199">
        <v>0.44646676590727002</v>
      </c>
      <c r="I4199">
        <v>0.39095222386098</v>
      </c>
      <c r="J4199">
        <v>0.341896345942655</v>
      </c>
      <c r="K4199">
        <v>0.30379317722836802</v>
      </c>
      <c r="L4199">
        <v>281.46642598386001</v>
      </c>
      <c r="M4199">
        <v>4.9419895483327103</v>
      </c>
      <c r="N4199">
        <v>56.9540924055432</v>
      </c>
      <c r="O4199">
        <v>49.571565784610399</v>
      </c>
      <c r="P4199">
        <v>-2.5082458923305701E-2</v>
      </c>
      <c r="Q4199">
        <v>0</v>
      </c>
      <c r="R4199">
        <v>0.88967220599562902</v>
      </c>
      <c r="S4199" t="s">
        <v>9782</v>
      </c>
      <c r="T4199" t="s">
        <v>11164</v>
      </c>
      <c r="U4199" t="s">
        <v>11164</v>
      </c>
      <c r="V4199" t="s">
        <v>11164</v>
      </c>
      <c r="W4199" t="s">
        <v>15319</v>
      </c>
      <c r="X4199">
        <v>2</v>
      </c>
      <c r="Y4199" t="s">
        <v>20792</v>
      </c>
      <c r="Z4199" t="s">
        <v>26349</v>
      </c>
      <c r="AA4199">
        <v>0.62300353719575774</v>
      </c>
      <c r="AB4199" t="str">
        <f>HYPERLINK("Melting_Curves/meltCurve_Q96A19_CCDC102A.pdf", "Melting_Curves/meltCurve_Q96A19_CCDC102A.pdf")</f>
        <v>Melting_Curves/meltCurve_Q96A19_CCDC102A.pdf</v>
      </c>
    </row>
    <row r="4200" spans="1:28" x14ac:dyDescent="0.25">
      <c r="A4200" t="s">
        <v>4204</v>
      </c>
      <c r="B4200">
        <v>0.99796759195183404</v>
      </c>
      <c r="C4200">
        <v>0.97587239166256401</v>
      </c>
      <c r="D4200">
        <v>0.98794243330305698</v>
      </c>
      <c r="E4200">
        <v>0.95950076857030298</v>
      </c>
      <c r="F4200">
        <v>0.80975739357085097</v>
      </c>
      <c r="G4200">
        <v>0.67920908900562604</v>
      </c>
      <c r="H4200">
        <v>0.397703444666756</v>
      </c>
      <c r="I4200">
        <v>0.14205819542951501</v>
      </c>
      <c r="J4200">
        <v>0.120957186093131</v>
      </c>
      <c r="K4200">
        <v>8.5304211660352597E-2</v>
      </c>
      <c r="L4200">
        <v>907.17430408976395</v>
      </c>
      <c r="M4200">
        <v>16.294763508644699</v>
      </c>
      <c r="N4200">
        <v>55.709831611490699</v>
      </c>
      <c r="O4200">
        <v>54.854518201789901</v>
      </c>
      <c r="P4200">
        <v>-7.3868395118627805E-2</v>
      </c>
      <c r="Q4200">
        <v>5.3935025614355002E-3</v>
      </c>
      <c r="R4200">
        <v>0.99406743156566602</v>
      </c>
      <c r="S4200" t="s">
        <v>9783</v>
      </c>
      <c r="T4200" t="s">
        <v>11164</v>
      </c>
      <c r="U4200" t="s">
        <v>11164</v>
      </c>
      <c r="V4200" t="s">
        <v>11164</v>
      </c>
      <c r="W4200" t="s">
        <v>15320</v>
      </c>
      <c r="X4200">
        <v>21</v>
      </c>
      <c r="Y4200" t="s">
        <v>20793</v>
      </c>
      <c r="Z4200" t="s">
        <v>26350</v>
      </c>
      <c r="AA4200">
        <v>0.6365696976103582</v>
      </c>
      <c r="AB4200" t="str">
        <f>HYPERLINK("Melting_Curves/meltCurve_Q96A33_CCDC47.pdf", "Melting_Curves/meltCurve_Q96A33_CCDC47.pdf")</f>
        <v>Melting_Curves/meltCurve_Q96A33_CCDC47.pdf</v>
      </c>
    </row>
    <row r="4201" spans="1:28" x14ac:dyDescent="0.25">
      <c r="A4201" t="s">
        <v>4205</v>
      </c>
      <c r="B4201">
        <v>0.99796759195183404</v>
      </c>
      <c r="C4201">
        <v>0.89178576865820502</v>
      </c>
      <c r="D4201">
        <v>0.94406025512908998</v>
      </c>
      <c r="E4201">
        <v>0.91767782694740696</v>
      </c>
      <c r="F4201">
        <v>0.67354428802839506</v>
      </c>
      <c r="G4201">
        <v>0.52790422536497095</v>
      </c>
      <c r="H4201">
        <v>0.76985675252941299</v>
      </c>
      <c r="I4201">
        <v>0.64490957306535002</v>
      </c>
      <c r="J4201">
        <v>0.927954634321012</v>
      </c>
      <c r="K4201">
        <v>0.91120972398246503</v>
      </c>
      <c r="L4201">
        <v>11685.173685199899</v>
      </c>
      <c r="M4201">
        <v>250</v>
      </c>
      <c r="O4201">
        <v>46.7377036744669</v>
      </c>
      <c r="P4201">
        <v>-0.34425739432462599</v>
      </c>
      <c r="Q4201">
        <v>0.74256319911754998</v>
      </c>
      <c r="R4201">
        <v>0.37393062620392697</v>
      </c>
      <c r="S4201" t="s">
        <v>9784</v>
      </c>
      <c r="T4201" t="s">
        <v>11164</v>
      </c>
      <c r="U4201" t="s">
        <v>11164</v>
      </c>
      <c r="V4201" t="s">
        <v>11164</v>
      </c>
      <c r="W4201" t="s">
        <v>15321</v>
      </c>
      <c r="X4201">
        <v>1</v>
      </c>
      <c r="Y4201" t="s">
        <v>20794</v>
      </c>
      <c r="Z4201" t="s">
        <v>26351</v>
      </c>
      <c r="AA4201">
        <v>0.82617142619840389</v>
      </c>
      <c r="AB4201" t="str">
        <f>HYPERLINK("Melting_Curves/meltCurve_Q96A46_SLC25A28.pdf", "Melting_Curves/meltCurve_Q96A46_SLC25A28.pdf")</f>
        <v>Melting_Curves/meltCurve_Q96A46_SLC25A28.pdf</v>
      </c>
    </row>
    <row r="4202" spans="1:28" x14ac:dyDescent="0.25">
      <c r="A4202" t="s">
        <v>4206</v>
      </c>
      <c r="B4202">
        <v>0.99796759195183404</v>
      </c>
      <c r="C4202">
        <v>0.98910813596985903</v>
      </c>
      <c r="D4202">
        <v>0.98423783713687496</v>
      </c>
      <c r="E4202">
        <v>0.89229238537175304</v>
      </c>
      <c r="F4202">
        <v>0.84217293993257603</v>
      </c>
      <c r="G4202">
        <v>0.47569930720590903</v>
      </c>
      <c r="H4202">
        <v>0.39528693661533099</v>
      </c>
      <c r="I4202">
        <v>0.298265702638422</v>
      </c>
      <c r="J4202">
        <v>0.25041298431199799</v>
      </c>
      <c r="K4202">
        <v>0.18635698775809001</v>
      </c>
      <c r="L4202">
        <v>919.51929013302197</v>
      </c>
      <c r="M4202">
        <v>17.373743076269498</v>
      </c>
      <c r="N4202">
        <v>54.540421075169498</v>
      </c>
      <c r="O4202">
        <v>52.239549966962997</v>
      </c>
      <c r="P4202">
        <v>-6.6432090252610806E-2</v>
      </c>
      <c r="Q4202">
        <v>0.20105055277228401</v>
      </c>
      <c r="R4202">
        <v>0.98688336958918199</v>
      </c>
      <c r="S4202" t="s">
        <v>9785</v>
      </c>
      <c r="T4202" t="s">
        <v>11164</v>
      </c>
      <c r="U4202" t="s">
        <v>11164</v>
      </c>
      <c r="V4202" t="s">
        <v>11164</v>
      </c>
      <c r="W4202" t="s">
        <v>15322</v>
      </c>
      <c r="X4202">
        <v>11</v>
      </c>
      <c r="Y4202" t="s">
        <v>20795</v>
      </c>
      <c r="Z4202" t="s">
        <v>26352</v>
      </c>
      <c r="AA4202">
        <v>0.63737227504033322</v>
      </c>
      <c r="AB4202" t="str">
        <f>HYPERLINK("Melting_Curves/meltCurve_Q96A49_SYAP1.pdf", "Melting_Curves/meltCurve_Q96A49_SYAP1.pdf")</f>
        <v>Melting_Curves/meltCurve_Q96A49_SYAP1.pdf</v>
      </c>
    </row>
    <row r="4203" spans="1:28" x14ac:dyDescent="0.25">
      <c r="A4203" t="s">
        <v>4207</v>
      </c>
      <c r="B4203">
        <v>0.99796759195183404</v>
      </c>
      <c r="C4203">
        <v>0.94692940101026501</v>
      </c>
      <c r="D4203">
        <v>0.96570074668601602</v>
      </c>
      <c r="E4203">
        <v>0.95564372588533497</v>
      </c>
      <c r="F4203">
        <v>0.70262798549666206</v>
      </c>
      <c r="G4203">
        <v>0.36326845074480801</v>
      </c>
      <c r="H4203">
        <v>0.24401715636782001</v>
      </c>
      <c r="I4203">
        <v>0.24463390916083699</v>
      </c>
      <c r="J4203">
        <v>0.21070355851904099</v>
      </c>
      <c r="K4203">
        <v>0.16607787030841001</v>
      </c>
      <c r="L4203">
        <v>1378.6243237262299</v>
      </c>
      <c r="M4203">
        <v>26.9452114990955</v>
      </c>
      <c r="N4203">
        <v>52.160954095810801</v>
      </c>
      <c r="O4203">
        <v>50.884665904219297</v>
      </c>
      <c r="P4203">
        <v>-0.105742065998901</v>
      </c>
      <c r="Q4203">
        <v>0.201253858446694</v>
      </c>
      <c r="R4203">
        <v>0.99477006580466898</v>
      </c>
      <c r="S4203" t="s">
        <v>9786</v>
      </c>
      <c r="T4203" t="s">
        <v>11164</v>
      </c>
      <c r="U4203" t="s">
        <v>11164</v>
      </c>
      <c r="V4203" t="s">
        <v>11164</v>
      </c>
      <c r="W4203" t="s">
        <v>15323</v>
      </c>
      <c r="X4203">
        <v>7</v>
      </c>
      <c r="Y4203" t="s">
        <v>20796</v>
      </c>
      <c r="Z4203" t="s">
        <v>26353</v>
      </c>
      <c r="AA4203">
        <v>0.58449886448990152</v>
      </c>
      <c r="AB4203" t="str">
        <f>HYPERLINK("Melting_Curves/meltCurve_Q96A65_EXOC4.pdf", "Melting_Curves/meltCurve_Q96A65_EXOC4.pdf")</f>
        <v>Melting_Curves/meltCurve_Q96A65_EXOC4.pdf</v>
      </c>
    </row>
    <row r="4204" spans="1:28" x14ac:dyDescent="0.25">
      <c r="A4204" t="s">
        <v>4208</v>
      </c>
      <c r="B4204">
        <v>0.99796759195183404</v>
      </c>
      <c r="C4204">
        <v>0.98010923217718804</v>
      </c>
      <c r="D4204">
        <v>0.97277619288276596</v>
      </c>
      <c r="E4204">
        <v>0.96371810557581605</v>
      </c>
      <c r="F4204">
        <v>0.73715895994122305</v>
      </c>
      <c r="G4204">
        <v>0.56980849539622702</v>
      </c>
      <c r="H4204">
        <v>0.51954415644525098</v>
      </c>
      <c r="I4204">
        <v>0.39100378588665002</v>
      </c>
      <c r="J4204">
        <v>0.58100737204467501</v>
      </c>
      <c r="K4204">
        <v>0.57998298987248298</v>
      </c>
      <c r="L4204">
        <v>1658.0787894111299</v>
      </c>
      <c r="M4204">
        <v>33.1881399769428</v>
      </c>
      <c r="O4204">
        <v>49.779642614392102</v>
      </c>
      <c r="P4204">
        <v>-8.0331238759040899E-2</v>
      </c>
      <c r="Q4204">
        <v>0.518039580253014</v>
      </c>
      <c r="R4204">
        <v>0.94687699360085997</v>
      </c>
      <c r="S4204" t="s">
        <v>9787</v>
      </c>
      <c r="T4204" t="s">
        <v>11164</v>
      </c>
      <c r="U4204" t="s">
        <v>11164</v>
      </c>
      <c r="V4204" t="s">
        <v>11164</v>
      </c>
      <c r="W4204" t="s">
        <v>15324</v>
      </c>
      <c r="X4204">
        <v>5</v>
      </c>
      <c r="Y4204" t="s">
        <v>20797</v>
      </c>
      <c r="Z4204" t="s">
        <v>26354</v>
      </c>
      <c r="AA4204">
        <v>0.72866429364562402</v>
      </c>
      <c r="AB4204" t="str">
        <f>HYPERLINK("Melting_Curves/meltCurve_Q96A73_KIAA1191.pdf", "Melting_Curves/meltCurve_Q96A73_KIAA1191.pdf")</f>
        <v>Melting_Curves/meltCurve_Q96A73_KIAA1191.pdf</v>
      </c>
    </row>
    <row r="4205" spans="1:28" x14ac:dyDescent="0.25">
      <c r="A4205" t="s">
        <v>4209</v>
      </c>
      <c r="B4205">
        <v>0.99796759195183404</v>
      </c>
      <c r="C4205">
        <v>0.95681477754626498</v>
      </c>
      <c r="D4205">
        <v>1.0183565362428899</v>
      </c>
      <c r="E4205">
        <v>0.92901926727570905</v>
      </c>
      <c r="F4205">
        <v>0.92109426546981399</v>
      </c>
      <c r="G4205">
        <v>0.71386962344983096</v>
      </c>
      <c r="H4205">
        <v>0.58772076727356604</v>
      </c>
      <c r="I4205">
        <v>0.421228137876836</v>
      </c>
      <c r="J4205">
        <v>0.376913230553312</v>
      </c>
      <c r="K4205">
        <v>0.173005856463117</v>
      </c>
      <c r="L4205">
        <v>639.31065521242795</v>
      </c>
      <c r="M4205">
        <v>10.773337649968299</v>
      </c>
      <c r="N4205">
        <v>59.341930632739299</v>
      </c>
      <c r="O4205">
        <v>57.407009416370798</v>
      </c>
      <c r="P4205">
        <v>-4.6933622505318601E-2</v>
      </c>
      <c r="Q4205">
        <v>0</v>
      </c>
      <c r="R4205">
        <v>0.98332072434886297</v>
      </c>
      <c r="S4205" t="s">
        <v>9788</v>
      </c>
      <c r="T4205" t="s">
        <v>11164</v>
      </c>
      <c r="U4205" t="s">
        <v>11164</v>
      </c>
      <c r="V4205" t="s">
        <v>11164</v>
      </c>
      <c r="W4205" t="s">
        <v>15325</v>
      </c>
      <c r="X4205">
        <v>5</v>
      </c>
      <c r="Y4205" t="s">
        <v>20798</v>
      </c>
      <c r="Z4205" t="s">
        <v>26355</v>
      </c>
      <c r="AA4205">
        <v>0.72851400365387387</v>
      </c>
      <c r="AB4205" t="str">
        <f>HYPERLINK("Melting_Curves/meltCurve_Q96AB3_ISOC2.pdf", "Melting_Curves/meltCurve_Q96AB3_ISOC2.pdf")</f>
        <v>Melting_Curves/meltCurve_Q96AB3_ISOC2.pdf</v>
      </c>
    </row>
    <row r="4206" spans="1:28" x14ac:dyDescent="0.25">
      <c r="A4206" t="s">
        <v>4210</v>
      </c>
      <c r="B4206">
        <v>0.99796759195183404</v>
      </c>
      <c r="C4206">
        <v>1.0252058846812999</v>
      </c>
      <c r="D4206">
        <v>0.97239228051725402</v>
      </c>
      <c r="E4206">
        <v>0.99340063707219695</v>
      </c>
      <c r="F4206">
        <v>0.82679328128391805</v>
      </c>
      <c r="G4206">
        <v>0.54938633816938098</v>
      </c>
      <c r="H4206">
        <v>0.36443234040861</v>
      </c>
      <c r="I4206">
        <v>0.26824931260192197</v>
      </c>
      <c r="J4206">
        <v>0.19007213077493901</v>
      </c>
      <c r="K4206">
        <v>0.20305082864427201</v>
      </c>
      <c r="L4206">
        <v>1085.5729862010501</v>
      </c>
      <c r="M4206">
        <v>20.314036717181398</v>
      </c>
      <c r="N4206">
        <v>54.712677058650897</v>
      </c>
      <c r="O4206">
        <v>52.929764993718599</v>
      </c>
      <c r="P4206">
        <v>-7.7879830739929906E-2</v>
      </c>
      <c r="Q4206">
        <v>0.188337588564748</v>
      </c>
      <c r="R4206">
        <v>0.99676070313403797</v>
      </c>
      <c r="S4206" t="s">
        <v>9789</v>
      </c>
      <c r="T4206" t="s">
        <v>11164</v>
      </c>
      <c r="U4206" t="s">
        <v>11164</v>
      </c>
      <c r="V4206" t="s">
        <v>11164</v>
      </c>
      <c r="W4206" t="s">
        <v>15326</v>
      </c>
      <c r="X4206">
        <v>6</v>
      </c>
      <c r="Y4206" t="s">
        <v>20799</v>
      </c>
      <c r="Z4206" t="s">
        <v>26356</v>
      </c>
      <c r="AA4206">
        <v>0.64296631834821094</v>
      </c>
      <c r="AB4206" t="str">
        <f>HYPERLINK("Melting_Curves/meltCurve_Q96AB6_NTAN1.pdf", "Melting_Curves/meltCurve_Q96AB6_NTAN1.pdf")</f>
        <v>Melting_Curves/meltCurve_Q96AB6_NTAN1.pdf</v>
      </c>
    </row>
    <row r="4207" spans="1:28" x14ac:dyDescent="0.25">
      <c r="A4207" t="s">
        <v>4211</v>
      </c>
      <c r="B4207">
        <v>0.99796759195183404</v>
      </c>
      <c r="C4207">
        <v>0.99035249347568</v>
      </c>
      <c r="D4207">
        <v>0.98748278932616995</v>
      </c>
      <c r="E4207">
        <v>0.95591800750491496</v>
      </c>
      <c r="F4207">
        <v>0.84858954255299901</v>
      </c>
      <c r="G4207">
        <v>0.73656704485938895</v>
      </c>
      <c r="H4207">
        <v>0.591352824798974</v>
      </c>
      <c r="I4207">
        <v>0.30422823509459401</v>
      </c>
      <c r="J4207">
        <v>0.11925700862239701</v>
      </c>
      <c r="K4207">
        <v>8.6734839807219896E-2</v>
      </c>
      <c r="L4207">
        <v>892.240619676444</v>
      </c>
      <c r="M4207">
        <v>15.466376641436399</v>
      </c>
      <c r="N4207">
        <v>57.689052865502902</v>
      </c>
      <c r="O4207">
        <v>56.750438987382701</v>
      </c>
      <c r="P4207">
        <v>-6.8139395849931006E-2</v>
      </c>
      <c r="Q4207">
        <v>0</v>
      </c>
      <c r="R4207">
        <v>0.98913505000434798</v>
      </c>
      <c r="S4207" t="s">
        <v>9790</v>
      </c>
      <c r="T4207" t="s">
        <v>11164</v>
      </c>
      <c r="U4207" t="s">
        <v>11164</v>
      </c>
      <c r="V4207" t="s">
        <v>11164</v>
      </c>
      <c r="W4207" t="s">
        <v>15327</v>
      </c>
      <c r="X4207">
        <v>16</v>
      </c>
      <c r="Y4207" t="s">
        <v>20800</v>
      </c>
      <c r="Z4207" t="s">
        <v>26357</v>
      </c>
      <c r="AA4207">
        <v>0.6955476899460673</v>
      </c>
      <c r="AB4207" t="str">
        <f>HYPERLINK("Melting_Curves/meltCurve_Q96AC1_FERMT2.pdf", "Melting_Curves/meltCurve_Q96AC1_FERMT2.pdf")</f>
        <v>Melting_Curves/meltCurve_Q96AC1_FERMT2.pdf</v>
      </c>
    </row>
    <row r="4208" spans="1:28" x14ac:dyDescent="0.25">
      <c r="A4208" t="s">
        <v>4212</v>
      </c>
      <c r="B4208">
        <v>0.99796759195183404</v>
      </c>
      <c r="C4208">
        <v>0.98931403958104203</v>
      </c>
      <c r="D4208">
        <v>0.94937776614957603</v>
      </c>
      <c r="E4208">
        <v>0.846477441986771</v>
      </c>
      <c r="F4208">
        <v>0.669575620259108</v>
      </c>
      <c r="G4208">
        <v>0.36840435716710501</v>
      </c>
      <c r="H4208">
        <v>0.23889394061875799</v>
      </c>
      <c r="I4208">
        <v>0.17767049345399299</v>
      </c>
      <c r="J4208">
        <v>0.17728494155299099</v>
      </c>
      <c r="K4208">
        <v>0.12550075821230799</v>
      </c>
      <c r="L4208">
        <v>877.59882892320104</v>
      </c>
      <c r="M4208">
        <v>17.1388402582179</v>
      </c>
      <c r="N4208">
        <v>52.0797529079694</v>
      </c>
      <c r="O4208">
        <v>50.523392076984699</v>
      </c>
      <c r="P4208">
        <v>-7.4206581929761803E-2</v>
      </c>
      <c r="Q4208">
        <v>0.12504129506190001</v>
      </c>
      <c r="R4208">
        <v>0.99746586973716</v>
      </c>
      <c r="S4208" t="s">
        <v>9791</v>
      </c>
      <c r="T4208" t="s">
        <v>11164</v>
      </c>
      <c r="U4208" t="s">
        <v>11164</v>
      </c>
      <c r="V4208" t="s">
        <v>11164</v>
      </c>
      <c r="W4208" t="s">
        <v>15328</v>
      </c>
      <c r="X4208">
        <v>4</v>
      </c>
      <c r="Y4208" t="s">
        <v>20801</v>
      </c>
      <c r="Z4208" t="s">
        <v>26358</v>
      </c>
      <c r="AA4208">
        <v>0.55387929204917008</v>
      </c>
      <c r="AB4208" t="str">
        <f>HYPERLINK("Melting_Curves/meltCurve_Q96AD5_PNPLA2.pdf", "Melting_Curves/meltCurve_Q96AD5_PNPLA2.pdf")</f>
        <v>Melting_Curves/meltCurve_Q96AD5_PNPLA2.pdf</v>
      </c>
    </row>
    <row r="4209" spans="1:28" x14ac:dyDescent="0.25">
      <c r="A4209" t="s">
        <v>4213</v>
      </c>
      <c r="B4209">
        <v>0.99796759195183404</v>
      </c>
      <c r="C4209">
        <v>0.96614040930112899</v>
      </c>
      <c r="D4209">
        <v>0.98856161618133098</v>
      </c>
      <c r="E4209">
        <v>0.96278892235949098</v>
      </c>
      <c r="F4209">
        <v>0.77466921150553902</v>
      </c>
      <c r="G4209">
        <v>0.57796279081588198</v>
      </c>
      <c r="H4209">
        <v>0.64320746966878195</v>
      </c>
      <c r="I4209">
        <v>0.58700597090427498</v>
      </c>
      <c r="J4209">
        <v>0.78924007066363699</v>
      </c>
      <c r="K4209">
        <v>0.70519978126287597</v>
      </c>
      <c r="L4209">
        <v>12515.8594138156</v>
      </c>
      <c r="M4209">
        <v>250</v>
      </c>
      <c r="O4209">
        <v>50.060234324559602</v>
      </c>
      <c r="P4209">
        <v>-0.42383539444021001</v>
      </c>
      <c r="Q4209">
        <v>0.66052321651994605</v>
      </c>
      <c r="R4209">
        <v>0.86910091226154396</v>
      </c>
      <c r="S4209" t="s">
        <v>9792</v>
      </c>
      <c r="T4209" t="s">
        <v>11164</v>
      </c>
      <c r="U4209" t="s">
        <v>11164</v>
      </c>
      <c r="V4209" t="s">
        <v>11164</v>
      </c>
      <c r="W4209" t="s">
        <v>15329</v>
      </c>
      <c r="X4209">
        <v>56</v>
      </c>
      <c r="Y4209" t="s">
        <v>20802</v>
      </c>
      <c r="Z4209" t="s">
        <v>26359</v>
      </c>
      <c r="AA4209">
        <v>0.80837750301821054</v>
      </c>
      <c r="AB4209" t="str">
        <f>HYPERLINK("Melting_Curves/meltCurve_Q96AE4_FUBP1.pdf", "Melting_Curves/meltCurve_Q96AE4_FUBP1.pdf")</f>
        <v>Melting_Curves/meltCurve_Q96AE4_FUBP1.pdf</v>
      </c>
    </row>
    <row r="4210" spans="1:28" x14ac:dyDescent="0.25">
      <c r="A4210" t="s">
        <v>4214</v>
      </c>
      <c r="B4210">
        <v>0.99796759195183404</v>
      </c>
      <c r="C4210">
        <v>0.99678270610514097</v>
      </c>
      <c r="D4210">
        <v>1.05281144928699</v>
      </c>
      <c r="E4210">
        <v>1.02556789362651</v>
      </c>
      <c r="F4210">
        <v>0.868390568443273</v>
      </c>
      <c r="G4210">
        <v>0.54809497579727495</v>
      </c>
      <c r="H4210">
        <v>0.49521122128370199</v>
      </c>
      <c r="I4210">
        <v>0.47873983352133198</v>
      </c>
      <c r="J4210">
        <v>0.44504875584917403</v>
      </c>
      <c r="K4210">
        <v>0.383480367482116</v>
      </c>
      <c r="L4210">
        <v>1922.959107935</v>
      </c>
      <c r="M4210">
        <v>37.121587301615897</v>
      </c>
      <c r="N4210">
        <v>55.062367281147999</v>
      </c>
      <c r="O4210">
        <v>51.651997587158597</v>
      </c>
      <c r="P4210">
        <v>-9.9807143403570095E-2</v>
      </c>
      <c r="Q4210">
        <v>0.444503934235357</v>
      </c>
      <c r="R4210">
        <v>0.98561337638681401</v>
      </c>
      <c r="S4210" t="s">
        <v>9793</v>
      </c>
      <c r="T4210" t="s">
        <v>11164</v>
      </c>
      <c r="U4210" t="s">
        <v>11164</v>
      </c>
      <c r="V4210" t="s">
        <v>11164</v>
      </c>
      <c r="W4210" t="s">
        <v>15330</v>
      </c>
      <c r="X4210">
        <v>55</v>
      </c>
      <c r="Y4210" t="s">
        <v>20802</v>
      </c>
      <c r="Z4210" t="s">
        <v>26360</v>
      </c>
      <c r="AA4210">
        <v>0.72088223927848583</v>
      </c>
      <c r="AB4210" t="str">
        <f>HYPERLINK("Melting_Curves/meltCurve_Q96AE4_2_FUBP1.pdf", "Melting_Curves/meltCurve_Q96AE4_2_FUBP1.pdf")</f>
        <v>Melting_Curves/meltCurve_Q96AE4_2_FUBP1.pdf</v>
      </c>
    </row>
    <row r="4211" spans="1:28" x14ac:dyDescent="0.25">
      <c r="A4211" t="s">
        <v>4215</v>
      </c>
      <c r="B4211">
        <v>0.99796759195183404</v>
      </c>
      <c r="C4211">
        <v>0.94359899297799799</v>
      </c>
      <c r="D4211">
        <v>0.97328082400374805</v>
      </c>
      <c r="E4211">
        <v>0.99243625420876103</v>
      </c>
      <c r="F4211">
        <v>0.851611739645035</v>
      </c>
      <c r="G4211">
        <v>0.61000785802618795</v>
      </c>
      <c r="H4211">
        <v>0.51381758029067104</v>
      </c>
      <c r="I4211">
        <v>0.32634506554597897</v>
      </c>
      <c r="J4211">
        <v>0.26603897415776001</v>
      </c>
      <c r="K4211">
        <v>0.20266972342103401</v>
      </c>
      <c r="L4211">
        <v>775.94952429078205</v>
      </c>
      <c r="M4211">
        <v>13.9876034765405</v>
      </c>
      <c r="N4211">
        <v>56.858284366622101</v>
      </c>
      <c r="O4211">
        <v>54.3771434176141</v>
      </c>
      <c r="P4211">
        <v>-5.5035882797428499E-2</v>
      </c>
      <c r="Q4211">
        <v>0.144300385770357</v>
      </c>
      <c r="R4211">
        <v>0.98916471443555598</v>
      </c>
      <c r="S4211" t="s">
        <v>9794</v>
      </c>
      <c r="T4211" t="s">
        <v>11164</v>
      </c>
      <c r="U4211" t="s">
        <v>11164</v>
      </c>
      <c r="V4211" t="s">
        <v>11164</v>
      </c>
      <c r="W4211" t="s">
        <v>15331</v>
      </c>
      <c r="X4211">
        <v>20</v>
      </c>
      <c r="Y4211" t="s">
        <v>20803</v>
      </c>
      <c r="Z4211" t="s">
        <v>26361</v>
      </c>
      <c r="AA4211">
        <v>0.68234545829502513</v>
      </c>
      <c r="AB4211" t="str">
        <f>HYPERLINK("Melting_Curves/meltCurve_Q96AG4_LRRC59.pdf", "Melting_Curves/meltCurve_Q96AG4_LRRC59.pdf")</f>
        <v>Melting_Curves/meltCurve_Q96AG4_LRRC59.pdf</v>
      </c>
    </row>
    <row r="4212" spans="1:28" x14ac:dyDescent="0.25">
      <c r="A4212" t="s">
        <v>4216</v>
      </c>
      <c r="B4212">
        <v>0.99796759195183404</v>
      </c>
      <c r="C4212">
        <v>1.02904367553095</v>
      </c>
      <c r="D4212">
        <v>1.0862640755261399</v>
      </c>
      <c r="E4212">
        <v>0.97565045304690901</v>
      </c>
      <c r="F4212">
        <v>0.93210755688720004</v>
      </c>
      <c r="G4212">
        <v>0.60701903427207804</v>
      </c>
      <c r="H4212">
        <v>0.54945428084028303</v>
      </c>
      <c r="I4212">
        <v>0.44182886781955799</v>
      </c>
      <c r="J4212">
        <v>0.5245951693791</v>
      </c>
      <c r="K4212">
        <v>0.43862808410258702</v>
      </c>
      <c r="L4212">
        <v>2025.2324044448201</v>
      </c>
      <c r="M4212">
        <v>38.6328965896369</v>
      </c>
      <c r="N4212">
        <v>57.2598371836825</v>
      </c>
      <c r="O4212">
        <v>52.2826278882401</v>
      </c>
      <c r="P4212">
        <v>-9.5898322042988093E-2</v>
      </c>
      <c r="Q4212">
        <v>0.48087735139182097</v>
      </c>
      <c r="R4212">
        <v>0.97334821396987403</v>
      </c>
      <c r="S4212" t="s">
        <v>9795</v>
      </c>
      <c r="T4212" t="s">
        <v>11164</v>
      </c>
      <c r="U4212" t="s">
        <v>11164</v>
      </c>
      <c r="V4212" t="s">
        <v>11164</v>
      </c>
      <c r="W4212" t="s">
        <v>15332</v>
      </c>
      <c r="X4212">
        <v>9</v>
      </c>
      <c r="Y4212" t="s">
        <v>20804</v>
      </c>
      <c r="Z4212" t="s">
        <v>26362</v>
      </c>
      <c r="AA4212">
        <v>0.74975862407113714</v>
      </c>
      <c r="AB4212" t="str">
        <f>HYPERLINK("Melting_Curves/meltCurve_Q96AJ9_1_VTI1A.pdf", "Melting_Curves/meltCurve_Q96AJ9_1_VTI1A.pdf")</f>
        <v>Melting_Curves/meltCurve_Q96AJ9_1_VTI1A.pdf</v>
      </c>
    </row>
    <row r="4213" spans="1:28" x14ac:dyDescent="0.25">
      <c r="A4213" t="s">
        <v>4217</v>
      </c>
      <c r="B4213">
        <v>0.99796759195183404</v>
      </c>
      <c r="C4213">
        <v>0.95923176189055304</v>
      </c>
      <c r="D4213">
        <v>0.94269557152493</v>
      </c>
      <c r="E4213">
        <v>0.90085458945911501</v>
      </c>
      <c r="F4213">
        <v>0.76602729244165102</v>
      </c>
      <c r="G4213">
        <v>0.70913979231861801</v>
      </c>
      <c r="H4213">
        <v>0.55584070800806495</v>
      </c>
      <c r="I4213">
        <v>0.38005047152271398</v>
      </c>
      <c r="J4213">
        <v>0.21582941719200399</v>
      </c>
      <c r="K4213">
        <v>0.162497672506243</v>
      </c>
      <c r="L4213">
        <v>590.54177251451802</v>
      </c>
      <c r="M4213">
        <v>10.2509971147624</v>
      </c>
      <c r="N4213">
        <v>57.608227385488803</v>
      </c>
      <c r="O4213">
        <v>55.545044738727597</v>
      </c>
      <c r="P4213">
        <v>-4.61586235943292E-2</v>
      </c>
      <c r="Q4213">
        <v>0</v>
      </c>
      <c r="R4213">
        <v>0.986995155767878</v>
      </c>
      <c r="S4213" t="s">
        <v>9796</v>
      </c>
      <c r="T4213" t="s">
        <v>11164</v>
      </c>
      <c r="U4213" t="s">
        <v>11164</v>
      </c>
      <c r="V4213" t="s">
        <v>11164</v>
      </c>
      <c r="W4213" t="s">
        <v>15333</v>
      </c>
      <c r="X4213">
        <v>6</v>
      </c>
      <c r="Y4213" t="s">
        <v>20805</v>
      </c>
      <c r="Z4213" t="s">
        <v>26363</v>
      </c>
      <c r="AA4213">
        <v>0.6825431521849995</v>
      </c>
      <c r="AB4213" t="str">
        <f>HYPERLINK("Melting_Curves/meltCurve_Q96AQ8_MCUR1.pdf", "Melting_Curves/meltCurve_Q96AQ8_MCUR1.pdf")</f>
        <v>Melting_Curves/meltCurve_Q96AQ8_MCUR1.pdf</v>
      </c>
    </row>
    <row r="4214" spans="1:28" x14ac:dyDescent="0.25">
      <c r="A4214" t="s">
        <v>4218</v>
      </c>
      <c r="B4214">
        <v>0.99796759195183404</v>
      </c>
      <c r="C4214">
        <v>0.97503782647205905</v>
      </c>
      <c r="D4214">
        <v>0.98885069069688303</v>
      </c>
      <c r="E4214">
        <v>0.97638771455606099</v>
      </c>
      <c r="F4214">
        <v>0.82893416316829005</v>
      </c>
      <c r="G4214">
        <v>0.60323701725797096</v>
      </c>
      <c r="H4214">
        <v>0.702226896393495</v>
      </c>
      <c r="I4214">
        <v>0.62500007271522795</v>
      </c>
      <c r="J4214">
        <v>0.81816412233602198</v>
      </c>
      <c r="K4214">
        <v>0.74396508072373901</v>
      </c>
      <c r="L4214">
        <v>12536.3795850734</v>
      </c>
      <c r="M4214">
        <v>250</v>
      </c>
      <c r="O4214">
        <v>50.142309018755398</v>
      </c>
      <c r="P4214">
        <v>-0.37578215663569398</v>
      </c>
      <c r="Q4214">
        <v>0.69851863795486402</v>
      </c>
      <c r="R4214">
        <v>0.84893477162036401</v>
      </c>
      <c r="S4214" t="s">
        <v>9797</v>
      </c>
      <c r="T4214" t="s">
        <v>11164</v>
      </c>
      <c r="U4214" t="s">
        <v>11164</v>
      </c>
      <c r="V4214" t="s">
        <v>11164</v>
      </c>
      <c r="W4214" t="s">
        <v>15334</v>
      </c>
      <c r="X4214">
        <v>13</v>
      </c>
      <c r="Y4214" t="s">
        <v>20806</v>
      </c>
      <c r="Z4214" t="s">
        <v>26364</v>
      </c>
      <c r="AA4214">
        <v>0.83064946217018742</v>
      </c>
      <c r="AB4214" t="str">
        <f>HYPERLINK("Melting_Curves/meltCurve_Q96AT1_KIAA1143.pdf", "Melting_Curves/meltCurve_Q96AT1_KIAA1143.pdf")</f>
        <v>Melting_Curves/meltCurve_Q96AT1_KIAA1143.pdf</v>
      </c>
    </row>
    <row r="4215" spans="1:28" x14ac:dyDescent="0.25">
      <c r="A4215" t="s">
        <v>4219</v>
      </c>
      <c r="B4215">
        <v>0.99796759195183404</v>
      </c>
      <c r="C4215">
        <v>1.13016167073832</v>
      </c>
      <c r="D4215">
        <v>1.0337815549893601</v>
      </c>
      <c r="E4215">
        <v>0.99122149496321799</v>
      </c>
      <c r="F4215">
        <v>0.97212973985293605</v>
      </c>
      <c r="G4215">
        <v>0.81282874635864599</v>
      </c>
      <c r="H4215">
        <v>0.73590502360500798</v>
      </c>
      <c r="I4215">
        <v>0.56834411689531905</v>
      </c>
      <c r="J4215">
        <v>0.440886596461115</v>
      </c>
      <c r="K4215">
        <v>0.23581886070895899</v>
      </c>
      <c r="L4215">
        <v>771.82516350239803</v>
      </c>
      <c r="M4215">
        <v>12.4450851987745</v>
      </c>
      <c r="N4215">
        <v>62.018451837300297</v>
      </c>
      <c r="O4215">
        <v>60.482455437431</v>
      </c>
      <c r="P4215">
        <v>-5.1451658118012701E-2</v>
      </c>
      <c r="Q4215">
        <v>0</v>
      </c>
      <c r="R4215">
        <v>0.96543995368056601</v>
      </c>
      <c r="S4215" t="s">
        <v>9798</v>
      </c>
      <c r="T4215" t="s">
        <v>11164</v>
      </c>
      <c r="U4215" t="s">
        <v>11164</v>
      </c>
      <c r="V4215" t="s">
        <v>11164</v>
      </c>
      <c r="W4215" t="s">
        <v>15335</v>
      </c>
      <c r="X4215">
        <v>8</v>
      </c>
      <c r="Y4215" t="s">
        <v>20807</v>
      </c>
      <c r="Z4215" t="s">
        <v>26365</v>
      </c>
      <c r="AA4215">
        <v>0.80038602966525452</v>
      </c>
      <c r="AB4215" t="str">
        <f>HYPERLINK("Melting_Curves/meltCurve_Q96AT9_RPE.pdf", "Melting_Curves/meltCurve_Q96AT9_RPE.pdf")</f>
        <v>Melting_Curves/meltCurve_Q96AT9_RPE.pdf</v>
      </c>
    </row>
    <row r="4216" spans="1:28" x14ac:dyDescent="0.25">
      <c r="A4216" t="s">
        <v>4220</v>
      </c>
      <c r="B4216">
        <v>0.99796759195183404</v>
      </c>
      <c r="C4216">
        <v>1.02932354628869</v>
      </c>
      <c r="D4216">
        <v>1.00710235344149</v>
      </c>
      <c r="E4216">
        <v>0.98735522165663903</v>
      </c>
      <c r="F4216">
        <v>0.82054191025999001</v>
      </c>
      <c r="G4216">
        <v>0.57042523395454403</v>
      </c>
      <c r="H4216">
        <v>0.46947253828459201</v>
      </c>
      <c r="I4216">
        <v>0.45745161036735599</v>
      </c>
      <c r="J4216">
        <v>0.43904999400176498</v>
      </c>
      <c r="K4216">
        <v>0.36134314421685898</v>
      </c>
      <c r="L4216">
        <v>1335.6687253684699</v>
      </c>
      <c r="M4216">
        <v>25.766934230171401</v>
      </c>
      <c r="N4216">
        <v>55.648046376102599</v>
      </c>
      <c r="O4216">
        <v>51.527341594368302</v>
      </c>
      <c r="P4216">
        <v>-7.3210891379718299E-2</v>
      </c>
      <c r="Q4216">
        <v>0.41439403371390199</v>
      </c>
      <c r="R4216">
        <v>0.991578704177139</v>
      </c>
      <c r="S4216" t="s">
        <v>9799</v>
      </c>
      <c r="T4216" t="s">
        <v>11164</v>
      </c>
      <c r="U4216" t="s">
        <v>11164</v>
      </c>
      <c r="V4216" t="s">
        <v>11164</v>
      </c>
      <c r="W4216" t="s">
        <v>15336</v>
      </c>
      <c r="X4216">
        <v>27</v>
      </c>
      <c r="Y4216" t="s">
        <v>20808</v>
      </c>
      <c r="Z4216" t="s">
        <v>26366</v>
      </c>
      <c r="AA4216">
        <v>0.70891532188293638</v>
      </c>
      <c r="AB4216" t="str">
        <f>HYPERLINK("Melting_Curves/meltCurve_Q96AY3_FKBP10.pdf", "Melting_Curves/meltCurve_Q96AY3_FKBP10.pdf")</f>
        <v>Melting_Curves/meltCurve_Q96AY3_FKBP10.pdf</v>
      </c>
    </row>
    <row r="4217" spans="1:28" x14ac:dyDescent="0.25">
      <c r="A4217" t="s">
        <v>4221</v>
      </c>
      <c r="B4217">
        <v>0.99796759195183404</v>
      </c>
      <c r="C4217">
        <v>1.0142523739879199</v>
      </c>
      <c r="D4217">
        <v>1.0424051691971701</v>
      </c>
      <c r="E4217">
        <v>0.93994737607425205</v>
      </c>
      <c r="F4217">
        <v>0.80549879679768099</v>
      </c>
      <c r="G4217">
        <v>0.68001507799872996</v>
      </c>
      <c r="H4217">
        <v>0.60144134871207999</v>
      </c>
      <c r="I4217">
        <v>0.50591239576816605</v>
      </c>
      <c r="J4217">
        <v>0.41323486336432702</v>
      </c>
      <c r="K4217">
        <v>0.37926980615554201</v>
      </c>
      <c r="L4217">
        <v>654.49791987846299</v>
      </c>
      <c r="M4217">
        <v>11.903001011656499</v>
      </c>
      <c r="N4217">
        <v>60.137245134154803</v>
      </c>
      <c r="O4217">
        <v>53.5028881264533</v>
      </c>
      <c r="P4217">
        <v>-3.7850582148974202E-2</v>
      </c>
      <c r="Q4217">
        <v>0.31962992212184299</v>
      </c>
      <c r="R4217">
        <v>0.98650220491608398</v>
      </c>
      <c r="S4217" t="s">
        <v>9800</v>
      </c>
      <c r="T4217" t="s">
        <v>11164</v>
      </c>
      <c r="U4217" t="s">
        <v>11164</v>
      </c>
      <c r="V4217" t="s">
        <v>11164</v>
      </c>
      <c r="W4217" t="s">
        <v>15337</v>
      </c>
      <c r="X4217">
        <v>3</v>
      </c>
      <c r="Y4217" t="s">
        <v>20809</v>
      </c>
      <c r="Z4217" t="s">
        <v>26367</v>
      </c>
      <c r="AA4217">
        <v>0.73719175940623849</v>
      </c>
      <c r="AB4217" t="str">
        <f>HYPERLINK("Melting_Curves/meltCurve_Q96B01_2_RAD51AP1.pdf", "Melting_Curves/meltCurve_Q96B01_2_RAD51AP1.pdf")</f>
        <v>Melting_Curves/meltCurve_Q96B01_2_RAD51AP1.pdf</v>
      </c>
    </row>
    <row r="4218" spans="1:28" x14ac:dyDescent="0.25">
      <c r="A4218" t="s">
        <v>4222</v>
      </c>
      <c r="B4218">
        <v>0.99796759195183404</v>
      </c>
      <c r="C4218">
        <v>0.88049308851696095</v>
      </c>
      <c r="D4218">
        <v>0.91479364280266695</v>
      </c>
      <c r="E4218">
        <v>0.84208221113348503</v>
      </c>
      <c r="F4218">
        <v>0.79149578247784302</v>
      </c>
      <c r="G4218">
        <v>0.53953721077981998</v>
      </c>
      <c r="H4218">
        <v>0.62555651906662102</v>
      </c>
      <c r="I4218">
        <v>0.62387461433537394</v>
      </c>
      <c r="J4218">
        <v>0.58899677099445502</v>
      </c>
      <c r="K4218">
        <v>0.53177350013317204</v>
      </c>
      <c r="L4218">
        <v>488.65402516604001</v>
      </c>
      <c r="M4218">
        <v>10.030326084943299</v>
      </c>
      <c r="O4218">
        <v>46.900009769715503</v>
      </c>
      <c r="P4218">
        <v>-2.5274415325428099E-2</v>
      </c>
      <c r="Q4218">
        <v>0.52751259566327902</v>
      </c>
      <c r="R4218">
        <v>0.89444819919542196</v>
      </c>
      <c r="S4218" t="s">
        <v>9801</v>
      </c>
      <c r="T4218" t="s">
        <v>11164</v>
      </c>
      <c r="U4218" t="s">
        <v>11164</v>
      </c>
      <c r="V4218" t="s">
        <v>11164</v>
      </c>
      <c r="W4218" t="s">
        <v>15338</v>
      </c>
      <c r="X4218">
        <v>5</v>
      </c>
      <c r="Y4218" t="s">
        <v>20810</v>
      </c>
      <c r="Z4218" t="s">
        <v>26368</v>
      </c>
      <c r="AA4218">
        <v>0.72995052342206079</v>
      </c>
      <c r="AB4218" t="str">
        <f>HYPERLINK("Melting_Curves/meltCurve_Q96B23_2_C18orf25.pdf", "Melting_Curves/meltCurve_Q96B23_2_C18orf25.pdf")</f>
        <v>Melting_Curves/meltCurve_Q96B23_2_C18orf25.pdf</v>
      </c>
    </row>
    <row r="4219" spans="1:28" x14ac:dyDescent="0.25">
      <c r="A4219" t="s">
        <v>4223</v>
      </c>
      <c r="B4219">
        <v>0.99796759195183404</v>
      </c>
      <c r="C4219">
        <v>0.98800185383876504</v>
      </c>
      <c r="D4219">
        <v>0.96608517670013305</v>
      </c>
      <c r="E4219">
        <v>0.96033800803344205</v>
      </c>
      <c r="F4219">
        <v>0.87662716046832101</v>
      </c>
      <c r="G4219">
        <v>1.28157568375986</v>
      </c>
      <c r="H4219">
        <v>1.1493746445722</v>
      </c>
      <c r="I4219">
        <v>0.79130083020675701</v>
      </c>
      <c r="J4219">
        <v>0.38456904080561699</v>
      </c>
      <c r="K4219">
        <v>0.20736514256913</v>
      </c>
      <c r="L4219">
        <v>3178.1000186975002</v>
      </c>
      <c r="M4219">
        <v>50.871878173450597</v>
      </c>
      <c r="N4219">
        <v>63.075688211890203</v>
      </c>
      <c r="O4219">
        <v>62.376319560065902</v>
      </c>
      <c r="P4219">
        <v>-0.16462680306432401</v>
      </c>
      <c r="Q4219">
        <v>0.19257506190519499</v>
      </c>
      <c r="R4219">
        <v>0.87320202700787197</v>
      </c>
      <c r="S4219" t="s">
        <v>9802</v>
      </c>
      <c r="T4219" t="s">
        <v>11164</v>
      </c>
      <c r="U4219" t="s">
        <v>11164</v>
      </c>
      <c r="V4219" t="s">
        <v>11164</v>
      </c>
      <c r="W4219" t="s">
        <v>15339</v>
      </c>
      <c r="X4219">
        <v>5</v>
      </c>
      <c r="Y4219" t="s">
        <v>20811</v>
      </c>
      <c r="Z4219" t="s">
        <v>26369</v>
      </c>
      <c r="AA4219">
        <v>0.87904121722101736</v>
      </c>
      <c r="AB4219" t="str">
        <f>HYPERLINK("Melting_Curves/meltCurve_Q96B26_EXOSC8.pdf", "Melting_Curves/meltCurve_Q96B26_EXOSC8.pdf")</f>
        <v>Melting_Curves/meltCurve_Q96B26_EXOSC8.pdf</v>
      </c>
    </row>
    <row r="4220" spans="1:28" x14ac:dyDescent="0.25">
      <c r="A4220" t="s">
        <v>4224</v>
      </c>
      <c r="B4220">
        <v>0.99796759195183404</v>
      </c>
      <c r="C4220">
        <v>1.0306523386973601</v>
      </c>
      <c r="D4220">
        <v>0.96513758720117704</v>
      </c>
      <c r="E4220">
        <v>0.97364241193879697</v>
      </c>
      <c r="F4220">
        <v>0.87496243928863005</v>
      </c>
      <c r="G4220">
        <v>0.68326862592774995</v>
      </c>
      <c r="H4220">
        <v>0.675545414435749</v>
      </c>
      <c r="I4220">
        <v>0.54278098302449995</v>
      </c>
      <c r="J4220">
        <v>0.74193232183934799</v>
      </c>
      <c r="K4220">
        <v>0.84542433979176201</v>
      </c>
      <c r="L4220">
        <v>12567.4950700878</v>
      </c>
      <c r="M4220">
        <v>250</v>
      </c>
      <c r="O4220">
        <v>50.266763340817697</v>
      </c>
      <c r="P4220">
        <v>-0.375757318619313</v>
      </c>
      <c r="Q4220">
        <v>0.69779033305105198</v>
      </c>
      <c r="R4220">
        <v>0.79062648964505999</v>
      </c>
      <c r="S4220" t="s">
        <v>9803</v>
      </c>
      <c r="T4220" t="s">
        <v>11164</v>
      </c>
      <c r="U4220" t="s">
        <v>11164</v>
      </c>
      <c r="V4220" t="s">
        <v>11164</v>
      </c>
      <c r="W4220" t="s">
        <v>15340</v>
      </c>
      <c r="X4220">
        <v>11</v>
      </c>
      <c r="Y4220" t="s">
        <v>20812</v>
      </c>
      <c r="Z4220" t="s">
        <v>26370</v>
      </c>
      <c r="AA4220">
        <v>0.83149420560261267</v>
      </c>
      <c r="AB4220" t="str">
        <f>HYPERLINK("Melting_Curves/meltCurve_Q96B36_AKT1S1.pdf", "Melting_Curves/meltCurve_Q96B36_AKT1S1.pdf")</f>
        <v>Melting_Curves/meltCurve_Q96B36_AKT1S1.pdf</v>
      </c>
    </row>
    <row r="4221" spans="1:28" x14ac:dyDescent="0.25">
      <c r="A4221" t="s">
        <v>4225</v>
      </c>
      <c r="B4221">
        <v>0.99796759195183404</v>
      </c>
      <c r="C4221">
        <v>0.91143616868534905</v>
      </c>
      <c r="D4221">
        <v>0.89550987964226803</v>
      </c>
      <c r="E4221">
        <v>0.86349251546787198</v>
      </c>
      <c r="F4221">
        <v>0.78407691984739303</v>
      </c>
      <c r="G4221">
        <v>0.63266477013821498</v>
      </c>
      <c r="H4221">
        <v>0.53478031612642896</v>
      </c>
      <c r="I4221">
        <v>0.509413983240535</v>
      </c>
      <c r="J4221">
        <v>0.52186966182690397</v>
      </c>
      <c r="K4221">
        <v>0.43818355716126001</v>
      </c>
      <c r="L4221">
        <v>441.39184473979799</v>
      </c>
      <c r="M4221">
        <v>8.3898180156802695</v>
      </c>
      <c r="N4221">
        <v>62.150260607284103</v>
      </c>
      <c r="O4221">
        <v>49.8761965542027</v>
      </c>
      <c r="P4221">
        <v>-2.6852696012228599E-2</v>
      </c>
      <c r="Q4221">
        <v>0.362062774215613</v>
      </c>
      <c r="R4221">
        <v>0.97560282347176397</v>
      </c>
      <c r="S4221" t="s">
        <v>9804</v>
      </c>
      <c r="T4221" t="s">
        <v>11164</v>
      </c>
      <c r="U4221" t="s">
        <v>11164</v>
      </c>
      <c r="V4221" t="s">
        <v>11164</v>
      </c>
      <c r="W4221" t="s">
        <v>15341</v>
      </c>
      <c r="X4221">
        <v>5</v>
      </c>
      <c r="Y4221" t="s">
        <v>20813</v>
      </c>
      <c r="Z4221" t="s">
        <v>26371</v>
      </c>
      <c r="AA4221">
        <v>0.70971909034666347</v>
      </c>
      <c r="AB4221" t="str">
        <f>HYPERLINK("Melting_Curves/meltCurve_Q96B45_C10orf32.pdf", "Melting_Curves/meltCurve_Q96B45_C10orf32.pdf")</f>
        <v>Melting_Curves/meltCurve_Q96B45_C10orf32.pdf</v>
      </c>
    </row>
    <row r="4222" spans="1:28" x14ac:dyDescent="0.25">
      <c r="A4222" t="s">
        <v>4226</v>
      </c>
      <c r="B4222">
        <v>0.99796759195183404</v>
      </c>
      <c r="C4222">
        <v>0.88752325841059598</v>
      </c>
      <c r="D4222">
        <v>0.98964950925995598</v>
      </c>
      <c r="E4222">
        <v>0.88896128471365299</v>
      </c>
      <c r="F4222">
        <v>0.80441842152290899</v>
      </c>
      <c r="G4222">
        <v>0.64285199388133496</v>
      </c>
      <c r="H4222">
        <v>0.91482199833494704</v>
      </c>
      <c r="I4222">
        <v>0.81953815442956701</v>
      </c>
      <c r="J4222">
        <v>1.2961165117679401</v>
      </c>
      <c r="K4222">
        <v>1.69996333824126</v>
      </c>
      <c r="L4222">
        <v>15000</v>
      </c>
      <c r="M4222">
        <v>234.38269160569899</v>
      </c>
      <c r="O4222">
        <v>63.993240567654503</v>
      </c>
      <c r="P4222">
        <v>0.45782705022711101</v>
      </c>
      <c r="Q4222">
        <v>1.5</v>
      </c>
      <c r="R4222">
        <v>0.664965464230731</v>
      </c>
      <c r="S4222" t="s">
        <v>9805</v>
      </c>
      <c r="T4222" t="s">
        <v>11164</v>
      </c>
      <c r="U4222" t="s">
        <v>11164</v>
      </c>
      <c r="V4222" t="s">
        <v>11164</v>
      </c>
      <c r="W4222" t="s">
        <v>15342</v>
      </c>
      <c r="X4222">
        <v>3</v>
      </c>
      <c r="Y4222" t="s">
        <v>20814</v>
      </c>
      <c r="Z4222" t="s">
        <v>26372</v>
      </c>
      <c r="AA4222">
        <v>1.0499712498112861</v>
      </c>
      <c r="AB4222" t="str">
        <f>HYPERLINK("Melting_Curves/meltCurve_Q96B49_TOMM6.pdf", "Melting_Curves/meltCurve_Q96B49_TOMM6.pdf")</f>
        <v>Melting_Curves/meltCurve_Q96B49_TOMM6.pdf</v>
      </c>
    </row>
    <row r="4223" spans="1:28" x14ac:dyDescent="0.25">
      <c r="A4223" t="s">
        <v>4227</v>
      </c>
      <c r="B4223">
        <v>0.99796759195183404</v>
      </c>
      <c r="C4223">
        <v>1.0010019742121701</v>
      </c>
      <c r="D4223">
        <v>0.92810888372745703</v>
      </c>
      <c r="E4223">
        <v>0.76209952357689903</v>
      </c>
      <c r="F4223">
        <v>0.46527076427724001</v>
      </c>
      <c r="G4223">
        <v>0.33002696412125299</v>
      </c>
      <c r="H4223">
        <v>0.188414552479504</v>
      </c>
      <c r="I4223">
        <v>0.149596310546325</v>
      </c>
      <c r="J4223">
        <v>0.124352013977699</v>
      </c>
      <c r="K4223">
        <v>0.104130786520356</v>
      </c>
      <c r="L4223">
        <v>783.48722148211004</v>
      </c>
      <c r="M4223">
        <v>15.845805499243401</v>
      </c>
      <c r="N4223">
        <v>50.167429233026098</v>
      </c>
      <c r="O4223">
        <v>48.6770714959708</v>
      </c>
      <c r="P4223">
        <v>-7.3080754599871595E-2</v>
      </c>
      <c r="Q4223">
        <v>0.10207978267953299</v>
      </c>
      <c r="R4223">
        <v>0.99778605631287098</v>
      </c>
      <c r="S4223" t="s">
        <v>9806</v>
      </c>
      <c r="T4223" t="s">
        <v>11164</v>
      </c>
      <c r="U4223" t="s">
        <v>11164</v>
      </c>
      <c r="V4223" t="s">
        <v>11164</v>
      </c>
      <c r="W4223" t="s">
        <v>15343</v>
      </c>
      <c r="X4223">
        <v>4</v>
      </c>
      <c r="Y4223" t="s">
        <v>20815</v>
      </c>
      <c r="Z4223" t="s">
        <v>26373</v>
      </c>
      <c r="AA4223">
        <v>0.49208644140436758</v>
      </c>
      <c r="AB4223" t="str">
        <f>HYPERLINK("Melting_Curves/meltCurve_Q96B70_LENG9.pdf", "Melting_Curves/meltCurve_Q96B70_LENG9.pdf")</f>
        <v>Melting_Curves/meltCurve_Q96B70_LENG9.pdf</v>
      </c>
    </row>
    <row r="4224" spans="1:28" x14ac:dyDescent="0.25">
      <c r="A4224" t="s">
        <v>4228</v>
      </c>
      <c r="B4224">
        <v>0.99796759195183404</v>
      </c>
      <c r="C4224">
        <v>0.978366298457223</v>
      </c>
      <c r="D4224">
        <v>0.92083988137813799</v>
      </c>
      <c r="E4224">
        <v>0.86098010064460295</v>
      </c>
      <c r="F4224">
        <v>0.76854581325581806</v>
      </c>
      <c r="G4224">
        <v>0.62926312408811402</v>
      </c>
      <c r="H4224">
        <v>0.31081505048628</v>
      </c>
      <c r="I4224">
        <v>0.22034392043630299</v>
      </c>
      <c r="J4224">
        <v>0.17278529542115501</v>
      </c>
      <c r="K4224">
        <v>0.12524448824173201</v>
      </c>
      <c r="L4224">
        <v>662.999574433833</v>
      </c>
      <c r="M4224">
        <v>12.102035870877399</v>
      </c>
      <c r="N4224">
        <v>54.9114686968623</v>
      </c>
      <c r="O4224">
        <v>53.352631637605299</v>
      </c>
      <c r="P4224">
        <v>-5.5936242875746403E-2</v>
      </c>
      <c r="Q4224">
        <v>1.38354426500311E-2</v>
      </c>
      <c r="R4224">
        <v>0.98879870791489699</v>
      </c>
      <c r="S4224" t="s">
        <v>9807</v>
      </c>
      <c r="T4224" t="s">
        <v>11164</v>
      </c>
      <c r="U4224" t="s">
        <v>11164</v>
      </c>
      <c r="V4224" t="s">
        <v>11164</v>
      </c>
      <c r="W4224" t="s">
        <v>15344</v>
      </c>
      <c r="X4224">
        <v>3</v>
      </c>
      <c r="Y4224" t="s">
        <v>20816</v>
      </c>
      <c r="Z4224" t="s">
        <v>26374</v>
      </c>
      <c r="AA4224">
        <v>0.61330049964786459</v>
      </c>
      <c r="AB4224" t="str">
        <f>HYPERLINK("Melting_Curves/meltCurve_Q96B97_SH3KBP1.pdf", "Melting_Curves/meltCurve_Q96B97_SH3KBP1.pdf")</f>
        <v>Melting_Curves/meltCurve_Q96B97_SH3KBP1.pdf</v>
      </c>
    </row>
    <row r="4225" spans="1:28" x14ac:dyDescent="0.25">
      <c r="A4225" t="s">
        <v>4229</v>
      </c>
      <c r="B4225">
        <v>0.99796759195183404</v>
      </c>
      <c r="C4225">
        <v>0.78487355765188804</v>
      </c>
      <c r="D4225">
        <v>0.83343818924636304</v>
      </c>
      <c r="E4225">
        <v>0.60504777439796498</v>
      </c>
      <c r="F4225">
        <v>0.61359283381302798</v>
      </c>
      <c r="G4225">
        <v>0.34510235190011102</v>
      </c>
      <c r="H4225">
        <v>0.28518965522294398</v>
      </c>
      <c r="I4225">
        <v>0.230961723988166</v>
      </c>
      <c r="J4225">
        <v>0.13671125595217601</v>
      </c>
      <c r="K4225">
        <v>0.14858026235675501</v>
      </c>
      <c r="L4225">
        <v>380.21677839333699</v>
      </c>
      <c r="M4225">
        <v>7.5130983815206402</v>
      </c>
      <c r="N4225">
        <v>50.607187059376798</v>
      </c>
      <c r="O4225">
        <v>47.394205806357299</v>
      </c>
      <c r="P4225">
        <v>-3.9687510941073201E-2</v>
      </c>
      <c r="Q4225">
        <v>0</v>
      </c>
      <c r="R4225">
        <v>0.96466834201645102</v>
      </c>
      <c r="S4225" t="s">
        <v>9808</v>
      </c>
      <c r="T4225" t="s">
        <v>11164</v>
      </c>
      <c r="U4225" t="s">
        <v>11164</v>
      </c>
      <c r="V4225" t="s">
        <v>11164</v>
      </c>
      <c r="W4225" t="s">
        <v>15345</v>
      </c>
      <c r="X4225">
        <v>1</v>
      </c>
      <c r="Y4225" t="s">
        <v>20817</v>
      </c>
      <c r="Z4225" t="s">
        <v>26375</v>
      </c>
      <c r="AA4225">
        <v>0.49202815280125911</v>
      </c>
      <c r="AB4225" t="str">
        <f>HYPERLINK("Melting_Curves/meltCurve_Q96BD5_2_PHF21A.pdf", "Melting_Curves/meltCurve_Q96BD5_2_PHF21A.pdf")</f>
        <v>Melting_Curves/meltCurve_Q96BD5_2_PHF21A.pdf</v>
      </c>
    </row>
    <row r="4226" spans="1:28" x14ac:dyDescent="0.25">
      <c r="A4226" t="s">
        <v>4230</v>
      </c>
      <c r="B4226">
        <v>0.99796759195183404</v>
      </c>
      <c r="C4226">
        <v>0.89072208113528994</v>
      </c>
      <c r="D4226">
        <v>0.84279098626960802</v>
      </c>
      <c r="E4226">
        <v>0.84758496190375698</v>
      </c>
      <c r="F4226">
        <v>0.31981264370465001</v>
      </c>
      <c r="G4226">
        <v>0.232402473762095</v>
      </c>
      <c r="H4226">
        <v>0.19537641616547699</v>
      </c>
      <c r="I4226">
        <v>0.11990806753342401</v>
      </c>
      <c r="J4226">
        <v>0.11180521655205999</v>
      </c>
      <c r="K4226">
        <v>9.2182687387037499E-2</v>
      </c>
      <c r="L4226">
        <v>1215.4449641847</v>
      </c>
      <c r="M4226">
        <v>25.059967907762299</v>
      </c>
      <c r="N4226">
        <v>49.061842857929598</v>
      </c>
      <c r="O4226">
        <v>48.195789958499297</v>
      </c>
      <c r="P4226">
        <v>-0.113813750572669</v>
      </c>
      <c r="Q4226">
        <v>0.124457222181102</v>
      </c>
      <c r="R4226">
        <v>0.96665167967673704</v>
      </c>
      <c r="S4226" t="s">
        <v>9809</v>
      </c>
      <c r="T4226" t="s">
        <v>11164</v>
      </c>
      <c r="U4226" t="s">
        <v>11164</v>
      </c>
      <c r="V4226" t="s">
        <v>11164</v>
      </c>
      <c r="W4226" t="s">
        <v>15346</v>
      </c>
      <c r="X4226">
        <v>3</v>
      </c>
      <c r="Y4226" t="s">
        <v>20818</v>
      </c>
      <c r="Z4226" t="s">
        <v>26376</v>
      </c>
      <c r="AA4226">
        <v>0.4676039184944441</v>
      </c>
      <c r="AB4226" t="str">
        <f>HYPERLINK("Melting_Curves/meltCurve_Q96BD8_2_SKA1.pdf", "Melting_Curves/meltCurve_Q96BD8_2_SKA1.pdf")</f>
        <v>Melting_Curves/meltCurve_Q96BD8_2_SKA1.pdf</v>
      </c>
    </row>
    <row r="4227" spans="1:28" x14ac:dyDescent="0.25">
      <c r="A4227" t="s">
        <v>4231</v>
      </c>
      <c r="B4227">
        <v>0.99796759195183404</v>
      </c>
      <c r="C4227">
        <v>1.0973151138845401</v>
      </c>
      <c r="D4227">
        <v>0.99176440067328597</v>
      </c>
      <c r="E4227">
        <v>0.99859440803772703</v>
      </c>
      <c r="F4227">
        <v>0.91123656853460699</v>
      </c>
      <c r="G4227">
        <v>0.78258076410035904</v>
      </c>
      <c r="H4227">
        <v>0.56441351706145904</v>
      </c>
      <c r="I4227">
        <v>0.31281420789731401</v>
      </c>
      <c r="J4227">
        <v>0.247279956550149</v>
      </c>
      <c r="K4227">
        <v>0.17873693353947001</v>
      </c>
      <c r="L4227">
        <v>1006.77741616266</v>
      </c>
      <c r="M4227">
        <v>17.5936522547502</v>
      </c>
      <c r="N4227">
        <v>58.101446571076899</v>
      </c>
      <c r="O4227">
        <v>56.4999714398622</v>
      </c>
      <c r="P4227">
        <v>-6.8768896284335301E-2</v>
      </c>
      <c r="Q4227">
        <v>0.11667449544981801</v>
      </c>
      <c r="R4227">
        <v>0.98980013747346696</v>
      </c>
      <c r="S4227" t="s">
        <v>9810</v>
      </c>
      <c r="T4227" t="s">
        <v>11164</v>
      </c>
      <c r="U4227" t="s">
        <v>11164</v>
      </c>
      <c r="V4227" t="s">
        <v>11164</v>
      </c>
      <c r="W4227" t="s">
        <v>15347</v>
      </c>
      <c r="X4227">
        <v>8</v>
      </c>
      <c r="Y4227" t="s">
        <v>20819</v>
      </c>
      <c r="Z4227" t="s">
        <v>26377</v>
      </c>
      <c r="AA4227">
        <v>0.71955814063758572</v>
      </c>
      <c r="AB4227" t="str">
        <f>HYPERLINK("Melting_Curves/meltCurve_Q96BH1_RNF25.pdf", "Melting_Curves/meltCurve_Q96BH1_RNF25.pdf")</f>
        <v>Melting_Curves/meltCurve_Q96BH1_RNF25.pdf</v>
      </c>
    </row>
    <row r="4228" spans="1:28" x14ac:dyDescent="0.25">
      <c r="A4228" t="s">
        <v>4232</v>
      </c>
      <c r="B4228">
        <v>0.99796759195183404</v>
      </c>
      <c r="C4228">
        <v>1.01986467679599</v>
      </c>
      <c r="D4228">
        <v>1.0388522857538001</v>
      </c>
      <c r="E4228">
        <v>0.79778450916670396</v>
      </c>
      <c r="F4228">
        <v>0.57277032716156395</v>
      </c>
      <c r="G4228">
        <v>0.55350729152192901</v>
      </c>
      <c r="H4228">
        <v>0.67461769292933205</v>
      </c>
      <c r="I4228">
        <v>0.58177248292565198</v>
      </c>
      <c r="J4228">
        <v>0.50944381658208004</v>
      </c>
      <c r="K4228">
        <v>0.30628296965037399</v>
      </c>
      <c r="L4228">
        <v>1862.5032989797</v>
      </c>
      <c r="M4228">
        <v>39.591844406502801</v>
      </c>
      <c r="O4228">
        <v>46.923076542558299</v>
      </c>
      <c r="P4228">
        <v>-0.10002998545446599</v>
      </c>
      <c r="Q4228">
        <v>0.52579089201572504</v>
      </c>
      <c r="R4228">
        <v>0.86160484395928705</v>
      </c>
      <c r="S4228" t="s">
        <v>9811</v>
      </c>
      <c r="T4228" t="s">
        <v>11164</v>
      </c>
      <c r="U4228" t="s">
        <v>11164</v>
      </c>
      <c r="V4228" t="s">
        <v>11164</v>
      </c>
      <c r="W4228" t="s">
        <v>15348</v>
      </c>
      <c r="X4228">
        <v>3</v>
      </c>
      <c r="Y4228" t="s">
        <v>20820</v>
      </c>
      <c r="Z4228" t="s">
        <v>26378</v>
      </c>
      <c r="AA4228">
        <v>0.68610859765740062</v>
      </c>
      <c r="AB4228" t="str">
        <f>HYPERLINK("Melting_Curves/meltCurve_Q96BK5_PINX1.pdf", "Melting_Curves/meltCurve_Q96BK5_PINX1.pdf")</f>
        <v>Melting_Curves/meltCurve_Q96BK5_PINX1.pdf</v>
      </c>
    </row>
    <row r="4229" spans="1:28" x14ac:dyDescent="0.25">
      <c r="A4229" t="s">
        <v>4233</v>
      </c>
      <c r="B4229">
        <v>0.99796759195183404</v>
      </c>
      <c r="C4229">
        <v>1.05719038616584</v>
      </c>
      <c r="D4229">
        <v>0.99933868638986201</v>
      </c>
      <c r="E4229">
        <v>0.982392073199437</v>
      </c>
      <c r="F4229">
        <v>0.92134480240869399</v>
      </c>
      <c r="G4229">
        <v>0.68354569867082005</v>
      </c>
      <c r="H4229">
        <v>0.54777551032479099</v>
      </c>
      <c r="I4229">
        <v>0.43357447344468703</v>
      </c>
      <c r="J4229">
        <v>0.536456240953326</v>
      </c>
      <c r="K4229">
        <v>0.53955478152173897</v>
      </c>
      <c r="L4229">
        <v>1731.6015062005199</v>
      </c>
      <c r="M4229">
        <v>32.780710676211299</v>
      </c>
      <c r="O4229">
        <v>52.628374128040797</v>
      </c>
      <c r="P4229">
        <v>-7.7199315024372495E-2</v>
      </c>
      <c r="Q4229">
        <v>0.50423822721557399</v>
      </c>
      <c r="R4229">
        <v>0.97830352492685801</v>
      </c>
      <c r="S4229" t="s">
        <v>9812</v>
      </c>
      <c r="T4229" t="s">
        <v>11164</v>
      </c>
      <c r="U4229" t="s">
        <v>11164</v>
      </c>
      <c r="V4229" t="s">
        <v>11164</v>
      </c>
      <c r="W4229" t="s">
        <v>15349</v>
      </c>
      <c r="X4229">
        <v>3</v>
      </c>
      <c r="Y4229" t="s">
        <v>20821</v>
      </c>
      <c r="Z4229" t="s">
        <v>26379</v>
      </c>
      <c r="AA4229">
        <v>0.76839529640305981</v>
      </c>
      <c r="AB4229" t="str">
        <f>HYPERLINK("Melting_Curves/meltCurve_Q96BM9_ARL8A.pdf", "Melting_Curves/meltCurve_Q96BM9_ARL8A.pdf")</f>
        <v>Melting_Curves/meltCurve_Q96BM9_ARL8A.pdf</v>
      </c>
    </row>
    <row r="4230" spans="1:28" x14ac:dyDescent="0.25">
      <c r="A4230" t="s">
        <v>4234</v>
      </c>
      <c r="B4230">
        <v>0.99796759195183404</v>
      </c>
      <c r="C4230">
        <v>0.98560633353364901</v>
      </c>
      <c r="D4230">
        <v>0.96949880697501001</v>
      </c>
      <c r="E4230">
        <v>0.97892628634948997</v>
      </c>
      <c r="F4230">
        <v>0.79757847313697505</v>
      </c>
      <c r="G4230">
        <v>0.33484409453856101</v>
      </c>
      <c r="H4230">
        <v>0.20541951293204699</v>
      </c>
      <c r="I4230">
        <v>0.160009465764829</v>
      </c>
      <c r="J4230">
        <v>0.15890749903335499</v>
      </c>
      <c r="K4230">
        <v>0.12769307831531701</v>
      </c>
      <c r="L4230">
        <v>1764.5484771818999</v>
      </c>
      <c r="M4230">
        <v>34.023653236247704</v>
      </c>
      <c r="N4230">
        <v>52.420161193538299</v>
      </c>
      <c r="O4230">
        <v>51.684225481863301</v>
      </c>
      <c r="P4230">
        <v>-0.13958172412320299</v>
      </c>
      <c r="Q4230">
        <v>0.15186712247765999</v>
      </c>
      <c r="R4230">
        <v>0.99835673091832799</v>
      </c>
      <c r="S4230" t="s">
        <v>9813</v>
      </c>
      <c r="T4230" t="s">
        <v>11164</v>
      </c>
      <c r="U4230" t="s">
        <v>11164</v>
      </c>
      <c r="V4230" t="s">
        <v>11164</v>
      </c>
      <c r="W4230" t="s">
        <v>15350</v>
      </c>
      <c r="X4230">
        <v>9</v>
      </c>
      <c r="Y4230" t="s">
        <v>20822</v>
      </c>
      <c r="Z4230" t="s">
        <v>26380</v>
      </c>
      <c r="AA4230">
        <v>0.57622582950933521</v>
      </c>
      <c r="AB4230" t="str">
        <f>HYPERLINK("Melting_Curves/meltCurve_Q96BN8_FAM105B.pdf", "Melting_Curves/meltCurve_Q96BN8_FAM105B.pdf")</f>
        <v>Melting_Curves/meltCurve_Q96BN8_FAM105B.pdf</v>
      </c>
    </row>
    <row r="4231" spans="1:28" x14ac:dyDescent="0.25">
      <c r="A4231" t="s">
        <v>4235</v>
      </c>
      <c r="B4231">
        <v>0.99796759195183404</v>
      </c>
      <c r="C4231">
        <v>0.90970043901934905</v>
      </c>
      <c r="D4231">
        <v>0.94964119798578095</v>
      </c>
      <c r="E4231">
        <v>0.81186597639227198</v>
      </c>
      <c r="F4231">
        <v>0.71927816725926197</v>
      </c>
      <c r="G4231">
        <v>0.61935493421797105</v>
      </c>
      <c r="H4231">
        <v>0.52434032555010102</v>
      </c>
      <c r="I4231">
        <v>0.48983326648674902</v>
      </c>
      <c r="J4231">
        <v>0.36443614166017402</v>
      </c>
      <c r="K4231">
        <v>0.28030469709314099</v>
      </c>
      <c r="L4231">
        <v>362.26093433324098</v>
      </c>
      <c r="M4231">
        <v>6.1981733185904098</v>
      </c>
      <c r="N4231">
        <v>58.446404226828903</v>
      </c>
      <c r="O4231">
        <v>53.2428444041335</v>
      </c>
      <c r="P4231">
        <v>-2.9187216262661599E-2</v>
      </c>
      <c r="Q4231">
        <v>0</v>
      </c>
      <c r="R4231">
        <v>0.98444166403986699</v>
      </c>
      <c r="S4231" t="s">
        <v>9814</v>
      </c>
      <c r="T4231" t="s">
        <v>11164</v>
      </c>
      <c r="U4231" t="s">
        <v>11164</v>
      </c>
      <c r="V4231" t="s">
        <v>11164</v>
      </c>
      <c r="W4231" t="s">
        <v>15351</v>
      </c>
      <c r="X4231">
        <v>3</v>
      </c>
      <c r="Y4231" t="s">
        <v>20823</v>
      </c>
      <c r="Z4231" t="s">
        <v>26381</v>
      </c>
      <c r="AA4231">
        <v>0.66988198202528093</v>
      </c>
      <c r="AB4231" t="str">
        <f>HYPERLINK("Melting_Curves/meltCurve_Q96BP2_CHCHD1.pdf", "Melting_Curves/meltCurve_Q96BP2_CHCHD1.pdf")</f>
        <v>Melting_Curves/meltCurve_Q96BP2_CHCHD1.pdf</v>
      </c>
    </row>
    <row r="4232" spans="1:28" x14ac:dyDescent="0.25">
      <c r="A4232" t="s">
        <v>4236</v>
      </c>
      <c r="B4232">
        <v>0.99796759195183404</v>
      </c>
      <c r="C4232">
        <v>0.96384546554010297</v>
      </c>
      <c r="D4232">
        <v>1.0278885633394099</v>
      </c>
      <c r="E4232">
        <v>0.94321883816074403</v>
      </c>
      <c r="F4232">
        <v>0.77069913289129799</v>
      </c>
      <c r="G4232">
        <v>0.35749742553476599</v>
      </c>
      <c r="H4232">
        <v>0.21302131412369699</v>
      </c>
      <c r="I4232">
        <v>0.19185193641496801</v>
      </c>
      <c r="J4232">
        <v>0.12534815618336201</v>
      </c>
      <c r="K4232">
        <v>9.23397980955869E-2</v>
      </c>
      <c r="L4232">
        <v>1378.8029933364201</v>
      </c>
      <c r="M4232">
        <v>26.5337126624588</v>
      </c>
      <c r="N4232">
        <v>52.558407502690898</v>
      </c>
      <c r="O4232">
        <v>51.671746266531798</v>
      </c>
      <c r="P4232">
        <v>-0.111741880892418</v>
      </c>
      <c r="Q4232">
        <v>0.129585150874794</v>
      </c>
      <c r="R4232">
        <v>0.99494203733378295</v>
      </c>
      <c r="S4232" t="s">
        <v>9815</v>
      </c>
      <c r="T4232" t="s">
        <v>11164</v>
      </c>
      <c r="U4232" t="s">
        <v>11164</v>
      </c>
      <c r="V4232" t="s">
        <v>11164</v>
      </c>
      <c r="W4232" t="s">
        <v>15352</v>
      </c>
      <c r="X4232">
        <v>11</v>
      </c>
      <c r="Y4232" t="s">
        <v>20824</v>
      </c>
      <c r="Z4232" t="s">
        <v>26382</v>
      </c>
      <c r="AA4232">
        <v>0.57067155637032141</v>
      </c>
      <c r="AB4232" t="str">
        <f>HYPERLINK("Melting_Curves/meltCurve_Q96BP3_PPWD1.pdf", "Melting_Curves/meltCurve_Q96BP3_PPWD1.pdf")</f>
        <v>Melting_Curves/meltCurve_Q96BP3_PPWD1.pdf</v>
      </c>
    </row>
    <row r="4233" spans="1:28" x14ac:dyDescent="0.25">
      <c r="A4233" t="s">
        <v>4237</v>
      </c>
      <c r="B4233">
        <v>0.99796759195183404</v>
      </c>
      <c r="C4233">
        <v>0.96038413963358804</v>
      </c>
      <c r="D4233">
        <v>0.89698961828244395</v>
      </c>
      <c r="E4233">
        <v>0.89939948260473501</v>
      </c>
      <c r="F4233">
        <v>0.78897474156784997</v>
      </c>
      <c r="G4233">
        <v>0.65556404263485601</v>
      </c>
      <c r="H4233">
        <v>0.349957287824188</v>
      </c>
      <c r="I4233">
        <v>0.22492390979580701</v>
      </c>
      <c r="J4233">
        <v>0.20895206224495</v>
      </c>
      <c r="K4233">
        <v>0.212204912490047</v>
      </c>
      <c r="L4233">
        <v>783.19277231333797</v>
      </c>
      <c r="M4233">
        <v>14.4413477602876</v>
      </c>
      <c r="N4233">
        <v>55.292487663060903</v>
      </c>
      <c r="O4233">
        <v>53.224564022860399</v>
      </c>
      <c r="P4233">
        <v>-5.96383002106739E-2</v>
      </c>
      <c r="Q4233">
        <v>0.120899076617384</v>
      </c>
      <c r="R4233">
        <v>0.98120729703744802</v>
      </c>
      <c r="S4233" t="s">
        <v>9816</v>
      </c>
      <c r="T4233" t="s">
        <v>11164</v>
      </c>
      <c r="U4233" t="s">
        <v>11164</v>
      </c>
      <c r="V4233" t="s">
        <v>11164</v>
      </c>
      <c r="W4233" t="s">
        <v>15353</v>
      </c>
      <c r="X4233">
        <v>14</v>
      </c>
      <c r="Y4233" t="s">
        <v>20825</v>
      </c>
      <c r="Z4233" t="s">
        <v>26383</v>
      </c>
      <c r="AA4233">
        <v>0.64004462530570905</v>
      </c>
      <c r="AB4233" t="str">
        <f>HYPERLINK("Melting_Curves/meltCurve_Q96BR5_SELRC1.pdf", "Melting_Curves/meltCurve_Q96BR5_SELRC1.pdf")</f>
        <v>Melting_Curves/meltCurve_Q96BR5_SELRC1.pdf</v>
      </c>
    </row>
    <row r="4234" spans="1:28" x14ac:dyDescent="0.25">
      <c r="A4234" t="s">
        <v>4238</v>
      </c>
      <c r="B4234">
        <v>0.99796759195183404</v>
      </c>
      <c r="C4234">
        <v>0.99079032149066204</v>
      </c>
      <c r="D4234">
        <v>1.0067933690336099</v>
      </c>
      <c r="E4234">
        <v>0.78917409541257999</v>
      </c>
      <c r="F4234">
        <v>0.71784115493633105</v>
      </c>
      <c r="G4234">
        <v>0.33941826301500599</v>
      </c>
      <c r="H4234">
        <v>0.21580110252514001</v>
      </c>
      <c r="I4234">
        <v>0.148357749393251</v>
      </c>
      <c r="J4234">
        <v>0.18981387822050799</v>
      </c>
      <c r="K4234">
        <v>0.15097491393302301</v>
      </c>
      <c r="L4234">
        <v>960.69725659725304</v>
      </c>
      <c r="M4234">
        <v>18.8023233907536</v>
      </c>
      <c r="N4234">
        <v>51.957781386645799</v>
      </c>
      <c r="O4234">
        <v>50.527155984559101</v>
      </c>
      <c r="P4234">
        <v>-8.0554737192399903E-2</v>
      </c>
      <c r="Q4234">
        <v>0.13414250629155899</v>
      </c>
      <c r="R4234">
        <v>0.98542856758238595</v>
      </c>
      <c r="S4234" t="s">
        <v>9817</v>
      </c>
      <c r="T4234" t="s">
        <v>11164</v>
      </c>
      <c r="U4234" t="s">
        <v>11164</v>
      </c>
      <c r="V4234" t="s">
        <v>11164</v>
      </c>
      <c r="W4234" t="s">
        <v>15354</v>
      </c>
      <c r="X4234">
        <v>4</v>
      </c>
      <c r="Y4234" t="s">
        <v>20826</v>
      </c>
      <c r="Z4234" t="s">
        <v>26384</v>
      </c>
      <c r="AA4234">
        <v>0.55345979572596515</v>
      </c>
      <c r="AB4234" t="str">
        <f>HYPERLINK("Melting_Curves/meltCurve_Q96BT7_ALKBH8.pdf", "Melting_Curves/meltCurve_Q96BT7_ALKBH8.pdf")</f>
        <v>Melting_Curves/meltCurve_Q96BT7_ALKBH8.pdf</v>
      </c>
    </row>
    <row r="4235" spans="1:28" x14ac:dyDescent="0.25">
      <c r="A4235" t="s">
        <v>4239</v>
      </c>
      <c r="B4235">
        <v>0.99796759195183404</v>
      </c>
      <c r="C4235">
        <v>0.95192513485879604</v>
      </c>
      <c r="D4235">
        <v>0.92335145388940898</v>
      </c>
      <c r="E4235">
        <v>0.85387380348370001</v>
      </c>
      <c r="F4235">
        <v>0.83347383070059</v>
      </c>
      <c r="G4235">
        <v>0.64962625368497495</v>
      </c>
      <c r="H4235">
        <v>0.56056541494869705</v>
      </c>
      <c r="I4235">
        <v>0.47403114408752101</v>
      </c>
      <c r="J4235">
        <v>0.51207612331920704</v>
      </c>
      <c r="K4235">
        <v>0.27319134538545398</v>
      </c>
      <c r="L4235">
        <v>385.59167254697599</v>
      </c>
      <c r="M4235">
        <v>6.3900808919959999</v>
      </c>
      <c r="N4235">
        <v>60.342220820496401</v>
      </c>
      <c r="O4235">
        <v>55.244898976464299</v>
      </c>
      <c r="P4235">
        <v>-2.89917610836723E-2</v>
      </c>
      <c r="Q4235">
        <v>0</v>
      </c>
      <c r="R4235">
        <v>0.96050926358354904</v>
      </c>
      <c r="S4235" t="s">
        <v>9818</v>
      </c>
      <c r="T4235" t="s">
        <v>11164</v>
      </c>
      <c r="U4235" t="s">
        <v>11164</v>
      </c>
      <c r="V4235" t="s">
        <v>11164</v>
      </c>
      <c r="W4235" t="s">
        <v>15355</v>
      </c>
      <c r="X4235">
        <v>10</v>
      </c>
      <c r="Y4235" t="s">
        <v>20827</v>
      </c>
      <c r="Z4235" t="s">
        <v>26385</v>
      </c>
      <c r="AA4235">
        <v>0.70975859990659018</v>
      </c>
      <c r="AB4235" t="str">
        <f>HYPERLINK("Melting_Curves/meltCurve_Q96BW5_2_PTER.pdf", "Melting_Curves/meltCurve_Q96BW5_2_PTER.pdf")</f>
        <v>Melting_Curves/meltCurve_Q96BW5_2_PTER.pdf</v>
      </c>
    </row>
    <row r="4236" spans="1:28" x14ac:dyDescent="0.25">
      <c r="A4236" t="s">
        <v>4240</v>
      </c>
      <c r="B4236">
        <v>0.99796759195183404</v>
      </c>
      <c r="C4236">
        <v>1.06201707757268</v>
      </c>
      <c r="D4236">
        <v>1.06637413626564</v>
      </c>
      <c r="E4236">
        <v>0.88649032503587</v>
      </c>
      <c r="F4236">
        <v>0.97734702290841602</v>
      </c>
      <c r="G4236">
        <v>1.0295394619924101</v>
      </c>
      <c r="H4236">
        <v>0.86791478429086699</v>
      </c>
      <c r="I4236">
        <v>0.815238925145786</v>
      </c>
      <c r="J4236">
        <v>0.31896922430333302</v>
      </c>
      <c r="K4236">
        <v>0.17550729809638599</v>
      </c>
      <c r="L4236">
        <v>2955.4719916056602</v>
      </c>
      <c r="M4236">
        <v>47.296377534119401</v>
      </c>
      <c r="N4236">
        <v>62.897157504073498</v>
      </c>
      <c r="O4236">
        <v>62.376933461575497</v>
      </c>
      <c r="P4236">
        <v>-0.164474977027745</v>
      </c>
      <c r="Q4236">
        <v>0.13232819360940901</v>
      </c>
      <c r="R4236">
        <v>0.95785808637144398</v>
      </c>
      <c r="S4236" t="s">
        <v>9819</v>
      </c>
      <c r="T4236" t="s">
        <v>11164</v>
      </c>
      <c r="U4236" t="s">
        <v>11164</v>
      </c>
      <c r="V4236" t="s">
        <v>11164</v>
      </c>
      <c r="W4236" t="s">
        <v>15356</v>
      </c>
      <c r="X4236">
        <v>5</v>
      </c>
      <c r="Y4236" t="s">
        <v>20828</v>
      </c>
      <c r="Z4236" t="s">
        <v>26386</v>
      </c>
      <c r="AA4236">
        <v>0.8703174535933903</v>
      </c>
      <c r="AB4236" t="str">
        <f>HYPERLINK("Melting_Curves/meltCurve_Q96BY7_ATG2B.pdf", "Melting_Curves/meltCurve_Q96BY7_ATG2B.pdf")</f>
        <v>Melting_Curves/meltCurve_Q96BY7_ATG2B.pdf</v>
      </c>
    </row>
    <row r="4237" spans="1:28" x14ac:dyDescent="0.25">
      <c r="A4237" t="s">
        <v>4241</v>
      </c>
      <c r="B4237">
        <v>0.99796759195183404</v>
      </c>
      <c r="C4237">
        <v>1.04539379539068</v>
      </c>
      <c r="D4237">
        <v>1.03646105603786</v>
      </c>
      <c r="E4237">
        <v>1.0540717755030899</v>
      </c>
      <c r="F4237">
        <v>0.81034306905243103</v>
      </c>
      <c r="G4237">
        <v>0.66272750952157</v>
      </c>
      <c r="H4237">
        <v>0.72682342238091202</v>
      </c>
      <c r="I4237">
        <v>0.64963671613826102</v>
      </c>
      <c r="J4237">
        <v>0.64867412673777902</v>
      </c>
      <c r="K4237">
        <v>0.48733809003127398</v>
      </c>
      <c r="L4237">
        <v>4654.6139047640099</v>
      </c>
      <c r="M4237">
        <v>92.794813065633207</v>
      </c>
      <c r="O4237">
        <v>50.136999396067999</v>
      </c>
      <c r="P4237">
        <v>-0.16895212231000301</v>
      </c>
      <c r="Q4237">
        <v>0.63486098573150695</v>
      </c>
      <c r="R4237">
        <v>0.90228872132759497</v>
      </c>
      <c r="S4237" t="s">
        <v>9820</v>
      </c>
      <c r="T4237" t="s">
        <v>11164</v>
      </c>
      <c r="U4237" t="s">
        <v>11164</v>
      </c>
      <c r="V4237" t="s">
        <v>11164</v>
      </c>
      <c r="W4237" t="s">
        <v>15357</v>
      </c>
      <c r="X4237">
        <v>6</v>
      </c>
      <c r="Y4237" t="s">
        <v>20829</v>
      </c>
      <c r="Z4237" t="s">
        <v>26387</v>
      </c>
      <c r="AA4237">
        <v>0.79527235000208119</v>
      </c>
      <c r="AB4237" t="str">
        <f>HYPERLINK("Melting_Curves/meltCurve_Q96BZ8_LENG1.pdf", "Melting_Curves/meltCurve_Q96BZ8_LENG1.pdf")</f>
        <v>Melting_Curves/meltCurve_Q96BZ8_LENG1.pdf</v>
      </c>
    </row>
    <row r="4238" spans="1:28" x14ac:dyDescent="0.25">
      <c r="A4238" t="s">
        <v>4242</v>
      </c>
      <c r="B4238">
        <v>0.99796759195183404</v>
      </c>
      <c r="C4238">
        <v>1.1529519069029099</v>
      </c>
      <c r="D4238">
        <v>0.92534769636570902</v>
      </c>
      <c r="E4238">
        <v>0.96885728627410295</v>
      </c>
      <c r="F4238">
        <v>0.75344278861593394</v>
      </c>
      <c r="G4238">
        <v>0.49793861824368801</v>
      </c>
      <c r="H4238">
        <v>0.22059593298889299</v>
      </c>
      <c r="I4238">
        <v>0.151075399433868</v>
      </c>
      <c r="J4238">
        <v>6.6451021731219806E-2</v>
      </c>
      <c r="K4238">
        <v>2.9481363601253401E-2</v>
      </c>
      <c r="L4238">
        <v>961.88052438837497</v>
      </c>
      <c r="M4238">
        <v>17.976421116143499</v>
      </c>
      <c r="N4238">
        <v>53.629483398342003</v>
      </c>
      <c r="O4238">
        <v>52.8589206420368</v>
      </c>
      <c r="P4238">
        <v>-8.3327216719804004E-2</v>
      </c>
      <c r="Q4238">
        <v>1.9967707515796299E-2</v>
      </c>
      <c r="R4238">
        <v>0.98140883515257404</v>
      </c>
      <c r="S4238" t="s">
        <v>9821</v>
      </c>
      <c r="T4238" t="s">
        <v>11164</v>
      </c>
      <c r="U4238" t="s">
        <v>11164</v>
      </c>
      <c r="V4238" t="s">
        <v>11164</v>
      </c>
      <c r="W4238" t="s">
        <v>15358</v>
      </c>
      <c r="X4238">
        <v>2</v>
      </c>
      <c r="Y4238" t="s">
        <v>20830</v>
      </c>
      <c r="Z4238" t="s">
        <v>26388</v>
      </c>
      <c r="AA4238">
        <v>0.57313837712771931</v>
      </c>
      <c r="AB4238" t="str">
        <f>HYPERLINK("Melting_Curves/meltCurve_Q96BZ9_TBC1D20.pdf", "Melting_Curves/meltCurve_Q96BZ9_TBC1D20.pdf")</f>
        <v>Melting_Curves/meltCurve_Q96BZ9_TBC1D20.pdf</v>
      </c>
    </row>
    <row r="4239" spans="1:28" x14ac:dyDescent="0.25">
      <c r="A4239" t="s">
        <v>4243</v>
      </c>
      <c r="B4239">
        <v>0.99796759195183404</v>
      </c>
      <c r="C4239">
        <v>0.94461267594287901</v>
      </c>
      <c r="D4239">
        <v>0.86412256016809197</v>
      </c>
      <c r="E4239">
        <v>0.916727619391142</v>
      </c>
      <c r="F4239">
        <v>0.81774262361308503</v>
      </c>
      <c r="G4239">
        <v>0.53023524074615902</v>
      </c>
      <c r="H4239">
        <v>0.37754917403277999</v>
      </c>
      <c r="I4239">
        <v>0.227357815184311</v>
      </c>
      <c r="J4239">
        <v>0.19587730718410901</v>
      </c>
      <c r="K4239">
        <v>0.183473138481904</v>
      </c>
      <c r="L4239">
        <v>777.20940788378596</v>
      </c>
      <c r="M4239">
        <v>14.4584407695304</v>
      </c>
      <c r="N4239">
        <v>54.769812427023098</v>
      </c>
      <c r="O4239">
        <v>52.7577907921006</v>
      </c>
      <c r="P4239">
        <v>-6.0467656584093497E-2</v>
      </c>
      <c r="Q4239">
        <v>0.117534766156962</v>
      </c>
      <c r="R4239">
        <v>0.98101330453478397</v>
      </c>
      <c r="S4239" t="s">
        <v>9822</v>
      </c>
      <c r="T4239" t="s">
        <v>11164</v>
      </c>
      <c r="U4239" t="s">
        <v>11164</v>
      </c>
      <c r="V4239" t="s">
        <v>11164</v>
      </c>
      <c r="W4239" t="s">
        <v>15359</v>
      </c>
      <c r="X4239">
        <v>8</v>
      </c>
      <c r="Y4239" t="s">
        <v>20831</v>
      </c>
      <c r="Z4239" t="s">
        <v>26389</v>
      </c>
      <c r="AA4239">
        <v>0.62547541601757528</v>
      </c>
      <c r="AB4239" t="str">
        <f>HYPERLINK("Melting_Curves/meltCurve_Q96C19_EFHD2.pdf", "Melting_Curves/meltCurve_Q96C19_EFHD2.pdf")</f>
        <v>Melting_Curves/meltCurve_Q96C19_EFHD2.pdf</v>
      </c>
    </row>
    <row r="4240" spans="1:28" x14ac:dyDescent="0.25">
      <c r="A4240" t="s">
        <v>4244</v>
      </c>
      <c r="B4240">
        <v>0.99796759195183404</v>
      </c>
      <c r="C4240">
        <v>0.97554128818199004</v>
      </c>
      <c r="D4240">
        <v>1.0120869235064101</v>
      </c>
      <c r="E4240">
        <v>0.97420920520520504</v>
      </c>
      <c r="F4240">
        <v>0.820562717735563</v>
      </c>
      <c r="G4240">
        <v>0.48147518429024</v>
      </c>
      <c r="H4240">
        <v>0.26917675695532201</v>
      </c>
      <c r="I4240">
        <v>0.16675333906209999</v>
      </c>
      <c r="J4240">
        <v>0.106093910923094</v>
      </c>
      <c r="K4240">
        <v>8.1149584941085304E-2</v>
      </c>
      <c r="L4240">
        <v>1136.56345258535</v>
      </c>
      <c r="M4240">
        <v>21.299984466633099</v>
      </c>
      <c r="N4240">
        <v>53.841882097756603</v>
      </c>
      <c r="O4240">
        <v>52.896174356094299</v>
      </c>
      <c r="P4240">
        <v>-9.1932353742808795E-2</v>
      </c>
      <c r="Q4240">
        <v>8.6807575655886093E-2</v>
      </c>
      <c r="R4240">
        <v>0.99819517418979897</v>
      </c>
      <c r="S4240" t="s">
        <v>9823</v>
      </c>
      <c r="T4240" t="s">
        <v>11164</v>
      </c>
      <c r="U4240" t="s">
        <v>11164</v>
      </c>
      <c r="V4240" t="s">
        <v>11164</v>
      </c>
      <c r="W4240" t="s">
        <v>15360</v>
      </c>
      <c r="X4240">
        <v>5</v>
      </c>
      <c r="Y4240" t="s">
        <v>20832</v>
      </c>
      <c r="Z4240" t="s">
        <v>26390</v>
      </c>
      <c r="AA4240">
        <v>0.59517285604240955</v>
      </c>
      <c r="AB4240" t="str">
        <f>HYPERLINK("Melting_Curves/meltCurve_Q96C23_GALM.pdf", "Melting_Curves/meltCurve_Q96C23_GALM.pdf")</f>
        <v>Melting_Curves/meltCurve_Q96C23_GALM.pdf</v>
      </c>
    </row>
    <row r="4241" spans="1:28" x14ac:dyDescent="0.25">
      <c r="A4241" t="s">
        <v>4245</v>
      </c>
      <c r="B4241">
        <v>0.99796759195183404</v>
      </c>
      <c r="C4241">
        <v>1.12233123256762</v>
      </c>
      <c r="D4241">
        <v>0.94665015877388203</v>
      </c>
      <c r="E4241">
        <v>0.73636489431208996</v>
      </c>
      <c r="F4241">
        <v>0.52306389373402795</v>
      </c>
      <c r="G4241">
        <v>0.440045538987406</v>
      </c>
      <c r="H4241">
        <v>0.376899431202526</v>
      </c>
      <c r="I4241">
        <v>0.435730973844001</v>
      </c>
      <c r="J4241">
        <v>0.24725907006848799</v>
      </c>
      <c r="K4241">
        <v>0.27974765313122901</v>
      </c>
      <c r="L4241">
        <v>897.08525981737705</v>
      </c>
      <c r="M4241">
        <v>18.638568710856202</v>
      </c>
      <c r="N4241">
        <v>50.988534648945297</v>
      </c>
      <c r="O4241">
        <v>47.586805636787098</v>
      </c>
      <c r="P4241">
        <v>-6.6185977844219604E-2</v>
      </c>
      <c r="Q4241">
        <v>0.32410177820828001</v>
      </c>
      <c r="R4241">
        <v>0.95556562356725705</v>
      </c>
      <c r="S4241" t="s">
        <v>9824</v>
      </c>
      <c r="T4241" t="s">
        <v>11164</v>
      </c>
      <c r="U4241" t="s">
        <v>11164</v>
      </c>
      <c r="V4241" t="s">
        <v>11164</v>
      </c>
      <c r="W4241" t="s">
        <v>15361</v>
      </c>
      <c r="X4241">
        <v>1</v>
      </c>
      <c r="Y4241" t="s">
        <v>20833</v>
      </c>
      <c r="Z4241" t="s">
        <v>26391</v>
      </c>
      <c r="AA4241">
        <v>0.58500382955262409</v>
      </c>
      <c r="AB4241" t="str">
        <f>HYPERLINK("Melting_Curves/meltCurve_Q96C34_2_RUNDC1.pdf", "Melting_Curves/meltCurve_Q96C34_2_RUNDC1.pdf")</f>
        <v>Melting_Curves/meltCurve_Q96C34_2_RUNDC1.pdf</v>
      </c>
    </row>
    <row r="4242" spans="1:28" x14ac:dyDescent="0.25">
      <c r="A4242" t="s">
        <v>4246</v>
      </c>
      <c r="B4242">
        <v>0.99796759195183404</v>
      </c>
      <c r="C4242">
        <v>0.919706668716467</v>
      </c>
      <c r="D4242">
        <v>0.90858988618373504</v>
      </c>
      <c r="E4242">
        <v>0.85998334675084898</v>
      </c>
      <c r="F4242">
        <v>0.80604284178364405</v>
      </c>
      <c r="G4242">
        <v>1.0888678425673399</v>
      </c>
      <c r="H4242">
        <v>0.83671744501563705</v>
      </c>
      <c r="I4242">
        <v>0.91649462371507295</v>
      </c>
      <c r="J4242">
        <v>0.56639198995332796</v>
      </c>
      <c r="K4242">
        <v>0.27358529052685199</v>
      </c>
      <c r="L4242">
        <v>1923.5086376895599</v>
      </c>
      <c r="M4242">
        <v>29.6845756022662</v>
      </c>
      <c r="N4242">
        <v>64.798252803023004</v>
      </c>
      <c r="O4242">
        <v>64.506314210175702</v>
      </c>
      <c r="P4242">
        <v>-0.115046014293508</v>
      </c>
      <c r="Q4242">
        <v>0</v>
      </c>
      <c r="R4242">
        <v>0.79156515994419396</v>
      </c>
      <c r="S4242" t="s">
        <v>9825</v>
      </c>
      <c r="T4242" t="s">
        <v>11164</v>
      </c>
      <c r="U4242" t="s">
        <v>11164</v>
      </c>
      <c r="V4242" t="s">
        <v>11164</v>
      </c>
      <c r="W4242" t="s">
        <v>15362</v>
      </c>
      <c r="X4242">
        <v>7</v>
      </c>
      <c r="Y4242" t="s">
        <v>20834</v>
      </c>
      <c r="Z4242" t="s">
        <v>26392</v>
      </c>
      <c r="AA4242">
        <v>0.90779989659513605</v>
      </c>
      <c r="AB4242" t="str">
        <f>HYPERLINK("Melting_Curves/meltCurve_Q96C36_PYCR2.pdf", "Melting_Curves/meltCurve_Q96C36_PYCR2.pdf")</f>
        <v>Melting_Curves/meltCurve_Q96C36_PYCR2.pdf</v>
      </c>
    </row>
    <row r="4243" spans="1:28" x14ac:dyDescent="0.25">
      <c r="A4243" t="s">
        <v>4247</v>
      </c>
      <c r="B4243">
        <v>0.99796759195183404</v>
      </c>
      <c r="C4243">
        <v>1.0297909421709699</v>
      </c>
      <c r="D4243">
        <v>0.91206543200465595</v>
      </c>
      <c r="E4243">
        <v>0.834611978927293</v>
      </c>
      <c r="F4243">
        <v>0.68366835413214899</v>
      </c>
      <c r="G4243">
        <v>1.70788943721332</v>
      </c>
      <c r="H4243">
        <v>1.59601745724988</v>
      </c>
      <c r="I4243">
        <v>1.3256235433163299</v>
      </c>
      <c r="J4243">
        <v>1.6471883452399601</v>
      </c>
      <c r="K4243">
        <v>1.3713288688309</v>
      </c>
      <c r="L4243">
        <v>3592.2252947094798</v>
      </c>
      <c r="M4243">
        <v>68.957239959287904</v>
      </c>
      <c r="O4243">
        <v>52.049759689454</v>
      </c>
      <c r="P4243">
        <v>0.16560416705139799</v>
      </c>
      <c r="Q4243">
        <v>1.5</v>
      </c>
      <c r="R4243">
        <v>0.74918631811703396</v>
      </c>
      <c r="S4243" t="s">
        <v>9826</v>
      </c>
      <c r="T4243" t="s">
        <v>11164</v>
      </c>
      <c r="U4243" t="s">
        <v>11164</v>
      </c>
      <c r="V4243" t="s">
        <v>11164</v>
      </c>
      <c r="W4243" t="s">
        <v>15363</v>
      </c>
      <c r="X4243">
        <v>4</v>
      </c>
      <c r="Y4243" t="s">
        <v>20835</v>
      </c>
      <c r="Z4243" t="s">
        <v>26393</v>
      </c>
      <c r="AA4243">
        <v>1.247838905373662</v>
      </c>
      <c r="AB4243" t="str">
        <f>HYPERLINK("Melting_Curves/meltCurve_Q96C57_C12orf43.pdf", "Melting_Curves/meltCurve_Q96C57_C12orf43.pdf")</f>
        <v>Melting_Curves/meltCurve_Q96C57_C12orf43.pdf</v>
      </c>
    </row>
    <row r="4244" spans="1:28" x14ac:dyDescent="0.25">
      <c r="A4244" t="s">
        <v>4248</v>
      </c>
      <c r="B4244">
        <v>0.99796759195183404</v>
      </c>
      <c r="C4244">
        <v>0.98218100655265606</v>
      </c>
      <c r="D4244">
        <v>0.95978169867268004</v>
      </c>
      <c r="E4244">
        <v>0.913402608473737</v>
      </c>
      <c r="F4244">
        <v>0.82042240957869705</v>
      </c>
      <c r="G4244">
        <v>0.59766621339575099</v>
      </c>
      <c r="H4244">
        <v>0.56821427417203696</v>
      </c>
      <c r="I4244">
        <v>0.47673961120137498</v>
      </c>
      <c r="J4244">
        <v>0.31631815974767002</v>
      </c>
      <c r="K4244">
        <v>0.13349693837191601</v>
      </c>
      <c r="L4244">
        <v>534.48961918019802</v>
      </c>
      <c r="M4244">
        <v>9.1899390763393001</v>
      </c>
      <c r="N4244">
        <v>58.160279440814797</v>
      </c>
      <c r="O4244">
        <v>55.6050963748662</v>
      </c>
      <c r="P4244">
        <v>-4.1345602788429699E-2</v>
      </c>
      <c r="Q4244">
        <v>0</v>
      </c>
      <c r="R4244">
        <v>0.97100406356163704</v>
      </c>
      <c r="S4244" t="s">
        <v>9827</v>
      </c>
      <c r="T4244" t="s">
        <v>11164</v>
      </c>
      <c r="U4244" t="s">
        <v>11164</v>
      </c>
      <c r="V4244" t="s">
        <v>11164</v>
      </c>
      <c r="W4244" t="s">
        <v>15364</v>
      </c>
      <c r="X4244">
        <v>11</v>
      </c>
      <c r="Y4244" t="s">
        <v>20836</v>
      </c>
      <c r="Z4244" t="s">
        <v>26394</v>
      </c>
      <c r="AA4244">
        <v>0.69108471505240066</v>
      </c>
      <c r="AB4244" t="str">
        <f>HYPERLINK("Melting_Curves/meltCurve_Q96C86_DCPS.pdf", "Melting_Curves/meltCurve_Q96C86_DCPS.pdf")</f>
        <v>Melting_Curves/meltCurve_Q96C86_DCPS.pdf</v>
      </c>
    </row>
    <row r="4245" spans="1:28" x14ac:dyDescent="0.25">
      <c r="A4245" t="s">
        <v>4249</v>
      </c>
      <c r="B4245">
        <v>0.99796759195183404</v>
      </c>
      <c r="C4245">
        <v>1.0839716871287901</v>
      </c>
      <c r="D4245">
        <v>1.02199171167098</v>
      </c>
      <c r="E4245">
        <v>0.95321524803144997</v>
      </c>
      <c r="F4245">
        <v>0.91169961153337997</v>
      </c>
      <c r="G4245">
        <v>0.59007069690793501</v>
      </c>
      <c r="H4245">
        <v>0.72683118419921999</v>
      </c>
      <c r="I4245">
        <v>0.58943283586689299</v>
      </c>
      <c r="J4245">
        <v>0.82183453441733301</v>
      </c>
      <c r="K4245">
        <v>0.68336550376016503</v>
      </c>
      <c r="L4245">
        <v>12597.925428884901</v>
      </c>
      <c r="M4245">
        <v>250</v>
      </c>
      <c r="O4245">
        <v>50.388490195959797</v>
      </c>
      <c r="P4245">
        <v>-0.394054691233859</v>
      </c>
      <c r="Q4245">
        <v>0.68230694821634397</v>
      </c>
      <c r="R4245">
        <v>0.83811516417791898</v>
      </c>
      <c r="S4245" t="s">
        <v>9828</v>
      </c>
      <c r="T4245" t="s">
        <v>11164</v>
      </c>
      <c r="U4245" t="s">
        <v>11164</v>
      </c>
      <c r="V4245" t="s">
        <v>11164</v>
      </c>
      <c r="W4245" t="s">
        <v>15365</v>
      </c>
      <c r="X4245">
        <v>5</v>
      </c>
      <c r="Y4245" t="s">
        <v>20837</v>
      </c>
      <c r="Z4245" t="s">
        <v>26395</v>
      </c>
      <c r="AA4245">
        <v>0.82415006347915776</v>
      </c>
      <c r="AB4245" t="str">
        <f>HYPERLINK("Melting_Curves/meltCurve_Q96C90_PPP1R14B.pdf", "Melting_Curves/meltCurve_Q96C90_PPP1R14B.pdf")</f>
        <v>Melting_Curves/meltCurve_Q96C90_PPP1R14B.pdf</v>
      </c>
    </row>
    <row r="4246" spans="1:28" x14ac:dyDescent="0.25">
      <c r="A4246" t="s">
        <v>4250</v>
      </c>
      <c r="B4246">
        <v>0.99796759195183404</v>
      </c>
      <c r="C4246">
        <v>1.0318433193219001</v>
      </c>
      <c r="D4246">
        <v>1.0052136338333899</v>
      </c>
      <c r="E4246">
        <v>0.66588428096116903</v>
      </c>
      <c r="F4246">
        <v>0.475343662322528</v>
      </c>
      <c r="G4246">
        <v>0.40466690196690802</v>
      </c>
      <c r="H4246">
        <v>0.352838252421244</v>
      </c>
      <c r="I4246">
        <v>0.218670251978477</v>
      </c>
      <c r="J4246">
        <v>0.19360710585581201</v>
      </c>
      <c r="K4246">
        <v>0.177623812471257</v>
      </c>
      <c r="L4246">
        <v>752.56472512238702</v>
      </c>
      <c r="M4246">
        <v>15.4534167431716</v>
      </c>
      <c r="N4246">
        <v>50.401972822768698</v>
      </c>
      <c r="O4246">
        <v>47.905276539065298</v>
      </c>
      <c r="P4246">
        <v>-6.4249611179823099E-2</v>
      </c>
      <c r="Q4246">
        <v>0.20338153951551999</v>
      </c>
      <c r="R4246">
        <v>0.97239597976009096</v>
      </c>
      <c r="S4246" t="s">
        <v>9829</v>
      </c>
      <c r="T4246" t="s">
        <v>11164</v>
      </c>
      <c r="U4246" t="s">
        <v>11164</v>
      </c>
      <c r="V4246" t="s">
        <v>11164</v>
      </c>
      <c r="W4246" t="s">
        <v>15366</v>
      </c>
      <c r="X4246">
        <v>3</v>
      </c>
      <c r="Y4246" t="s">
        <v>20838</v>
      </c>
      <c r="Z4246" t="s">
        <v>26396</v>
      </c>
      <c r="AA4246">
        <v>0.53048724436959382</v>
      </c>
      <c r="AB4246" t="str">
        <f>HYPERLINK("Melting_Curves/meltCurve_Q96C92_4_SDCCAG3.pdf", "Melting_Curves/meltCurve_Q96C92_4_SDCCAG3.pdf")</f>
        <v>Melting_Curves/meltCurve_Q96C92_4_SDCCAG3.pdf</v>
      </c>
    </row>
    <row r="4247" spans="1:28" x14ac:dyDescent="0.25">
      <c r="A4247" t="s">
        <v>4251</v>
      </c>
      <c r="B4247">
        <v>0.99796759195183404</v>
      </c>
      <c r="C4247">
        <v>1.16061082911991</v>
      </c>
      <c r="D4247">
        <v>1.09761408100798</v>
      </c>
      <c r="E4247">
        <v>1.0574566279470601</v>
      </c>
      <c r="F4247">
        <v>0.894479869283059</v>
      </c>
      <c r="G4247">
        <v>0.60082568658458502</v>
      </c>
      <c r="H4247">
        <v>0.215120995523369</v>
      </c>
      <c r="I4247">
        <v>0.128292119343136</v>
      </c>
      <c r="J4247">
        <v>9.2541019120497697E-2</v>
      </c>
      <c r="K4247">
        <v>8.6750302341977295E-2</v>
      </c>
      <c r="L4247">
        <v>1624.49912662986</v>
      </c>
      <c r="M4247">
        <v>29.9931762752305</v>
      </c>
      <c r="N4247">
        <v>54.504742985279101</v>
      </c>
      <c r="O4247">
        <v>53.923253583835098</v>
      </c>
      <c r="P4247">
        <v>-0.12711362625568401</v>
      </c>
      <c r="Q4247">
        <v>8.5881073768506497E-2</v>
      </c>
      <c r="R4247">
        <v>0.97851383297716499</v>
      </c>
      <c r="S4247" t="s">
        <v>9830</v>
      </c>
      <c r="T4247" t="s">
        <v>11164</v>
      </c>
      <c r="U4247" t="s">
        <v>11164</v>
      </c>
      <c r="V4247" t="s">
        <v>11164</v>
      </c>
      <c r="W4247" t="s">
        <v>15367</v>
      </c>
      <c r="X4247">
        <v>2</v>
      </c>
      <c r="Y4247" t="s">
        <v>20839</v>
      </c>
      <c r="Z4247" t="s">
        <v>26397</v>
      </c>
      <c r="AA4247">
        <v>0.61466467918123058</v>
      </c>
      <c r="AB4247" t="str">
        <f>HYPERLINK("Melting_Curves/meltCurve_Q96CB9_4_NSUN4.pdf", "Melting_Curves/meltCurve_Q96CB9_4_NSUN4.pdf")</f>
        <v>Melting_Curves/meltCurve_Q96CB9_4_NSUN4.pdf</v>
      </c>
    </row>
    <row r="4248" spans="1:28" x14ac:dyDescent="0.25">
      <c r="A4248" t="s">
        <v>4252</v>
      </c>
      <c r="B4248">
        <v>0.99796759195183404</v>
      </c>
      <c r="C4248">
        <v>1.0168508450013001</v>
      </c>
      <c r="D4248">
        <v>0.97587142242397495</v>
      </c>
      <c r="E4248">
        <v>0.89314004615557596</v>
      </c>
      <c r="F4248">
        <v>0.86427171966193095</v>
      </c>
      <c r="G4248">
        <v>0.59757880565065302</v>
      </c>
      <c r="H4248">
        <v>0.53731372378694597</v>
      </c>
      <c r="I4248">
        <v>0.40863138508032798</v>
      </c>
      <c r="J4248">
        <v>0.51130739579715401</v>
      </c>
      <c r="K4248">
        <v>0.43128034075028598</v>
      </c>
      <c r="L4248">
        <v>1028.7235323858799</v>
      </c>
      <c r="M4248">
        <v>19.781356527185402</v>
      </c>
      <c r="N4248">
        <v>58.148995503199401</v>
      </c>
      <c r="O4248">
        <v>51.481978330864003</v>
      </c>
      <c r="P4248">
        <v>-5.3971183280440503E-2</v>
      </c>
      <c r="Q4248">
        <v>0.43816820247171201</v>
      </c>
      <c r="R4248">
        <v>0.97320846034197805</v>
      </c>
      <c r="S4248" t="s">
        <v>9831</v>
      </c>
      <c r="T4248" t="s">
        <v>11164</v>
      </c>
      <c r="U4248" t="s">
        <v>11164</v>
      </c>
      <c r="V4248" t="s">
        <v>11164</v>
      </c>
      <c r="W4248" t="s">
        <v>15368</v>
      </c>
      <c r="X4248">
        <v>7</v>
      </c>
      <c r="Y4248" t="s">
        <v>20840</v>
      </c>
      <c r="Z4248" t="s">
        <v>26398</v>
      </c>
      <c r="AA4248">
        <v>0.72655244614073733</v>
      </c>
      <c r="AB4248" t="str">
        <f>HYPERLINK("Melting_Curves/meltCurve_Q96CF2_CHMP4C.pdf", "Melting_Curves/meltCurve_Q96CF2_CHMP4C.pdf")</f>
        <v>Melting_Curves/meltCurve_Q96CF2_CHMP4C.pdf</v>
      </c>
    </row>
    <row r="4249" spans="1:28" x14ac:dyDescent="0.25">
      <c r="A4249" t="s">
        <v>4253</v>
      </c>
      <c r="B4249">
        <v>0.99796759195183404</v>
      </c>
      <c r="C4249">
        <v>0.96503537952075502</v>
      </c>
      <c r="D4249">
        <v>0.96918766479015095</v>
      </c>
      <c r="E4249">
        <v>0.92454897835029604</v>
      </c>
      <c r="F4249">
        <v>0.64814074994085402</v>
      </c>
      <c r="G4249">
        <v>0.445985969929516</v>
      </c>
      <c r="H4249">
        <v>0.41940711603373798</v>
      </c>
      <c r="I4249">
        <v>0.27050638479313299</v>
      </c>
      <c r="J4249">
        <v>0.12410949324503601</v>
      </c>
      <c r="K4249">
        <v>6.1992189888273402E-2</v>
      </c>
      <c r="L4249">
        <v>599.27114384926597</v>
      </c>
      <c r="M4249">
        <v>11.085915871273899</v>
      </c>
      <c r="N4249">
        <v>54.056980366613601</v>
      </c>
      <c r="O4249">
        <v>52.387406245322502</v>
      </c>
      <c r="P4249">
        <v>-5.2920848727477598E-2</v>
      </c>
      <c r="Q4249">
        <v>0</v>
      </c>
      <c r="R4249">
        <v>0.98048783482230595</v>
      </c>
      <c r="S4249" t="s">
        <v>9832</v>
      </c>
      <c r="T4249" t="s">
        <v>11164</v>
      </c>
      <c r="U4249" t="s">
        <v>11164</v>
      </c>
      <c r="V4249" t="s">
        <v>11164</v>
      </c>
      <c r="W4249" t="s">
        <v>15369</v>
      </c>
      <c r="X4249">
        <v>1</v>
      </c>
      <c r="Y4249" t="s">
        <v>20841</v>
      </c>
      <c r="Z4249" t="s">
        <v>26399</v>
      </c>
      <c r="AA4249">
        <v>0.58632527225655917</v>
      </c>
      <c r="AB4249" t="str">
        <f>HYPERLINK("Melting_Curves/meltCurve_Q96CG3_TIFA.pdf", "Melting_Curves/meltCurve_Q96CG3_TIFA.pdf")</f>
        <v>Melting_Curves/meltCurve_Q96CG3_TIFA.pdf</v>
      </c>
    </row>
    <row r="4250" spans="1:28" x14ac:dyDescent="0.25">
      <c r="A4250" t="s">
        <v>4254</v>
      </c>
      <c r="B4250">
        <v>0.99796759195183404</v>
      </c>
      <c r="C4250">
        <v>1.0071598938508299</v>
      </c>
      <c r="D4250">
        <v>0.96565011721246197</v>
      </c>
      <c r="E4250">
        <v>0.90340788947038397</v>
      </c>
      <c r="F4250">
        <v>0.84821932324320803</v>
      </c>
      <c r="G4250">
        <v>0.86295757411637897</v>
      </c>
      <c r="H4250">
        <v>0.72794563425090697</v>
      </c>
      <c r="I4250">
        <v>0.51447797930425798</v>
      </c>
      <c r="J4250">
        <v>0.10264852834242801</v>
      </c>
      <c r="K4250">
        <v>6.5516542505919997E-2</v>
      </c>
      <c r="L4250">
        <v>1282.2352395870901</v>
      </c>
      <c r="M4250">
        <v>21.372816393999098</v>
      </c>
      <c r="N4250">
        <v>59.9937493895603</v>
      </c>
      <c r="O4250">
        <v>59.475938358673702</v>
      </c>
      <c r="P4250">
        <v>-8.9840325702690696E-2</v>
      </c>
      <c r="Q4250">
        <v>0</v>
      </c>
      <c r="R4250">
        <v>0.95295324984662</v>
      </c>
      <c r="S4250" t="s">
        <v>9833</v>
      </c>
      <c r="T4250" t="s">
        <v>11164</v>
      </c>
      <c r="U4250" t="s">
        <v>11164</v>
      </c>
      <c r="V4250" t="s">
        <v>11164</v>
      </c>
      <c r="W4250" t="s">
        <v>15370</v>
      </c>
      <c r="X4250">
        <v>8</v>
      </c>
      <c r="Y4250" t="s">
        <v>20842</v>
      </c>
      <c r="Z4250" t="s">
        <v>26400</v>
      </c>
      <c r="AA4250">
        <v>0.76793586269515601</v>
      </c>
      <c r="AB4250" t="str">
        <f>HYPERLINK("Melting_Curves/meltCurve_Q96CN7_ISOC1.pdf", "Melting_Curves/meltCurve_Q96CN7_ISOC1.pdf")</f>
        <v>Melting_Curves/meltCurve_Q96CN7_ISOC1.pdf</v>
      </c>
    </row>
    <row r="4251" spans="1:28" x14ac:dyDescent="0.25">
      <c r="A4251" t="s">
        <v>4255</v>
      </c>
      <c r="B4251">
        <v>0.99796759195183404</v>
      </c>
      <c r="C4251">
        <v>0.88451089266350802</v>
      </c>
      <c r="D4251">
        <v>0.834869684981564</v>
      </c>
      <c r="E4251">
        <v>0.887258681221329</v>
      </c>
      <c r="F4251">
        <v>0.55732347543559202</v>
      </c>
      <c r="G4251">
        <v>0.31767189070837798</v>
      </c>
      <c r="H4251">
        <v>0.21279624045732301</v>
      </c>
      <c r="I4251">
        <v>0.15851858170247901</v>
      </c>
      <c r="J4251">
        <v>0.12826031567645499</v>
      </c>
      <c r="K4251">
        <v>9.6895656394623206E-2</v>
      </c>
      <c r="L4251">
        <v>724.54766068933304</v>
      </c>
      <c r="M4251">
        <v>14.3124607708861</v>
      </c>
      <c r="N4251">
        <v>51.186775860866</v>
      </c>
      <c r="O4251">
        <v>49.6660708655062</v>
      </c>
      <c r="P4251">
        <v>-6.6802902047358503E-2</v>
      </c>
      <c r="Q4251">
        <v>7.2854444965568796E-2</v>
      </c>
      <c r="R4251">
        <v>0.97537597624485595</v>
      </c>
      <c r="S4251" t="s">
        <v>9834</v>
      </c>
      <c r="T4251" t="s">
        <v>11164</v>
      </c>
      <c r="U4251" t="s">
        <v>11164</v>
      </c>
      <c r="V4251" t="s">
        <v>11164</v>
      </c>
      <c r="W4251" t="s">
        <v>15371</v>
      </c>
      <c r="X4251">
        <v>12</v>
      </c>
      <c r="Y4251" t="s">
        <v>20843</v>
      </c>
      <c r="Z4251" t="s">
        <v>26401</v>
      </c>
      <c r="AA4251">
        <v>0.51406646621353969</v>
      </c>
      <c r="AB4251" t="str">
        <f>HYPERLINK("Melting_Curves/meltCurve_Q96CN9_GCC1.pdf", "Melting_Curves/meltCurve_Q96CN9_GCC1.pdf")</f>
        <v>Melting_Curves/meltCurve_Q96CN9_GCC1.pdf</v>
      </c>
    </row>
    <row r="4252" spans="1:28" x14ac:dyDescent="0.25">
      <c r="A4252" t="s">
        <v>4256</v>
      </c>
      <c r="B4252">
        <v>0.99796759195183404</v>
      </c>
      <c r="C4252">
        <v>1.08476415141599</v>
      </c>
      <c r="D4252">
        <v>1.1067535885021</v>
      </c>
      <c r="E4252">
        <v>1.0882303572252301</v>
      </c>
      <c r="F4252">
        <v>0.958768287842932</v>
      </c>
      <c r="G4252">
        <v>0.58421461277595599</v>
      </c>
      <c r="H4252">
        <v>0.670129323910577</v>
      </c>
      <c r="I4252">
        <v>0.55369061425076804</v>
      </c>
      <c r="J4252">
        <v>0.724651968988822</v>
      </c>
      <c r="K4252">
        <v>0.71322075851574396</v>
      </c>
      <c r="L4252">
        <v>12651.20446879</v>
      </c>
      <c r="M4252">
        <v>250</v>
      </c>
      <c r="O4252">
        <v>50.601601672004001</v>
      </c>
      <c r="P4252">
        <v>-0.43330979315796397</v>
      </c>
      <c r="Q4252">
        <v>0.64918144019691804</v>
      </c>
      <c r="R4252">
        <v>0.88563104674194504</v>
      </c>
      <c r="S4252" t="s">
        <v>9835</v>
      </c>
      <c r="T4252" t="s">
        <v>11164</v>
      </c>
      <c r="U4252" t="s">
        <v>11164</v>
      </c>
      <c r="V4252" t="s">
        <v>11164</v>
      </c>
      <c r="W4252" t="s">
        <v>15372</v>
      </c>
      <c r="X4252">
        <v>9</v>
      </c>
      <c r="Y4252" t="s">
        <v>20844</v>
      </c>
      <c r="Z4252" t="s">
        <v>26402</v>
      </c>
      <c r="AA4252">
        <v>0.80830668373904757</v>
      </c>
      <c r="AB4252" t="str">
        <f>HYPERLINK("Melting_Curves/meltCurve_Q96CP2_FLYWCH2.pdf", "Melting_Curves/meltCurve_Q96CP2_FLYWCH2.pdf")</f>
        <v>Melting_Curves/meltCurve_Q96CP2_FLYWCH2.pdf</v>
      </c>
    </row>
    <row r="4253" spans="1:28" x14ac:dyDescent="0.25">
      <c r="A4253" t="s">
        <v>4257</v>
      </c>
      <c r="B4253">
        <v>0.99796759195183404</v>
      </c>
      <c r="C4253">
        <v>1.0544614997113799</v>
      </c>
      <c r="D4253">
        <v>1.0410235958162599</v>
      </c>
      <c r="E4253">
        <v>0.97870783473067502</v>
      </c>
      <c r="F4253">
        <v>0.68306505802676798</v>
      </c>
      <c r="G4253">
        <v>0.51398173208366804</v>
      </c>
      <c r="H4253">
        <v>0.32445638470875199</v>
      </c>
      <c r="I4253">
        <v>0.40704075176656102</v>
      </c>
      <c r="J4253">
        <v>0.25928999543106701</v>
      </c>
      <c r="K4253">
        <v>0.20187926921227001</v>
      </c>
      <c r="L4253">
        <v>1040.10018320013</v>
      </c>
      <c r="M4253">
        <v>20.145277897959399</v>
      </c>
      <c r="N4253">
        <v>53.631477263337601</v>
      </c>
      <c r="O4253">
        <v>51.129298837935302</v>
      </c>
      <c r="P4253">
        <v>-7.2475413544693196E-2</v>
      </c>
      <c r="Q4253">
        <v>0.26424447824647701</v>
      </c>
      <c r="R4253">
        <v>0.97197168134895395</v>
      </c>
      <c r="S4253" t="s">
        <v>9836</v>
      </c>
      <c r="T4253" t="s">
        <v>11164</v>
      </c>
      <c r="U4253" t="s">
        <v>11164</v>
      </c>
      <c r="V4253" t="s">
        <v>11164</v>
      </c>
      <c r="W4253" t="s">
        <v>15373</v>
      </c>
      <c r="X4253">
        <v>2</v>
      </c>
      <c r="Y4253" t="s">
        <v>20845</v>
      </c>
      <c r="Z4253" t="s">
        <v>26403</v>
      </c>
      <c r="AA4253">
        <v>0.63249727682802392</v>
      </c>
      <c r="AB4253" t="str">
        <f>HYPERLINK("Melting_Curves/meltCurve_Q96CS2_HAUS1.pdf", "Melting_Curves/meltCurve_Q96CS2_HAUS1.pdf")</f>
        <v>Melting_Curves/meltCurve_Q96CS2_HAUS1.pdf</v>
      </c>
    </row>
    <row r="4254" spans="1:28" x14ac:dyDescent="0.25">
      <c r="A4254" t="s">
        <v>4258</v>
      </c>
      <c r="B4254">
        <v>0.99796759195183404</v>
      </c>
      <c r="C4254">
        <v>0.95321773550501998</v>
      </c>
      <c r="D4254">
        <v>0.96866579623974103</v>
      </c>
      <c r="E4254">
        <v>0.87859287234051797</v>
      </c>
      <c r="F4254">
        <v>0.77065843270404</v>
      </c>
      <c r="G4254">
        <v>0.36943262969032697</v>
      </c>
      <c r="H4254">
        <v>0.212053633563627</v>
      </c>
      <c r="I4254">
        <v>0.16854687056005699</v>
      </c>
      <c r="J4254">
        <v>0.127362850638291</v>
      </c>
      <c r="K4254">
        <v>8.9259829633212898E-2</v>
      </c>
      <c r="L4254">
        <v>1106.31338008802</v>
      </c>
      <c r="M4254">
        <v>21.246137552931</v>
      </c>
      <c r="N4254">
        <v>52.6435121554671</v>
      </c>
      <c r="O4254">
        <v>51.616550688635797</v>
      </c>
      <c r="P4254">
        <v>-9.2295856629388898E-2</v>
      </c>
      <c r="Q4254">
        <v>0.103108212030397</v>
      </c>
      <c r="R4254">
        <v>0.992503965401625</v>
      </c>
      <c r="S4254" t="s">
        <v>9837</v>
      </c>
      <c r="T4254" t="s">
        <v>11164</v>
      </c>
      <c r="U4254" t="s">
        <v>11164</v>
      </c>
      <c r="V4254" t="s">
        <v>11164</v>
      </c>
      <c r="W4254" t="s">
        <v>15374</v>
      </c>
      <c r="X4254">
        <v>12</v>
      </c>
      <c r="Y4254" t="s">
        <v>20846</v>
      </c>
      <c r="Z4254" t="s">
        <v>26404</v>
      </c>
      <c r="AA4254">
        <v>0.56418921894281604</v>
      </c>
      <c r="AB4254" t="str">
        <f>HYPERLINK("Melting_Curves/meltCurve_Q96CS3_FAF2.pdf", "Melting_Curves/meltCurve_Q96CS3_FAF2.pdf")</f>
        <v>Melting_Curves/meltCurve_Q96CS3_FAF2.pdf</v>
      </c>
    </row>
    <row r="4255" spans="1:28" x14ac:dyDescent="0.25">
      <c r="A4255" t="s">
        <v>4259</v>
      </c>
      <c r="B4255">
        <v>0.99796759195183404</v>
      </c>
      <c r="C4255">
        <v>1.03733093090002</v>
      </c>
      <c r="D4255">
        <v>0.99019913512476898</v>
      </c>
      <c r="E4255">
        <v>0.91062775423831499</v>
      </c>
      <c r="F4255">
        <v>0.79091792706209096</v>
      </c>
      <c r="G4255">
        <v>0.56481973629119897</v>
      </c>
      <c r="H4255">
        <v>0.70507895681240895</v>
      </c>
      <c r="I4255">
        <v>0.62124071568295502</v>
      </c>
      <c r="J4255">
        <v>0.64600544243412406</v>
      </c>
      <c r="K4255">
        <v>0.60311246688523001</v>
      </c>
      <c r="L4255">
        <v>1431.0634302789499</v>
      </c>
      <c r="M4255">
        <v>29.162638205058801</v>
      </c>
      <c r="O4255">
        <v>48.842798678921397</v>
      </c>
      <c r="P4255">
        <v>-5.5775181477921702E-2</v>
      </c>
      <c r="Q4255">
        <v>0.62634433518564103</v>
      </c>
      <c r="R4255">
        <v>0.94184577599368802</v>
      </c>
      <c r="S4255" t="s">
        <v>9838</v>
      </c>
      <c r="T4255" t="s">
        <v>11164</v>
      </c>
      <c r="U4255" t="s">
        <v>11164</v>
      </c>
      <c r="V4255" t="s">
        <v>11164</v>
      </c>
      <c r="W4255" t="s">
        <v>15375</v>
      </c>
      <c r="X4255">
        <v>19</v>
      </c>
      <c r="Y4255" t="s">
        <v>20847</v>
      </c>
      <c r="Z4255" t="s">
        <v>26405</v>
      </c>
      <c r="AA4255">
        <v>0.77908838962580451</v>
      </c>
      <c r="AB4255" t="str">
        <f>HYPERLINK("Melting_Curves/meltCurve_Q96CT7_CCDC124.pdf", "Melting_Curves/meltCurve_Q96CT7_CCDC124.pdf")</f>
        <v>Melting_Curves/meltCurve_Q96CT7_CCDC124.pdf</v>
      </c>
    </row>
    <row r="4256" spans="1:28" x14ac:dyDescent="0.25">
      <c r="A4256" t="s">
        <v>4260</v>
      </c>
      <c r="B4256">
        <v>0.99796759195183404</v>
      </c>
      <c r="C4256">
        <v>1.02598333766278</v>
      </c>
      <c r="D4256">
        <v>1.0220145153425</v>
      </c>
      <c r="E4256">
        <v>0.83833890663932997</v>
      </c>
      <c r="F4256">
        <v>0.69898467351386995</v>
      </c>
      <c r="G4256">
        <v>0.42833912323971901</v>
      </c>
      <c r="H4256">
        <v>0.27052506481302202</v>
      </c>
      <c r="I4256">
        <v>0.201226205726761</v>
      </c>
      <c r="J4256">
        <v>0.147830584802457</v>
      </c>
      <c r="K4256">
        <v>0.116896843441921</v>
      </c>
      <c r="L4256">
        <v>826.49840459333996</v>
      </c>
      <c r="M4256">
        <v>15.87667481087</v>
      </c>
      <c r="N4256">
        <v>52.836057261929803</v>
      </c>
      <c r="O4256">
        <v>51.252504951114197</v>
      </c>
      <c r="P4256">
        <v>-6.9370879824818502E-2</v>
      </c>
      <c r="Q4256">
        <v>0.104309927515242</v>
      </c>
      <c r="R4256">
        <v>0.99507184812240101</v>
      </c>
      <c r="S4256" t="s">
        <v>9839</v>
      </c>
      <c r="T4256" t="s">
        <v>11164</v>
      </c>
      <c r="U4256" t="s">
        <v>11164</v>
      </c>
      <c r="V4256" t="s">
        <v>11164</v>
      </c>
      <c r="W4256" t="s">
        <v>15376</v>
      </c>
      <c r="X4256">
        <v>2</v>
      </c>
      <c r="Y4256" t="s">
        <v>20848</v>
      </c>
      <c r="Z4256" t="s">
        <v>26406</v>
      </c>
      <c r="AA4256">
        <v>0.56983623017723761</v>
      </c>
      <c r="AB4256" t="str">
        <f>HYPERLINK("Melting_Curves/meltCurve_Q96CU9_3_FOXRED1.pdf", "Melting_Curves/meltCurve_Q96CU9_3_FOXRED1.pdf")</f>
        <v>Melting_Curves/meltCurve_Q96CU9_3_FOXRED1.pdf</v>
      </c>
    </row>
    <row r="4257" spans="1:28" x14ac:dyDescent="0.25">
      <c r="A4257" t="s">
        <v>4261</v>
      </c>
      <c r="B4257">
        <v>0.99796759195183404</v>
      </c>
      <c r="C4257">
        <v>0.99884975514958496</v>
      </c>
      <c r="D4257">
        <v>0.95716645097312503</v>
      </c>
      <c r="E4257">
        <v>0.81501047812136995</v>
      </c>
      <c r="F4257">
        <v>0.71205058156394097</v>
      </c>
      <c r="G4257">
        <v>0.31103299853479899</v>
      </c>
      <c r="H4257">
        <v>0.28610831620272797</v>
      </c>
      <c r="I4257">
        <v>0.29227604896894299</v>
      </c>
      <c r="J4257">
        <v>0.21528826595963299</v>
      </c>
      <c r="K4257">
        <v>0.203076748004099</v>
      </c>
      <c r="L4257">
        <v>986.69604594509599</v>
      </c>
      <c r="M4257">
        <v>19.5435128556318</v>
      </c>
      <c r="N4257">
        <v>51.953123320677797</v>
      </c>
      <c r="O4257">
        <v>49.967459661928302</v>
      </c>
      <c r="P4257">
        <v>-7.7059399966533798E-2</v>
      </c>
      <c r="Q4257">
        <v>0.211948283972962</v>
      </c>
      <c r="R4257">
        <v>0.98091454375193399</v>
      </c>
      <c r="S4257" t="s">
        <v>9840</v>
      </c>
      <c r="T4257" t="s">
        <v>11164</v>
      </c>
      <c r="U4257" t="s">
        <v>11164</v>
      </c>
      <c r="V4257" t="s">
        <v>11164</v>
      </c>
      <c r="W4257" t="s">
        <v>15377</v>
      </c>
      <c r="X4257">
        <v>8</v>
      </c>
      <c r="Y4257" t="s">
        <v>20849</v>
      </c>
      <c r="Z4257" t="s">
        <v>26407</v>
      </c>
      <c r="AA4257">
        <v>0.57700516477188279</v>
      </c>
      <c r="AB4257" t="str">
        <f>HYPERLINK("Melting_Curves/meltCurve_Q96CV9_3_OPTN.pdf", "Melting_Curves/meltCurve_Q96CV9_3_OPTN.pdf")</f>
        <v>Melting_Curves/meltCurve_Q96CV9_3_OPTN.pdf</v>
      </c>
    </row>
    <row r="4258" spans="1:28" x14ac:dyDescent="0.25">
      <c r="A4258" t="s">
        <v>4262</v>
      </c>
      <c r="B4258">
        <v>0.99796759195183404</v>
      </c>
      <c r="C4258">
        <v>1.0221990197741</v>
      </c>
      <c r="D4258">
        <v>0.92041528753458302</v>
      </c>
      <c r="E4258">
        <v>0.88220680682331698</v>
      </c>
      <c r="F4258">
        <v>0.82176605706000505</v>
      </c>
      <c r="G4258">
        <v>1.0097027000941901</v>
      </c>
      <c r="H4258">
        <v>0.60604232207118502</v>
      </c>
      <c r="I4258">
        <v>0.32196519279819502</v>
      </c>
      <c r="J4258">
        <v>0.170617939834148</v>
      </c>
      <c r="K4258">
        <v>0.13104921679419301</v>
      </c>
      <c r="L4258">
        <v>1717.5494588168499</v>
      </c>
      <c r="M4258">
        <v>29.550217470224801</v>
      </c>
      <c r="N4258">
        <v>58.677877805891299</v>
      </c>
      <c r="O4258">
        <v>57.8588398994168</v>
      </c>
      <c r="P4258">
        <v>-0.112120581040329</v>
      </c>
      <c r="Q4258">
        <v>0.121885059463369</v>
      </c>
      <c r="R4258">
        <v>0.94856374124861997</v>
      </c>
      <c r="S4258" t="s">
        <v>9841</v>
      </c>
      <c r="T4258" t="s">
        <v>11164</v>
      </c>
      <c r="U4258" t="s">
        <v>11164</v>
      </c>
      <c r="V4258" t="s">
        <v>11164</v>
      </c>
      <c r="W4258" t="s">
        <v>15378</v>
      </c>
      <c r="X4258">
        <v>5</v>
      </c>
      <c r="Y4258" t="s">
        <v>20850</v>
      </c>
      <c r="Z4258" t="s">
        <v>26408</v>
      </c>
      <c r="AA4258">
        <v>0.74503764292823482</v>
      </c>
      <c r="AB4258" t="str">
        <f>HYPERLINK("Melting_Curves/meltCurve_Q96CW1_2_AP2M1.pdf", "Melting_Curves/meltCurve_Q96CW1_2_AP2M1.pdf")</f>
        <v>Melting_Curves/meltCurve_Q96CW1_2_AP2M1.pdf</v>
      </c>
    </row>
    <row r="4259" spans="1:28" x14ac:dyDescent="0.25">
      <c r="A4259" t="s">
        <v>4263</v>
      </c>
      <c r="B4259">
        <v>0.99796759195183404</v>
      </c>
      <c r="C4259">
        <v>1.06939770378447</v>
      </c>
      <c r="D4259">
        <v>0.99626748449012403</v>
      </c>
      <c r="E4259">
        <v>0.88166671468744395</v>
      </c>
      <c r="F4259">
        <v>0.83242297191187697</v>
      </c>
      <c r="G4259">
        <v>1.0116546859745701</v>
      </c>
      <c r="H4259">
        <v>1.30510474888399</v>
      </c>
      <c r="I4259">
        <v>2.13117821311539</v>
      </c>
      <c r="J4259">
        <v>1.16966159102513</v>
      </c>
      <c r="K4259">
        <v>0.33158244824317301</v>
      </c>
      <c r="L4259">
        <v>15000</v>
      </c>
      <c r="M4259">
        <v>224.58135569622499</v>
      </c>
      <c r="N4259">
        <v>66.790940655854399</v>
      </c>
      <c r="O4259">
        <v>66.785644428218603</v>
      </c>
      <c r="P4259">
        <v>-0.84067975367701098</v>
      </c>
      <c r="Q4259">
        <v>0</v>
      </c>
      <c r="R4259">
        <v>0.213801602021471</v>
      </c>
      <c r="S4259" t="s">
        <v>9842</v>
      </c>
      <c r="T4259" t="s">
        <v>11164</v>
      </c>
      <c r="U4259" t="s">
        <v>11164</v>
      </c>
      <c r="V4259" t="s">
        <v>11164</v>
      </c>
      <c r="W4259" t="s">
        <v>15379</v>
      </c>
      <c r="X4259">
        <v>3</v>
      </c>
      <c r="Y4259" t="s">
        <v>20851</v>
      </c>
      <c r="Z4259" t="s">
        <v>26409</v>
      </c>
      <c r="AA4259">
        <v>0.98911686393681775</v>
      </c>
      <c r="AB4259" t="str">
        <f>HYPERLINK("Melting_Curves/meltCurve_Q96CW5_2_TUBGCP3.pdf", "Melting_Curves/meltCurve_Q96CW5_2_TUBGCP3.pdf")</f>
        <v>Melting_Curves/meltCurve_Q96CW5_2_TUBGCP3.pdf</v>
      </c>
    </row>
    <row r="4260" spans="1:28" x14ac:dyDescent="0.25">
      <c r="A4260" t="s">
        <v>4264</v>
      </c>
      <c r="B4260">
        <v>0.99796759195183404</v>
      </c>
      <c r="C4260">
        <v>1.0921414004996299</v>
      </c>
      <c r="D4260">
        <v>1.0847793949631499</v>
      </c>
      <c r="E4260">
        <v>1.01817224620975</v>
      </c>
      <c r="F4260">
        <v>0.94613972023959603</v>
      </c>
      <c r="G4260">
        <v>0.80831185366193503</v>
      </c>
      <c r="H4260">
        <v>0.69075825381201295</v>
      </c>
      <c r="I4260">
        <v>0.65675688151987599</v>
      </c>
      <c r="J4260">
        <v>0.70919345501195896</v>
      </c>
      <c r="K4260">
        <v>0.61629151861737996</v>
      </c>
      <c r="L4260">
        <v>1596.9011521960899</v>
      </c>
      <c r="M4260">
        <v>29.9506809003759</v>
      </c>
      <c r="O4260">
        <v>53.081694445204299</v>
      </c>
      <c r="P4260">
        <v>-4.8418694888255898E-2</v>
      </c>
      <c r="Q4260">
        <v>0.65675177518115302</v>
      </c>
      <c r="R4260">
        <v>0.93368848104445601</v>
      </c>
      <c r="S4260" t="s">
        <v>9843</v>
      </c>
      <c r="T4260" t="s">
        <v>11164</v>
      </c>
      <c r="U4260" t="s">
        <v>11164</v>
      </c>
      <c r="V4260" t="s">
        <v>11164</v>
      </c>
      <c r="W4260" t="s">
        <v>15380</v>
      </c>
      <c r="X4260">
        <v>8</v>
      </c>
      <c r="Y4260" t="s">
        <v>20852</v>
      </c>
      <c r="Z4260" t="s">
        <v>26410</v>
      </c>
      <c r="AA4260">
        <v>0.84564769728036704</v>
      </c>
      <c r="AB4260" t="str">
        <f>HYPERLINK("Melting_Curves/meltCurve_Q96CW6_SLC7A6OS.pdf", "Melting_Curves/meltCurve_Q96CW6_SLC7A6OS.pdf")</f>
        <v>Melting_Curves/meltCurve_Q96CW6_SLC7A6OS.pdf</v>
      </c>
    </row>
    <row r="4261" spans="1:28" x14ac:dyDescent="0.25">
      <c r="A4261" t="s">
        <v>4265</v>
      </c>
      <c r="B4261">
        <v>0.99796759195183404</v>
      </c>
      <c r="C4261">
        <v>0.97970664734190804</v>
      </c>
      <c r="D4261">
        <v>0.97803645433415798</v>
      </c>
      <c r="E4261">
        <v>0.919483863323041</v>
      </c>
      <c r="F4261">
        <v>0.86391308266136901</v>
      </c>
      <c r="G4261">
        <v>0.89042902010944702</v>
      </c>
      <c r="H4261">
        <v>0.78063173625227</v>
      </c>
      <c r="I4261">
        <v>0.66734405794051699</v>
      </c>
      <c r="J4261">
        <v>0.62927527473140499</v>
      </c>
      <c r="K4261">
        <v>0.43058301249390601</v>
      </c>
      <c r="L4261">
        <v>492.69803532303001</v>
      </c>
      <c r="M4261">
        <v>7.3897646417804701</v>
      </c>
      <c r="N4261">
        <v>66.673037962797906</v>
      </c>
      <c r="O4261">
        <v>62.312608368717299</v>
      </c>
      <c r="P4261">
        <v>-2.9692982756254201E-2</v>
      </c>
      <c r="Q4261">
        <v>0</v>
      </c>
      <c r="R4261">
        <v>0.95793838496635098</v>
      </c>
      <c r="S4261" t="s">
        <v>9844</v>
      </c>
      <c r="T4261" t="s">
        <v>11164</v>
      </c>
      <c r="U4261" t="s">
        <v>11164</v>
      </c>
      <c r="V4261" t="s">
        <v>11164</v>
      </c>
      <c r="W4261" t="s">
        <v>15381</v>
      </c>
      <c r="X4261">
        <v>16</v>
      </c>
      <c r="Y4261" t="s">
        <v>20853</v>
      </c>
      <c r="Z4261" t="s">
        <v>26411</v>
      </c>
      <c r="AA4261">
        <v>0.83369900407686104</v>
      </c>
      <c r="AB4261" t="str">
        <f>HYPERLINK("Melting_Curves/meltCurve_Q96CX2_KCTD12.pdf", "Melting_Curves/meltCurve_Q96CX2_KCTD12.pdf")</f>
        <v>Melting_Curves/meltCurve_Q96CX2_KCTD12.pdf</v>
      </c>
    </row>
    <row r="4262" spans="1:28" x14ac:dyDescent="0.25">
      <c r="A4262" t="s">
        <v>4266</v>
      </c>
      <c r="B4262">
        <v>0.99796759195183404</v>
      </c>
      <c r="C4262">
        <v>1.28109447875556</v>
      </c>
      <c r="D4262">
        <v>1.5190563928137499</v>
      </c>
      <c r="E4262">
        <v>1.1314392294536799</v>
      </c>
      <c r="F4262">
        <v>0.95181029227392699</v>
      </c>
      <c r="G4262">
        <v>0</v>
      </c>
      <c r="H4262">
        <v>0.18176091943107001</v>
      </c>
      <c r="I4262">
        <v>0</v>
      </c>
      <c r="J4262">
        <v>0</v>
      </c>
      <c r="K4262">
        <v>0</v>
      </c>
      <c r="L4262">
        <v>12697.8021584621</v>
      </c>
      <c r="M4262">
        <v>250</v>
      </c>
      <c r="N4262">
        <v>50.806550748500698</v>
      </c>
      <c r="O4262">
        <v>50.787952698645199</v>
      </c>
      <c r="P4262">
        <v>-1.18587161168486</v>
      </c>
      <c r="Q4262">
        <v>3.6352032895579797E-2</v>
      </c>
      <c r="R4262">
        <v>0.88756238519811903</v>
      </c>
      <c r="S4262" t="s">
        <v>9845</v>
      </c>
      <c r="T4262" t="s">
        <v>11164</v>
      </c>
      <c r="U4262" t="s">
        <v>11164</v>
      </c>
      <c r="V4262" t="s">
        <v>11164</v>
      </c>
      <c r="W4262" t="s">
        <v>15382</v>
      </c>
      <c r="X4262">
        <v>3</v>
      </c>
      <c r="Y4262" t="s">
        <v>20854</v>
      </c>
      <c r="Z4262" t="s">
        <v>26412</v>
      </c>
      <c r="AA4262">
        <v>0.4794336024674094</v>
      </c>
      <c r="AB4262" t="str">
        <f>HYPERLINK("Melting_Curves/meltCurve_Q96CX6_LRRC58.pdf", "Melting_Curves/meltCurve_Q96CX6_LRRC58.pdf")</f>
        <v>Melting_Curves/meltCurve_Q96CX6_LRRC58.pdf</v>
      </c>
    </row>
    <row r="4263" spans="1:28" x14ac:dyDescent="0.25">
      <c r="A4263" t="s">
        <v>4267</v>
      </c>
      <c r="B4263">
        <v>0.99796759195183404</v>
      </c>
      <c r="C4263">
        <v>1.3351800703004</v>
      </c>
      <c r="D4263">
        <v>1.0963991806058599</v>
      </c>
      <c r="E4263">
        <v>1.0434912694221901</v>
      </c>
      <c r="F4263">
        <v>1.0410001778708999</v>
      </c>
      <c r="G4263">
        <v>0.89785961650203705</v>
      </c>
      <c r="H4263">
        <v>0.59782265971931203</v>
      </c>
      <c r="I4263">
        <v>0.60245169286790101</v>
      </c>
      <c r="J4263">
        <v>0.573049706341064</v>
      </c>
      <c r="K4263">
        <v>0.58499865876317103</v>
      </c>
      <c r="L4263">
        <v>4315.0298339147403</v>
      </c>
      <c r="M4263">
        <v>79.087373105773807</v>
      </c>
      <c r="O4263">
        <v>54.525434203712202</v>
      </c>
      <c r="P4263">
        <v>-0.149578060447841</v>
      </c>
      <c r="Q4263">
        <v>0.58750394107258197</v>
      </c>
      <c r="R4263">
        <v>0.80918709232619301</v>
      </c>
      <c r="S4263" t="s">
        <v>9846</v>
      </c>
      <c r="T4263" t="s">
        <v>11164</v>
      </c>
      <c r="U4263" t="s">
        <v>11164</v>
      </c>
      <c r="V4263" t="s">
        <v>11164</v>
      </c>
      <c r="W4263" t="s">
        <v>15383</v>
      </c>
      <c r="X4263">
        <v>1</v>
      </c>
      <c r="Y4263" t="s">
        <v>20855</v>
      </c>
      <c r="Z4263" t="s">
        <v>26413</v>
      </c>
      <c r="AA4263">
        <v>0.82935104452505437</v>
      </c>
      <c r="AB4263" t="str">
        <f>HYPERLINK("Melting_Curves/meltCurve_Q96D05_C10orf35.pdf", "Melting_Curves/meltCurve_Q96D05_C10orf35.pdf")</f>
        <v>Melting_Curves/meltCurve_Q96D05_C10orf35.pdf</v>
      </c>
    </row>
    <row r="4264" spans="1:28" x14ac:dyDescent="0.25">
      <c r="A4264" t="s">
        <v>4268</v>
      </c>
      <c r="B4264">
        <v>0.99796759195183404</v>
      </c>
      <c r="C4264">
        <v>0.81143209910068803</v>
      </c>
      <c r="D4264">
        <v>0.79377314992681203</v>
      </c>
      <c r="E4264">
        <v>0.750497611446311</v>
      </c>
      <c r="F4264">
        <v>0.43786583183112099</v>
      </c>
      <c r="G4264">
        <v>0.18505529926410899</v>
      </c>
      <c r="H4264">
        <v>0.159918996596284</v>
      </c>
      <c r="I4264">
        <v>0.16789485827515799</v>
      </c>
      <c r="J4264">
        <v>0.16230162430030601</v>
      </c>
      <c r="K4264">
        <v>0.10234497560780501</v>
      </c>
      <c r="L4264">
        <v>591.40970230440405</v>
      </c>
      <c r="M4264">
        <v>12.255457646925599</v>
      </c>
      <c r="N4264">
        <v>48.906548778064099</v>
      </c>
      <c r="O4264">
        <v>47.025976295672798</v>
      </c>
      <c r="P4264">
        <v>-6.0271540294510102E-2</v>
      </c>
      <c r="Q4264">
        <v>7.5123199119096803E-2</v>
      </c>
      <c r="R4264">
        <v>0.96076026180256102</v>
      </c>
      <c r="S4264" t="s">
        <v>9847</v>
      </c>
      <c r="T4264" t="s">
        <v>11164</v>
      </c>
      <c r="U4264" t="s">
        <v>11164</v>
      </c>
      <c r="V4264" t="s">
        <v>11164</v>
      </c>
      <c r="W4264" t="s">
        <v>15384</v>
      </c>
      <c r="X4264">
        <v>3</v>
      </c>
      <c r="Y4264" t="s">
        <v>20856</v>
      </c>
      <c r="Z4264" t="s">
        <v>26414</v>
      </c>
      <c r="AA4264">
        <v>0.44989440122728219</v>
      </c>
      <c r="AB4264" t="str">
        <f>HYPERLINK("Melting_Curves/meltCurve_Q96D53_ADCK4.pdf", "Melting_Curves/meltCurve_Q96D53_ADCK4.pdf")</f>
        <v>Melting_Curves/meltCurve_Q96D53_ADCK4.pdf</v>
      </c>
    </row>
    <row r="4265" spans="1:28" x14ac:dyDescent="0.25">
      <c r="A4265" t="s">
        <v>4269</v>
      </c>
      <c r="B4265">
        <v>0.99796759195183404</v>
      </c>
      <c r="C4265">
        <v>0.97944826628110704</v>
      </c>
      <c r="D4265">
        <v>0.96294529910704296</v>
      </c>
      <c r="E4265">
        <v>0.93127223448779295</v>
      </c>
      <c r="F4265">
        <v>0.582569153030987</v>
      </c>
      <c r="G4265">
        <v>0.280221820480406</v>
      </c>
      <c r="H4265">
        <v>0.20036345543976</v>
      </c>
      <c r="I4265">
        <v>0.14274645685220599</v>
      </c>
      <c r="J4265">
        <v>8.7012299933470497E-2</v>
      </c>
      <c r="K4265">
        <v>7.9565348260588795E-2</v>
      </c>
      <c r="L4265">
        <v>1170.2947366222199</v>
      </c>
      <c r="M4265">
        <v>23.092266708094101</v>
      </c>
      <c r="N4265">
        <v>51.189628073107599</v>
      </c>
      <c r="O4265">
        <v>50.303619327068198</v>
      </c>
      <c r="P4265">
        <v>-0.102961816137838</v>
      </c>
      <c r="Q4265">
        <v>0.10285884912621999</v>
      </c>
      <c r="R4265">
        <v>0.995969767899339</v>
      </c>
      <c r="S4265" t="s">
        <v>9848</v>
      </c>
      <c r="T4265" t="s">
        <v>11164</v>
      </c>
      <c r="U4265" t="s">
        <v>11164</v>
      </c>
      <c r="V4265" t="s">
        <v>11164</v>
      </c>
      <c r="W4265" t="s">
        <v>15385</v>
      </c>
      <c r="X4265">
        <v>10</v>
      </c>
      <c r="Y4265" t="s">
        <v>20857</v>
      </c>
      <c r="Z4265" t="s">
        <v>26415</v>
      </c>
      <c r="AA4265">
        <v>0.52107134035917346</v>
      </c>
      <c r="AB4265" t="str">
        <f>HYPERLINK("Melting_Curves/meltCurve_Q96D71_3_REPS1.pdf", "Melting_Curves/meltCurve_Q96D71_3_REPS1.pdf")</f>
        <v>Melting_Curves/meltCurve_Q96D71_3_REPS1.pdf</v>
      </c>
    </row>
    <row r="4266" spans="1:28" x14ac:dyDescent="0.25">
      <c r="A4266" t="s">
        <v>4270</v>
      </c>
      <c r="B4266">
        <v>0.99796759195183404</v>
      </c>
      <c r="C4266">
        <v>0.97476892269506998</v>
      </c>
      <c r="D4266">
        <v>1.0110291273255101</v>
      </c>
      <c r="E4266">
        <v>0.95335190690429605</v>
      </c>
      <c r="F4266">
        <v>0.75984342869936095</v>
      </c>
      <c r="G4266">
        <v>0.65096136877501398</v>
      </c>
      <c r="H4266">
        <v>0.53107137760231005</v>
      </c>
      <c r="I4266">
        <v>0.37682197173891202</v>
      </c>
      <c r="J4266">
        <v>0.29893001514092199</v>
      </c>
      <c r="K4266">
        <v>0.22297887696007801</v>
      </c>
      <c r="L4266">
        <v>596.442082059364</v>
      </c>
      <c r="M4266">
        <v>10.5582773164078</v>
      </c>
      <c r="N4266">
        <v>57.565965187510699</v>
      </c>
      <c r="O4266">
        <v>54.576935084430197</v>
      </c>
      <c r="P4266">
        <v>-4.4052428937576903E-2</v>
      </c>
      <c r="Q4266">
        <v>8.9511595120217793E-2</v>
      </c>
      <c r="R4266">
        <v>0.99172021840223801</v>
      </c>
      <c r="S4266" t="s">
        <v>9849</v>
      </c>
      <c r="T4266" t="s">
        <v>11164</v>
      </c>
      <c r="U4266" t="s">
        <v>11164</v>
      </c>
      <c r="V4266" t="s">
        <v>11164</v>
      </c>
      <c r="W4266" t="s">
        <v>15386</v>
      </c>
      <c r="X4266">
        <v>9</v>
      </c>
      <c r="Y4266" t="s">
        <v>20858</v>
      </c>
      <c r="Z4266" t="s">
        <v>26416</v>
      </c>
      <c r="AA4266">
        <v>0.68504324010455298</v>
      </c>
      <c r="AB4266" t="str">
        <f>HYPERLINK("Melting_Curves/meltCurve_Q96DA6_2_DNAJC19.pdf", "Melting_Curves/meltCurve_Q96DA6_2_DNAJC19.pdf")</f>
        <v>Melting_Curves/meltCurve_Q96DA6_2_DNAJC19.pdf</v>
      </c>
    </row>
    <row r="4267" spans="1:28" x14ac:dyDescent="0.25">
      <c r="A4267" t="s">
        <v>4271</v>
      </c>
      <c r="B4267">
        <v>0.99796759195183404</v>
      </c>
      <c r="C4267">
        <v>0.90085873593044496</v>
      </c>
      <c r="D4267">
        <v>0.98278154024394404</v>
      </c>
      <c r="E4267">
        <v>0.82664029782155801</v>
      </c>
      <c r="F4267">
        <v>0.83724405394629897</v>
      </c>
      <c r="G4267">
        <v>0.56831575816814806</v>
      </c>
      <c r="H4267">
        <v>0.59477674280686199</v>
      </c>
      <c r="I4267">
        <v>0.52608522189617501</v>
      </c>
      <c r="J4267">
        <v>0.62894711844562201</v>
      </c>
      <c r="K4267">
        <v>0.60918840285405695</v>
      </c>
      <c r="L4267">
        <v>816.90329893589899</v>
      </c>
      <c r="M4267">
        <v>16.672838865932299</v>
      </c>
      <c r="O4267">
        <v>48.307461636143202</v>
      </c>
      <c r="P4267">
        <v>-3.7201850311755401E-2</v>
      </c>
      <c r="Q4267">
        <v>0.56887773742012504</v>
      </c>
      <c r="R4267">
        <v>0.88616403398930699</v>
      </c>
      <c r="S4267" t="s">
        <v>9850</v>
      </c>
      <c r="T4267" t="s">
        <v>11164</v>
      </c>
      <c r="U4267" t="s">
        <v>11164</v>
      </c>
      <c r="V4267" t="s">
        <v>11164</v>
      </c>
      <c r="W4267" t="s">
        <v>15387</v>
      </c>
      <c r="X4267">
        <v>6</v>
      </c>
      <c r="Y4267" t="s">
        <v>20859</v>
      </c>
      <c r="Z4267" t="s">
        <v>26417</v>
      </c>
      <c r="AA4267">
        <v>0.74908303936949072</v>
      </c>
      <c r="AB4267" t="str">
        <f>HYPERLINK("Melting_Curves/meltCurve_Q96DE0_NUDT16.pdf", "Melting_Curves/meltCurve_Q96DE0_NUDT16.pdf")</f>
        <v>Melting_Curves/meltCurve_Q96DE0_NUDT16.pdf</v>
      </c>
    </row>
    <row r="4268" spans="1:28" x14ac:dyDescent="0.25">
      <c r="A4268" t="s">
        <v>4272</v>
      </c>
      <c r="B4268">
        <v>0.99796759195183404</v>
      </c>
      <c r="C4268">
        <v>1.00645191082673</v>
      </c>
      <c r="D4268">
        <v>0.940739661004381</v>
      </c>
      <c r="E4268">
        <v>0.83837173997687597</v>
      </c>
      <c r="F4268">
        <v>0.86523496250058496</v>
      </c>
      <c r="G4268">
        <v>0.48408880946362398</v>
      </c>
      <c r="H4268">
        <v>0.55924081179872898</v>
      </c>
      <c r="I4268">
        <v>0.99736490274756595</v>
      </c>
      <c r="J4268">
        <v>1.1367590279051401</v>
      </c>
      <c r="K4268">
        <v>0.96639668045358496</v>
      </c>
      <c r="L4268">
        <v>2921.1333026156299</v>
      </c>
      <c r="M4268">
        <v>67.3510890255981</v>
      </c>
      <c r="O4268">
        <v>43.3335417232854</v>
      </c>
      <c r="P4268">
        <v>-6.4065905338382106E-2</v>
      </c>
      <c r="Q4268">
        <v>0.83512059563785601</v>
      </c>
      <c r="R4268">
        <v>0.124238511612541</v>
      </c>
      <c r="S4268" t="s">
        <v>9851</v>
      </c>
      <c r="T4268" t="s">
        <v>11164</v>
      </c>
      <c r="U4268" t="s">
        <v>11164</v>
      </c>
      <c r="V4268" t="s">
        <v>11164</v>
      </c>
      <c r="W4268" t="s">
        <v>15388</v>
      </c>
      <c r="X4268">
        <v>1</v>
      </c>
      <c r="Y4268" t="s">
        <v>20860</v>
      </c>
      <c r="Z4268" t="s">
        <v>26418</v>
      </c>
      <c r="AA4268">
        <v>0.87031293353588546</v>
      </c>
      <c r="AB4268" t="str">
        <f>HYPERLINK("Melting_Curves/meltCurve_Q96DE5_ANAPC16.pdf", "Melting_Curves/meltCurve_Q96DE5_ANAPC16.pdf")</f>
        <v>Melting_Curves/meltCurve_Q96DE5_ANAPC16.pdf</v>
      </c>
    </row>
    <row r="4269" spans="1:28" x14ac:dyDescent="0.25">
      <c r="A4269" t="s">
        <v>4273</v>
      </c>
      <c r="B4269">
        <v>0.99796759195183404</v>
      </c>
      <c r="C4269">
        <v>0.90382333861133002</v>
      </c>
      <c r="D4269">
        <v>0.97521157743270404</v>
      </c>
      <c r="E4269">
        <v>0.81333054207390898</v>
      </c>
      <c r="F4269">
        <v>0.56438698123049102</v>
      </c>
      <c r="G4269">
        <v>0.36669696037940902</v>
      </c>
      <c r="H4269">
        <v>0.32139376685674198</v>
      </c>
      <c r="I4269">
        <v>0.28743288697395503</v>
      </c>
      <c r="J4269">
        <v>0.31823910872802602</v>
      </c>
      <c r="K4269">
        <v>0.26182092505104598</v>
      </c>
      <c r="L4269">
        <v>987.89849508625196</v>
      </c>
      <c r="M4269">
        <v>20.1492053707709</v>
      </c>
      <c r="N4269">
        <v>51.110892524225001</v>
      </c>
      <c r="O4269">
        <v>48.553891016533797</v>
      </c>
      <c r="P4269">
        <v>-7.47067558277454E-2</v>
      </c>
      <c r="Q4269">
        <v>0.27993421276251501</v>
      </c>
      <c r="R4269">
        <v>0.98828406400656599</v>
      </c>
      <c r="S4269" t="s">
        <v>9852</v>
      </c>
      <c r="T4269" t="s">
        <v>11164</v>
      </c>
      <c r="U4269" t="s">
        <v>11164</v>
      </c>
      <c r="V4269" t="s">
        <v>11164</v>
      </c>
      <c r="W4269" t="s">
        <v>15389</v>
      </c>
      <c r="X4269">
        <v>10</v>
      </c>
      <c r="Y4269" t="s">
        <v>20861</v>
      </c>
      <c r="Z4269" t="s">
        <v>26419</v>
      </c>
      <c r="AA4269">
        <v>0.57801953436529174</v>
      </c>
      <c r="AB4269" t="str">
        <f>HYPERLINK("Melting_Curves/meltCurve_Q96DF8_DGCR14.pdf", "Melting_Curves/meltCurve_Q96DF8_DGCR14.pdf")</f>
        <v>Melting_Curves/meltCurve_Q96DF8_DGCR14.pdf</v>
      </c>
    </row>
    <row r="4270" spans="1:28" x14ac:dyDescent="0.25">
      <c r="A4270" t="s">
        <v>4274</v>
      </c>
      <c r="B4270">
        <v>0.99796759195183404</v>
      </c>
      <c r="C4270">
        <v>0.95504139513844799</v>
      </c>
      <c r="D4270">
        <v>0.96302001762851197</v>
      </c>
      <c r="E4270">
        <v>0.90759562091700996</v>
      </c>
      <c r="F4270">
        <v>0.74286178293988703</v>
      </c>
      <c r="G4270">
        <v>0.49425953852410198</v>
      </c>
      <c r="H4270">
        <v>0.41680747016963099</v>
      </c>
      <c r="I4270">
        <v>0.216110493927886</v>
      </c>
      <c r="J4270">
        <v>0.16047372233428001</v>
      </c>
      <c r="K4270">
        <v>9.9186143069046204E-2</v>
      </c>
      <c r="L4270">
        <v>633.23960545601994</v>
      </c>
      <c r="M4270">
        <v>11.585948377973599</v>
      </c>
      <c r="N4270">
        <v>54.665398582653999</v>
      </c>
      <c r="O4270">
        <v>53.103682946325499</v>
      </c>
      <c r="P4270">
        <v>-5.4503672603913103E-2</v>
      </c>
      <c r="Q4270">
        <v>1.0151657817490201E-3</v>
      </c>
      <c r="R4270">
        <v>0.99365380515082102</v>
      </c>
      <c r="S4270" t="s">
        <v>9853</v>
      </c>
      <c r="T4270" t="s">
        <v>11164</v>
      </c>
      <c r="U4270" t="s">
        <v>11164</v>
      </c>
      <c r="V4270" t="s">
        <v>11164</v>
      </c>
      <c r="W4270" t="s">
        <v>15390</v>
      </c>
      <c r="X4270">
        <v>12</v>
      </c>
      <c r="Y4270" t="s">
        <v>20862</v>
      </c>
      <c r="Z4270" t="s">
        <v>26420</v>
      </c>
      <c r="AA4270">
        <v>0.60434575551134462</v>
      </c>
      <c r="AB4270" t="str">
        <f>HYPERLINK("Melting_Curves/meltCurve_Q96DG6_CMBL.pdf", "Melting_Curves/meltCurve_Q96DG6_CMBL.pdf")</f>
        <v>Melting_Curves/meltCurve_Q96DG6_CMBL.pdf</v>
      </c>
    </row>
    <row r="4271" spans="1:28" x14ac:dyDescent="0.25">
      <c r="A4271" t="s">
        <v>4275</v>
      </c>
      <c r="B4271">
        <v>0.99796759195183404</v>
      </c>
      <c r="C4271">
        <v>0.95808202099247797</v>
      </c>
      <c r="D4271">
        <v>0.99458249206071103</v>
      </c>
      <c r="E4271">
        <v>0.82337468152167004</v>
      </c>
      <c r="F4271">
        <v>0.52297620657651001</v>
      </c>
      <c r="G4271">
        <v>0.25903511384015598</v>
      </c>
      <c r="H4271">
        <v>0.24566640048385399</v>
      </c>
      <c r="I4271">
        <v>0.25501734273180099</v>
      </c>
      <c r="J4271">
        <v>0.124666543708712</v>
      </c>
      <c r="K4271">
        <v>0.110319639284785</v>
      </c>
      <c r="L4271">
        <v>1047.21889939108</v>
      </c>
      <c r="M4271">
        <v>21.144585376319402</v>
      </c>
      <c r="N4271">
        <v>50.442741956814103</v>
      </c>
      <c r="O4271">
        <v>49.0899724885968</v>
      </c>
      <c r="P4271">
        <v>-9.0515425322813606E-2</v>
      </c>
      <c r="Q4271">
        <v>0.15944746538532001</v>
      </c>
      <c r="R4271">
        <v>0.98755377325665405</v>
      </c>
      <c r="S4271" t="s">
        <v>9854</v>
      </c>
      <c r="T4271" t="s">
        <v>11164</v>
      </c>
      <c r="U4271" t="s">
        <v>11164</v>
      </c>
      <c r="V4271" t="s">
        <v>11164</v>
      </c>
      <c r="W4271" t="s">
        <v>15391</v>
      </c>
      <c r="X4271">
        <v>1</v>
      </c>
      <c r="Y4271" t="s">
        <v>20863</v>
      </c>
      <c r="Z4271" t="s">
        <v>26421</v>
      </c>
      <c r="AA4271">
        <v>0.52043973891118667</v>
      </c>
      <c r="AB4271" t="str">
        <f>HYPERLINK("Melting_Curves/meltCurve_Q96DR7_ARHGEF26.pdf", "Melting_Curves/meltCurve_Q96DR7_ARHGEF26.pdf")</f>
        <v>Melting_Curves/meltCurve_Q96DR7_ARHGEF26.pdf</v>
      </c>
    </row>
    <row r="4272" spans="1:28" x14ac:dyDescent="0.25">
      <c r="A4272" t="s">
        <v>4276</v>
      </c>
      <c r="B4272">
        <v>0.99796759195183404</v>
      </c>
      <c r="C4272">
        <v>1.0175537319468</v>
      </c>
      <c r="D4272">
        <v>0.96369864226502</v>
      </c>
      <c r="E4272">
        <v>0.91625591955299701</v>
      </c>
      <c r="F4272">
        <v>0.80946017093268896</v>
      </c>
      <c r="G4272">
        <v>0.60085102265266199</v>
      </c>
      <c r="H4272">
        <v>0.310300003218348</v>
      </c>
      <c r="I4272">
        <v>0.26613082943640898</v>
      </c>
      <c r="J4272">
        <v>0.229312963743002</v>
      </c>
      <c r="K4272">
        <v>0.14695974522500099</v>
      </c>
      <c r="L4272">
        <v>910.05540738511195</v>
      </c>
      <c r="M4272">
        <v>16.919746598287201</v>
      </c>
      <c r="N4272">
        <v>54.882053921328797</v>
      </c>
      <c r="O4272">
        <v>53.052100956855902</v>
      </c>
      <c r="P4272">
        <v>-6.8310127751607094E-2</v>
      </c>
      <c r="Q4272">
        <v>0.143304512925886</v>
      </c>
      <c r="R4272">
        <v>0.99340428031859596</v>
      </c>
      <c r="S4272" t="s">
        <v>9855</v>
      </c>
      <c r="T4272" t="s">
        <v>11164</v>
      </c>
      <c r="U4272" t="s">
        <v>11164</v>
      </c>
      <c r="V4272" t="s">
        <v>11164</v>
      </c>
      <c r="W4272" t="s">
        <v>15392</v>
      </c>
      <c r="X4272">
        <v>3</v>
      </c>
      <c r="Y4272" t="s">
        <v>20864</v>
      </c>
      <c r="Z4272" t="s">
        <v>26422</v>
      </c>
      <c r="AA4272">
        <v>0.63541670334177647</v>
      </c>
      <c r="AB4272" t="str">
        <f>HYPERLINK("Melting_Curves/meltCurve_Q96DT6_ATG4C.pdf", "Melting_Curves/meltCurve_Q96DT6_ATG4C.pdf")</f>
        <v>Melting_Curves/meltCurve_Q96DT6_ATG4C.pdf</v>
      </c>
    </row>
    <row r="4273" spans="1:28" x14ac:dyDescent="0.25">
      <c r="A4273" t="s">
        <v>4277</v>
      </c>
      <c r="B4273">
        <v>0.99796759195183404</v>
      </c>
      <c r="C4273">
        <v>0.88747162242231903</v>
      </c>
      <c r="D4273">
        <v>1.09173793205981</v>
      </c>
      <c r="E4273">
        <v>1.0319362694240199</v>
      </c>
      <c r="F4273">
        <v>0.94659936987943705</v>
      </c>
      <c r="G4273">
        <v>0.58437287579913899</v>
      </c>
      <c r="H4273">
        <v>0.51893020825333502</v>
      </c>
      <c r="I4273">
        <v>0.49138498537397401</v>
      </c>
      <c r="J4273">
        <v>0.40018257876491697</v>
      </c>
      <c r="K4273">
        <v>0.249248617667154</v>
      </c>
      <c r="L4273">
        <v>1253.3129741786399</v>
      </c>
      <c r="M4273">
        <v>23.390335848495901</v>
      </c>
      <c r="N4273">
        <v>56.714120433773097</v>
      </c>
      <c r="O4273">
        <v>53.1954682815486</v>
      </c>
      <c r="P4273">
        <v>-7.0070769632298399E-2</v>
      </c>
      <c r="Q4273">
        <v>0.36257739138266498</v>
      </c>
      <c r="R4273">
        <v>0.92818135773425203</v>
      </c>
      <c r="S4273" t="s">
        <v>9856</v>
      </c>
      <c r="T4273" t="s">
        <v>11164</v>
      </c>
      <c r="U4273" t="s">
        <v>11164</v>
      </c>
      <c r="V4273" t="s">
        <v>11164</v>
      </c>
      <c r="W4273" t="s">
        <v>15393</v>
      </c>
      <c r="X4273">
        <v>3</v>
      </c>
      <c r="Y4273" t="s">
        <v>20865</v>
      </c>
      <c r="Z4273" t="s">
        <v>26423</v>
      </c>
      <c r="AA4273">
        <v>0.72115293039961204</v>
      </c>
      <c r="AB4273" t="str">
        <f>HYPERLINK("Melting_Curves/meltCurve_Q96DT7_2_ZBTB10.pdf", "Melting_Curves/meltCurve_Q96DT7_2_ZBTB10.pdf")</f>
        <v>Melting_Curves/meltCurve_Q96DT7_2_ZBTB10.pdf</v>
      </c>
    </row>
    <row r="4274" spans="1:28" x14ac:dyDescent="0.25">
      <c r="A4274" t="s">
        <v>4278</v>
      </c>
      <c r="B4274">
        <v>0.99796759195183404</v>
      </c>
      <c r="C4274">
        <v>1.0966042182831499</v>
      </c>
      <c r="D4274">
        <v>0.99102407908092505</v>
      </c>
      <c r="E4274">
        <v>0.934223623023551</v>
      </c>
      <c r="F4274">
        <v>0.81068778011153997</v>
      </c>
      <c r="G4274">
        <v>0.73842261772287598</v>
      </c>
      <c r="H4274">
        <v>0.49990771622201902</v>
      </c>
      <c r="I4274">
        <v>0.35471119239903898</v>
      </c>
      <c r="J4274">
        <v>0.24209671234463301</v>
      </c>
      <c r="K4274">
        <v>0.14288579051526001</v>
      </c>
      <c r="L4274">
        <v>682.19775996838996</v>
      </c>
      <c r="M4274">
        <v>11.826514663888601</v>
      </c>
      <c r="N4274">
        <v>57.683753875216297</v>
      </c>
      <c r="O4274">
        <v>56.108626344603799</v>
      </c>
      <c r="P4274">
        <v>-5.2708166423977403E-2</v>
      </c>
      <c r="Q4274">
        <v>0</v>
      </c>
      <c r="R4274">
        <v>0.98655488034028005</v>
      </c>
      <c r="S4274" t="s">
        <v>9857</v>
      </c>
      <c r="T4274" t="s">
        <v>11164</v>
      </c>
      <c r="U4274" t="s">
        <v>11164</v>
      </c>
      <c r="V4274" t="s">
        <v>11164</v>
      </c>
      <c r="W4274" t="s">
        <v>15394</v>
      </c>
      <c r="X4274">
        <v>4</v>
      </c>
      <c r="Y4274" t="s">
        <v>20866</v>
      </c>
      <c r="Z4274" t="s">
        <v>26424</v>
      </c>
      <c r="AA4274">
        <v>0.68966645488412326</v>
      </c>
      <c r="AB4274" t="str">
        <f>HYPERLINK("Melting_Curves/meltCurve_Q96DZ1_2_ERLEC1.pdf", "Melting_Curves/meltCurve_Q96DZ1_2_ERLEC1.pdf")</f>
        <v>Melting_Curves/meltCurve_Q96DZ1_2_ERLEC1.pdf</v>
      </c>
    </row>
    <row r="4275" spans="1:28" x14ac:dyDescent="0.25">
      <c r="A4275" t="s">
        <v>4279</v>
      </c>
      <c r="B4275">
        <v>0.99796759195183404</v>
      </c>
      <c r="C4275">
        <v>1.0520009419999901</v>
      </c>
      <c r="D4275">
        <v>1.0458043798383501</v>
      </c>
      <c r="E4275">
        <v>1.0637060034799899</v>
      </c>
      <c r="F4275">
        <v>0.83269755072138396</v>
      </c>
      <c r="G4275">
        <v>0.71134426250567195</v>
      </c>
      <c r="H4275">
        <v>0.66214400431490805</v>
      </c>
      <c r="I4275">
        <v>0.58574425486516202</v>
      </c>
      <c r="J4275">
        <v>0.66451668434897004</v>
      </c>
      <c r="K4275">
        <v>0.702222609533668</v>
      </c>
      <c r="L4275">
        <v>2639.3586834687499</v>
      </c>
      <c r="M4275">
        <v>52.451249662052398</v>
      </c>
      <c r="O4275">
        <v>50.247241746380702</v>
      </c>
      <c r="P4275">
        <v>-8.8204626925551394E-2</v>
      </c>
      <c r="Q4275">
        <v>0.66200722567894299</v>
      </c>
      <c r="R4275">
        <v>0.94285015831454999</v>
      </c>
      <c r="S4275" t="s">
        <v>9858</v>
      </c>
      <c r="T4275" t="s">
        <v>11164</v>
      </c>
      <c r="U4275" t="s">
        <v>11164</v>
      </c>
      <c r="V4275" t="s">
        <v>11164</v>
      </c>
      <c r="W4275" t="s">
        <v>15395</v>
      </c>
      <c r="X4275">
        <v>4</v>
      </c>
      <c r="Y4275" t="s">
        <v>20867</v>
      </c>
      <c r="Z4275" t="s">
        <v>26425</v>
      </c>
      <c r="AA4275">
        <v>0.81275990021428868</v>
      </c>
      <c r="AB4275" t="str">
        <f>HYPERLINK("Melting_Curves/meltCurve_Q96E09_FAM122A.pdf", "Melting_Curves/meltCurve_Q96E09_FAM122A.pdf")</f>
        <v>Melting_Curves/meltCurve_Q96E09_FAM122A.pdf</v>
      </c>
    </row>
    <row r="4276" spans="1:28" x14ac:dyDescent="0.25">
      <c r="A4276" t="s">
        <v>4280</v>
      </c>
      <c r="B4276">
        <v>0.99796759195183404</v>
      </c>
      <c r="C4276">
        <v>1.04606238762099</v>
      </c>
      <c r="D4276">
        <v>1.01799515267001</v>
      </c>
      <c r="E4276">
        <v>1.0075581153747</v>
      </c>
      <c r="F4276">
        <v>0.750405141341147</v>
      </c>
      <c r="G4276">
        <v>0.30224617826572803</v>
      </c>
      <c r="H4276">
        <v>0.22129095648219199</v>
      </c>
      <c r="I4276">
        <v>0.21491387311566401</v>
      </c>
      <c r="J4276">
        <v>0.194757244515289</v>
      </c>
      <c r="K4276">
        <v>0.20788670863903899</v>
      </c>
      <c r="L4276">
        <v>2124.9320762083698</v>
      </c>
      <c r="M4276">
        <v>41.5329535892038</v>
      </c>
      <c r="N4276">
        <v>51.832732714583599</v>
      </c>
      <c r="O4276">
        <v>51.0443946783477</v>
      </c>
      <c r="P4276">
        <v>-0.161157277256887</v>
      </c>
      <c r="Q4276">
        <v>0.20774643139306401</v>
      </c>
      <c r="R4276">
        <v>0.99777659790414697</v>
      </c>
      <c r="S4276" t="s">
        <v>9859</v>
      </c>
      <c r="T4276" t="s">
        <v>11164</v>
      </c>
      <c r="U4276" t="s">
        <v>11164</v>
      </c>
      <c r="V4276" t="s">
        <v>11164</v>
      </c>
      <c r="W4276" t="s">
        <v>15396</v>
      </c>
      <c r="X4276">
        <v>10</v>
      </c>
      <c r="Y4276" t="s">
        <v>20868</v>
      </c>
      <c r="Z4276" t="s">
        <v>26426</v>
      </c>
      <c r="AA4276">
        <v>0.58435224444853806</v>
      </c>
      <c r="AB4276" t="str">
        <f>HYPERLINK("Melting_Curves/meltCurve_Q96E11_3_MRRF.pdf", "Melting_Curves/meltCurve_Q96E11_3_MRRF.pdf")</f>
        <v>Melting_Curves/meltCurve_Q96E11_3_MRRF.pdf</v>
      </c>
    </row>
    <row r="4277" spans="1:28" x14ac:dyDescent="0.25">
      <c r="A4277" t="s">
        <v>4281</v>
      </c>
      <c r="B4277">
        <v>0.99796759195183404</v>
      </c>
      <c r="C4277">
        <v>1.0316753140597199</v>
      </c>
      <c r="D4277">
        <v>0.988012273232308</v>
      </c>
      <c r="E4277">
        <v>0.89831156072722695</v>
      </c>
      <c r="F4277">
        <v>0.56021243321809699</v>
      </c>
      <c r="G4277">
        <v>0.34441067218461902</v>
      </c>
      <c r="H4277">
        <v>0.24310735937855801</v>
      </c>
      <c r="I4277">
        <v>0.22878113500196601</v>
      </c>
      <c r="J4277">
        <v>0.27316746117011198</v>
      </c>
      <c r="K4277">
        <v>0.35635235445799501</v>
      </c>
      <c r="L4277">
        <v>1500.0408068470099</v>
      </c>
      <c r="M4277">
        <v>30.324359435616898</v>
      </c>
      <c r="N4277">
        <v>50.802836710803199</v>
      </c>
      <c r="O4277">
        <v>49.252905256699201</v>
      </c>
      <c r="P4277">
        <v>-0.111623629594631</v>
      </c>
      <c r="Q4277">
        <v>0.27480697683483701</v>
      </c>
      <c r="R4277">
        <v>0.98893052835389095</v>
      </c>
      <c r="S4277" t="s">
        <v>9860</v>
      </c>
      <c r="T4277" t="s">
        <v>11164</v>
      </c>
      <c r="U4277" t="s">
        <v>11164</v>
      </c>
      <c r="V4277" t="s">
        <v>11164</v>
      </c>
      <c r="W4277" t="s">
        <v>15397</v>
      </c>
      <c r="X4277">
        <v>3</v>
      </c>
      <c r="Y4277" t="s">
        <v>20869</v>
      </c>
      <c r="Z4277" t="s">
        <v>26427</v>
      </c>
      <c r="AA4277">
        <v>0.58047843605871463</v>
      </c>
      <c r="AB4277" t="str">
        <f>HYPERLINK("Melting_Curves/meltCurve_Q96E14_RMI2.pdf", "Melting_Curves/meltCurve_Q96E14_RMI2.pdf")</f>
        <v>Melting_Curves/meltCurve_Q96E14_RMI2.pdf</v>
      </c>
    </row>
    <row r="4278" spans="1:28" x14ac:dyDescent="0.25">
      <c r="A4278" t="s">
        <v>4282</v>
      </c>
      <c r="B4278">
        <v>0.99796759195183404</v>
      </c>
      <c r="C4278">
        <v>1.0117671638589201</v>
      </c>
      <c r="D4278">
        <v>1.05149118979123</v>
      </c>
      <c r="E4278">
        <v>0.90470767364328697</v>
      </c>
      <c r="F4278">
        <v>0.81992781452588803</v>
      </c>
      <c r="G4278">
        <v>0.76749293706619404</v>
      </c>
      <c r="H4278">
        <v>0.59861137061673597</v>
      </c>
      <c r="I4278">
        <v>0.443741267746253</v>
      </c>
      <c r="J4278">
        <v>0.24955218700797899</v>
      </c>
      <c r="K4278">
        <v>0.212205701730658</v>
      </c>
      <c r="L4278">
        <v>646.42618501665095</v>
      </c>
      <c r="M4278">
        <v>10.948254295624499</v>
      </c>
      <c r="N4278">
        <v>59.043767887240399</v>
      </c>
      <c r="O4278">
        <v>57.176432183331499</v>
      </c>
      <c r="P4278">
        <v>-4.7886934790510802E-2</v>
      </c>
      <c r="Q4278">
        <v>0</v>
      </c>
      <c r="R4278">
        <v>0.98438615484247005</v>
      </c>
      <c r="S4278" t="s">
        <v>9861</v>
      </c>
      <c r="T4278" t="s">
        <v>11164</v>
      </c>
      <c r="U4278" t="s">
        <v>11164</v>
      </c>
      <c r="V4278" t="s">
        <v>11164</v>
      </c>
      <c r="W4278" t="s">
        <v>15398</v>
      </c>
      <c r="X4278">
        <v>2</v>
      </c>
      <c r="Y4278" t="s">
        <v>20870</v>
      </c>
      <c r="Z4278" t="s">
        <v>26428</v>
      </c>
      <c r="AA4278">
        <v>0.72196332565981325</v>
      </c>
      <c r="AB4278" t="str">
        <f>HYPERLINK("Melting_Curves/meltCurve_Q96E22_NUS1.pdf", "Melting_Curves/meltCurve_Q96E22_NUS1.pdf")</f>
        <v>Melting_Curves/meltCurve_Q96E22_NUS1.pdf</v>
      </c>
    </row>
    <row r="4279" spans="1:28" x14ac:dyDescent="0.25">
      <c r="A4279" t="s">
        <v>4283</v>
      </c>
      <c r="B4279">
        <v>0.99796759195183404</v>
      </c>
      <c r="C4279">
        <v>1.0830174885058601</v>
      </c>
      <c r="D4279">
        <v>1.18962068591419</v>
      </c>
      <c r="E4279">
        <v>0.90693139755895502</v>
      </c>
      <c r="F4279">
        <v>0.72944153362414399</v>
      </c>
      <c r="G4279">
        <v>0.624552416265858</v>
      </c>
      <c r="H4279">
        <v>0.48138544078502399</v>
      </c>
      <c r="I4279">
        <v>0.36906217578508199</v>
      </c>
      <c r="J4279">
        <v>0.55376277391710504</v>
      </c>
      <c r="K4279">
        <v>0.39090892502300101</v>
      </c>
      <c r="L4279">
        <v>1103.77976371256</v>
      </c>
      <c r="M4279">
        <v>21.652856341257699</v>
      </c>
      <c r="N4279">
        <v>56.382707779943097</v>
      </c>
      <c r="O4279">
        <v>50.547351397744798</v>
      </c>
      <c r="P4279">
        <v>-6.02617752833682E-2</v>
      </c>
      <c r="Q4279">
        <v>0.43730275200716701</v>
      </c>
      <c r="R4279">
        <v>0.90721095927317297</v>
      </c>
      <c r="S4279" t="s">
        <v>9862</v>
      </c>
      <c r="T4279" t="s">
        <v>11164</v>
      </c>
      <c r="U4279" t="s">
        <v>11164</v>
      </c>
      <c r="V4279" t="s">
        <v>11164</v>
      </c>
      <c r="W4279" t="s">
        <v>15399</v>
      </c>
      <c r="X4279">
        <v>1</v>
      </c>
      <c r="Y4279" t="s">
        <v>20871</v>
      </c>
      <c r="Z4279" t="s">
        <v>26429</v>
      </c>
      <c r="AA4279">
        <v>0.7058822747879443</v>
      </c>
      <c r="AB4279" t="str">
        <f>HYPERLINK("Melting_Curves/meltCurve_Q96E52_OMA1.pdf", "Melting_Curves/meltCurve_Q96E52_OMA1.pdf")</f>
        <v>Melting_Curves/meltCurve_Q96E52_OMA1.pdf</v>
      </c>
    </row>
    <row r="4280" spans="1:28" x14ac:dyDescent="0.25">
      <c r="A4280" t="s">
        <v>4284</v>
      </c>
      <c r="B4280">
        <v>0.99796759195183404</v>
      </c>
      <c r="C4280">
        <v>1.0408959226401799</v>
      </c>
      <c r="D4280">
        <v>0.98220787074683003</v>
      </c>
      <c r="E4280">
        <v>0.89445291489999801</v>
      </c>
      <c r="F4280">
        <v>0.52976755608234605</v>
      </c>
      <c r="G4280">
        <v>0.19661165873817599</v>
      </c>
      <c r="H4280">
        <v>0.134321426842097</v>
      </c>
      <c r="I4280">
        <v>0.101782104830517</v>
      </c>
      <c r="J4280">
        <v>7.8766937089445405E-2</v>
      </c>
      <c r="K4280">
        <v>6.22597329405691E-2</v>
      </c>
      <c r="L4280">
        <v>1345.2780306453501</v>
      </c>
      <c r="M4280">
        <v>26.8516324692132</v>
      </c>
      <c r="N4280">
        <v>50.436528475920703</v>
      </c>
      <c r="O4280">
        <v>49.825011346426798</v>
      </c>
      <c r="P4280">
        <v>-0.12369362455603899</v>
      </c>
      <c r="Q4280">
        <v>8.1921827064547301E-2</v>
      </c>
      <c r="R4280">
        <v>0.99817494214413405</v>
      </c>
      <c r="S4280" t="s">
        <v>9863</v>
      </c>
      <c r="T4280" t="s">
        <v>11164</v>
      </c>
      <c r="U4280" t="s">
        <v>11164</v>
      </c>
      <c r="V4280" t="s">
        <v>11164</v>
      </c>
      <c r="W4280" t="s">
        <v>15400</v>
      </c>
      <c r="X4280">
        <v>10</v>
      </c>
      <c r="Y4280" t="s">
        <v>20872</v>
      </c>
      <c r="Z4280" t="s">
        <v>26430</v>
      </c>
      <c r="AA4280">
        <v>0.48983651689211938</v>
      </c>
      <c r="AB4280" t="str">
        <f>HYPERLINK("Melting_Curves/meltCurve_Q96EA4_SPDL1.pdf", "Melting_Curves/meltCurve_Q96EA4_SPDL1.pdf")</f>
        <v>Melting_Curves/meltCurve_Q96EA4_SPDL1.pdf</v>
      </c>
    </row>
    <row r="4281" spans="1:28" x14ac:dyDescent="0.25">
      <c r="A4281" t="s">
        <v>4285</v>
      </c>
      <c r="B4281">
        <v>0.99796759195183404</v>
      </c>
      <c r="C4281">
        <v>1.0861194975106201</v>
      </c>
      <c r="D4281">
        <v>0.959788620158321</v>
      </c>
      <c r="E4281">
        <v>0.81815970939623095</v>
      </c>
      <c r="F4281">
        <v>0.73690952465968396</v>
      </c>
      <c r="G4281">
        <v>0.89169553049133798</v>
      </c>
      <c r="H4281">
        <v>0.61978177827801895</v>
      </c>
      <c r="I4281">
        <v>0.61426482014305706</v>
      </c>
      <c r="J4281">
        <v>0.54502203383801295</v>
      </c>
      <c r="K4281">
        <v>0.51927892038464496</v>
      </c>
      <c r="L4281">
        <v>409.57780058163098</v>
      </c>
      <c r="M4281">
        <v>7.1501213264616599</v>
      </c>
      <c r="O4281">
        <v>53.309525329179401</v>
      </c>
      <c r="P4281">
        <v>-2.1917504660821999E-2</v>
      </c>
      <c r="Q4281">
        <v>0.34747319528863502</v>
      </c>
      <c r="R4281">
        <v>0.86197724623289995</v>
      </c>
      <c r="S4281" t="s">
        <v>9864</v>
      </c>
      <c r="T4281" t="s">
        <v>11164</v>
      </c>
      <c r="U4281" t="s">
        <v>11164</v>
      </c>
      <c r="V4281" t="s">
        <v>11164</v>
      </c>
      <c r="W4281" t="s">
        <v>15401</v>
      </c>
      <c r="X4281">
        <v>2</v>
      </c>
      <c r="Y4281" t="s">
        <v>20873</v>
      </c>
      <c r="Z4281" t="s">
        <v>26431</v>
      </c>
      <c r="AA4281">
        <v>0.77533373717344611</v>
      </c>
      <c r="AB4281" t="str">
        <f>HYPERLINK("Melting_Curves/meltCurve_Q96EB1_ELP4.pdf", "Melting_Curves/meltCurve_Q96EB1_ELP4.pdf")</f>
        <v>Melting_Curves/meltCurve_Q96EB1_ELP4.pdf</v>
      </c>
    </row>
    <row r="4282" spans="1:28" x14ac:dyDescent="0.25">
      <c r="A4282" t="s">
        <v>4286</v>
      </c>
      <c r="B4282">
        <v>0.99796759195183404</v>
      </c>
      <c r="C4282">
        <v>1.0323911035697999</v>
      </c>
      <c r="D4282">
        <v>1.04745530492292</v>
      </c>
      <c r="E4282">
        <v>0.98335670002044195</v>
      </c>
      <c r="F4282">
        <v>0.90133568901121397</v>
      </c>
      <c r="G4282">
        <v>0.478580369653412</v>
      </c>
      <c r="H4282">
        <v>0.23805171740168299</v>
      </c>
      <c r="I4282">
        <v>0.208482538137545</v>
      </c>
      <c r="J4282">
        <v>0.14891721265878699</v>
      </c>
      <c r="K4282">
        <v>0.13265838886832099</v>
      </c>
      <c r="L4282">
        <v>1733.0242457312499</v>
      </c>
      <c r="M4282">
        <v>32.646662781702297</v>
      </c>
      <c r="N4282">
        <v>53.7176154484848</v>
      </c>
      <c r="O4282">
        <v>52.886280577504102</v>
      </c>
      <c r="P4282">
        <v>-0.12967277166837199</v>
      </c>
      <c r="Q4282">
        <v>0.15974522558844501</v>
      </c>
      <c r="R4282">
        <v>0.99588644579016905</v>
      </c>
      <c r="S4282" t="s">
        <v>9865</v>
      </c>
      <c r="T4282" t="s">
        <v>11164</v>
      </c>
      <c r="U4282" t="s">
        <v>11164</v>
      </c>
      <c r="V4282" t="s">
        <v>11164</v>
      </c>
      <c r="W4282" t="s">
        <v>15402</v>
      </c>
      <c r="X4282">
        <v>15</v>
      </c>
      <c r="Y4282" t="s">
        <v>20874</v>
      </c>
      <c r="Z4282" t="s">
        <v>26432</v>
      </c>
      <c r="AA4282">
        <v>0.61480254277580604</v>
      </c>
      <c r="AB4282" t="str">
        <f>HYPERLINK("Melting_Curves/meltCurve_Q96EB6_SIRT1.pdf", "Melting_Curves/meltCurve_Q96EB6_SIRT1.pdf")</f>
        <v>Melting_Curves/meltCurve_Q96EB6_SIRT1.pdf</v>
      </c>
    </row>
    <row r="4283" spans="1:28" x14ac:dyDescent="0.25">
      <c r="A4283" t="s">
        <v>4287</v>
      </c>
      <c r="B4283">
        <v>0.99796759195183404</v>
      </c>
      <c r="C4283">
        <v>0.93457618469474002</v>
      </c>
      <c r="D4283">
        <v>0.96810492852590901</v>
      </c>
      <c r="E4283">
        <v>0.88138254487826595</v>
      </c>
      <c r="F4283">
        <v>0.80205205435744698</v>
      </c>
      <c r="G4283">
        <v>0.59172601191898</v>
      </c>
      <c r="H4283">
        <v>0.531892324262634</v>
      </c>
      <c r="I4283">
        <v>0.46059261686801001</v>
      </c>
      <c r="J4283">
        <v>0.44086881650305898</v>
      </c>
      <c r="K4283">
        <v>0.30884081861110901</v>
      </c>
      <c r="L4283">
        <v>531.85212166288795</v>
      </c>
      <c r="M4283">
        <v>9.7890390485973295</v>
      </c>
      <c r="N4283">
        <v>58.559799940734301</v>
      </c>
      <c r="O4283">
        <v>52.209594565069203</v>
      </c>
      <c r="P4283">
        <v>-3.5014492225068999E-2</v>
      </c>
      <c r="Q4283">
        <v>0.25339835514477299</v>
      </c>
      <c r="R4283">
        <v>0.98047950258920902</v>
      </c>
      <c r="S4283" t="s">
        <v>9866</v>
      </c>
      <c r="T4283" t="s">
        <v>11164</v>
      </c>
      <c r="U4283" t="s">
        <v>11164</v>
      </c>
      <c r="V4283" t="s">
        <v>11164</v>
      </c>
      <c r="W4283" t="s">
        <v>15403</v>
      </c>
      <c r="X4283">
        <v>2</v>
      </c>
      <c r="Y4283" t="s">
        <v>20875</v>
      </c>
      <c r="Z4283" t="s">
        <v>26433</v>
      </c>
      <c r="AA4283">
        <v>0.69639326127345125</v>
      </c>
      <c r="AB4283" t="str">
        <f>HYPERLINK("Melting_Curves/meltCurve_Q96EC8_YIPF6.pdf", "Melting_Curves/meltCurve_Q96EC8_YIPF6.pdf")</f>
        <v>Melting_Curves/meltCurve_Q96EC8_YIPF6.pdf</v>
      </c>
    </row>
    <row r="4284" spans="1:28" x14ac:dyDescent="0.25">
      <c r="A4284" t="s">
        <v>4288</v>
      </c>
      <c r="B4284">
        <v>0.99796759195183404</v>
      </c>
      <c r="C4284">
        <v>1.0411173711066699</v>
      </c>
      <c r="D4284">
        <v>0.98911352153094001</v>
      </c>
      <c r="E4284">
        <v>0.93608351691862002</v>
      </c>
      <c r="F4284">
        <v>0.80331996647229797</v>
      </c>
      <c r="G4284">
        <v>0.81171392456717795</v>
      </c>
      <c r="H4284">
        <v>0.84478867847253603</v>
      </c>
      <c r="I4284">
        <v>0.40653144468080599</v>
      </c>
      <c r="J4284">
        <v>0.17714988213777899</v>
      </c>
      <c r="K4284">
        <v>0.12910142411060199</v>
      </c>
      <c r="L4284">
        <v>1196.88936885716</v>
      </c>
      <c r="M4284">
        <v>19.8998121261276</v>
      </c>
      <c r="N4284">
        <v>60.145767955133302</v>
      </c>
      <c r="O4284">
        <v>59.548266015625899</v>
      </c>
      <c r="P4284">
        <v>-8.3547658191518395E-2</v>
      </c>
      <c r="Q4284">
        <v>0</v>
      </c>
      <c r="R4284">
        <v>0.93872875405712397</v>
      </c>
      <c r="S4284" t="s">
        <v>9867</v>
      </c>
      <c r="T4284" t="s">
        <v>11164</v>
      </c>
      <c r="U4284" t="s">
        <v>11164</v>
      </c>
      <c r="V4284" t="s">
        <v>11164</v>
      </c>
      <c r="W4284" t="s">
        <v>15404</v>
      </c>
      <c r="X4284">
        <v>4</v>
      </c>
      <c r="Y4284" t="s">
        <v>20876</v>
      </c>
      <c r="Z4284" t="s">
        <v>26434</v>
      </c>
      <c r="AA4284">
        <v>0.77130170436822476</v>
      </c>
      <c r="AB4284" t="str">
        <f>HYPERLINK("Melting_Curves/meltCurve_Q96EE3_SEH1L.pdf", "Melting_Curves/meltCurve_Q96EE3_SEH1L.pdf")</f>
        <v>Melting_Curves/meltCurve_Q96EE3_SEH1L.pdf</v>
      </c>
    </row>
    <row r="4285" spans="1:28" x14ac:dyDescent="0.25">
      <c r="A4285" t="s">
        <v>4289</v>
      </c>
      <c r="B4285">
        <v>0.99796759195183404</v>
      </c>
      <c r="C4285">
        <v>0.98614682102419904</v>
      </c>
      <c r="D4285">
        <v>0.97964644665323697</v>
      </c>
      <c r="E4285">
        <v>0.91553955573621404</v>
      </c>
      <c r="F4285">
        <v>0.73846120104441504</v>
      </c>
      <c r="G4285">
        <v>0.563742332382001</v>
      </c>
      <c r="H4285">
        <v>0.54525840234549905</v>
      </c>
      <c r="I4285">
        <v>0.465290904969344</v>
      </c>
      <c r="J4285">
        <v>0.51769686165031403</v>
      </c>
      <c r="K4285">
        <v>0.39654502024036697</v>
      </c>
      <c r="L4285">
        <v>920.78612562847297</v>
      </c>
      <c r="M4285">
        <v>18.225765581676701</v>
      </c>
      <c r="N4285">
        <v>57.969887003609102</v>
      </c>
      <c r="O4285">
        <v>49.924690516040897</v>
      </c>
      <c r="P4285">
        <v>-5.0022898276897702E-2</v>
      </c>
      <c r="Q4285">
        <v>0.45192741198019798</v>
      </c>
      <c r="R4285">
        <v>0.98240929395946097</v>
      </c>
      <c r="S4285" t="s">
        <v>9868</v>
      </c>
      <c r="T4285" t="s">
        <v>11164</v>
      </c>
      <c r="U4285" t="s">
        <v>11164</v>
      </c>
      <c r="V4285" t="s">
        <v>11164</v>
      </c>
      <c r="W4285" t="s">
        <v>15405</v>
      </c>
      <c r="X4285">
        <v>9</v>
      </c>
      <c r="Y4285" t="s">
        <v>20877</v>
      </c>
      <c r="Z4285" t="s">
        <v>26435</v>
      </c>
      <c r="AA4285">
        <v>0.70734902034467695</v>
      </c>
      <c r="AB4285" t="str">
        <f>HYPERLINK("Melting_Curves/meltCurve_Q96EI5_TCEAL4.pdf", "Melting_Curves/meltCurve_Q96EI5_TCEAL4.pdf")</f>
        <v>Melting_Curves/meltCurve_Q96EI5_TCEAL4.pdf</v>
      </c>
    </row>
    <row r="4286" spans="1:28" x14ac:dyDescent="0.25">
      <c r="A4286" t="s">
        <v>4290</v>
      </c>
      <c r="B4286">
        <v>0.99796759195183404</v>
      </c>
      <c r="C4286">
        <v>1.0201593767084101</v>
      </c>
      <c r="D4286">
        <v>1.0029466819244</v>
      </c>
      <c r="E4286">
        <v>0.98966714963001601</v>
      </c>
      <c r="F4286">
        <v>0.62133761755852202</v>
      </c>
      <c r="G4286">
        <v>0.187246078530899</v>
      </c>
      <c r="H4286">
        <v>0.15573703009849699</v>
      </c>
      <c r="I4286">
        <v>0.12211172474836</v>
      </c>
      <c r="J4286">
        <v>0.11188916541544899</v>
      </c>
      <c r="K4286">
        <v>9.0652814508093704E-2</v>
      </c>
      <c r="L4286">
        <v>2088.1680049230699</v>
      </c>
      <c r="M4286">
        <v>41.298894462052097</v>
      </c>
      <c r="N4286">
        <v>50.894927194491899</v>
      </c>
      <c r="O4286">
        <v>50.444192764123599</v>
      </c>
      <c r="P4286">
        <v>-0.18046903631488001</v>
      </c>
      <c r="Q4286">
        <v>0.118271771165679</v>
      </c>
      <c r="R4286">
        <v>0.99855486013442696</v>
      </c>
      <c r="S4286" t="s">
        <v>9869</v>
      </c>
      <c r="T4286" t="s">
        <v>11164</v>
      </c>
      <c r="U4286" t="s">
        <v>11164</v>
      </c>
      <c r="V4286" t="s">
        <v>11164</v>
      </c>
      <c r="W4286" t="s">
        <v>15406</v>
      </c>
      <c r="X4286">
        <v>13</v>
      </c>
      <c r="Y4286" t="s">
        <v>20878</v>
      </c>
      <c r="Z4286" t="s">
        <v>26436</v>
      </c>
      <c r="AA4286">
        <v>0.51976858931740921</v>
      </c>
      <c r="AB4286" t="str">
        <f>HYPERLINK("Melting_Curves/meltCurve_Q96EK5_KIAA1279.pdf", "Melting_Curves/meltCurve_Q96EK5_KIAA1279.pdf")</f>
        <v>Melting_Curves/meltCurve_Q96EK5_KIAA1279.pdf</v>
      </c>
    </row>
    <row r="4287" spans="1:28" x14ac:dyDescent="0.25">
      <c r="A4287" t="s">
        <v>4291</v>
      </c>
      <c r="B4287">
        <v>0.99796759195183404</v>
      </c>
      <c r="C4287">
        <v>0.92330712855445096</v>
      </c>
      <c r="D4287">
        <v>0.89783371131003797</v>
      </c>
      <c r="E4287">
        <v>0.79926632029136502</v>
      </c>
      <c r="F4287">
        <v>0.72407739938969296</v>
      </c>
      <c r="G4287">
        <v>0.53070688624520301</v>
      </c>
      <c r="H4287">
        <v>0.46059111214845599</v>
      </c>
      <c r="I4287">
        <v>0.37501880969116302</v>
      </c>
      <c r="J4287">
        <v>0.31590784833818503</v>
      </c>
      <c r="K4287">
        <v>0.114013690580392</v>
      </c>
      <c r="L4287">
        <v>427.10951638426599</v>
      </c>
      <c r="M4287">
        <v>7.6789352177763801</v>
      </c>
      <c r="N4287">
        <v>55.6209299219163</v>
      </c>
      <c r="O4287">
        <v>52.225632592657703</v>
      </c>
      <c r="P4287">
        <v>-3.6806886048899701E-2</v>
      </c>
      <c r="Q4287">
        <v>0</v>
      </c>
      <c r="R4287">
        <v>0.97771298933191897</v>
      </c>
      <c r="S4287" t="s">
        <v>9870</v>
      </c>
      <c r="T4287" t="s">
        <v>11164</v>
      </c>
      <c r="U4287" t="s">
        <v>11164</v>
      </c>
      <c r="V4287" t="s">
        <v>11164</v>
      </c>
      <c r="W4287" t="s">
        <v>15407</v>
      </c>
      <c r="X4287">
        <v>9</v>
      </c>
      <c r="Y4287" t="s">
        <v>20879</v>
      </c>
      <c r="Z4287" t="s">
        <v>26437</v>
      </c>
      <c r="AA4287">
        <v>0.62065720860615414</v>
      </c>
      <c r="AB4287" t="str">
        <f>HYPERLINK("Melting_Curves/meltCurve_Q96EK6_GNPNAT1.pdf", "Melting_Curves/meltCurve_Q96EK6_GNPNAT1.pdf")</f>
        <v>Melting_Curves/meltCurve_Q96EK6_GNPNAT1.pdf</v>
      </c>
    </row>
    <row r="4288" spans="1:28" x14ac:dyDescent="0.25">
      <c r="A4288" t="s">
        <v>4292</v>
      </c>
      <c r="B4288">
        <v>0.99796759195183404</v>
      </c>
      <c r="C4288">
        <v>0.96078038638766605</v>
      </c>
      <c r="D4288">
        <v>0.92771995420835396</v>
      </c>
      <c r="E4288">
        <v>0.82343920330713405</v>
      </c>
      <c r="F4288">
        <v>0.635568079362551</v>
      </c>
      <c r="G4288">
        <v>0.25934193267289801</v>
      </c>
      <c r="H4288">
        <v>0.227554055908957</v>
      </c>
      <c r="I4288">
        <v>0.164897054580013</v>
      </c>
      <c r="J4288">
        <v>0.17066004858797701</v>
      </c>
      <c r="K4288">
        <v>0.10475395992375</v>
      </c>
      <c r="L4288">
        <v>936.57511906178399</v>
      </c>
      <c r="M4288">
        <v>18.587051558299098</v>
      </c>
      <c r="N4288">
        <v>51.170402173646501</v>
      </c>
      <c r="O4288">
        <v>49.816198654582799</v>
      </c>
      <c r="P4288">
        <v>-8.1751420671275998E-2</v>
      </c>
      <c r="Q4288">
        <v>0.12361205825901</v>
      </c>
      <c r="R4288">
        <v>0.98938009309901798</v>
      </c>
      <c r="S4288" t="s">
        <v>9871</v>
      </c>
      <c r="T4288" t="s">
        <v>11164</v>
      </c>
      <c r="U4288" t="s">
        <v>11164</v>
      </c>
      <c r="V4288" t="s">
        <v>11164</v>
      </c>
      <c r="W4288" t="s">
        <v>15408</v>
      </c>
      <c r="X4288">
        <v>5</v>
      </c>
      <c r="Y4288" t="s">
        <v>20880</v>
      </c>
      <c r="Z4288" t="s">
        <v>26438</v>
      </c>
      <c r="AA4288">
        <v>0.52776806637157403</v>
      </c>
      <c r="AB4288" t="str">
        <f>HYPERLINK("Melting_Curves/meltCurve_Q96EK9_KTI12.pdf", "Melting_Curves/meltCurve_Q96EK9_KTI12.pdf")</f>
        <v>Melting_Curves/meltCurve_Q96EK9_KTI12.pdf</v>
      </c>
    </row>
    <row r="4289" spans="1:28" x14ac:dyDescent="0.25">
      <c r="A4289" t="s">
        <v>4293</v>
      </c>
      <c r="B4289">
        <v>0.99796759195183404</v>
      </c>
      <c r="C4289">
        <v>0.769277278408243</v>
      </c>
      <c r="D4289">
        <v>0.80182596511481996</v>
      </c>
      <c r="E4289">
        <v>0.89104227012508097</v>
      </c>
      <c r="F4289">
        <v>0.973376375249005</v>
      </c>
      <c r="G4289">
        <v>0.62522483921990701</v>
      </c>
      <c r="H4289">
        <v>0.85204493432472606</v>
      </c>
      <c r="I4289">
        <v>0.52631255716333203</v>
      </c>
      <c r="J4289">
        <v>0.62522694182330896</v>
      </c>
      <c r="K4289">
        <v>0.41113381982201502</v>
      </c>
      <c r="L4289">
        <v>269.03374123587599</v>
      </c>
      <c r="M4289">
        <v>3.9553057790236101</v>
      </c>
      <c r="O4289">
        <v>55.639910153624498</v>
      </c>
      <c r="P4289">
        <v>-1.8008700729262899E-2</v>
      </c>
      <c r="Q4289">
        <v>0</v>
      </c>
      <c r="R4289">
        <v>0.59137545744717901</v>
      </c>
      <c r="S4289" t="s">
        <v>9872</v>
      </c>
      <c r="T4289" t="s">
        <v>11164</v>
      </c>
      <c r="U4289" t="s">
        <v>11164</v>
      </c>
      <c r="V4289" t="s">
        <v>11164</v>
      </c>
      <c r="W4289" t="s">
        <v>15409</v>
      </c>
      <c r="X4289">
        <v>2</v>
      </c>
      <c r="Y4289" t="s">
        <v>20881</v>
      </c>
      <c r="Z4289" t="s">
        <v>26439</v>
      </c>
      <c r="AA4289">
        <v>0.76122078722871367</v>
      </c>
      <c r="AB4289" t="str">
        <f>HYPERLINK("Melting_Curves/meltCurve_Q96EL3_MRPL53.pdf", "Melting_Curves/meltCurve_Q96EL3_MRPL53.pdf")</f>
        <v>Melting_Curves/meltCurve_Q96EL3_MRPL53.pdf</v>
      </c>
    </row>
    <row r="4290" spans="1:28" x14ac:dyDescent="0.25">
      <c r="A4290" t="s">
        <v>4294</v>
      </c>
      <c r="B4290">
        <v>0.99796759195183404</v>
      </c>
      <c r="C4290">
        <v>0.96839563928239103</v>
      </c>
      <c r="D4290">
        <v>0.92857673424420895</v>
      </c>
      <c r="E4290">
        <v>0.90689586391244903</v>
      </c>
      <c r="F4290">
        <v>0.80508681001580096</v>
      </c>
      <c r="G4290">
        <v>0.67356212552554495</v>
      </c>
      <c r="H4290">
        <v>0.56819275873793695</v>
      </c>
      <c r="I4290">
        <v>0.40855331177028398</v>
      </c>
      <c r="J4290">
        <v>0.15287451539741501</v>
      </c>
      <c r="K4290">
        <v>9.9895854027852199E-2</v>
      </c>
      <c r="L4290">
        <v>664.49380468188099</v>
      </c>
      <c r="M4290">
        <v>11.569375852745701</v>
      </c>
      <c r="N4290">
        <v>57.435579417327602</v>
      </c>
      <c r="O4290">
        <v>55.800035935396203</v>
      </c>
      <c r="P4290">
        <v>-5.1848481801608302E-2</v>
      </c>
      <c r="Q4290">
        <v>0</v>
      </c>
      <c r="R4290">
        <v>0.97519256966539603</v>
      </c>
      <c r="S4290" t="s">
        <v>9873</v>
      </c>
      <c r="T4290" t="s">
        <v>11164</v>
      </c>
      <c r="U4290" t="s">
        <v>11164</v>
      </c>
      <c r="V4290" t="s">
        <v>11164</v>
      </c>
      <c r="W4290" t="s">
        <v>15410</v>
      </c>
      <c r="X4290">
        <v>10</v>
      </c>
      <c r="Y4290" t="s">
        <v>20882</v>
      </c>
      <c r="Z4290" t="s">
        <v>26440</v>
      </c>
      <c r="AA4290">
        <v>0.68228339258306969</v>
      </c>
      <c r="AB4290" t="str">
        <f>HYPERLINK("Melting_Curves/meltCurve_Q96EM0_L3HYPDH.pdf", "Melting_Curves/meltCurve_Q96EM0_L3HYPDH.pdf")</f>
        <v>Melting_Curves/meltCurve_Q96EM0_L3HYPDH.pdf</v>
      </c>
    </row>
    <row r="4291" spans="1:28" x14ac:dyDescent="0.25">
      <c r="A4291" t="s">
        <v>4295</v>
      </c>
      <c r="B4291">
        <v>0.99796759195183404</v>
      </c>
      <c r="C4291">
        <v>0.92204916876485798</v>
      </c>
      <c r="D4291">
        <v>0.98604841508707497</v>
      </c>
      <c r="E4291">
        <v>1.01947727943883</v>
      </c>
      <c r="F4291">
        <v>0.78799571580599104</v>
      </c>
      <c r="G4291">
        <v>0.445828969797885</v>
      </c>
      <c r="H4291">
        <v>0.40250449603101501</v>
      </c>
      <c r="I4291">
        <v>0.23276186842278901</v>
      </c>
      <c r="J4291">
        <v>0.173533086563149</v>
      </c>
      <c r="K4291">
        <v>0.122069270072832</v>
      </c>
      <c r="L4291">
        <v>971.95113803508195</v>
      </c>
      <c r="M4291">
        <v>18.276934778593802</v>
      </c>
      <c r="N4291">
        <v>54.167690369271497</v>
      </c>
      <c r="O4291">
        <v>52.554746422072697</v>
      </c>
      <c r="P4291">
        <v>-7.4616034268743497E-2</v>
      </c>
      <c r="Q4291">
        <v>0.14181569979665601</v>
      </c>
      <c r="R4291">
        <v>0.97778981731206305</v>
      </c>
      <c r="S4291" t="s">
        <v>9874</v>
      </c>
      <c r="T4291" t="s">
        <v>11164</v>
      </c>
      <c r="U4291" t="s">
        <v>11164</v>
      </c>
      <c r="V4291" t="s">
        <v>11164</v>
      </c>
      <c r="W4291" t="s">
        <v>15411</v>
      </c>
      <c r="X4291">
        <v>4</v>
      </c>
      <c r="Y4291" t="s">
        <v>20883</v>
      </c>
      <c r="Z4291" t="s">
        <v>26441</v>
      </c>
      <c r="AA4291">
        <v>0.61677037224867937</v>
      </c>
      <c r="AB4291" t="str">
        <f>HYPERLINK("Melting_Curves/meltCurve_Q96EP5_DAZAP1.pdf", "Melting_Curves/meltCurve_Q96EP5_DAZAP1.pdf")</f>
        <v>Melting_Curves/meltCurve_Q96EP5_DAZAP1.pdf</v>
      </c>
    </row>
    <row r="4292" spans="1:28" x14ac:dyDescent="0.25">
      <c r="A4292" t="s">
        <v>4296</v>
      </c>
      <c r="B4292">
        <v>0.99796759195183404</v>
      </c>
      <c r="C4292">
        <v>1.0115871143792901</v>
      </c>
      <c r="D4292">
        <v>0.99791962731775596</v>
      </c>
      <c r="E4292">
        <v>0.99893972393393204</v>
      </c>
      <c r="F4292">
        <v>0.76868167586369096</v>
      </c>
      <c r="G4292">
        <v>0.61819854373772098</v>
      </c>
      <c r="H4292">
        <v>0.45875438038315802</v>
      </c>
      <c r="I4292">
        <v>0.26548068460349</v>
      </c>
      <c r="J4292">
        <v>0.25020510579866401</v>
      </c>
      <c r="K4292">
        <v>0.195884934987297</v>
      </c>
      <c r="L4292">
        <v>817.09354598878599</v>
      </c>
      <c r="M4292">
        <v>14.984523828366401</v>
      </c>
      <c r="N4292">
        <v>55.888378570852602</v>
      </c>
      <c r="O4292">
        <v>53.5856472441017</v>
      </c>
      <c r="P4292">
        <v>-5.92399242797845E-2</v>
      </c>
      <c r="Q4292">
        <v>0.15270248701915001</v>
      </c>
      <c r="R4292">
        <v>0.99168954982748103</v>
      </c>
      <c r="S4292" t="s">
        <v>9875</v>
      </c>
      <c r="T4292" t="s">
        <v>11164</v>
      </c>
      <c r="U4292" t="s">
        <v>11164</v>
      </c>
      <c r="V4292" t="s">
        <v>11164</v>
      </c>
      <c r="W4292" t="s">
        <v>15412</v>
      </c>
      <c r="X4292">
        <v>5</v>
      </c>
      <c r="Y4292" t="s">
        <v>20884</v>
      </c>
      <c r="Z4292" t="s">
        <v>26442</v>
      </c>
      <c r="AA4292">
        <v>0.66062631048633669</v>
      </c>
      <c r="AB4292" t="str">
        <f>HYPERLINK("Melting_Curves/meltCurve_Q96EQ0_SGTB.pdf", "Melting_Curves/meltCurve_Q96EQ0_SGTB.pdf")</f>
        <v>Melting_Curves/meltCurve_Q96EQ0_SGTB.pdf</v>
      </c>
    </row>
    <row r="4293" spans="1:28" x14ac:dyDescent="0.25">
      <c r="A4293" t="s">
        <v>4297</v>
      </c>
      <c r="B4293">
        <v>0.99796759195183404</v>
      </c>
      <c r="C4293">
        <v>0.96231379172480402</v>
      </c>
      <c r="D4293">
        <v>0.935592388946481</v>
      </c>
      <c r="E4293">
        <v>0.86747051873881198</v>
      </c>
      <c r="F4293">
        <v>0.69673432175494798</v>
      </c>
      <c r="G4293">
        <v>0.48464879440361303</v>
      </c>
      <c r="H4293">
        <v>0.257762943292208</v>
      </c>
      <c r="I4293">
        <v>0.14847654971846599</v>
      </c>
      <c r="J4293">
        <v>0.111493177181384</v>
      </c>
      <c r="K4293">
        <v>7.8446456984484395E-2</v>
      </c>
      <c r="L4293">
        <v>708.76381720459199</v>
      </c>
      <c r="M4293">
        <v>13.3340910562021</v>
      </c>
      <c r="N4293">
        <v>53.240523155671298</v>
      </c>
      <c r="O4293">
        <v>52.0014177832958</v>
      </c>
      <c r="P4293">
        <v>-6.3429603167133794E-2</v>
      </c>
      <c r="Q4293">
        <v>1.0685776135822E-2</v>
      </c>
      <c r="R4293">
        <v>0.99813951080733898</v>
      </c>
      <c r="S4293" t="s">
        <v>9876</v>
      </c>
      <c r="T4293" t="s">
        <v>11164</v>
      </c>
      <c r="U4293" t="s">
        <v>11164</v>
      </c>
      <c r="V4293" t="s">
        <v>11164</v>
      </c>
      <c r="W4293" t="s">
        <v>15413</v>
      </c>
      <c r="X4293">
        <v>7</v>
      </c>
      <c r="Y4293" t="s">
        <v>20885</v>
      </c>
      <c r="Z4293" t="s">
        <v>26443</v>
      </c>
      <c r="AA4293">
        <v>0.56258814433810733</v>
      </c>
      <c r="AB4293" t="str">
        <f>HYPERLINK("Melting_Curves/meltCurve_Q96ER3_SAAL1.pdf", "Melting_Curves/meltCurve_Q96ER3_SAAL1.pdf")</f>
        <v>Melting_Curves/meltCurve_Q96ER3_SAAL1.pdf</v>
      </c>
    </row>
    <row r="4294" spans="1:28" x14ac:dyDescent="0.25">
      <c r="A4294" t="s">
        <v>4298</v>
      </c>
      <c r="B4294">
        <v>0.99796759195183404</v>
      </c>
      <c r="C4294">
        <v>0.97351179840077495</v>
      </c>
      <c r="D4294">
        <v>0.95585513844050995</v>
      </c>
      <c r="E4294">
        <v>0.92357903104122197</v>
      </c>
      <c r="F4294">
        <v>0.81389821353069103</v>
      </c>
      <c r="G4294">
        <v>0.81007091201173698</v>
      </c>
      <c r="H4294">
        <v>0.64279060889716</v>
      </c>
      <c r="I4294">
        <v>0.216101880449551</v>
      </c>
      <c r="J4294">
        <v>0.16157031667542701</v>
      </c>
      <c r="K4294">
        <v>0.12225936211496501</v>
      </c>
      <c r="L4294">
        <v>953.26844171302798</v>
      </c>
      <c r="M4294">
        <v>16.4276405855977</v>
      </c>
      <c r="N4294">
        <v>58.028323806201101</v>
      </c>
      <c r="O4294">
        <v>57.188881871868503</v>
      </c>
      <c r="P4294">
        <v>-7.1818163771988297E-2</v>
      </c>
      <c r="Q4294">
        <v>0</v>
      </c>
      <c r="R4294">
        <v>0.96640096511935303</v>
      </c>
      <c r="S4294" t="s">
        <v>9877</v>
      </c>
      <c r="T4294" t="s">
        <v>11164</v>
      </c>
      <c r="U4294" t="s">
        <v>11164</v>
      </c>
      <c r="V4294" t="s">
        <v>11164</v>
      </c>
      <c r="W4294" t="s">
        <v>15414</v>
      </c>
      <c r="X4294">
        <v>17</v>
      </c>
      <c r="Y4294" t="s">
        <v>20886</v>
      </c>
      <c r="Z4294" t="s">
        <v>26444</v>
      </c>
      <c r="AA4294">
        <v>0.70629068308634657</v>
      </c>
      <c r="AB4294" t="str">
        <f>HYPERLINK("Melting_Curves/meltCurve_Q96ER9_CCDC51.pdf", "Melting_Curves/meltCurve_Q96ER9_CCDC51.pdf")</f>
        <v>Melting_Curves/meltCurve_Q96ER9_CCDC51.pdf</v>
      </c>
    </row>
    <row r="4295" spans="1:28" x14ac:dyDescent="0.25">
      <c r="A4295" t="s">
        <v>4299</v>
      </c>
      <c r="B4295">
        <v>0.99796759195183404</v>
      </c>
      <c r="C4295">
        <v>1.0090869522819299</v>
      </c>
      <c r="D4295">
        <v>0.888464662354293</v>
      </c>
      <c r="E4295">
        <v>0.72251137031130497</v>
      </c>
      <c r="F4295">
        <v>0.73779400156178299</v>
      </c>
      <c r="G4295">
        <v>0.69972273214861702</v>
      </c>
      <c r="H4295">
        <v>0.70564453542749805</v>
      </c>
      <c r="I4295">
        <v>0.61346164570817796</v>
      </c>
      <c r="J4295">
        <v>0.35924281329770502</v>
      </c>
      <c r="K4295">
        <v>0.232869175488948</v>
      </c>
      <c r="L4295">
        <v>359.65366218246999</v>
      </c>
      <c r="M4295">
        <v>5.9394474960028001</v>
      </c>
      <c r="N4295">
        <v>60.553386894155103</v>
      </c>
      <c r="O4295">
        <v>54.755395785595802</v>
      </c>
      <c r="P4295">
        <v>-2.7209139812144501E-2</v>
      </c>
      <c r="Q4295">
        <v>0</v>
      </c>
      <c r="R4295">
        <v>0.86781748403588799</v>
      </c>
      <c r="S4295" t="s">
        <v>9878</v>
      </c>
      <c r="T4295" t="s">
        <v>11164</v>
      </c>
      <c r="U4295" t="s">
        <v>11164</v>
      </c>
      <c r="V4295" t="s">
        <v>11164</v>
      </c>
      <c r="W4295" t="s">
        <v>15415</v>
      </c>
      <c r="X4295">
        <v>1</v>
      </c>
      <c r="Y4295" t="s">
        <v>20887</v>
      </c>
      <c r="Z4295" t="s">
        <v>26445</v>
      </c>
      <c r="AA4295">
        <v>0.70627373466869614</v>
      </c>
      <c r="AB4295" t="str">
        <f>HYPERLINK("Melting_Curves/meltCurve_Q96EU6_RRP36.pdf", "Melting_Curves/meltCurve_Q96EU6_RRP36.pdf")</f>
        <v>Melting_Curves/meltCurve_Q96EU6_RRP36.pdf</v>
      </c>
    </row>
    <row r="4296" spans="1:28" x14ac:dyDescent="0.25">
      <c r="A4296" t="s">
        <v>4300</v>
      </c>
      <c r="B4296">
        <v>0.99796759195183404</v>
      </c>
      <c r="C4296">
        <v>0.96944405855544602</v>
      </c>
      <c r="D4296">
        <v>0.97025243021124996</v>
      </c>
      <c r="E4296">
        <v>0.92350344418985197</v>
      </c>
      <c r="F4296">
        <v>0.62195523867762403</v>
      </c>
      <c r="G4296">
        <v>0.38350784880366201</v>
      </c>
      <c r="H4296">
        <v>0.32355041297491899</v>
      </c>
      <c r="I4296">
        <v>0.26152823246801998</v>
      </c>
      <c r="J4296">
        <v>0.23066216875708001</v>
      </c>
      <c r="K4296">
        <v>0.17986202352744601</v>
      </c>
      <c r="L4296">
        <v>1051.0629558313501</v>
      </c>
      <c r="M4296">
        <v>20.7687711627749</v>
      </c>
      <c r="N4296">
        <v>52.059903441975898</v>
      </c>
      <c r="O4296">
        <v>50.145675403255403</v>
      </c>
      <c r="P4296">
        <v>-8.0780781208665706E-2</v>
      </c>
      <c r="Q4296">
        <v>0.21984922278999799</v>
      </c>
      <c r="R4296">
        <v>0.99365235919158801</v>
      </c>
      <c r="S4296" t="s">
        <v>9879</v>
      </c>
      <c r="T4296" t="s">
        <v>11164</v>
      </c>
      <c r="U4296" t="s">
        <v>11164</v>
      </c>
      <c r="V4296" t="s">
        <v>11164</v>
      </c>
      <c r="W4296" t="s">
        <v>15416</v>
      </c>
      <c r="X4296">
        <v>10</v>
      </c>
      <c r="Y4296" t="s">
        <v>20888</v>
      </c>
      <c r="Z4296" t="s">
        <v>26446</v>
      </c>
      <c r="AA4296">
        <v>0.58332445949747325</v>
      </c>
      <c r="AB4296" t="str">
        <f>HYPERLINK("Melting_Curves/meltCurve_Q96EV2_RBM33.pdf", "Melting_Curves/meltCurve_Q96EV2_RBM33.pdf")</f>
        <v>Melting_Curves/meltCurve_Q96EV2_RBM33.pdf</v>
      </c>
    </row>
    <row r="4297" spans="1:28" x14ac:dyDescent="0.25">
      <c r="A4297" t="s">
        <v>4301</v>
      </c>
      <c r="B4297">
        <v>0.99796759195183404</v>
      </c>
      <c r="C4297">
        <v>0.985105274448975</v>
      </c>
      <c r="D4297">
        <v>0.95554622431759895</v>
      </c>
      <c r="E4297">
        <v>0.84534614260499696</v>
      </c>
      <c r="F4297">
        <v>0.76191037183142396</v>
      </c>
      <c r="G4297">
        <v>0.62709860710422805</v>
      </c>
      <c r="H4297">
        <v>0.47975760086649999</v>
      </c>
      <c r="I4297">
        <v>0.31240603884562801</v>
      </c>
      <c r="J4297">
        <v>0.18082008364318999</v>
      </c>
      <c r="K4297">
        <v>0.119051247429121</v>
      </c>
      <c r="L4297">
        <v>585.36578557412599</v>
      </c>
      <c r="M4297">
        <v>10.4387003907352</v>
      </c>
      <c r="N4297">
        <v>56.076516874901102</v>
      </c>
      <c r="O4297">
        <v>54.1357099856208</v>
      </c>
      <c r="P4297">
        <v>-4.8226069729253897E-2</v>
      </c>
      <c r="Q4297">
        <v>0</v>
      </c>
      <c r="R4297">
        <v>0.99338230402966499</v>
      </c>
      <c r="S4297" t="s">
        <v>9880</v>
      </c>
      <c r="T4297" t="s">
        <v>11164</v>
      </c>
      <c r="U4297" t="s">
        <v>11164</v>
      </c>
      <c r="V4297" t="s">
        <v>11164</v>
      </c>
      <c r="W4297" t="s">
        <v>15417</v>
      </c>
      <c r="X4297">
        <v>9</v>
      </c>
      <c r="Y4297" t="s">
        <v>20889</v>
      </c>
      <c r="Z4297" t="s">
        <v>26447</v>
      </c>
      <c r="AA4297">
        <v>0.64256124406159154</v>
      </c>
      <c r="AB4297" t="str">
        <f>HYPERLINK("Melting_Curves/meltCurve_Q96EV8_DTNBP1.pdf", "Melting_Curves/meltCurve_Q96EV8_DTNBP1.pdf")</f>
        <v>Melting_Curves/meltCurve_Q96EV8_DTNBP1.pdf</v>
      </c>
    </row>
    <row r="4298" spans="1:28" x14ac:dyDescent="0.25">
      <c r="A4298" t="s">
        <v>4302</v>
      </c>
      <c r="B4298">
        <v>0.99796759195183404</v>
      </c>
      <c r="C4298">
        <v>1.0505393958260001</v>
      </c>
      <c r="D4298">
        <v>1.06370580781234</v>
      </c>
      <c r="E4298">
        <v>0.91357759916917203</v>
      </c>
      <c r="F4298">
        <v>0.84501089403925</v>
      </c>
      <c r="G4298">
        <v>0.461685453571267</v>
      </c>
      <c r="H4298">
        <v>0.157292715437438</v>
      </c>
      <c r="I4298">
        <v>0.13641118242445699</v>
      </c>
      <c r="J4298">
        <v>8.6766638231423304E-2</v>
      </c>
      <c r="K4298">
        <v>9.1016806833177005E-2</v>
      </c>
      <c r="L4298">
        <v>1446.98226862199</v>
      </c>
      <c r="M4298">
        <v>27.2993557426949</v>
      </c>
      <c r="N4298">
        <v>53.372761024045197</v>
      </c>
      <c r="O4298">
        <v>52.722293978989804</v>
      </c>
      <c r="P4298">
        <v>-0.118331359261219</v>
      </c>
      <c r="Q4298">
        <v>8.5891751774593697E-2</v>
      </c>
      <c r="R4298">
        <v>0.99236656959740899</v>
      </c>
      <c r="S4298" t="s">
        <v>9881</v>
      </c>
      <c r="T4298" t="s">
        <v>11164</v>
      </c>
      <c r="U4298" t="s">
        <v>11164</v>
      </c>
      <c r="V4298" t="s">
        <v>11164</v>
      </c>
      <c r="W4298" t="s">
        <v>15418</v>
      </c>
      <c r="X4298">
        <v>2</v>
      </c>
      <c r="Y4298" t="s">
        <v>20890</v>
      </c>
      <c r="Z4298" t="s">
        <v>26448</v>
      </c>
      <c r="AA4298">
        <v>0.58046484065371939</v>
      </c>
      <c r="AB4298" t="str">
        <f>HYPERLINK("Melting_Curves/meltCurve_Q96EX3_WDR34.pdf", "Melting_Curves/meltCurve_Q96EX3_WDR34.pdf")</f>
        <v>Melting_Curves/meltCurve_Q96EX3_WDR34.pdf</v>
      </c>
    </row>
    <row r="4299" spans="1:28" x14ac:dyDescent="0.25">
      <c r="A4299" t="s">
        <v>4303</v>
      </c>
      <c r="B4299">
        <v>0.99796759195183404</v>
      </c>
      <c r="C4299">
        <v>0.86821959736721699</v>
      </c>
      <c r="D4299">
        <v>0.82902564062272199</v>
      </c>
      <c r="E4299">
        <v>0.61757433416642205</v>
      </c>
      <c r="F4299">
        <v>0.59513219840873899</v>
      </c>
      <c r="G4299">
        <v>0.56133787316636097</v>
      </c>
      <c r="H4299">
        <v>0.38792513675583201</v>
      </c>
      <c r="I4299">
        <v>0.41340798391124201</v>
      </c>
      <c r="J4299">
        <v>0.30893455818846499</v>
      </c>
      <c r="K4299">
        <v>0.16010323152220499</v>
      </c>
      <c r="L4299">
        <v>307.916510183144</v>
      </c>
      <c r="M4299">
        <v>5.7176388500861401</v>
      </c>
      <c r="N4299">
        <v>53.853787943416002</v>
      </c>
      <c r="O4299">
        <v>48.3554445153326</v>
      </c>
      <c r="P4299">
        <v>-2.96740641719636E-2</v>
      </c>
      <c r="Q4299">
        <v>0</v>
      </c>
      <c r="R4299">
        <v>0.95114978708928499</v>
      </c>
      <c r="S4299" t="s">
        <v>9882</v>
      </c>
      <c r="T4299" t="s">
        <v>11164</v>
      </c>
      <c r="U4299" t="s">
        <v>11164</v>
      </c>
      <c r="V4299" t="s">
        <v>11164</v>
      </c>
      <c r="W4299" t="s">
        <v>15419</v>
      </c>
      <c r="X4299">
        <v>1</v>
      </c>
      <c r="Y4299" t="s">
        <v>20891</v>
      </c>
      <c r="Z4299" t="s">
        <v>26449</v>
      </c>
      <c r="AA4299">
        <v>0.56864267796976442</v>
      </c>
      <c r="AB4299" t="str">
        <f>HYPERLINK("Melting_Curves/meltCurve_Q96EY1_DNAJA3.pdf", "Melting_Curves/meltCurve_Q96EY1_DNAJA3.pdf")</f>
        <v>Melting_Curves/meltCurve_Q96EY1_DNAJA3.pdf</v>
      </c>
    </row>
    <row r="4300" spans="1:28" x14ac:dyDescent="0.25">
      <c r="A4300" t="s">
        <v>4304</v>
      </c>
      <c r="B4300">
        <v>0.99796759195183404</v>
      </c>
      <c r="C4300">
        <v>0.95363879208701097</v>
      </c>
      <c r="D4300">
        <v>0.95588120737032101</v>
      </c>
      <c r="E4300">
        <v>0.851737191311988</v>
      </c>
      <c r="F4300">
        <v>0.701674780875995</v>
      </c>
      <c r="G4300">
        <v>0.31627735266513102</v>
      </c>
      <c r="H4300">
        <v>0.18776194730811499</v>
      </c>
      <c r="I4300">
        <v>0.12219609323506</v>
      </c>
      <c r="J4300">
        <v>9.4275024582674505E-2</v>
      </c>
      <c r="K4300">
        <v>5.0934929233664598E-2</v>
      </c>
      <c r="L4300">
        <v>949.36315051693396</v>
      </c>
      <c r="M4300">
        <v>18.386335130458601</v>
      </c>
      <c r="N4300">
        <v>51.959781230138901</v>
      </c>
      <c r="O4300">
        <v>51.034999400039702</v>
      </c>
      <c r="P4300">
        <v>-8.5170164041562996E-2</v>
      </c>
      <c r="Q4300">
        <v>5.44147064599785E-2</v>
      </c>
      <c r="R4300">
        <v>0.99395109533770198</v>
      </c>
      <c r="S4300" t="s">
        <v>9883</v>
      </c>
      <c r="T4300" t="s">
        <v>11164</v>
      </c>
      <c r="U4300" t="s">
        <v>11164</v>
      </c>
      <c r="V4300" t="s">
        <v>11164</v>
      </c>
      <c r="W4300" t="s">
        <v>15420</v>
      </c>
      <c r="X4300">
        <v>5</v>
      </c>
      <c r="Y4300" t="s">
        <v>20892</v>
      </c>
      <c r="Z4300" t="s">
        <v>26450</v>
      </c>
      <c r="AA4300">
        <v>0.52967811580248947</v>
      </c>
      <c r="AB4300" t="str">
        <f>HYPERLINK("Melting_Curves/meltCurve_Q96EY5_MVB12A.pdf", "Melting_Curves/meltCurve_Q96EY5_MVB12A.pdf")</f>
        <v>Melting_Curves/meltCurve_Q96EY5_MVB12A.pdf</v>
      </c>
    </row>
    <row r="4301" spans="1:28" x14ac:dyDescent="0.25">
      <c r="A4301" t="s">
        <v>4305</v>
      </c>
      <c r="B4301">
        <v>0.99796759195183404</v>
      </c>
      <c r="C4301">
        <v>1.0021851810572699</v>
      </c>
      <c r="D4301">
        <v>1.0026536284893699</v>
      </c>
      <c r="E4301">
        <v>0.95677259367471601</v>
      </c>
      <c r="F4301">
        <v>0.80946106475839497</v>
      </c>
      <c r="G4301">
        <v>0.70414119910558204</v>
      </c>
      <c r="H4301">
        <v>0.68992685519724595</v>
      </c>
      <c r="I4301">
        <v>0.52309855400162697</v>
      </c>
      <c r="J4301">
        <v>0.474743819896707</v>
      </c>
      <c r="K4301">
        <v>0.33914073022274899</v>
      </c>
      <c r="L4301">
        <v>457.98532248588202</v>
      </c>
      <c r="M4301">
        <v>7.3829553558516201</v>
      </c>
      <c r="N4301">
        <v>62.032789631087503</v>
      </c>
      <c r="O4301">
        <v>57.969133132702602</v>
      </c>
      <c r="P4301">
        <v>-3.1888550512160399E-2</v>
      </c>
      <c r="Q4301">
        <v>0</v>
      </c>
      <c r="R4301">
        <v>0.97833140454218404</v>
      </c>
      <c r="S4301" t="s">
        <v>9884</v>
      </c>
      <c r="T4301" t="s">
        <v>11164</v>
      </c>
      <c r="U4301" t="s">
        <v>11164</v>
      </c>
      <c r="V4301" t="s">
        <v>11164</v>
      </c>
      <c r="W4301" t="s">
        <v>15421</v>
      </c>
      <c r="X4301">
        <v>12</v>
      </c>
      <c r="Y4301" t="s">
        <v>20893</v>
      </c>
      <c r="Z4301" t="s">
        <v>26451</v>
      </c>
      <c r="AA4301">
        <v>0.75640206050698433</v>
      </c>
      <c r="AB4301" t="str">
        <f>HYPERLINK("Melting_Curves/meltCurve_Q96EY8_MMAB.pdf", "Melting_Curves/meltCurve_Q96EY8_MMAB.pdf")</f>
        <v>Melting_Curves/meltCurve_Q96EY8_MMAB.pdf</v>
      </c>
    </row>
    <row r="4302" spans="1:28" x14ac:dyDescent="0.25">
      <c r="A4302" t="s">
        <v>4306</v>
      </c>
      <c r="B4302">
        <v>0.99796759195183404</v>
      </c>
      <c r="C4302">
        <v>0.96034301589226501</v>
      </c>
      <c r="D4302">
        <v>0.90742089724958797</v>
      </c>
      <c r="E4302">
        <v>0.83763110368611604</v>
      </c>
      <c r="F4302">
        <v>0.85657911695409295</v>
      </c>
      <c r="G4302">
        <v>0.60510371699881205</v>
      </c>
      <c r="H4302">
        <v>0.46027459027981099</v>
      </c>
      <c r="I4302">
        <v>0.32344724173919098</v>
      </c>
      <c r="J4302">
        <v>0.29190408126555401</v>
      </c>
      <c r="K4302">
        <v>0.11587979966152499</v>
      </c>
      <c r="L4302">
        <v>556.60993003902604</v>
      </c>
      <c r="M4302">
        <v>9.8390270945189595</v>
      </c>
      <c r="N4302">
        <v>56.571620827247202</v>
      </c>
      <c r="O4302">
        <v>54.383352596145897</v>
      </c>
      <c r="P4302">
        <v>-4.5253385071093798E-2</v>
      </c>
      <c r="Q4302">
        <v>0</v>
      </c>
      <c r="R4302">
        <v>0.97904067807892603</v>
      </c>
      <c r="S4302" t="s">
        <v>9885</v>
      </c>
      <c r="T4302" t="s">
        <v>11164</v>
      </c>
      <c r="U4302" t="s">
        <v>11164</v>
      </c>
      <c r="V4302" t="s">
        <v>11164</v>
      </c>
      <c r="W4302" t="s">
        <v>15422</v>
      </c>
      <c r="X4302">
        <v>3</v>
      </c>
      <c r="Y4302" t="s">
        <v>20894</v>
      </c>
      <c r="Z4302" t="s">
        <v>26452</v>
      </c>
      <c r="AA4302">
        <v>0.65406344621554502</v>
      </c>
      <c r="AB4302" t="str">
        <f>HYPERLINK("Melting_Curves/meltCurve_Q96EY9_ADAT3.pdf", "Melting_Curves/meltCurve_Q96EY9_ADAT3.pdf")</f>
        <v>Melting_Curves/meltCurve_Q96EY9_ADAT3.pdf</v>
      </c>
    </row>
    <row r="4303" spans="1:28" x14ac:dyDescent="0.25">
      <c r="A4303" t="s">
        <v>4307</v>
      </c>
      <c r="B4303">
        <v>0.99796759195183404</v>
      </c>
      <c r="C4303">
        <v>0.93749846434487005</v>
      </c>
      <c r="D4303">
        <v>0.97092431402747503</v>
      </c>
      <c r="E4303">
        <v>0.96012972398497998</v>
      </c>
      <c r="F4303">
        <v>0.77003003548339599</v>
      </c>
      <c r="G4303">
        <v>0.63384091305117196</v>
      </c>
      <c r="H4303">
        <v>0.427608064287058</v>
      </c>
      <c r="I4303">
        <v>0.243053500359665</v>
      </c>
      <c r="J4303">
        <v>0.17991447778414801</v>
      </c>
      <c r="K4303">
        <v>0.11383182882906299</v>
      </c>
      <c r="L4303">
        <v>691.73880199485404</v>
      </c>
      <c r="M4303">
        <v>12.3737906333784</v>
      </c>
      <c r="N4303">
        <v>55.903548371536701</v>
      </c>
      <c r="O4303">
        <v>54.503637593900201</v>
      </c>
      <c r="P4303">
        <v>-5.6768867025418203E-2</v>
      </c>
      <c r="Q4303">
        <v>0</v>
      </c>
      <c r="R4303">
        <v>0.99434852627026704</v>
      </c>
      <c r="S4303" t="s">
        <v>9886</v>
      </c>
      <c r="T4303" t="s">
        <v>11164</v>
      </c>
      <c r="U4303" t="s">
        <v>11164</v>
      </c>
      <c r="V4303" t="s">
        <v>11164</v>
      </c>
      <c r="W4303" t="s">
        <v>15423</v>
      </c>
      <c r="X4303">
        <v>5</v>
      </c>
      <c r="Y4303" t="s">
        <v>20895</v>
      </c>
      <c r="Z4303" t="s">
        <v>26453</v>
      </c>
      <c r="AA4303">
        <v>0.64074648187023253</v>
      </c>
      <c r="AB4303" t="str">
        <f>HYPERLINK("Melting_Curves/meltCurve_Q96F10_SAT2.pdf", "Melting_Curves/meltCurve_Q96F10_SAT2.pdf")</f>
        <v>Melting_Curves/meltCurve_Q96F10_SAT2.pdf</v>
      </c>
    </row>
    <row r="4304" spans="1:28" x14ac:dyDescent="0.25">
      <c r="A4304" t="s">
        <v>4308</v>
      </c>
      <c r="B4304">
        <v>0.99796759195183404</v>
      </c>
      <c r="C4304">
        <v>0.995314915515075</v>
      </c>
      <c r="D4304">
        <v>0.94686126918814995</v>
      </c>
      <c r="E4304">
        <v>0.84987489662634297</v>
      </c>
      <c r="F4304">
        <v>0.85356392291185201</v>
      </c>
      <c r="G4304">
        <v>0.87232367757615903</v>
      </c>
      <c r="H4304">
        <v>0.53897417287328997</v>
      </c>
      <c r="I4304">
        <v>0.50995890486023499</v>
      </c>
      <c r="J4304">
        <v>0.52111960156569503</v>
      </c>
      <c r="K4304">
        <v>0.41067156263750798</v>
      </c>
      <c r="L4304">
        <v>492.54959855716601</v>
      </c>
      <c r="M4304">
        <v>8.4367526052562294</v>
      </c>
      <c r="N4304">
        <v>62.736911440037403</v>
      </c>
      <c r="O4304">
        <v>55.378145600625203</v>
      </c>
      <c r="P4304">
        <v>-2.96726089514745E-2</v>
      </c>
      <c r="Q4304">
        <v>0.22164728265212</v>
      </c>
      <c r="R4304">
        <v>0.92515010279911203</v>
      </c>
      <c r="S4304" t="s">
        <v>9887</v>
      </c>
      <c r="T4304" t="s">
        <v>11164</v>
      </c>
      <c r="U4304" t="s">
        <v>11164</v>
      </c>
      <c r="V4304" t="s">
        <v>11164</v>
      </c>
      <c r="W4304" t="s">
        <v>15424</v>
      </c>
      <c r="X4304">
        <v>3</v>
      </c>
      <c r="Y4304" t="s">
        <v>20896</v>
      </c>
      <c r="Z4304" t="s">
        <v>26454</v>
      </c>
      <c r="AA4304">
        <v>0.75969048917497972</v>
      </c>
      <c r="AB4304" t="str">
        <f>HYPERLINK("Melting_Curves/meltCurve_Q96F24_2_NRBF2.pdf", "Melting_Curves/meltCurve_Q96F24_2_NRBF2.pdf")</f>
        <v>Melting_Curves/meltCurve_Q96F24_2_NRBF2.pdf</v>
      </c>
    </row>
    <row r="4305" spans="1:28" x14ac:dyDescent="0.25">
      <c r="A4305" t="s">
        <v>4309</v>
      </c>
      <c r="B4305">
        <v>0.99796759195183404</v>
      </c>
      <c r="C4305">
        <v>1.0500809084589999</v>
      </c>
      <c r="D4305">
        <v>0.98820119535634099</v>
      </c>
      <c r="E4305">
        <v>0.93517932976484297</v>
      </c>
      <c r="F4305">
        <v>0.74868301097462497</v>
      </c>
      <c r="G4305">
        <v>0.481747802203144</v>
      </c>
      <c r="H4305">
        <v>0.28995526143202299</v>
      </c>
      <c r="I4305">
        <v>0.45887350944758998</v>
      </c>
      <c r="J4305">
        <v>0.27374554236834198</v>
      </c>
      <c r="K4305">
        <v>0.173462010585373</v>
      </c>
      <c r="L4305">
        <v>1078.5504891518301</v>
      </c>
      <c r="M4305">
        <v>20.875370686573799</v>
      </c>
      <c r="N4305">
        <v>53.621279339023801</v>
      </c>
      <c r="O4305">
        <v>51.199062261528098</v>
      </c>
      <c r="P4305">
        <v>-7.4776141588391506E-2</v>
      </c>
      <c r="Q4305">
        <v>0.26643447015034999</v>
      </c>
      <c r="R4305">
        <v>0.95927851619546201</v>
      </c>
      <c r="S4305" t="s">
        <v>9888</v>
      </c>
      <c r="T4305" t="s">
        <v>11164</v>
      </c>
      <c r="U4305" t="s">
        <v>11164</v>
      </c>
      <c r="V4305" t="s">
        <v>11164</v>
      </c>
      <c r="W4305" t="s">
        <v>15425</v>
      </c>
      <c r="X4305">
        <v>6</v>
      </c>
      <c r="Y4305" t="s">
        <v>20897</v>
      </c>
      <c r="Z4305" t="s">
        <v>26455</v>
      </c>
      <c r="AA4305">
        <v>0.63394056723360304</v>
      </c>
      <c r="AB4305" t="str">
        <f>HYPERLINK("Melting_Curves/meltCurve_Q96F44_3_TRIM11.pdf", "Melting_Curves/meltCurve_Q96F44_3_TRIM11.pdf")</f>
        <v>Melting_Curves/meltCurve_Q96F44_3_TRIM11.pdf</v>
      </c>
    </row>
    <row r="4306" spans="1:28" x14ac:dyDescent="0.25">
      <c r="A4306" t="s">
        <v>4310</v>
      </c>
      <c r="B4306">
        <v>0.99796759195183404</v>
      </c>
      <c r="C4306">
        <v>0.94181196942689105</v>
      </c>
      <c r="D4306">
        <v>1.0166108996043199</v>
      </c>
      <c r="E4306">
        <v>0.95908964673750097</v>
      </c>
      <c r="F4306">
        <v>0.73724696969198</v>
      </c>
      <c r="G4306">
        <v>0.61139781295713702</v>
      </c>
      <c r="H4306">
        <v>0.52876766231202499</v>
      </c>
      <c r="I4306">
        <v>0.47060851027176398</v>
      </c>
      <c r="J4306">
        <v>0.51843390664055899</v>
      </c>
      <c r="K4306">
        <v>0.47531842299819699</v>
      </c>
      <c r="L4306">
        <v>1168.20407308211</v>
      </c>
      <c r="M4306">
        <v>23.124911301694901</v>
      </c>
      <c r="N4306">
        <v>60.565459717554504</v>
      </c>
      <c r="O4306">
        <v>50.143907557324901</v>
      </c>
      <c r="P4306">
        <v>-5.8890665927591498E-2</v>
      </c>
      <c r="Q4306">
        <v>0.48921684161492601</v>
      </c>
      <c r="R4306">
        <v>0.98472848294902204</v>
      </c>
      <c r="S4306" t="s">
        <v>9889</v>
      </c>
      <c r="T4306" t="s">
        <v>11164</v>
      </c>
      <c r="U4306" t="s">
        <v>11164</v>
      </c>
      <c r="V4306" t="s">
        <v>11164</v>
      </c>
      <c r="W4306" t="s">
        <v>15426</v>
      </c>
      <c r="X4306">
        <v>5</v>
      </c>
      <c r="Y4306" t="s">
        <v>20898</v>
      </c>
      <c r="Z4306" t="s">
        <v>26456</v>
      </c>
      <c r="AA4306">
        <v>0.72454990565802213</v>
      </c>
      <c r="AB4306" t="str">
        <f>HYPERLINK("Melting_Curves/meltCurve_Q96F45_ZNF503.pdf", "Melting_Curves/meltCurve_Q96F45_ZNF503.pdf")</f>
        <v>Melting_Curves/meltCurve_Q96F45_ZNF503.pdf</v>
      </c>
    </row>
    <row r="4307" spans="1:28" x14ac:dyDescent="0.25">
      <c r="A4307" t="s">
        <v>4311</v>
      </c>
      <c r="B4307">
        <v>0.99796759195183404</v>
      </c>
      <c r="C4307">
        <v>1.0409919629820501</v>
      </c>
      <c r="D4307">
        <v>1.03247323604578</v>
      </c>
      <c r="E4307">
        <v>1.16955199610278</v>
      </c>
      <c r="F4307">
        <v>0.80147321035088903</v>
      </c>
      <c r="G4307">
        <v>0.96720267135521099</v>
      </c>
      <c r="H4307">
        <v>0.67708560399457896</v>
      </c>
      <c r="I4307">
        <v>0.65273653594872905</v>
      </c>
      <c r="J4307">
        <v>0.269785814500691</v>
      </c>
      <c r="K4307">
        <v>0.13263271634876</v>
      </c>
      <c r="L4307">
        <v>1086.33048467</v>
      </c>
      <c r="M4307">
        <v>17.7233656022558</v>
      </c>
      <c r="N4307">
        <v>61.293690892034803</v>
      </c>
      <c r="O4307">
        <v>60.529326549353499</v>
      </c>
      <c r="P4307">
        <v>-7.3205384677617599E-2</v>
      </c>
      <c r="Q4307">
        <v>0</v>
      </c>
      <c r="R4307">
        <v>0.90954744600862203</v>
      </c>
      <c r="S4307" t="s">
        <v>9890</v>
      </c>
      <c r="T4307" t="s">
        <v>11164</v>
      </c>
      <c r="U4307" t="s">
        <v>11164</v>
      </c>
      <c r="V4307" t="s">
        <v>11164</v>
      </c>
      <c r="W4307" t="s">
        <v>15427</v>
      </c>
      <c r="X4307">
        <v>2</v>
      </c>
      <c r="Y4307" t="s">
        <v>20899</v>
      </c>
      <c r="Z4307" t="s">
        <v>26457</v>
      </c>
      <c r="AA4307">
        <v>0.80023971452370568</v>
      </c>
      <c r="AB4307" t="str">
        <f>HYPERLINK("Melting_Curves/meltCurve_Q96F46_IL17RA.pdf", "Melting_Curves/meltCurve_Q96F46_IL17RA.pdf")</f>
        <v>Melting_Curves/meltCurve_Q96F46_IL17RA.pdf</v>
      </c>
    </row>
    <row r="4308" spans="1:28" x14ac:dyDescent="0.25">
      <c r="A4308" t="s">
        <v>4312</v>
      </c>
      <c r="B4308">
        <v>0.99796759195183404</v>
      </c>
      <c r="C4308">
        <v>1.02596852832163</v>
      </c>
      <c r="D4308">
        <v>1.03845413076737</v>
      </c>
      <c r="E4308">
        <v>0.87524610976740902</v>
      </c>
      <c r="F4308">
        <v>0.75019807559900797</v>
      </c>
      <c r="G4308">
        <v>0.34296131787990702</v>
      </c>
      <c r="H4308">
        <v>0.22227011015827799</v>
      </c>
      <c r="I4308">
        <v>0.251628656754463</v>
      </c>
      <c r="J4308">
        <v>0.29551654667403898</v>
      </c>
      <c r="K4308">
        <v>0.27169800901056601</v>
      </c>
      <c r="L4308">
        <v>1725.8271162966701</v>
      </c>
      <c r="M4308">
        <v>33.861433663900797</v>
      </c>
      <c r="N4308">
        <v>52.054063729351903</v>
      </c>
      <c r="O4308">
        <v>50.790560575464099</v>
      </c>
      <c r="P4308">
        <v>-0.124434748344117</v>
      </c>
      <c r="Q4308">
        <v>0.25341788528813602</v>
      </c>
      <c r="R4308">
        <v>0.98558085891039204</v>
      </c>
      <c r="S4308" t="s">
        <v>9891</v>
      </c>
      <c r="T4308" t="s">
        <v>11164</v>
      </c>
      <c r="U4308" t="s">
        <v>11164</v>
      </c>
      <c r="V4308" t="s">
        <v>11164</v>
      </c>
      <c r="W4308" t="s">
        <v>15428</v>
      </c>
      <c r="X4308">
        <v>7</v>
      </c>
      <c r="Y4308" t="s">
        <v>20900</v>
      </c>
      <c r="Z4308" t="s">
        <v>26458</v>
      </c>
      <c r="AA4308">
        <v>0.60467316006520788</v>
      </c>
      <c r="AB4308" t="str">
        <f>HYPERLINK("Melting_Curves/meltCurve_Q96F86_EDC3.pdf", "Melting_Curves/meltCurve_Q96F86_EDC3.pdf")</f>
        <v>Melting_Curves/meltCurve_Q96F86_EDC3.pdf</v>
      </c>
    </row>
    <row r="4309" spans="1:28" x14ac:dyDescent="0.25">
      <c r="A4309" t="s">
        <v>4313</v>
      </c>
      <c r="B4309">
        <v>0.99796759195183404</v>
      </c>
      <c r="C4309">
        <v>0.97586086646161097</v>
      </c>
      <c r="D4309">
        <v>0.96471125486456399</v>
      </c>
      <c r="E4309">
        <v>0.85916566317144305</v>
      </c>
      <c r="F4309">
        <v>0.66979968778922405</v>
      </c>
      <c r="G4309">
        <v>0.41307439512885502</v>
      </c>
      <c r="H4309">
        <v>0.29317549533381099</v>
      </c>
      <c r="I4309">
        <v>0.292656374310724</v>
      </c>
      <c r="J4309">
        <v>0.24337076039359101</v>
      </c>
      <c r="K4309">
        <v>0.22797420701183399</v>
      </c>
      <c r="L4309">
        <v>924.132980802426</v>
      </c>
      <c r="M4309">
        <v>18.229600313455698</v>
      </c>
      <c r="N4309">
        <v>52.447061840610402</v>
      </c>
      <c r="O4309">
        <v>50.095870744962802</v>
      </c>
      <c r="P4309">
        <v>-7.0222675187575606E-2</v>
      </c>
      <c r="Q4309">
        <v>0.22813432662526101</v>
      </c>
      <c r="R4309">
        <v>0.99748177598013799</v>
      </c>
      <c r="S4309" t="s">
        <v>9892</v>
      </c>
      <c r="T4309" t="s">
        <v>11164</v>
      </c>
      <c r="U4309" t="s">
        <v>11164</v>
      </c>
      <c r="V4309" t="s">
        <v>11164</v>
      </c>
      <c r="W4309" t="s">
        <v>15429</v>
      </c>
      <c r="X4309">
        <v>6</v>
      </c>
      <c r="Y4309" t="s">
        <v>20901</v>
      </c>
      <c r="Z4309" t="s">
        <v>26459</v>
      </c>
      <c r="AA4309">
        <v>0.59226687766279462</v>
      </c>
      <c r="AB4309" t="str">
        <f>HYPERLINK("Melting_Curves/meltCurve_Q96FC9_4_DDX11.pdf", "Melting_Curves/meltCurve_Q96FC9_4_DDX11.pdf")</f>
        <v>Melting_Curves/meltCurve_Q96FC9_4_DDX11.pdf</v>
      </c>
    </row>
    <row r="4310" spans="1:28" x14ac:dyDescent="0.25">
      <c r="A4310" t="s">
        <v>4314</v>
      </c>
      <c r="B4310">
        <v>0.99796759195183404</v>
      </c>
      <c r="C4310">
        <v>1.09251123558304</v>
      </c>
      <c r="D4310">
        <v>1.09279675880837</v>
      </c>
      <c r="E4310">
        <v>0.98211675689532596</v>
      </c>
      <c r="F4310">
        <v>0.82232871740276403</v>
      </c>
      <c r="G4310">
        <v>0.97983251965934404</v>
      </c>
      <c r="H4310">
        <v>0.67374585741117698</v>
      </c>
      <c r="I4310">
        <v>0.5212092066649</v>
      </c>
      <c r="J4310">
        <v>0.36876960880465398</v>
      </c>
      <c r="K4310">
        <v>0.21684557545524</v>
      </c>
      <c r="L4310">
        <v>850.17689898633205</v>
      </c>
      <c r="M4310">
        <v>13.8769061589574</v>
      </c>
      <c r="N4310">
        <v>61.265594024918599</v>
      </c>
      <c r="O4310">
        <v>60.035367037786997</v>
      </c>
      <c r="P4310">
        <v>-5.7794295066729E-2</v>
      </c>
      <c r="Q4310">
        <v>0</v>
      </c>
      <c r="R4310">
        <v>0.94434521982463804</v>
      </c>
      <c r="S4310" t="s">
        <v>9893</v>
      </c>
      <c r="T4310" t="s">
        <v>11164</v>
      </c>
      <c r="U4310" t="s">
        <v>11164</v>
      </c>
      <c r="V4310" t="s">
        <v>11164</v>
      </c>
      <c r="W4310" t="s">
        <v>15430</v>
      </c>
      <c r="X4310">
        <v>2</v>
      </c>
      <c r="Y4310" t="s">
        <v>20902</v>
      </c>
      <c r="Z4310" t="s">
        <v>26460</v>
      </c>
      <c r="AA4310">
        <v>0.78904510451261878</v>
      </c>
      <c r="AB4310" t="str">
        <f>HYPERLINK("Melting_Curves/meltCurve_Q96FH0_2_MEF2BNB.pdf", "Melting_Curves/meltCurve_Q96FH0_2_MEF2BNB.pdf")</f>
        <v>Melting_Curves/meltCurve_Q96FH0_2_MEF2BNB.pdf</v>
      </c>
    </row>
    <row r="4311" spans="1:28" x14ac:dyDescent="0.25">
      <c r="A4311" t="s">
        <v>4315</v>
      </c>
      <c r="B4311">
        <v>0.99796759195183404</v>
      </c>
      <c r="C4311">
        <v>0.89039844857754602</v>
      </c>
      <c r="D4311">
        <v>0.93449146377206405</v>
      </c>
      <c r="E4311">
        <v>0.81959081711200599</v>
      </c>
      <c r="F4311">
        <v>1.5559236718349201</v>
      </c>
      <c r="G4311">
        <v>2.2055424068729299</v>
      </c>
      <c r="H4311">
        <v>1.85133341194635</v>
      </c>
      <c r="I4311">
        <v>0.97277506892274701</v>
      </c>
      <c r="J4311">
        <v>0.219759977601199</v>
      </c>
      <c r="K4311">
        <v>4.2370668264219202E-2</v>
      </c>
      <c r="L4311">
        <v>6447.2790535186195</v>
      </c>
      <c r="M4311">
        <v>102.04966511695901</v>
      </c>
      <c r="N4311">
        <v>63.229120911149899</v>
      </c>
      <c r="O4311">
        <v>63.1536053924765</v>
      </c>
      <c r="P4311">
        <v>-0.38793503642664501</v>
      </c>
      <c r="Q4311">
        <v>3.9703071109076199E-2</v>
      </c>
      <c r="R4311">
        <v>0.37203440502693003</v>
      </c>
      <c r="S4311" t="s">
        <v>9894</v>
      </c>
      <c r="T4311" t="s">
        <v>11164</v>
      </c>
      <c r="U4311" t="s">
        <v>11164</v>
      </c>
      <c r="V4311" t="s">
        <v>11164</v>
      </c>
      <c r="W4311" t="s">
        <v>15431</v>
      </c>
      <c r="X4311">
        <v>3</v>
      </c>
      <c r="Y4311" t="s">
        <v>20903</v>
      </c>
      <c r="Z4311" t="s">
        <v>26461</v>
      </c>
      <c r="AA4311">
        <v>0.87822592080644746</v>
      </c>
      <c r="AB4311" t="str">
        <f>HYPERLINK("Melting_Curves/meltCurve_Q96FK6_WDR89.pdf", "Melting_Curves/meltCurve_Q96FK6_WDR89.pdf")</f>
        <v>Melting_Curves/meltCurve_Q96FK6_WDR89.pdf</v>
      </c>
    </row>
    <row r="4312" spans="1:28" x14ac:dyDescent="0.25">
      <c r="A4312" t="s">
        <v>4316</v>
      </c>
      <c r="B4312">
        <v>0.99796759195183404</v>
      </c>
      <c r="C4312">
        <v>0.74134439255687101</v>
      </c>
      <c r="D4312">
        <v>0.97030381675266597</v>
      </c>
      <c r="E4312">
        <v>0.93822914758369402</v>
      </c>
      <c r="F4312">
        <v>1.1511129867107801</v>
      </c>
      <c r="G4312">
        <v>0.64767123563141604</v>
      </c>
      <c r="H4312">
        <v>0.47712471055589101</v>
      </c>
      <c r="I4312">
        <v>0.52689700995750699</v>
      </c>
      <c r="J4312">
        <v>0.25056306978465098</v>
      </c>
      <c r="K4312">
        <v>8.6557992527379404E-2</v>
      </c>
      <c r="L4312">
        <v>797.08875114190198</v>
      </c>
      <c r="M4312">
        <v>13.578185167549799</v>
      </c>
      <c r="N4312">
        <v>58.703629514710599</v>
      </c>
      <c r="O4312">
        <v>57.4742176228009</v>
      </c>
      <c r="P4312">
        <v>-5.90708731463917E-2</v>
      </c>
      <c r="Q4312">
        <v>0</v>
      </c>
      <c r="R4312">
        <v>0.83278476843530802</v>
      </c>
      <c r="S4312" t="s">
        <v>9895</v>
      </c>
      <c r="T4312" t="s">
        <v>11164</v>
      </c>
      <c r="U4312" t="s">
        <v>11164</v>
      </c>
      <c r="V4312" t="s">
        <v>11164</v>
      </c>
      <c r="W4312" t="s">
        <v>15432</v>
      </c>
      <c r="X4312">
        <v>1</v>
      </c>
      <c r="Y4312" t="s">
        <v>20904</v>
      </c>
      <c r="Z4312" t="s">
        <v>26462</v>
      </c>
      <c r="AA4312">
        <v>0.72160009933280489</v>
      </c>
      <c r="AB4312" t="str">
        <f>HYPERLINK("Melting_Curves/meltCurve_Q96FV9_THOC1.pdf", "Melting_Curves/meltCurve_Q96FV9_THOC1.pdf")</f>
        <v>Melting_Curves/meltCurve_Q96FV9_THOC1.pdf</v>
      </c>
    </row>
    <row r="4313" spans="1:28" x14ac:dyDescent="0.25">
      <c r="A4313" t="s">
        <v>4317</v>
      </c>
      <c r="B4313">
        <v>0.99796759195183404</v>
      </c>
      <c r="C4313">
        <v>0.98589234879861198</v>
      </c>
      <c r="D4313">
        <v>0.92896472129297103</v>
      </c>
      <c r="E4313">
        <v>0.92379718962048196</v>
      </c>
      <c r="F4313">
        <v>0.84287779464733104</v>
      </c>
      <c r="G4313">
        <v>1.6011006924311799</v>
      </c>
      <c r="H4313">
        <v>1.27322183931428</v>
      </c>
      <c r="I4313">
        <v>0.88858095387777003</v>
      </c>
      <c r="J4313">
        <v>0.30531160469331797</v>
      </c>
      <c r="K4313">
        <v>0.196816051185527</v>
      </c>
      <c r="L4313">
        <v>4761.7118085196798</v>
      </c>
      <c r="M4313">
        <v>76.163199196161301</v>
      </c>
      <c r="N4313">
        <v>62.927371781979602</v>
      </c>
      <c r="O4313">
        <v>62.476783358941802</v>
      </c>
      <c r="P4313">
        <v>-0.24543511744670701</v>
      </c>
      <c r="Q4313">
        <v>0.194676918564301</v>
      </c>
      <c r="R4313">
        <v>0.68523791807164203</v>
      </c>
      <c r="S4313" t="s">
        <v>9896</v>
      </c>
      <c r="T4313" t="s">
        <v>11164</v>
      </c>
      <c r="U4313" t="s">
        <v>11164</v>
      </c>
      <c r="V4313" t="s">
        <v>11164</v>
      </c>
      <c r="W4313" t="s">
        <v>15433</v>
      </c>
      <c r="X4313">
        <v>2</v>
      </c>
      <c r="Y4313" t="s">
        <v>20905</v>
      </c>
      <c r="Z4313" t="s">
        <v>26463</v>
      </c>
      <c r="AA4313">
        <v>0.88052902119940513</v>
      </c>
      <c r="AB4313" t="str">
        <f>HYPERLINK("Melting_Curves/meltCurve_Q96FX7_TRMT61A.pdf", "Melting_Curves/meltCurve_Q96FX7_TRMT61A.pdf")</f>
        <v>Melting_Curves/meltCurve_Q96FX7_TRMT61A.pdf</v>
      </c>
    </row>
    <row r="4314" spans="1:28" x14ac:dyDescent="0.25">
      <c r="A4314" t="s">
        <v>4318</v>
      </c>
      <c r="B4314">
        <v>0.99796759195183404</v>
      </c>
      <c r="C4314">
        <v>0.99134385833995498</v>
      </c>
      <c r="D4314">
        <v>1.0024340518216099</v>
      </c>
      <c r="E4314">
        <v>0.89091146766168205</v>
      </c>
      <c r="F4314">
        <v>0.68531726262434201</v>
      </c>
      <c r="G4314">
        <v>0.40609361817994799</v>
      </c>
      <c r="H4314">
        <v>0.25760152334685799</v>
      </c>
      <c r="I4314">
        <v>0.21113656148755</v>
      </c>
      <c r="J4314">
        <v>9.3254596665845693E-2</v>
      </c>
      <c r="K4314">
        <v>9.0261034448559901E-2</v>
      </c>
      <c r="L4314">
        <v>859.77327358081902</v>
      </c>
      <c r="M4314">
        <v>16.4828935495004</v>
      </c>
      <c r="N4314">
        <v>52.734543654547601</v>
      </c>
      <c r="O4314">
        <v>51.4119085830717</v>
      </c>
      <c r="P4314">
        <v>-7.3584890147152901E-2</v>
      </c>
      <c r="Q4314">
        <v>8.1987481029638001E-2</v>
      </c>
      <c r="R4314">
        <v>0.99619936683544397</v>
      </c>
      <c r="S4314" t="s">
        <v>9897</v>
      </c>
      <c r="T4314" t="s">
        <v>11164</v>
      </c>
      <c r="U4314" t="s">
        <v>11164</v>
      </c>
      <c r="V4314" t="s">
        <v>11164</v>
      </c>
      <c r="W4314" t="s">
        <v>15434</v>
      </c>
      <c r="X4314">
        <v>4</v>
      </c>
      <c r="Y4314" t="s">
        <v>20906</v>
      </c>
      <c r="Z4314" t="s">
        <v>26464</v>
      </c>
      <c r="AA4314">
        <v>0.56147371114394773</v>
      </c>
      <c r="AB4314" t="str">
        <f>HYPERLINK("Melting_Curves/meltCurve_Q96FZ2_C3orf37.pdf", "Melting_Curves/meltCurve_Q96FZ2_C3orf37.pdf")</f>
        <v>Melting_Curves/meltCurve_Q96FZ2_C3orf37.pdf</v>
      </c>
    </row>
    <row r="4315" spans="1:28" x14ac:dyDescent="0.25">
      <c r="A4315" t="s">
        <v>4319</v>
      </c>
      <c r="B4315">
        <v>0.99796759195183404</v>
      </c>
      <c r="C4315">
        <v>0.97750635907024797</v>
      </c>
      <c r="D4315">
        <v>1.0340559226252699</v>
      </c>
      <c r="E4315">
        <v>0.98539226018902204</v>
      </c>
      <c r="F4315">
        <v>0.94668637937076305</v>
      </c>
      <c r="G4315">
        <v>0.67860026759871495</v>
      </c>
      <c r="H4315">
        <v>0.58844019834149397</v>
      </c>
      <c r="I4315">
        <v>0.45842328790724701</v>
      </c>
      <c r="J4315">
        <v>0.42222657867184199</v>
      </c>
      <c r="K4315">
        <v>0.246291701299611</v>
      </c>
      <c r="L4315">
        <v>764.36480433341501</v>
      </c>
      <c r="M4315">
        <v>13.4215413758123</v>
      </c>
      <c r="N4315">
        <v>59.4096684130526</v>
      </c>
      <c r="O4315">
        <v>55.730900205749997</v>
      </c>
      <c r="P4315">
        <v>-4.73831415104847E-2</v>
      </c>
      <c r="Q4315">
        <v>0.213117890379286</v>
      </c>
      <c r="R4315">
        <v>0.97385253125305804</v>
      </c>
      <c r="S4315" t="s">
        <v>9898</v>
      </c>
      <c r="T4315" t="s">
        <v>11164</v>
      </c>
      <c r="U4315" t="s">
        <v>11164</v>
      </c>
      <c r="V4315" t="s">
        <v>11164</v>
      </c>
      <c r="W4315" t="s">
        <v>15435</v>
      </c>
      <c r="X4315">
        <v>3</v>
      </c>
      <c r="Y4315" t="s">
        <v>20907</v>
      </c>
      <c r="Z4315" t="s">
        <v>26465</v>
      </c>
      <c r="AA4315">
        <v>0.7419606415945541</v>
      </c>
      <c r="AB4315" t="str">
        <f>HYPERLINK("Melting_Curves/meltCurve_Q96FZ7_CHMP6.pdf", "Melting_Curves/meltCurve_Q96FZ7_CHMP6.pdf")</f>
        <v>Melting_Curves/meltCurve_Q96FZ7_CHMP6.pdf</v>
      </c>
    </row>
    <row r="4316" spans="1:28" x14ac:dyDescent="0.25">
      <c r="A4316" t="s">
        <v>4320</v>
      </c>
      <c r="B4316">
        <v>0.99796759195183404</v>
      </c>
      <c r="C4316">
        <v>1.0001466513491399</v>
      </c>
      <c r="D4316">
        <v>0.99166108626249505</v>
      </c>
      <c r="E4316">
        <v>0.97915168454820001</v>
      </c>
      <c r="F4316">
        <v>0.847375870967916</v>
      </c>
      <c r="G4316">
        <v>0.65777530316516997</v>
      </c>
      <c r="H4316">
        <v>0.66859950616887698</v>
      </c>
      <c r="I4316">
        <v>0.59019572681797905</v>
      </c>
      <c r="J4316">
        <v>0.54840812687973695</v>
      </c>
      <c r="K4316">
        <v>0.36406705605078699</v>
      </c>
      <c r="L4316">
        <v>492.30876173904801</v>
      </c>
      <c r="M4316">
        <v>8.3774116052387999</v>
      </c>
      <c r="N4316">
        <v>63.300131875257698</v>
      </c>
      <c r="O4316">
        <v>55.703790680659402</v>
      </c>
      <c r="P4316">
        <v>-2.9143462243777101E-2</v>
      </c>
      <c r="Q4316">
        <v>0.22560429523054101</v>
      </c>
      <c r="R4316">
        <v>0.94943526543361101</v>
      </c>
      <c r="S4316" t="s">
        <v>9899</v>
      </c>
      <c r="T4316" t="s">
        <v>11164</v>
      </c>
      <c r="U4316" t="s">
        <v>11164</v>
      </c>
      <c r="V4316" t="s">
        <v>11164</v>
      </c>
      <c r="W4316" t="s">
        <v>15436</v>
      </c>
      <c r="X4316">
        <v>21</v>
      </c>
      <c r="Y4316" t="s">
        <v>20908</v>
      </c>
      <c r="Z4316" t="s">
        <v>26466</v>
      </c>
      <c r="AA4316">
        <v>0.76739082983095941</v>
      </c>
      <c r="AB4316" t="str">
        <f>HYPERLINK("Melting_Curves/meltCurve_Q96G03_PGM2.pdf", "Melting_Curves/meltCurve_Q96G03_PGM2.pdf")</f>
        <v>Melting_Curves/meltCurve_Q96G03_PGM2.pdf</v>
      </c>
    </row>
    <row r="4317" spans="1:28" x14ac:dyDescent="0.25">
      <c r="A4317" t="s">
        <v>4321</v>
      </c>
      <c r="B4317">
        <v>0.99796759195183404</v>
      </c>
      <c r="C4317">
        <v>0.92782964824644798</v>
      </c>
      <c r="D4317">
        <v>1.00023836639645</v>
      </c>
      <c r="E4317">
        <v>0.91283667191361095</v>
      </c>
      <c r="F4317">
        <v>0.80523767853347095</v>
      </c>
      <c r="G4317">
        <v>0.60039541953537101</v>
      </c>
      <c r="H4317">
        <v>0.17639059791369499</v>
      </c>
      <c r="I4317">
        <v>9.2580938186437894E-2</v>
      </c>
      <c r="J4317">
        <v>5.8350801564276099E-2</v>
      </c>
      <c r="K4317">
        <v>2.8677484328199599E-2</v>
      </c>
      <c r="L4317">
        <v>1116.38802303138</v>
      </c>
      <c r="M4317">
        <v>20.618115573788799</v>
      </c>
      <c r="N4317">
        <v>54.1596239942184</v>
      </c>
      <c r="O4317">
        <v>53.644350311647699</v>
      </c>
      <c r="P4317">
        <v>-9.5840922076265198E-2</v>
      </c>
      <c r="Q4317">
        <v>2.5906976099339301E-3</v>
      </c>
      <c r="R4317">
        <v>0.98911737612302697</v>
      </c>
      <c r="S4317" t="s">
        <v>9900</v>
      </c>
      <c r="T4317" t="s">
        <v>11164</v>
      </c>
      <c r="U4317" t="s">
        <v>11164</v>
      </c>
      <c r="V4317" t="s">
        <v>11164</v>
      </c>
      <c r="W4317" t="s">
        <v>15437</v>
      </c>
      <c r="X4317">
        <v>1</v>
      </c>
      <c r="Y4317" t="s">
        <v>20909</v>
      </c>
      <c r="Z4317" t="s">
        <v>26467</v>
      </c>
      <c r="AA4317">
        <v>0.58415237515286356</v>
      </c>
      <c r="AB4317" t="str">
        <f>HYPERLINK("Melting_Curves/meltCurve_Q96G23_CERS2.pdf", "Melting_Curves/meltCurve_Q96G23_CERS2.pdf")</f>
        <v>Melting_Curves/meltCurve_Q96G23_CERS2.pdf</v>
      </c>
    </row>
    <row r="4318" spans="1:28" x14ac:dyDescent="0.25">
      <c r="A4318" t="s">
        <v>4322</v>
      </c>
      <c r="B4318">
        <v>0.99796759195183404</v>
      </c>
      <c r="C4318">
        <v>1.04141335683819</v>
      </c>
      <c r="D4318">
        <v>1.00100445616809</v>
      </c>
      <c r="E4318">
        <v>0.95875683485688001</v>
      </c>
      <c r="F4318">
        <v>0.84330778933630102</v>
      </c>
      <c r="G4318">
        <v>0.63483720111633501</v>
      </c>
      <c r="H4318">
        <v>0.84198593174891601</v>
      </c>
      <c r="I4318">
        <v>0.89581531638910905</v>
      </c>
      <c r="J4318">
        <v>1.0953806323342099</v>
      </c>
      <c r="K4318">
        <v>1.1392142546475501</v>
      </c>
      <c r="L4318">
        <v>15000</v>
      </c>
      <c r="M4318">
        <v>234.786460226006</v>
      </c>
      <c r="O4318">
        <v>63.883186556590701</v>
      </c>
      <c r="P4318">
        <v>0.12791708565676699</v>
      </c>
      <c r="Q4318">
        <v>1.1392201826147399</v>
      </c>
      <c r="R4318">
        <v>-9.2518516727804201E-3</v>
      </c>
      <c r="S4318" t="s">
        <v>9901</v>
      </c>
      <c r="T4318" t="s">
        <v>11164</v>
      </c>
      <c r="U4318" t="s">
        <v>11164</v>
      </c>
      <c r="V4318" t="s">
        <v>11164</v>
      </c>
      <c r="W4318" t="s">
        <v>15438</v>
      </c>
      <c r="X4318">
        <v>5</v>
      </c>
      <c r="Y4318" t="s">
        <v>20910</v>
      </c>
      <c r="Z4318" t="s">
        <v>26468</v>
      </c>
      <c r="AA4318">
        <v>1.014424839317525</v>
      </c>
      <c r="AB4318" t="str">
        <f>HYPERLINK("Melting_Curves/meltCurve_Q96G25_MED8.pdf", "Melting_Curves/meltCurve_Q96G25_MED8.pdf")</f>
        <v>Melting_Curves/meltCurve_Q96G25_MED8.pdf</v>
      </c>
    </row>
    <row r="4319" spans="1:28" x14ac:dyDescent="0.25">
      <c r="A4319" t="s">
        <v>4323</v>
      </c>
      <c r="B4319">
        <v>0.99796759195183404</v>
      </c>
      <c r="C4319">
        <v>1.0627342911128701</v>
      </c>
      <c r="D4319">
        <v>1.1459650943153401</v>
      </c>
      <c r="E4319">
        <v>0.98939377993979805</v>
      </c>
      <c r="F4319">
        <v>0.91894540572402705</v>
      </c>
      <c r="G4319">
        <v>0.46726039359448202</v>
      </c>
      <c r="H4319">
        <v>0.36492694252553598</v>
      </c>
      <c r="I4319">
        <v>0.278190963947056</v>
      </c>
      <c r="J4319">
        <v>0.25385520542288298</v>
      </c>
      <c r="K4319">
        <v>0.18105180601236801</v>
      </c>
      <c r="L4319">
        <v>1868.87335348494</v>
      </c>
      <c r="M4319">
        <v>35.4446768707556</v>
      </c>
      <c r="N4319">
        <v>53.792346645334398</v>
      </c>
      <c r="O4319">
        <v>52.559499785885201</v>
      </c>
      <c r="P4319">
        <v>-0.126060749953816</v>
      </c>
      <c r="Q4319">
        <v>0.25228065809225603</v>
      </c>
      <c r="R4319">
        <v>0.97195255878281706</v>
      </c>
      <c r="S4319" t="s">
        <v>9902</v>
      </c>
      <c r="T4319" t="s">
        <v>11164</v>
      </c>
      <c r="U4319" t="s">
        <v>11164</v>
      </c>
      <c r="V4319" t="s">
        <v>11164</v>
      </c>
      <c r="W4319" t="s">
        <v>15439</v>
      </c>
      <c r="X4319">
        <v>6</v>
      </c>
      <c r="Y4319" t="s">
        <v>20911</v>
      </c>
      <c r="Z4319" t="s">
        <v>26469</v>
      </c>
      <c r="AA4319">
        <v>0.64769346099158021</v>
      </c>
      <c r="AB4319" t="str">
        <f>HYPERLINK("Melting_Curves/meltCurve_Q96G28_CCDC104.pdf", "Melting_Curves/meltCurve_Q96G28_CCDC104.pdf")</f>
        <v>Melting_Curves/meltCurve_Q96G28_CCDC104.pdf</v>
      </c>
    </row>
    <row r="4320" spans="1:28" x14ac:dyDescent="0.25">
      <c r="A4320" t="s">
        <v>4324</v>
      </c>
      <c r="B4320">
        <v>0.99796759195183404</v>
      </c>
      <c r="C4320">
        <v>0.95162056872437994</v>
      </c>
      <c r="D4320">
        <v>0.94805096842804204</v>
      </c>
      <c r="E4320">
        <v>0.89106319687860702</v>
      </c>
      <c r="F4320">
        <v>0.73412665133587895</v>
      </c>
      <c r="G4320">
        <v>0.425180047193426</v>
      </c>
      <c r="H4320">
        <v>0.30627412361430001</v>
      </c>
      <c r="I4320">
        <v>0.23746517626043601</v>
      </c>
      <c r="J4320">
        <v>0.21143415225137099</v>
      </c>
      <c r="K4320">
        <v>0.13751061299815101</v>
      </c>
      <c r="L4320">
        <v>860.66631603958797</v>
      </c>
      <c r="M4320">
        <v>16.534798920459799</v>
      </c>
      <c r="N4320">
        <v>53.199330042270397</v>
      </c>
      <c r="O4320">
        <v>51.3083176123722</v>
      </c>
      <c r="P4320">
        <v>-6.8486209316637695E-2</v>
      </c>
      <c r="Q4320">
        <v>0.149993686104051</v>
      </c>
      <c r="R4320">
        <v>0.993513737700921</v>
      </c>
      <c r="S4320" t="s">
        <v>9903</v>
      </c>
      <c r="T4320" t="s">
        <v>11164</v>
      </c>
      <c r="U4320" t="s">
        <v>11164</v>
      </c>
      <c r="V4320" t="s">
        <v>11164</v>
      </c>
      <c r="W4320" t="s">
        <v>15440</v>
      </c>
      <c r="X4320">
        <v>24</v>
      </c>
      <c r="Y4320" t="s">
        <v>20912</v>
      </c>
      <c r="Z4320" t="s">
        <v>26470</v>
      </c>
      <c r="AA4320">
        <v>0.59086406882451414</v>
      </c>
      <c r="AB4320" t="str">
        <f>HYPERLINK("Melting_Curves/meltCurve_Q96G46_DUS3L.pdf", "Melting_Curves/meltCurve_Q96G46_DUS3L.pdf")</f>
        <v>Melting_Curves/meltCurve_Q96G46_DUS3L.pdf</v>
      </c>
    </row>
    <row r="4321" spans="1:28" x14ac:dyDescent="0.25">
      <c r="A4321" t="s">
        <v>4325</v>
      </c>
      <c r="B4321">
        <v>0.99796759195183404</v>
      </c>
      <c r="C4321">
        <v>1.0501177607555401</v>
      </c>
      <c r="D4321">
        <v>1.0551384845593601</v>
      </c>
      <c r="E4321">
        <v>1.04240184046805</v>
      </c>
      <c r="F4321">
        <v>0.70515002619729295</v>
      </c>
      <c r="G4321">
        <v>0.28084165700246499</v>
      </c>
      <c r="H4321">
        <v>0.18343449313790799</v>
      </c>
      <c r="I4321">
        <v>0.138603720378146</v>
      </c>
      <c r="J4321">
        <v>0.108051833225479</v>
      </c>
      <c r="K4321">
        <v>9.0650947109080907E-2</v>
      </c>
      <c r="L4321">
        <v>1745.6152699868701</v>
      </c>
      <c r="M4321">
        <v>34.000793240953797</v>
      </c>
      <c r="N4321">
        <v>51.769846130929501</v>
      </c>
      <c r="O4321">
        <v>51.1638051222412</v>
      </c>
      <c r="P4321">
        <v>-0.14572315820871301</v>
      </c>
      <c r="Q4321">
        <v>0.122876726273868</v>
      </c>
      <c r="R4321">
        <v>0.99222208315736704</v>
      </c>
      <c r="S4321" t="s">
        <v>9904</v>
      </c>
      <c r="T4321" t="s">
        <v>11164</v>
      </c>
      <c r="U4321" t="s">
        <v>11164</v>
      </c>
      <c r="V4321" t="s">
        <v>11164</v>
      </c>
      <c r="W4321" t="s">
        <v>15441</v>
      </c>
      <c r="X4321">
        <v>13</v>
      </c>
      <c r="Y4321" t="s">
        <v>20913</v>
      </c>
      <c r="Z4321" t="s">
        <v>26471</v>
      </c>
      <c r="AA4321">
        <v>0.54644947709303016</v>
      </c>
      <c r="AB4321" t="str">
        <f>HYPERLINK("Melting_Curves/meltCurve_Q96G61_NUDT11.pdf", "Melting_Curves/meltCurve_Q96G61_NUDT11.pdf")</f>
        <v>Melting_Curves/meltCurve_Q96G61_NUDT11.pdf</v>
      </c>
    </row>
    <row r="4322" spans="1:28" x14ac:dyDescent="0.25">
      <c r="A4322" t="s">
        <v>4326</v>
      </c>
      <c r="B4322">
        <v>0.99796759195183404</v>
      </c>
      <c r="C4322">
        <v>1.01113255423203</v>
      </c>
      <c r="D4322">
        <v>1.0296644519292699</v>
      </c>
      <c r="E4322">
        <v>0.92416485164496398</v>
      </c>
      <c r="F4322">
        <v>0.90586060819408798</v>
      </c>
      <c r="G4322">
        <v>0.59502369419280998</v>
      </c>
      <c r="H4322">
        <v>0.47028389993712399</v>
      </c>
      <c r="I4322">
        <v>0.37570665179280199</v>
      </c>
      <c r="J4322">
        <v>0.40221868985488701</v>
      </c>
      <c r="K4322">
        <v>0.37915354787337802</v>
      </c>
      <c r="L4322">
        <v>1435.47709204119</v>
      </c>
      <c r="M4322">
        <v>27.188787666009102</v>
      </c>
      <c r="N4322">
        <v>55.774580469042398</v>
      </c>
      <c r="O4322">
        <v>52.513513296524302</v>
      </c>
      <c r="P4322">
        <v>-7.9875042275617703E-2</v>
      </c>
      <c r="Q4322">
        <v>0.38291041902685102</v>
      </c>
      <c r="R4322">
        <v>0.99042421560428295</v>
      </c>
      <c r="S4322" t="s">
        <v>9905</v>
      </c>
      <c r="T4322" t="s">
        <v>11164</v>
      </c>
      <c r="U4322" t="s">
        <v>11164</v>
      </c>
      <c r="V4322" t="s">
        <v>11164</v>
      </c>
      <c r="W4322" t="s">
        <v>15442</v>
      </c>
      <c r="X4322">
        <v>11</v>
      </c>
      <c r="Y4322" t="s">
        <v>20914</v>
      </c>
      <c r="Z4322" t="s">
        <v>26472</v>
      </c>
      <c r="AA4322">
        <v>0.71254624599374816</v>
      </c>
      <c r="AB4322" t="str">
        <f>HYPERLINK("Melting_Curves/meltCurve_Q96G74_3_OTUD5.pdf", "Melting_Curves/meltCurve_Q96G74_3_OTUD5.pdf")</f>
        <v>Melting_Curves/meltCurve_Q96G74_3_OTUD5.pdf</v>
      </c>
    </row>
    <row r="4323" spans="1:28" x14ac:dyDescent="0.25">
      <c r="A4323" t="s">
        <v>4327</v>
      </c>
      <c r="B4323">
        <v>0.99796759195183404</v>
      </c>
      <c r="C4323">
        <v>1.06553925020814</v>
      </c>
      <c r="D4323">
        <v>0.96474945727696904</v>
      </c>
      <c r="E4323">
        <v>0.85882053029681604</v>
      </c>
      <c r="F4323">
        <v>0.68622365183162604</v>
      </c>
      <c r="G4323">
        <v>0.36957324266436498</v>
      </c>
      <c r="H4323">
        <v>0.26921049392267699</v>
      </c>
      <c r="I4323">
        <v>0.25279127173986699</v>
      </c>
      <c r="J4323">
        <v>0.30503270592482301</v>
      </c>
      <c r="K4323">
        <v>0.28143584838294899</v>
      </c>
      <c r="L4323">
        <v>1193.2365750430099</v>
      </c>
      <c r="M4323">
        <v>23.699846433208499</v>
      </c>
      <c r="N4323">
        <v>51.975494828667301</v>
      </c>
      <c r="O4323">
        <v>49.993509184674998</v>
      </c>
      <c r="P4323">
        <v>-8.7469967577196397E-2</v>
      </c>
      <c r="Q4323">
        <v>0.26196012128814</v>
      </c>
      <c r="R4323">
        <v>0.98797832778601902</v>
      </c>
      <c r="S4323" t="s">
        <v>9906</v>
      </c>
      <c r="T4323" t="s">
        <v>11164</v>
      </c>
      <c r="U4323" t="s">
        <v>11164</v>
      </c>
      <c r="V4323" t="s">
        <v>11164</v>
      </c>
      <c r="W4323" t="s">
        <v>15443</v>
      </c>
      <c r="X4323">
        <v>1</v>
      </c>
      <c r="Y4323" t="s">
        <v>20915</v>
      </c>
      <c r="Z4323" t="s">
        <v>26473</v>
      </c>
      <c r="AA4323">
        <v>0.59749404284459995</v>
      </c>
      <c r="AB4323" t="str">
        <f>HYPERLINK("Melting_Curves/meltCurve_Q96GA3_LTV1.pdf", "Melting_Curves/meltCurve_Q96GA3_LTV1.pdf")</f>
        <v>Melting_Curves/meltCurve_Q96GA3_LTV1.pdf</v>
      </c>
    </row>
    <row r="4324" spans="1:28" x14ac:dyDescent="0.25">
      <c r="A4324" t="s">
        <v>4328</v>
      </c>
      <c r="B4324">
        <v>0.99796759195183404</v>
      </c>
      <c r="C4324">
        <v>0.95100186591523495</v>
      </c>
      <c r="D4324">
        <v>0.932619685445503</v>
      </c>
      <c r="E4324">
        <v>0.93206934917652795</v>
      </c>
      <c r="F4324">
        <v>0.79757818250994295</v>
      </c>
      <c r="G4324">
        <v>0.58991576997153605</v>
      </c>
      <c r="H4324">
        <v>0.66098429206098097</v>
      </c>
      <c r="I4324">
        <v>0.55752563869076399</v>
      </c>
      <c r="J4324">
        <v>0.69029958956670401</v>
      </c>
      <c r="K4324">
        <v>0.54056350266832798</v>
      </c>
      <c r="L4324">
        <v>1258.0045624552199</v>
      </c>
      <c r="M4324">
        <v>25.344299204957899</v>
      </c>
      <c r="O4324">
        <v>49.330657457834597</v>
      </c>
      <c r="P4324">
        <v>-5.1609628644211099E-2</v>
      </c>
      <c r="Q4324">
        <v>0.59818900941198905</v>
      </c>
      <c r="R4324">
        <v>0.90907666812461396</v>
      </c>
      <c r="S4324" t="s">
        <v>9907</v>
      </c>
      <c r="T4324" t="s">
        <v>11164</v>
      </c>
      <c r="U4324" t="s">
        <v>11164</v>
      </c>
      <c r="V4324" t="s">
        <v>11164</v>
      </c>
      <c r="W4324" t="s">
        <v>15444</v>
      </c>
      <c r="X4324">
        <v>8</v>
      </c>
      <c r="Y4324" t="s">
        <v>20916</v>
      </c>
      <c r="Z4324" t="s">
        <v>26474</v>
      </c>
      <c r="AA4324">
        <v>0.77084858163228975</v>
      </c>
      <c r="AB4324" t="str">
        <f>HYPERLINK("Melting_Curves/meltCurve_Q96GA7_SDSL.pdf", "Melting_Curves/meltCurve_Q96GA7_SDSL.pdf")</f>
        <v>Melting_Curves/meltCurve_Q96GA7_SDSL.pdf</v>
      </c>
    </row>
    <row r="4325" spans="1:28" x14ac:dyDescent="0.25">
      <c r="A4325" t="s">
        <v>4329</v>
      </c>
      <c r="B4325">
        <v>0.99796759195183404</v>
      </c>
      <c r="C4325">
        <v>1.01822404563647</v>
      </c>
      <c r="D4325">
        <v>0.99302517975974003</v>
      </c>
      <c r="E4325">
        <v>0.96388464140908403</v>
      </c>
      <c r="F4325">
        <v>0.93567892522713003</v>
      </c>
      <c r="G4325">
        <v>0.65784553303087001</v>
      </c>
      <c r="H4325">
        <v>0.69815198406027301</v>
      </c>
      <c r="I4325">
        <v>0.62780963523099997</v>
      </c>
      <c r="J4325">
        <v>0.89896270055916905</v>
      </c>
      <c r="K4325">
        <v>1.05486372527131</v>
      </c>
      <c r="L4325">
        <v>12591.8844363027</v>
      </c>
      <c r="M4325">
        <v>250</v>
      </c>
      <c r="O4325">
        <v>50.3643148173906</v>
      </c>
      <c r="P4325">
        <v>-0.26367042374747901</v>
      </c>
      <c r="Q4325">
        <v>0.78752671767356197</v>
      </c>
      <c r="R4325">
        <v>0.415966427614956</v>
      </c>
      <c r="S4325" t="s">
        <v>9908</v>
      </c>
      <c r="T4325" t="s">
        <v>11164</v>
      </c>
      <c r="U4325" t="s">
        <v>11164</v>
      </c>
      <c r="V4325" t="s">
        <v>11164</v>
      </c>
      <c r="W4325" t="s">
        <v>15445</v>
      </c>
      <c r="X4325">
        <v>24</v>
      </c>
      <c r="Y4325" t="s">
        <v>20917</v>
      </c>
      <c r="Z4325" t="s">
        <v>26475</v>
      </c>
      <c r="AA4325">
        <v>0.88222031980048621</v>
      </c>
      <c r="AB4325" t="str">
        <f>HYPERLINK("Melting_Curves/meltCurve_Q96GD0_PDXP.pdf", "Melting_Curves/meltCurve_Q96GD0_PDXP.pdf")</f>
        <v>Melting_Curves/meltCurve_Q96GD0_PDXP.pdf</v>
      </c>
    </row>
    <row r="4326" spans="1:28" x14ac:dyDescent="0.25">
      <c r="A4326" t="s">
        <v>4330</v>
      </c>
      <c r="B4326">
        <v>0.99796759195183404</v>
      </c>
      <c r="C4326">
        <v>1.0298285850968301</v>
      </c>
      <c r="D4326">
        <v>1.1050257258493501</v>
      </c>
      <c r="E4326">
        <v>0.97299698158525005</v>
      </c>
      <c r="F4326">
        <v>0.753468072998557</v>
      </c>
      <c r="G4326">
        <v>0.91661345692269502</v>
      </c>
      <c r="H4326">
        <v>0.86150198140750001</v>
      </c>
      <c r="I4326">
        <v>0.86742834912587696</v>
      </c>
      <c r="J4326">
        <v>0.75876885754168599</v>
      </c>
      <c r="K4326">
        <v>0.67081649439795499</v>
      </c>
      <c r="L4326">
        <v>354.12271909349602</v>
      </c>
      <c r="M4326">
        <v>4.4135682273254702</v>
      </c>
      <c r="Q4326">
        <v>0</v>
      </c>
      <c r="R4326">
        <v>0.66883113313987896</v>
      </c>
      <c r="S4326" t="s">
        <v>9909</v>
      </c>
      <c r="T4326" t="s">
        <v>11164</v>
      </c>
      <c r="U4326" t="s">
        <v>11164</v>
      </c>
      <c r="V4326" t="s">
        <v>11164</v>
      </c>
      <c r="W4326" t="s">
        <v>15446</v>
      </c>
      <c r="X4326">
        <v>2</v>
      </c>
      <c r="Y4326" t="s">
        <v>20918</v>
      </c>
      <c r="Z4326" t="s">
        <v>26476</v>
      </c>
      <c r="AA4326">
        <v>0.89268813494998289</v>
      </c>
      <c r="AB4326" t="str">
        <f>HYPERLINK("Melting_Curves/meltCurve_Q96GF1_RNF185.pdf", "Melting_Curves/meltCurve_Q96GF1_RNF185.pdf")</f>
        <v>Melting_Curves/meltCurve_Q96GF1_RNF185.pdf</v>
      </c>
    </row>
    <row r="4327" spans="1:28" x14ac:dyDescent="0.25">
      <c r="A4327" t="s">
        <v>4331</v>
      </c>
      <c r="B4327">
        <v>0.99796759195183404</v>
      </c>
      <c r="C4327">
        <v>1.0796070557691599</v>
      </c>
      <c r="D4327">
        <v>0.97942190574334898</v>
      </c>
      <c r="E4327">
        <v>0.94152925295258105</v>
      </c>
      <c r="F4327">
        <v>0.93863500721858195</v>
      </c>
      <c r="G4327">
        <v>0.61222323117456501</v>
      </c>
      <c r="H4327">
        <v>0.34462153026569597</v>
      </c>
      <c r="I4327">
        <v>0.26286664624094302</v>
      </c>
      <c r="J4327">
        <v>0.29832538480892201</v>
      </c>
      <c r="K4327">
        <v>0.20466920583899301</v>
      </c>
      <c r="L4327">
        <v>1629.95539356479</v>
      </c>
      <c r="M4327">
        <v>30.320965947120499</v>
      </c>
      <c r="N4327">
        <v>54.986068355024202</v>
      </c>
      <c r="O4327">
        <v>53.524506885207302</v>
      </c>
      <c r="P4327">
        <v>-0.106760871811505</v>
      </c>
      <c r="Q4327">
        <v>0.24616027330544701</v>
      </c>
      <c r="R4327">
        <v>0.98796350670162902</v>
      </c>
      <c r="S4327" t="s">
        <v>9910</v>
      </c>
      <c r="T4327" t="s">
        <v>11164</v>
      </c>
      <c r="U4327" t="s">
        <v>11164</v>
      </c>
      <c r="V4327" t="s">
        <v>11164</v>
      </c>
      <c r="W4327" t="s">
        <v>15447</v>
      </c>
      <c r="X4327">
        <v>3</v>
      </c>
      <c r="Y4327" t="s">
        <v>20919</v>
      </c>
      <c r="Z4327" t="s">
        <v>26477</v>
      </c>
      <c r="AA4327">
        <v>0.67194299898690868</v>
      </c>
      <c r="AB4327" t="str">
        <f>HYPERLINK("Melting_Curves/meltCurve_Q96GG9_DCUN1D1.pdf", "Melting_Curves/meltCurve_Q96GG9_DCUN1D1.pdf")</f>
        <v>Melting_Curves/meltCurve_Q96GG9_DCUN1D1.pdf</v>
      </c>
    </row>
    <row r="4328" spans="1:28" x14ac:dyDescent="0.25">
      <c r="A4328" t="s">
        <v>4332</v>
      </c>
      <c r="B4328">
        <v>0.99796759195183404</v>
      </c>
      <c r="C4328">
        <v>0.85485052236967296</v>
      </c>
      <c r="D4328">
        <v>0.849374614946105</v>
      </c>
      <c r="E4328">
        <v>0.93174011877956797</v>
      </c>
      <c r="F4328">
        <v>0.65529714990723698</v>
      </c>
      <c r="G4328">
        <v>0.29349139453724798</v>
      </c>
      <c r="H4328">
        <v>0.19119655012442299</v>
      </c>
      <c r="I4328">
        <v>0.15875582515286901</v>
      </c>
      <c r="J4328">
        <v>8.6751207801316302E-2</v>
      </c>
      <c r="K4328">
        <v>6.3018859840116001E-2</v>
      </c>
      <c r="L4328">
        <v>1011.15848506214</v>
      </c>
      <c r="M4328">
        <v>19.724477366047701</v>
      </c>
      <c r="N4328">
        <v>51.706908450877101</v>
      </c>
      <c r="O4328">
        <v>50.745940170027602</v>
      </c>
      <c r="P4328">
        <v>-8.9625362054300203E-2</v>
      </c>
      <c r="Q4328">
        <v>7.7700921900986195E-2</v>
      </c>
      <c r="R4328">
        <v>0.96656082454139702</v>
      </c>
      <c r="S4328" t="s">
        <v>9911</v>
      </c>
      <c r="T4328" t="s">
        <v>11164</v>
      </c>
      <c r="U4328" t="s">
        <v>11164</v>
      </c>
      <c r="V4328" t="s">
        <v>11164</v>
      </c>
      <c r="W4328" t="s">
        <v>15448</v>
      </c>
      <c r="X4328">
        <v>2</v>
      </c>
      <c r="Y4328" t="s">
        <v>20920</v>
      </c>
      <c r="Z4328" t="s">
        <v>26478</v>
      </c>
      <c r="AA4328">
        <v>0.52854616358220718</v>
      </c>
      <c r="AB4328" t="str">
        <f>HYPERLINK("Melting_Curves/meltCurve_Q96GJ1_3_TRMT2B.pdf", "Melting_Curves/meltCurve_Q96GJ1_3_TRMT2B.pdf")</f>
        <v>Melting_Curves/meltCurve_Q96GJ1_3_TRMT2B.pdf</v>
      </c>
    </row>
    <row r="4329" spans="1:28" x14ac:dyDescent="0.25">
      <c r="A4329" t="s">
        <v>4333</v>
      </c>
      <c r="B4329">
        <v>0.99796759195183404</v>
      </c>
      <c r="C4329">
        <v>0.98833378108790204</v>
      </c>
      <c r="D4329">
        <v>1.01831663909666</v>
      </c>
      <c r="E4329">
        <v>0.95685804325762602</v>
      </c>
      <c r="F4329">
        <v>0.90318867585923202</v>
      </c>
      <c r="G4329">
        <v>0.64682450809085701</v>
      </c>
      <c r="H4329">
        <v>0.56439465021245105</v>
      </c>
      <c r="I4329">
        <v>0.38793606881099701</v>
      </c>
      <c r="J4329">
        <v>0.29626092662436299</v>
      </c>
      <c r="K4329">
        <v>0.20352085620832899</v>
      </c>
      <c r="L4329">
        <v>710.26432254931103</v>
      </c>
      <c r="M4329">
        <v>12.4260025315023</v>
      </c>
      <c r="N4329">
        <v>58.161793105660401</v>
      </c>
      <c r="O4329">
        <v>55.7396776914104</v>
      </c>
      <c r="P4329">
        <v>-5.0371501397688E-2</v>
      </c>
      <c r="Q4329">
        <v>9.6378824124794593E-2</v>
      </c>
      <c r="R4329">
        <v>0.99025205497764202</v>
      </c>
      <c r="S4329" t="s">
        <v>9912</v>
      </c>
      <c r="T4329" t="s">
        <v>11164</v>
      </c>
      <c r="U4329" t="s">
        <v>11164</v>
      </c>
      <c r="V4329" t="s">
        <v>11164</v>
      </c>
      <c r="W4329" t="s">
        <v>15449</v>
      </c>
      <c r="X4329">
        <v>13</v>
      </c>
      <c r="Y4329" t="s">
        <v>20921</v>
      </c>
      <c r="Z4329" t="s">
        <v>26479</v>
      </c>
      <c r="AA4329">
        <v>0.70773216317084686</v>
      </c>
      <c r="AB4329" t="str">
        <f>HYPERLINK("Melting_Curves/meltCurve_Q96GK7_FAHD2A.pdf", "Melting_Curves/meltCurve_Q96GK7_FAHD2A.pdf")</f>
        <v>Melting_Curves/meltCurve_Q96GK7_FAHD2A.pdf</v>
      </c>
    </row>
    <row r="4330" spans="1:28" x14ac:dyDescent="0.25">
      <c r="A4330" t="s">
        <v>4334</v>
      </c>
      <c r="B4330">
        <v>0.99796759195183404</v>
      </c>
      <c r="C4330">
        <v>0.93182777914194304</v>
      </c>
      <c r="D4330">
        <v>0.93400018767599002</v>
      </c>
      <c r="E4330">
        <v>0.94346762033988396</v>
      </c>
      <c r="F4330">
        <v>0.83659730880863603</v>
      </c>
      <c r="G4330">
        <v>0.62705169421463103</v>
      </c>
      <c r="H4330">
        <v>0.64915879738496096</v>
      </c>
      <c r="I4330">
        <v>0.64285243911781298</v>
      </c>
      <c r="J4330">
        <v>0.69676752014004495</v>
      </c>
      <c r="K4330">
        <v>0.42466706110268598</v>
      </c>
      <c r="L4330">
        <v>439.41894574298198</v>
      </c>
      <c r="M4330">
        <v>8.0877208229773405</v>
      </c>
      <c r="O4330">
        <v>51.312433332957099</v>
      </c>
      <c r="P4330">
        <v>-2.2149882630725402E-2</v>
      </c>
      <c r="Q4330">
        <v>0.43849118525199698</v>
      </c>
      <c r="R4330">
        <v>0.84555961532068702</v>
      </c>
      <c r="S4330" t="s">
        <v>9913</v>
      </c>
      <c r="T4330" t="s">
        <v>11164</v>
      </c>
      <c r="U4330" t="s">
        <v>11164</v>
      </c>
      <c r="V4330" t="s">
        <v>11164</v>
      </c>
      <c r="W4330" t="s">
        <v>15450</v>
      </c>
      <c r="X4330">
        <v>15</v>
      </c>
      <c r="Y4330" t="s">
        <v>20922</v>
      </c>
      <c r="Z4330" t="s">
        <v>26480</v>
      </c>
      <c r="AA4330">
        <v>0.76980908446185692</v>
      </c>
      <c r="AB4330" t="str">
        <f>HYPERLINK("Melting_Curves/meltCurve_Q96GP6_2_SCARF2.pdf", "Melting_Curves/meltCurve_Q96GP6_2_SCARF2.pdf")</f>
        <v>Melting_Curves/meltCurve_Q96GP6_2_SCARF2.pdf</v>
      </c>
    </row>
    <row r="4331" spans="1:28" x14ac:dyDescent="0.25">
      <c r="A4331" t="s">
        <v>4335</v>
      </c>
      <c r="B4331">
        <v>0.99796759195183404</v>
      </c>
      <c r="C4331">
        <v>1.0689839389851901</v>
      </c>
      <c r="D4331">
        <v>0.98211469843245303</v>
      </c>
      <c r="E4331">
        <v>0.97497090594664904</v>
      </c>
      <c r="F4331">
        <v>0.89933948239429395</v>
      </c>
      <c r="G4331">
        <v>0.78309065908943898</v>
      </c>
      <c r="H4331">
        <v>0.636669382891352</v>
      </c>
      <c r="I4331">
        <v>0.52586577944444801</v>
      </c>
      <c r="J4331">
        <v>0.33149721105668001</v>
      </c>
      <c r="K4331">
        <v>0.23378249073878599</v>
      </c>
      <c r="L4331">
        <v>676.48052548322596</v>
      </c>
      <c r="M4331">
        <v>11.1837668389882</v>
      </c>
      <c r="N4331">
        <v>60.487717187966503</v>
      </c>
      <c r="O4331">
        <v>58.650443434037101</v>
      </c>
      <c r="P4331">
        <v>-4.76863549082569E-2</v>
      </c>
      <c r="Q4331">
        <v>0</v>
      </c>
      <c r="R4331">
        <v>0.98888291483370805</v>
      </c>
      <c r="S4331" t="s">
        <v>9914</v>
      </c>
      <c r="T4331" t="s">
        <v>11164</v>
      </c>
      <c r="U4331" t="s">
        <v>11164</v>
      </c>
      <c r="V4331" t="s">
        <v>11164</v>
      </c>
      <c r="W4331" t="s">
        <v>15451</v>
      </c>
      <c r="X4331">
        <v>15</v>
      </c>
      <c r="Y4331" t="s">
        <v>20923</v>
      </c>
      <c r="Z4331" t="s">
        <v>26481</v>
      </c>
      <c r="AA4331">
        <v>0.75823960839155546</v>
      </c>
      <c r="AB4331" t="str">
        <f>HYPERLINK("Melting_Curves/meltCurve_Q96GS4_C17orf59.pdf", "Melting_Curves/meltCurve_Q96GS4_C17orf59.pdf")</f>
        <v>Melting_Curves/meltCurve_Q96GS4_C17orf59.pdf</v>
      </c>
    </row>
    <row r="4332" spans="1:28" x14ac:dyDescent="0.25">
      <c r="A4332" t="s">
        <v>4336</v>
      </c>
      <c r="B4332">
        <v>0.99796759195183404</v>
      </c>
      <c r="C4332">
        <v>0.86470023652272898</v>
      </c>
      <c r="D4332">
        <v>0.99048535414780103</v>
      </c>
      <c r="E4332">
        <v>0.89354092338970204</v>
      </c>
      <c r="F4332">
        <v>1.0146229362196</v>
      </c>
      <c r="G4332">
        <v>1.09744447699026</v>
      </c>
      <c r="H4332">
        <v>0.89107550801669</v>
      </c>
      <c r="I4332">
        <v>1.06351133888602</v>
      </c>
      <c r="J4332">
        <v>0.68594445765473999</v>
      </c>
      <c r="K4332">
        <v>0.41235962710887902</v>
      </c>
      <c r="L4332">
        <v>15000</v>
      </c>
      <c r="M4332">
        <v>234.14722798551301</v>
      </c>
      <c r="N4332">
        <v>64.5421985971129</v>
      </c>
      <c r="O4332">
        <v>64.057595566002306</v>
      </c>
      <c r="P4332">
        <v>-0.53701402410327204</v>
      </c>
      <c r="Q4332">
        <v>0.41233861714626502</v>
      </c>
      <c r="R4332">
        <v>0.85468503583600497</v>
      </c>
      <c r="S4332" t="s">
        <v>9915</v>
      </c>
      <c r="T4332" t="s">
        <v>11164</v>
      </c>
      <c r="U4332" t="s">
        <v>11164</v>
      </c>
      <c r="V4332" t="s">
        <v>11164</v>
      </c>
      <c r="W4332" t="s">
        <v>15452</v>
      </c>
      <c r="X4332">
        <v>2</v>
      </c>
      <c r="Y4332" t="s">
        <v>20924</v>
      </c>
      <c r="Z4332" t="s">
        <v>26482</v>
      </c>
      <c r="AA4332">
        <v>0.9425285206362134</v>
      </c>
      <c r="AB4332" t="str">
        <f>HYPERLINK("Melting_Curves/meltCurve_Q96GS6_ABHD17A.pdf", "Melting_Curves/meltCurve_Q96GS6_ABHD17A.pdf")</f>
        <v>Melting_Curves/meltCurve_Q96GS6_ABHD17A.pdf</v>
      </c>
    </row>
    <row r="4333" spans="1:28" x14ac:dyDescent="0.25">
      <c r="A4333" t="s">
        <v>4337</v>
      </c>
      <c r="B4333">
        <v>0.99796759195183404</v>
      </c>
      <c r="C4333">
        <v>1.1556193116643401</v>
      </c>
      <c r="D4333">
        <v>0.978290677217445</v>
      </c>
      <c r="E4333">
        <v>0.81004002647143303</v>
      </c>
      <c r="F4333">
        <v>0.579094187617331</v>
      </c>
      <c r="G4333">
        <v>0.30807025529576298</v>
      </c>
      <c r="H4333">
        <v>0.19068336000404901</v>
      </c>
      <c r="I4333">
        <v>0.225738536338673</v>
      </c>
      <c r="J4333">
        <v>0.12720915271273001</v>
      </c>
      <c r="K4333">
        <v>0.16120184861329101</v>
      </c>
      <c r="L4333">
        <v>1015.72468752596</v>
      </c>
      <c r="M4333">
        <v>20.320194005233098</v>
      </c>
      <c r="N4333">
        <v>50.902462756475003</v>
      </c>
      <c r="O4333">
        <v>49.5094187471298</v>
      </c>
      <c r="P4333">
        <v>-8.6890827936107598E-2</v>
      </c>
      <c r="Q4333">
        <v>0.15320043247023199</v>
      </c>
      <c r="R4333">
        <v>0.97801006451304495</v>
      </c>
      <c r="S4333" t="s">
        <v>9916</v>
      </c>
      <c r="T4333" t="s">
        <v>11164</v>
      </c>
      <c r="U4333" t="s">
        <v>11164</v>
      </c>
      <c r="V4333" t="s">
        <v>11164</v>
      </c>
      <c r="W4333" t="s">
        <v>15453</v>
      </c>
      <c r="X4333">
        <v>1</v>
      </c>
      <c r="Y4333" t="s">
        <v>20925</v>
      </c>
      <c r="Z4333" t="s">
        <v>26483</v>
      </c>
      <c r="AA4333">
        <v>0.53059585642110096</v>
      </c>
      <c r="AB4333" t="str">
        <f>HYPERLINK("Melting_Curves/meltCurve_Q96GV9_C5orf30.pdf", "Melting_Curves/meltCurve_Q96GV9_C5orf30.pdf")</f>
        <v>Melting_Curves/meltCurve_Q96GV9_C5orf30.pdf</v>
      </c>
    </row>
    <row r="4334" spans="1:28" x14ac:dyDescent="0.25">
      <c r="A4334" t="s">
        <v>4338</v>
      </c>
      <c r="B4334">
        <v>0.99796759195183404</v>
      </c>
      <c r="C4334">
        <v>0.99153066074169305</v>
      </c>
      <c r="D4334">
        <v>0.95137271734875095</v>
      </c>
      <c r="E4334">
        <v>0.89856009194683595</v>
      </c>
      <c r="F4334">
        <v>0.85569083415778002</v>
      </c>
      <c r="G4334">
        <v>0.791947308539661</v>
      </c>
      <c r="H4334">
        <v>0.65946393116479296</v>
      </c>
      <c r="I4334">
        <v>0.50227279355793097</v>
      </c>
      <c r="J4334">
        <v>0.40083369667027602</v>
      </c>
      <c r="K4334">
        <v>0.14036134668848699</v>
      </c>
      <c r="L4334">
        <v>653.68791316499596</v>
      </c>
      <c r="M4334">
        <v>10.841437595682301</v>
      </c>
      <c r="N4334">
        <v>60.295316702057697</v>
      </c>
      <c r="O4334">
        <v>58.352616031070099</v>
      </c>
      <c r="P4334">
        <v>-4.6464510802859203E-2</v>
      </c>
      <c r="Q4334">
        <v>0</v>
      </c>
      <c r="R4334">
        <v>0.96720780829970598</v>
      </c>
      <c r="S4334" t="s">
        <v>9917</v>
      </c>
      <c r="T4334" t="s">
        <v>11164</v>
      </c>
      <c r="U4334" t="s">
        <v>11164</v>
      </c>
      <c r="V4334" t="s">
        <v>11164</v>
      </c>
      <c r="W4334" t="s">
        <v>15454</v>
      </c>
      <c r="X4334">
        <v>10</v>
      </c>
      <c r="Y4334" t="s">
        <v>20926</v>
      </c>
      <c r="Z4334" t="s">
        <v>26484</v>
      </c>
      <c r="AA4334">
        <v>0.75179870081057976</v>
      </c>
      <c r="AB4334" t="str">
        <f>HYPERLINK("Melting_Curves/meltCurve_Q96GW9_MARS2.pdf", "Melting_Curves/meltCurve_Q96GW9_MARS2.pdf")</f>
        <v>Melting_Curves/meltCurve_Q96GW9_MARS2.pdf</v>
      </c>
    </row>
    <row r="4335" spans="1:28" x14ac:dyDescent="0.25">
      <c r="A4335" t="s">
        <v>4339</v>
      </c>
      <c r="B4335">
        <v>0.99796759195183404</v>
      </c>
      <c r="C4335">
        <v>1.1899825544006899</v>
      </c>
      <c r="D4335">
        <v>1.2185275617853999</v>
      </c>
      <c r="E4335">
        <v>1.15870341665675</v>
      </c>
      <c r="F4335">
        <v>1.1092546992263601</v>
      </c>
      <c r="G4335">
        <v>0.54443626085010199</v>
      </c>
      <c r="H4335">
        <v>0.45058123819412899</v>
      </c>
      <c r="I4335">
        <v>0.38361637663822801</v>
      </c>
      <c r="J4335">
        <v>0.26091002401303698</v>
      </c>
      <c r="K4335">
        <v>0.12516541567692699</v>
      </c>
      <c r="L4335">
        <v>6769.7839612669804</v>
      </c>
      <c r="M4335">
        <v>126.474134741253</v>
      </c>
      <c r="N4335">
        <v>53.928523177091598</v>
      </c>
      <c r="O4335">
        <v>53.513643712501299</v>
      </c>
      <c r="P4335">
        <v>-0.41064405645044</v>
      </c>
      <c r="Q4335">
        <v>0.30499436095531202</v>
      </c>
      <c r="R4335">
        <v>0.89038498297630397</v>
      </c>
      <c r="S4335" t="s">
        <v>9918</v>
      </c>
      <c r="T4335" t="s">
        <v>11164</v>
      </c>
      <c r="U4335" t="s">
        <v>11164</v>
      </c>
      <c r="V4335" t="s">
        <v>11164</v>
      </c>
      <c r="W4335" t="s">
        <v>15455</v>
      </c>
      <c r="X4335">
        <v>3</v>
      </c>
      <c r="Y4335" t="s">
        <v>20927</v>
      </c>
      <c r="Z4335" t="s">
        <v>26485</v>
      </c>
      <c r="AA4335">
        <v>0.68812877285820129</v>
      </c>
      <c r="AB4335" t="str">
        <f>HYPERLINK("Melting_Curves/meltCurve_Q96GX2_ATXN7L3B.pdf", "Melting_Curves/meltCurve_Q96GX2_ATXN7L3B.pdf")</f>
        <v>Melting_Curves/meltCurve_Q96GX2_ATXN7L3B.pdf</v>
      </c>
    </row>
    <row r="4336" spans="1:28" x14ac:dyDescent="0.25">
      <c r="A4336" t="s">
        <v>4340</v>
      </c>
      <c r="B4336">
        <v>0.99796759195183404</v>
      </c>
      <c r="C4336">
        <v>1.0310762178133801</v>
      </c>
      <c r="D4336">
        <v>1.0005214511471501</v>
      </c>
      <c r="E4336">
        <v>0.94822805054208203</v>
      </c>
      <c r="F4336">
        <v>0.64557530407135699</v>
      </c>
      <c r="G4336">
        <v>0.25698764982577499</v>
      </c>
      <c r="H4336">
        <v>0.16813606220916599</v>
      </c>
      <c r="I4336">
        <v>0.13389203648453399</v>
      </c>
      <c r="J4336">
        <v>9.4542257640724006E-2</v>
      </c>
      <c r="K4336">
        <v>5.0586367423016802E-2</v>
      </c>
      <c r="L4336">
        <v>1397.9193279884801</v>
      </c>
      <c r="M4336">
        <v>27.402262664169999</v>
      </c>
      <c r="N4336">
        <v>51.408688965159399</v>
      </c>
      <c r="O4336">
        <v>50.745375917504397</v>
      </c>
      <c r="P4336">
        <v>-0.122215295450471</v>
      </c>
      <c r="Q4336">
        <v>9.47021199767102E-2</v>
      </c>
      <c r="R4336">
        <v>0.996792240317807</v>
      </c>
      <c r="S4336" t="s">
        <v>9919</v>
      </c>
      <c r="T4336" t="s">
        <v>11164</v>
      </c>
      <c r="U4336" t="s">
        <v>11164</v>
      </c>
      <c r="V4336" t="s">
        <v>11164</v>
      </c>
      <c r="W4336" t="s">
        <v>15456</v>
      </c>
      <c r="X4336">
        <v>6</v>
      </c>
      <c r="Y4336" t="s">
        <v>20928</v>
      </c>
      <c r="Z4336" t="s">
        <v>26486</v>
      </c>
      <c r="AA4336">
        <v>0.52433866876223523</v>
      </c>
      <c r="AB4336" t="str">
        <f>HYPERLINK("Melting_Curves/meltCurve_Q96GX5_2_MASTL.pdf", "Melting_Curves/meltCurve_Q96GX5_2_MASTL.pdf")</f>
        <v>Melting_Curves/meltCurve_Q96GX5_2_MASTL.pdf</v>
      </c>
    </row>
    <row r="4337" spans="1:28" x14ac:dyDescent="0.25">
      <c r="A4337" t="s">
        <v>4341</v>
      </c>
      <c r="B4337">
        <v>0.99796759195183404</v>
      </c>
      <c r="C4337">
        <v>0.99278145685210994</v>
      </c>
      <c r="D4337">
        <v>0.91777892496243996</v>
      </c>
      <c r="E4337">
        <v>0.90410928915885302</v>
      </c>
      <c r="F4337">
        <v>0.80458929524863698</v>
      </c>
      <c r="G4337">
        <v>0.79247404443261704</v>
      </c>
      <c r="H4337">
        <v>0.73377070289316204</v>
      </c>
      <c r="I4337">
        <v>0.65940084980181701</v>
      </c>
      <c r="J4337">
        <v>0.73543511305485199</v>
      </c>
      <c r="K4337">
        <v>0.65758614440938901</v>
      </c>
      <c r="L4337">
        <v>485.84969501797099</v>
      </c>
      <c r="M4337">
        <v>9.6585571933755308</v>
      </c>
      <c r="O4337">
        <v>48.2881147703905</v>
      </c>
      <c r="P4337">
        <v>-1.7638502253039201E-2</v>
      </c>
      <c r="Q4337">
        <v>0.64745990807537002</v>
      </c>
      <c r="R4337">
        <v>0.953123640889319</v>
      </c>
      <c r="S4337" t="s">
        <v>9920</v>
      </c>
      <c r="T4337" t="s">
        <v>11164</v>
      </c>
      <c r="U4337" t="s">
        <v>11164</v>
      </c>
      <c r="V4337" t="s">
        <v>11164</v>
      </c>
      <c r="W4337" t="s">
        <v>15457</v>
      </c>
      <c r="X4337">
        <v>9</v>
      </c>
      <c r="Y4337" t="s">
        <v>20929</v>
      </c>
      <c r="Z4337" t="s">
        <v>26487</v>
      </c>
      <c r="AA4337">
        <v>0.81574335851979385</v>
      </c>
      <c r="AB4337" t="str">
        <f>HYPERLINK("Melting_Curves/meltCurve_Q96GX9_APIP.pdf", "Melting_Curves/meltCurve_Q96GX9_APIP.pdf")</f>
        <v>Melting_Curves/meltCurve_Q96GX9_APIP.pdf</v>
      </c>
    </row>
    <row r="4338" spans="1:28" x14ac:dyDescent="0.25">
      <c r="A4338" t="s">
        <v>4342</v>
      </c>
      <c r="B4338">
        <v>0.99796759195183404</v>
      </c>
      <c r="C4338">
        <v>1.03212088197315</v>
      </c>
      <c r="D4338">
        <v>0.96851668436458804</v>
      </c>
      <c r="E4338">
        <v>0.97171201611521996</v>
      </c>
      <c r="F4338">
        <v>0.83437694269599005</v>
      </c>
      <c r="G4338">
        <v>0.93793020831204699</v>
      </c>
      <c r="H4338">
        <v>0.88008476654626699</v>
      </c>
      <c r="I4338">
        <v>0.826397265336556</v>
      </c>
      <c r="J4338">
        <v>0.56042932611452201</v>
      </c>
      <c r="K4338">
        <v>0.23291323921000001</v>
      </c>
      <c r="L4338">
        <v>1653.4049512173101</v>
      </c>
      <c r="M4338">
        <v>25.675894675423802</v>
      </c>
      <c r="N4338">
        <v>64.395222385663899</v>
      </c>
      <c r="O4338">
        <v>64.008425035512701</v>
      </c>
      <c r="P4338">
        <v>-0.100284497043118</v>
      </c>
      <c r="Q4338">
        <v>0</v>
      </c>
      <c r="R4338">
        <v>0.92405044357545596</v>
      </c>
      <c r="S4338" t="s">
        <v>9921</v>
      </c>
      <c r="T4338" t="s">
        <v>11164</v>
      </c>
      <c r="U4338" t="s">
        <v>11164</v>
      </c>
      <c r="V4338" t="s">
        <v>11164</v>
      </c>
      <c r="W4338" t="s">
        <v>15458</v>
      </c>
      <c r="X4338">
        <v>6</v>
      </c>
      <c r="Y4338" t="s">
        <v>20930</v>
      </c>
      <c r="Z4338" t="s">
        <v>26488</v>
      </c>
      <c r="AA4338">
        <v>0.89285879174996907</v>
      </c>
      <c r="AB4338" t="str">
        <f>HYPERLINK("Melting_Curves/meltCurve_Q96GY0_ZC2HC1A.pdf", "Melting_Curves/meltCurve_Q96GY0_ZC2HC1A.pdf")</f>
        <v>Melting_Curves/meltCurve_Q96GY0_ZC2HC1A.pdf</v>
      </c>
    </row>
    <row r="4339" spans="1:28" x14ac:dyDescent="0.25">
      <c r="A4339" t="s">
        <v>4343</v>
      </c>
      <c r="B4339">
        <v>0.99796759195183404</v>
      </c>
      <c r="C4339">
        <v>1.0077096268816199</v>
      </c>
      <c r="D4339">
        <v>0.98076734878947602</v>
      </c>
      <c r="E4339">
        <v>0.90050583489506297</v>
      </c>
      <c r="F4339">
        <v>0.73180841217413695</v>
      </c>
      <c r="G4339">
        <v>0.48694409607894201</v>
      </c>
      <c r="H4339">
        <v>0.325029139384784</v>
      </c>
      <c r="I4339">
        <v>0.16927174629094799</v>
      </c>
      <c r="J4339">
        <v>0.10996871201667099</v>
      </c>
      <c r="K4339">
        <v>7.2397604077392999E-2</v>
      </c>
      <c r="L4339">
        <v>750.28507941656596</v>
      </c>
      <c r="M4339">
        <v>13.9633929231652</v>
      </c>
      <c r="N4339">
        <v>53.869575428183303</v>
      </c>
      <c r="O4339">
        <v>52.666222714509402</v>
      </c>
      <c r="P4339">
        <v>-6.5132426338061905E-2</v>
      </c>
      <c r="Q4339">
        <v>1.7482267147524998E-2</v>
      </c>
      <c r="R4339">
        <v>0.99913771274129604</v>
      </c>
      <c r="S4339" t="s">
        <v>9922</v>
      </c>
      <c r="T4339" t="s">
        <v>11164</v>
      </c>
      <c r="U4339" t="s">
        <v>11164</v>
      </c>
      <c r="V4339" t="s">
        <v>11164</v>
      </c>
      <c r="W4339" t="s">
        <v>15459</v>
      </c>
      <c r="X4339">
        <v>6</v>
      </c>
      <c r="Y4339" t="s">
        <v>20931</v>
      </c>
      <c r="Z4339" t="s">
        <v>26489</v>
      </c>
      <c r="AA4339">
        <v>0.58272074533321327</v>
      </c>
      <c r="AB4339" t="str">
        <f>HYPERLINK("Melting_Curves/meltCurve_Q96H20_SNF8.pdf", "Melting_Curves/meltCurve_Q96H20_SNF8.pdf")</f>
        <v>Melting_Curves/meltCurve_Q96H20_SNF8.pdf</v>
      </c>
    </row>
    <row r="4340" spans="1:28" x14ac:dyDescent="0.25">
      <c r="A4340" t="s">
        <v>4344</v>
      </c>
      <c r="B4340">
        <v>0.99796759195183404</v>
      </c>
      <c r="C4340">
        <v>0.96350614590871897</v>
      </c>
      <c r="D4340">
        <v>0.95437876933596</v>
      </c>
      <c r="E4340">
        <v>0.95003066514318502</v>
      </c>
      <c r="F4340">
        <v>0.83166165302398798</v>
      </c>
      <c r="G4340">
        <v>0.42484303591504102</v>
      </c>
      <c r="H4340">
        <v>0.28752644043525799</v>
      </c>
      <c r="I4340">
        <v>0.215714174086029</v>
      </c>
      <c r="J4340">
        <v>0.15392473805745899</v>
      </c>
      <c r="K4340">
        <v>0.121790879195501</v>
      </c>
      <c r="L4340">
        <v>1262.50152538464</v>
      </c>
      <c r="M4340">
        <v>23.989797988696999</v>
      </c>
      <c r="N4340">
        <v>53.431190434070402</v>
      </c>
      <c r="O4340">
        <v>52.2649909613679</v>
      </c>
      <c r="P4340">
        <v>-9.7356374959039399E-2</v>
      </c>
      <c r="Q4340">
        <v>0.15159748893913499</v>
      </c>
      <c r="R4340">
        <v>0.99242917319022805</v>
      </c>
      <c r="S4340" t="s">
        <v>9923</v>
      </c>
      <c r="T4340" t="s">
        <v>11164</v>
      </c>
      <c r="U4340" t="s">
        <v>11164</v>
      </c>
      <c r="V4340" t="s">
        <v>11164</v>
      </c>
      <c r="W4340" t="s">
        <v>15460</v>
      </c>
      <c r="X4340">
        <v>9</v>
      </c>
      <c r="Y4340" t="s">
        <v>20932</v>
      </c>
      <c r="Z4340" t="s">
        <v>26490</v>
      </c>
      <c r="AA4340">
        <v>0.60158620571412003</v>
      </c>
      <c r="AB4340" t="str">
        <f>HYPERLINK("Melting_Curves/meltCurve_Q96H79_ZC3HAV1L.pdf", "Melting_Curves/meltCurve_Q96H79_ZC3HAV1L.pdf")</f>
        <v>Melting_Curves/meltCurve_Q96H79_ZC3HAV1L.pdf</v>
      </c>
    </row>
    <row r="4341" spans="1:28" x14ac:dyDescent="0.25">
      <c r="A4341" t="s">
        <v>4345</v>
      </c>
      <c r="B4341">
        <v>0.99796759195183404</v>
      </c>
      <c r="C4341">
        <v>0.99957220997712604</v>
      </c>
      <c r="D4341">
        <v>0.93783126046080501</v>
      </c>
      <c r="E4341">
        <v>0.95477442780750199</v>
      </c>
      <c r="F4341">
        <v>0.71719260851962396</v>
      </c>
      <c r="G4341">
        <v>0.54612412039978797</v>
      </c>
      <c r="H4341">
        <v>0.46735877989934799</v>
      </c>
      <c r="I4341">
        <v>0.35999668262749701</v>
      </c>
      <c r="J4341">
        <v>0.27750586053534998</v>
      </c>
      <c r="K4341">
        <v>0.23688902554246899</v>
      </c>
      <c r="L4341">
        <v>670.49681309927996</v>
      </c>
      <c r="M4341">
        <v>12.560777056683801</v>
      </c>
      <c r="N4341">
        <v>55.6095815908416</v>
      </c>
      <c r="O4341">
        <v>52.0813755549718</v>
      </c>
      <c r="P4341">
        <v>-4.8376838793735603E-2</v>
      </c>
      <c r="Q4341">
        <v>0.19781242399955201</v>
      </c>
      <c r="R4341">
        <v>0.98899323329083999</v>
      </c>
      <c r="S4341" t="s">
        <v>9924</v>
      </c>
      <c r="T4341" t="s">
        <v>11164</v>
      </c>
      <c r="U4341" t="s">
        <v>11164</v>
      </c>
      <c r="V4341" t="s">
        <v>11164</v>
      </c>
      <c r="W4341" t="s">
        <v>15461</v>
      </c>
      <c r="X4341">
        <v>3</v>
      </c>
      <c r="Y4341" t="s">
        <v>20933</v>
      </c>
      <c r="Z4341" t="s">
        <v>26491</v>
      </c>
      <c r="AA4341">
        <v>0.6514782474379136</v>
      </c>
      <c r="AB4341" t="str">
        <f>HYPERLINK("Melting_Curves/meltCurve_Q96HA1_2_POM121.pdf", "Melting_Curves/meltCurve_Q96HA1_2_POM121.pdf")</f>
        <v>Melting_Curves/meltCurve_Q96HA1_2_POM121.pdf</v>
      </c>
    </row>
    <row r="4342" spans="1:28" x14ac:dyDescent="0.25">
      <c r="A4342" t="s">
        <v>4346</v>
      </c>
      <c r="B4342">
        <v>0.99796759195183404</v>
      </c>
      <c r="C4342">
        <v>1.1017478834839201</v>
      </c>
      <c r="D4342">
        <v>1.1390233682337201</v>
      </c>
      <c r="E4342">
        <v>1.0098158642644901</v>
      </c>
      <c r="F4342">
        <v>0.84621146834363004</v>
      </c>
      <c r="G4342">
        <v>0.49678090726711299</v>
      </c>
      <c r="H4342">
        <v>0.56722187847475003</v>
      </c>
      <c r="I4342">
        <v>0.50857836324659</v>
      </c>
      <c r="J4342">
        <v>0.55832569034445101</v>
      </c>
      <c r="K4342">
        <v>0.45180971412288301</v>
      </c>
      <c r="L4342">
        <v>12588.2779025237</v>
      </c>
      <c r="M4342">
        <v>250</v>
      </c>
      <c r="O4342">
        <v>50.3498919492026</v>
      </c>
      <c r="P4342">
        <v>-0.60012135303686698</v>
      </c>
      <c r="Q4342">
        <v>0.51654330104358004</v>
      </c>
      <c r="R4342">
        <v>0.94398891461004397</v>
      </c>
      <c r="S4342" t="s">
        <v>9925</v>
      </c>
      <c r="T4342" t="s">
        <v>11164</v>
      </c>
      <c r="U4342" t="s">
        <v>11164</v>
      </c>
      <c r="V4342" t="s">
        <v>11164</v>
      </c>
      <c r="W4342" t="s">
        <v>15462</v>
      </c>
      <c r="X4342">
        <v>2</v>
      </c>
      <c r="Y4342" t="s">
        <v>20934</v>
      </c>
      <c r="Z4342" t="s">
        <v>26492</v>
      </c>
      <c r="AA4342">
        <v>0.73177439892051821</v>
      </c>
      <c r="AB4342" t="str">
        <f>HYPERLINK("Melting_Curves/meltCurve_Q96HA4_4_C1orf159.pdf", "Melting_Curves/meltCurve_Q96HA4_4_C1orf159.pdf")</f>
        <v>Melting_Curves/meltCurve_Q96HA4_4_C1orf159.pdf</v>
      </c>
    </row>
    <row r="4343" spans="1:28" x14ac:dyDescent="0.25">
      <c r="A4343" t="s">
        <v>4347</v>
      </c>
      <c r="B4343">
        <v>0.99796759195183404</v>
      </c>
      <c r="C4343">
        <v>0.97258654525557997</v>
      </c>
      <c r="D4343">
        <v>0.91289191880107801</v>
      </c>
      <c r="E4343">
        <v>0.58883756393919895</v>
      </c>
      <c r="F4343">
        <v>0.45668130068328699</v>
      </c>
      <c r="G4343">
        <v>0.30831643887465898</v>
      </c>
      <c r="H4343">
        <v>9.5036583059433494E-2</v>
      </c>
      <c r="I4343">
        <v>0.102037868060831</v>
      </c>
      <c r="J4343">
        <v>6.4297237297147494E-2</v>
      </c>
      <c r="K4343">
        <v>0.114535316298652</v>
      </c>
      <c r="L4343">
        <v>670.83461022700897</v>
      </c>
      <c r="M4343">
        <v>13.8004507197012</v>
      </c>
      <c r="N4343">
        <v>49.019137749807498</v>
      </c>
      <c r="O4343">
        <v>47.623042152748098</v>
      </c>
      <c r="P4343">
        <v>-6.8511349805733507E-2</v>
      </c>
      <c r="Q4343">
        <v>5.44476050793729E-2</v>
      </c>
      <c r="R4343">
        <v>0.98633752431246302</v>
      </c>
      <c r="S4343" t="s">
        <v>9926</v>
      </c>
      <c r="T4343" t="s">
        <v>11164</v>
      </c>
      <c r="U4343" t="s">
        <v>11164</v>
      </c>
      <c r="V4343" t="s">
        <v>11164</v>
      </c>
      <c r="W4343" t="s">
        <v>15463</v>
      </c>
      <c r="X4343">
        <v>1</v>
      </c>
      <c r="Y4343" t="s">
        <v>20935</v>
      </c>
      <c r="Z4343" t="s">
        <v>26493</v>
      </c>
      <c r="AA4343">
        <v>0.44377819267722179</v>
      </c>
      <c r="AB4343" t="str">
        <f>HYPERLINK("Melting_Curves/meltCurve_Q96HA7_2_TONSL.pdf", "Melting_Curves/meltCurve_Q96HA7_2_TONSL.pdf")</f>
        <v>Melting_Curves/meltCurve_Q96HA7_2_TONSL.pdf</v>
      </c>
    </row>
    <row r="4344" spans="1:28" x14ac:dyDescent="0.25">
      <c r="A4344" t="s">
        <v>4348</v>
      </c>
      <c r="B4344">
        <v>0.99796759195183404</v>
      </c>
      <c r="C4344">
        <v>0.98787993864100798</v>
      </c>
      <c r="D4344">
        <v>0.95402586688539404</v>
      </c>
      <c r="E4344">
        <v>0.83733866318255201</v>
      </c>
      <c r="F4344">
        <v>0.60323848845625905</v>
      </c>
      <c r="G4344">
        <v>0.45922609005680498</v>
      </c>
      <c r="H4344">
        <v>0.32087306474803601</v>
      </c>
      <c r="I4344">
        <v>0.22228579251813599</v>
      </c>
      <c r="J4344">
        <v>0.182009293159173</v>
      </c>
      <c r="K4344">
        <v>0.15507129936651001</v>
      </c>
      <c r="L4344">
        <v>668.31190070347304</v>
      </c>
      <c r="M4344">
        <v>12.953553386282801</v>
      </c>
      <c r="N4344">
        <v>52.699457971779204</v>
      </c>
      <c r="O4344">
        <v>50.4097793966517</v>
      </c>
      <c r="P4344">
        <v>-5.6602596950947E-2</v>
      </c>
      <c r="Q4344">
        <v>0.119064092117538</v>
      </c>
      <c r="R4344">
        <v>0.998040975905509</v>
      </c>
      <c r="S4344" t="s">
        <v>9927</v>
      </c>
      <c r="T4344" t="s">
        <v>11164</v>
      </c>
      <c r="U4344" t="s">
        <v>11164</v>
      </c>
      <c r="V4344" t="s">
        <v>11164</v>
      </c>
      <c r="W4344" t="s">
        <v>15464</v>
      </c>
      <c r="X4344">
        <v>2</v>
      </c>
      <c r="Y4344" t="s">
        <v>20936</v>
      </c>
      <c r="Z4344" t="s">
        <v>26494</v>
      </c>
      <c r="AA4344">
        <v>0.56786041121883357</v>
      </c>
      <c r="AB4344" t="str">
        <f>HYPERLINK("Melting_Curves/meltCurve_Q96HB5_2_CCDC120.pdf", "Melting_Curves/meltCurve_Q96HB5_2_CCDC120.pdf")</f>
        <v>Melting_Curves/meltCurve_Q96HB5_2_CCDC120.pdf</v>
      </c>
    </row>
    <row r="4345" spans="1:28" x14ac:dyDescent="0.25">
      <c r="A4345" t="s">
        <v>4349</v>
      </c>
      <c r="B4345">
        <v>0.99796759195183404</v>
      </c>
      <c r="C4345">
        <v>0.99830737148110804</v>
      </c>
      <c r="D4345">
        <v>0.99683285666155497</v>
      </c>
      <c r="E4345">
        <v>0.95902018569923497</v>
      </c>
      <c r="F4345">
        <v>0.79209546813672804</v>
      </c>
      <c r="G4345">
        <v>0.52128677071914398</v>
      </c>
      <c r="H4345">
        <v>0.363986262364067</v>
      </c>
      <c r="I4345">
        <v>0.20348376363840201</v>
      </c>
      <c r="J4345">
        <v>0.144823495341765</v>
      </c>
      <c r="K4345">
        <v>0.116403281750409</v>
      </c>
      <c r="L4345">
        <v>886.518686224367</v>
      </c>
      <c r="M4345">
        <v>16.444179242542301</v>
      </c>
      <c r="N4345">
        <v>54.543284715579297</v>
      </c>
      <c r="O4345">
        <v>53.1324299612494</v>
      </c>
      <c r="P4345">
        <v>-7.0662046342023402E-2</v>
      </c>
      <c r="Q4345">
        <v>8.6805674989717502E-2</v>
      </c>
      <c r="R4345">
        <v>0.99799885454877302</v>
      </c>
      <c r="S4345" t="s">
        <v>9928</v>
      </c>
      <c r="T4345" t="s">
        <v>11164</v>
      </c>
      <c r="U4345" t="s">
        <v>11164</v>
      </c>
      <c r="V4345" t="s">
        <v>11164</v>
      </c>
      <c r="W4345" t="s">
        <v>15465</v>
      </c>
      <c r="X4345">
        <v>20</v>
      </c>
      <c r="Y4345" t="s">
        <v>20937</v>
      </c>
      <c r="Z4345" t="s">
        <v>26495</v>
      </c>
      <c r="AA4345">
        <v>0.61539529913342306</v>
      </c>
      <c r="AB4345" t="str">
        <f>HYPERLINK("Melting_Curves/meltCurve_Q96HC4_PDLIM5.pdf", "Melting_Curves/meltCurve_Q96HC4_PDLIM5.pdf")</f>
        <v>Melting_Curves/meltCurve_Q96HC4_PDLIM5.pdf</v>
      </c>
    </row>
    <row r="4346" spans="1:28" x14ac:dyDescent="0.25">
      <c r="A4346" t="s">
        <v>4350</v>
      </c>
      <c r="B4346">
        <v>0.99796759195183404</v>
      </c>
      <c r="C4346">
        <v>1.07497246795157</v>
      </c>
      <c r="D4346">
        <v>0.97063368015324603</v>
      </c>
      <c r="E4346">
        <v>1.0348876466671399</v>
      </c>
      <c r="F4346">
        <v>0.84328309509152599</v>
      </c>
      <c r="G4346">
        <v>0.73288655709685602</v>
      </c>
      <c r="H4346">
        <v>0.69482453785053799</v>
      </c>
      <c r="I4346">
        <v>0.50103815452477096</v>
      </c>
      <c r="J4346">
        <v>0.51269988300806602</v>
      </c>
      <c r="K4346">
        <v>0.389603092554129</v>
      </c>
      <c r="L4346">
        <v>672.970218924047</v>
      </c>
      <c r="M4346">
        <v>11.821853941623701</v>
      </c>
      <c r="N4346">
        <v>62.3912722899505</v>
      </c>
      <c r="O4346">
        <v>55.370340036274698</v>
      </c>
      <c r="P4346">
        <v>-3.6172322056168202E-2</v>
      </c>
      <c r="Q4346">
        <v>0.32248790113021197</v>
      </c>
      <c r="R4346">
        <v>0.95782928866585104</v>
      </c>
      <c r="S4346" t="s">
        <v>9929</v>
      </c>
      <c r="T4346" t="s">
        <v>11164</v>
      </c>
      <c r="U4346" t="s">
        <v>11164</v>
      </c>
      <c r="V4346" t="s">
        <v>11164</v>
      </c>
      <c r="W4346" t="s">
        <v>15466</v>
      </c>
      <c r="X4346">
        <v>6</v>
      </c>
      <c r="Y4346" t="s">
        <v>20938</v>
      </c>
      <c r="Z4346" t="s">
        <v>26496</v>
      </c>
      <c r="AA4346">
        <v>0.77568136517365971</v>
      </c>
      <c r="AB4346" t="str">
        <f>HYPERLINK("Melting_Curves/meltCurve_Q96HD1_CRELD1.pdf", "Melting_Curves/meltCurve_Q96HD1_CRELD1.pdf")</f>
        <v>Melting_Curves/meltCurve_Q96HD1_CRELD1.pdf</v>
      </c>
    </row>
    <row r="4347" spans="1:28" x14ac:dyDescent="0.25">
      <c r="A4347" t="s">
        <v>4351</v>
      </c>
      <c r="B4347">
        <v>0.99796759195183404</v>
      </c>
      <c r="C4347">
        <v>0.95324176854346698</v>
      </c>
      <c r="D4347">
        <v>0.96315060755861004</v>
      </c>
      <c r="E4347">
        <v>0.89913052920051895</v>
      </c>
      <c r="F4347">
        <v>0.75601680515886505</v>
      </c>
      <c r="G4347">
        <v>0.612938777095698</v>
      </c>
      <c r="H4347">
        <v>0.36072968038182102</v>
      </c>
      <c r="I4347">
        <v>0.25458207609438199</v>
      </c>
      <c r="J4347">
        <v>0.13519771268757</v>
      </c>
      <c r="K4347">
        <v>6.9001852011786893E-2</v>
      </c>
      <c r="L4347">
        <v>691.36048537560498</v>
      </c>
      <c r="M4347">
        <v>12.5388381855229</v>
      </c>
      <c r="N4347">
        <v>55.137523570104598</v>
      </c>
      <c r="O4347">
        <v>53.791454059561403</v>
      </c>
      <c r="P4347">
        <v>-5.8287080977683703E-2</v>
      </c>
      <c r="Q4347">
        <v>0</v>
      </c>
      <c r="R4347">
        <v>0.99571689388837803</v>
      </c>
      <c r="S4347" t="s">
        <v>9930</v>
      </c>
      <c r="T4347" t="s">
        <v>11164</v>
      </c>
      <c r="U4347" t="s">
        <v>11164</v>
      </c>
      <c r="V4347" t="s">
        <v>11164</v>
      </c>
      <c r="W4347" t="s">
        <v>15467</v>
      </c>
      <c r="X4347">
        <v>22</v>
      </c>
      <c r="Y4347" t="s">
        <v>20939</v>
      </c>
      <c r="Z4347" t="s">
        <v>26497</v>
      </c>
      <c r="AA4347">
        <v>0.61844105326262921</v>
      </c>
      <c r="AB4347" t="str">
        <f>HYPERLINK("Melting_Curves/meltCurve_Q96HE7_ERO1L.pdf", "Melting_Curves/meltCurve_Q96HE7_ERO1L.pdf")</f>
        <v>Melting_Curves/meltCurve_Q96HE7_ERO1L.pdf</v>
      </c>
    </row>
    <row r="4348" spans="1:28" x14ac:dyDescent="0.25">
      <c r="A4348" t="s">
        <v>4352</v>
      </c>
      <c r="B4348">
        <v>0.99796759195183404</v>
      </c>
      <c r="C4348">
        <v>1.0509918338056701</v>
      </c>
      <c r="D4348">
        <v>1.0009773145241001</v>
      </c>
      <c r="E4348">
        <v>1.0056512348406501</v>
      </c>
      <c r="F4348">
        <v>0.94976988660668205</v>
      </c>
      <c r="G4348">
        <v>0.932491561895336</v>
      </c>
      <c r="H4348">
        <v>0.80051747322357003</v>
      </c>
      <c r="I4348">
        <v>0.66024148737626098</v>
      </c>
      <c r="J4348">
        <v>0.67993440552451601</v>
      </c>
      <c r="K4348">
        <v>0.49378655433519802</v>
      </c>
      <c r="L4348">
        <v>709.20443732682395</v>
      </c>
      <c r="M4348">
        <v>11.304308905635899</v>
      </c>
      <c r="O4348">
        <v>60.8703873072159</v>
      </c>
      <c r="P4348">
        <v>-3.2705472833197899E-2</v>
      </c>
      <c r="Q4348">
        <v>0.29577635722208301</v>
      </c>
      <c r="R4348">
        <v>0.96034420627811501</v>
      </c>
      <c r="S4348" t="s">
        <v>9931</v>
      </c>
      <c r="T4348" t="s">
        <v>11164</v>
      </c>
      <c r="U4348" t="s">
        <v>11164</v>
      </c>
      <c r="V4348" t="s">
        <v>11164</v>
      </c>
      <c r="W4348" t="s">
        <v>15468</v>
      </c>
      <c r="X4348">
        <v>11</v>
      </c>
      <c r="Y4348" t="s">
        <v>20940</v>
      </c>
      <c r="Z4348" t="s">
        <v>26498</v>
      </c>
      <c r="AA4348">
        <v>0.86556404424695255</v>
      </c>
      <c r="AB4348" t="str">
        <f>HYPERLINK("Melting_Curves/meltCurve_Q96HN2_2_AHCYL2.pdf", "Melting_Curves/meltCurve_Q96HN2_2_AHCYL2.pdf")</f>
        <v>Melting_Curves/meltCurve_Q96HN2_2_AHCYL2.pdf</v>
      </c>
    </row>
    <row r="4349" spans="1:28" x14ac:dyDescent="0.25">
      <c r="A4349" t="s">
        <v>4353</v>
      </c>
      <c r="B4349">
        <v>0.99796759195183404</v>
      </c>
      <c r="C4349">
        <v>1.2902621279840201</v>
      </c>
      <c r="D4349">
        <v>1.0017696362522499</v>
      </c>
      <c r="E4349">
        <v>1.1317369161834601</v>
      </c>
      <c r="F4349">
        <v>1.0488010814708799</v>
      </c>
      <c r="G4349">
        <v>1.07015419182241</v>
      </c>
      <c r="H4349">
        <v>0.55783998459277995</v>
      </c>
      <c r="I4349">
        <v>0.42871558220620098</v>
      </c>
      <c r="J4349">
        <v>0.37884637910228902</v>
      </c>
      <c r="K4349">
        <v>0.30539384871214398</v>
      </c>
      <c r="L4349">
        <v>14300.5591168266</v>
      </c>
      <c r="M4349">
        <v>250</v>
      </c>
      <c r="N4349">
        <v>57.5138868667377</v>
      </c>
      <c r="O4349">
        <v>57.198575969247699</v>
      </c>
      <c r="P4349">
        <v>-0.68731473951733002</v>
      </c>
      <c r="Q4349">
        <v>0.37098521197031098</v>
      </c>
      <c r="R4349">
        <v>0.901109267760271</v>
      </c>
      <c r="S4349" t="s">
        <v>9932</v>
      </c>
      <c r="T4349" t="s">
        <v>11164</v>
      </c>
      <c r="U4349" t="s">
        <v>11164</v>
      </c>
      <c r="V4349" t="s">
        <v>11164</v>
      </c>
      <c r="W4349" t="s">
        <v>15469</v>
      </c>
      <c r="X4349">
        <v>1</v>
      </c>
      <c r="Y4349" t="s">
        <v>20941</v>
      </c>
      <c r="Z4349" t="s">
        <v>26499</v>
      </c>
      <c r="AA4349">
        <v>0.79463187446466399</v>
      </c>
      <c r="AB4349" t="str">
        <f>HYPERLINK("Melting_Curves/meltCurve_Q96HR9_REEP6.pdf", "Melting_Curves/meltCurve_Q96HR9_REEP6.pdf")</f>
        <v>Melting_Curves/meltCurve_Q96HR9_REEP6.pdf</v>
      </c>
    </row>
    <row r="4350" spans="1:28" x14ac:dyDescent="0.25">
      <c r="A4350" t="s">
        <v>4354</v>
      </c>
      <c r="B4350">
        <v>0.99796759195183404</v>
      </c>
      <c r="C4350">
        <v>0.96118000173374696</v>
      </c>
      <c r="D4350">
        <v>0.94025395779727206</v>
      </c>
      <c r="E4350">
        <v>0.898829311091495</v>
      </c>
      <c r="F4350">
        <v>0.76155680476756504</v>
      </c>
      <c r="G4350">
        <v>0.78287100798487397</v>
      </c>
      <c r="H4350">
        <v>0.710433100497187</v>
      </c>
      <c r="I4350">
        <v>0.88144889128114701</v>
      </c>
      <c r="J4350">
        <v>0.66113312906682598</v>
      </c>
      <c r="K4350">
        <v>0.52658634106590296</v>
      </c>
      <c r="L4350">
        <v>248.00770447721101</v>
      </c>
      <c r="M4350">
        <v>3.2244045766635101</v>
      </c>
      <c r="O4350">
        <v>58.396938481396397</v>
      </c>
      <c r="P4350">
        <v>-1.41491709491919E-2</v>
      </c>
      <c r="Q4350">
        <v>0</v>
      </c>
      <c r="R4350">
        <v>0.74493837612493596</v>
      </c>
      <c r="S4350" t="s">
        <v>9933</v>
      </c>
      <c r="T4350" t="s">
        <v>11164</v>
      </c>
      <c r="U4350" t="s">
        <v>11164</v>
      </c>
      <c r="V4350" t="s">
        <v>11164</v>
      </c>
      <c r="W4350" t="s">
        <v>15470</v>
      </c>
      <c r="X4350">
        <v>4</v>
      </c>
      <c r="Y4350" t="s">
        <v>20942</v>
      </c>
      <c r="Z4350" t="s">
        <v>26500</v>
      </c>
      <c r="AA4350">
        <v>0.81384038121385438</v>
      </c>
      <c r="AB4350" t="str">
        <f>HYPERLINK("Melting_Curves/meltCurve_Q96HS1_PGAM5.pdf", "Melting_Curves/meltCurve_Q96HS1_PGAM5.pdf")</f>
        <v>Melting_Curves/meltCurve_Q96HS1_PGAM5.pdf</v>
      </c>
    </row>
    <row r="4351" spans="1:28" x14ac:dyDescent="0.25">
      <c r="A4351" t="s">
        <v>4355</v>
      </c>
      <c r="B4351">
        <v>0.99796759195183404</v>
      </c>
      <c r="C4351">
        <v>0.98894972654712499</v>
      </c>
      <c r="D4351">
        <v>0.96323626848018595</v>
      </c>
      <c r="E4351">
        <v>0.89973133870519495</v>
      </c>
      <c r="F4351">
        <v>0.75308241796229403</v>
      </c>
      <c r="G4351">
        <v>1.0541073307894999</v>
      </c>
      <c r="H4351">
        <v>0.78253729961119201</v>
      </c>
      <c r="I4351">
        <v>0.25391814685911102</v>
      </c>
      <c r="J4351">
        <v>0.174700364426153</v>
      </c>
      <c r="K4351">
        <v>0.13206280723844699</v>
      </c>
      <c r="L4351">
        <v>3005.1467470980101</v>
      </c>
      <c r="M4351">
        <v>51.249165155405301</v>
      </c>
      <c r="N4351">
        <v>59.042659759876003</v>
      </c>
      <c r="O4351">
        <v>58.548869755591902</v>
      </c>
      <c r="P4351">
        <v>-0.186420875424335</v>
      </c>
      <c r="Q4351">
        <v>0.148105025545306</v>
      </c>
      <c r="R4351">
        <v>0.93663029586309099</v>
      </c>
      <c r="S4351" t="s">
        <v>9934</v>
      </c>
      <c r="T4351" t="s">
        <v>11164</v>
      </c>
      <c r="U4351" t="s">
        <v>11164</v>
      </c>
      <c r="V4351" t="s">
        <v>11164</v>
      </c>
      <c r="W4351" t="s">
        <v>15471</v>
      </c>
      <c r="X4351">
        <v>3</v>
      </c>
      <c r="Y4351" t="s">
        <v>20943</v>
      </c>
      <c r="Z4351" t="s">
        <v>26501</v>
      </c>
      <c r="AA4351">
        <v>0.76457019478566457</v>
      </c>
      <c r="AB4351" t="str">
        <f>HYPERLINK("Melting_Curves/meltCurve_Q96HW7_2_INTS4.pdf", "Melting_Curves/meltCurve_Q96HW7_2_INTS4.pdf")</f>
        <v>Melting_Curves/meltCurve_Q96HW7_2_INTS4.pdf</v>
      </c>
    </row>
    <row r="4352" spans="1:28" x14ac:dyDescent="0.25">
      <c r="A4352" t="s">
        <v>4356</v>
      </c>
      <c r="B4352">
        <v>0.99796759195183404</v>
      </c>
      <c r="C4352">
        <v>0.99957839787041902</v>
      </c>
      <c r="D4352">
        <v>0.92235145487872205</v>
      </c>
      <c r="E4352">
        <v>0.93598425890513004</v>
      </c>
      <c r="F4352">
        <v>0.78995844273203197</v>
      </c>
      <c r="G4352">
        <v>0.54644256180750195</v>
      </c>
      <c r="H4352">
        <v>0.522661657981359</v>
      </c>
      <c r="I4352">
        <v>0.42220852757090199</v>
      </c>
      <c r="J4352">
        <v>0.37836111700710501</v>
      </c>
      <c r="K4352">
        <v>0.33669236127525598</v>
      </c>
      <c r="L4352">
        <v>744.09434289482101</v>
      </c>
      <c r="M4352">
        <v>14.174551963994</v>
      </c>
      <c r="N4352">
        <v>56.758170277203703</v>
      </c>
      <c r="O4352">
        <v>51.483403392824698</v>
      </c>
      <c r="P4352">
        <v>-4.6289336518280502E-2</v>
      </c>
      <c r="Q4352">
        <v>0.32757483162819201</v>
      </c>
      <c r="R4352">
        <v>0.98503667321336197</v>
      </c>
      <c r="S4352" t="s">
        <v>9935</v>
      </c>
      <c r="T4352" t="s">
        <v>11164</v>
      </c>
      <c r="U4352" t="s">
        <v>11164</v>
      </c>
      <c r="V4352" t="s">
        <v>11164</v>
      </c>
      <c r="W4352" t="s">
        <v>15472</v>
      </c>
      <c r="X4352">
        <v>4</v>
      </c>
      <c r="Y4352" t="s">
        <v>20944</v>
      </c>
      <c r="Z4352" t="s">
        <v>26502</v>
      </c>
      <c r="AA4352">
        <v>0.68808614443349492</v>
      </c>
      <c r="AB4352" t="str">
        <f>HYPERLINK("Melting_Curves/meltCurve_Q96HY6_DDRGK1.pdf", "Melting_Curves/meltCurve_Q96HY6_DDRGK1.pdf")</f>
        <v>Melting_Curves/meltCurve_Q96HY6_DDRGK1.pdf</v>
      </c>
    </row>
    <row r="4353" spans="1:28" x14ac:dyDescent="0.25">
      <c r="A4353" t="s">
        <v>4357</v>
      </c>
      <c r="B4353">
        <v>0.99796759195183404</v>
      </c>
      <c r="C4353">
        <v>1.0157171017114199</v>
      </c>
      <c r="D4353">
        <v>0.95065221303695102</v>
      </c>
      <c r="E4353">
        <v>1.05680795406882</v>
      </c>
      <c r="F4353">
        <v>0.86802824375079302</v>
      </c>
      <c r="G4353">
        <v>0.66158504515994299</v>
      </c>
      <c r="H4353">
        <v>0.53809026750147404</v>
      </c>
      <c r="I4353">
        <v>0.47355950718713102</v>
      </c>
      <c r="J4353">
        <v>0.34421604320205801</v>
      </c>
      <c r="K4353">
        <v>0.185292340279016</v>
      </c>
      <c r="L4353">
        <v>645.97042703486898</v>
      </c>
      <c r="M4353">
        <v>11.101753540373601</v>
      </c>
      <c r="N4353">
        <v>58.847970200173798</v>
      </c>
      <c r="O4353">
        <v>56.394103060771698</v>
      </c>
      <c r="P4353">
        <v>-4.6342643361528699E-2</v>
      </c>
      <c r="Q4353">
        <v>5.8670842154876397E-2</v>
      </c>
      <c r="R4353">
        <v>0.96892117427158697</v>
      </c>
      <c r="S4353" t="s">
        <v>9936</v>
      </c>
      <c r="T4353" t="s">
        <v>11164</v>
      </c>
      <c r="U4353" t="s">
        <v>11164</v>
      </c>
      <c r="V4353" t="s">
        <v>11164</v>
      </c>
      <c r="W4353" t="s">
        <v>15473</v>
      </c>
      <c r="X4353">
        <v>7</v>
      </c>
      <c r="Y4353" t="s">
        <v>20945</v>
      </c>
      <c r="Z4353" t="s">
        <v>26503</v>
      </c>
      <c r="AA4353">
        <v>0.71829769319541981</v>
      </c>
      <c r="AB4353" t="str">
        <f>HYPERLINK("Melting_Curves/meltCurve_Q96I15_SCLY.pdf", "Melting_Curves/meltCurve_Q96I15_SCLY.pdf")</f>
        <v>Melting_Curves/meltCurve_Q96I15_SCLY.pdf</v>
      </c>
    </row>
    <row r="4354" spans="1:28" x14ac:dyDescent="0.25">
      <c r="A4354" t="s">
        <v>4358</v>
      </c>
      <c r="B4354">
        <v>0.99796759195183404</v>
      </c>
      <c r="C4354">
        <v>0.92327899208835995</v>
      </c>
      <c r="D4354">
        <v>0.97368070560495201</v>
      </c>
      <c r="E4354">
        <v>0.84647900219358896</v>
      </c>
      <c r="F4354">
        <v>0.56942863742094296</v>
      </c>
      <c r="G4354">
        <v>0.28275010811412099</v>
      </c>
      <c r="H4354">
        <v>0.17887895619369501</v>
      </c>
      <c r="I4354">
        <v>0.125650157545529</v>
      </c>
      <c r="J4354">
        <v>0.10330926047956999</v>
      </c>
      <c r="K4354">
        <v>8.4872004697599798E-2</v>
      </c>
      <c r="L4354">
        <v>965.46046956531097</v>
      </c>
      <c r="M4354">
        <v>19.143764017703301</v>
      </c>
      <c r="N4354">
        <v>50.937932669043299</v>
      </c>
      <c r="O4354">
        <v>49.891465725303597</v>
      </c>
      <c r="P4354">
        <v>-8.7626807622524394E-2</v>
      </c>
      <c r="Q4354">
        <v>8.6561712823263207E-2</v>
      </c>
      <c r="R4354">
        <v>0.99597578779878804</v>
      </c>
      <c r="S4354" t="s">
        <v>9937</v>
      </c>
      <c r="T4354" t="s">
        <v>11164</v>
      </c>
      <c r="U4354" t="s">
        <v>11164</v>
      </c>
      <c r="V4354" t="s">
        <v>11164</v>
      </c>
      <c r="W4354" t="s">
        <v>15474</v>
      </c>
      <c r="X4354">
        <v>22</v>
      </c>
      <c r="Y4354" t="s">
        <v>20946</v>
      </c>
      <c r="Z4354" t="s">
        <v>26504</v>
      </c>
      <c r="AA4354">
        <v>0.50847431461718884</v>
      </c>
      <c r="AB4354" t="str">
        <f>HYPERLINK("Melting_Curves/meltCurve_Q96I24_FUBP3.pdf", "Melting_Curves/meltCurve_Q96I24_FUBP3.pdf")</f>
        <v>Melting_Curves/meltCurve_Q96I24_FUBP3.pdf</v>
      </c>
    </row>
    <row r="4355" spans="1:28" x14ac:dyDescent="0.25">
      <c r="A4355" t="s">
        <v>4359</v>
      </c>
      <c r="B4355">
        <v>0.99796759195183404</v>
      </c>
      <c r="C4355">
        <v>0.90676726197604995</v>
      </c>
      <c r="D4355">
        <v>0.92129318178960595</v>
      </c>
      <c r="E4355">
        <v>0.93348910229374304</v>
      </c>
      <c r="F4355">
        <v>0.69279630445691598</v>
      </c>
      <c r="G4355">
        <v>0.41848875424459298</v>
      </c>
      <c r="H4355">
        <v>0.29914936916676099</v>
      </c>
      <c r="I4355">
        <v>0.18683083485556301</v>
      </c>
      <c r="J4355">
        <v>0.15354432332244899</v>
      </c>
      <c r="K4355">
        <v>0.12795327635401599</v>
      </c>
      <c r="L4355">
        <v>851.69794267755503</v>
      </c>
      <c r="M4355">
        <v>16.334671403862799</v>
      </c>
      <c r="N4355">
        <v>52.962939419236299</v>
      </c>
      <c r="O4355">
        <v>51.377831465041297</v>
      </c>
      <c r="P4355">
        <v>-7.05845477014439E-2</v>
      </c>
      <c r="Q4355">
        <v>0.112019162839747</v>
      </c>
      <c r="R4355">
        <v>0.98829919302565405</v>
      </c>
      <c r="S4355" t="s">
        <v>9938</v>
      </c>
      <c r="T4355" t="s">
        <v>11164</v>
      </c>
      <c r="U4355" t="s">
        <v>11164</v>
      </c>
      <c r="V4355" t="s">
        <v>11164</v>
      </c>
      <c r="W4355" t="s">
        <v>15475</v>
      </c>
      <c r="X4355">
        <v>4</v>
      </c>
      <c r="Y4355" t="s">
        <v>20947</v>
      </c>
      <c r="Z4355" t="s">
        <v>26505</v>
      </c>
      <c r="AA4355">
        <v>0.57538467276847993</v>
      </c>
      <c r="AB4355" t="str">
        <f>HYPERLINK("Melting_Curves/meltCurve_Q96I25_RBM17.pdf", "Melting_Curves/meltCurve_Q96I25_RBM17.pdf")</f>
        <v>Melting_Curves/meltCurve_Q96I25_RBM17.pdf</v>
      </c>
    </row>
    <row r="4356" spans="1:28" x14ac:dyDescent="0.25">
      <c r="A4356" t="s">
        <v>4360</v>
      </c>
      <c r="B4356">
        <v>0.99796759195183404</v>
      </c>
      <c r="C4356">
        <v>0.82712929633669996</v>
      </c>
      <c r="D4356">
        <v>0.89009821616752105</v>
      </c>
      <c r="E4356">
        <v>0.866549031574534</v>
      </c>
      <c r="F4356">
        <v>0.83240761537012997</v>
      </c>
      <c r="G4356">
        <v>0.48891851601458403</v>
      </c>
      <c r="H4356">
        <v>0.60135500589307</v>
      </c>
      <c r="I4356">
        <v>0.56961401578926096</v>
      </c>
      <c r="J4356">
        <v>0.89713089525994205</v>
      </c>
      <c r="K4356">
        <v>0.69789147215228398</v>
      </c>
      <c r="L4356">
        <v>528.51492865304203</v>
      </c>
      <c r="M4356">
        <v>11.835984895020299</v>
      </c>
      <c r="O4356">
        <v>43.435778072371598</v>
      </c>
      <c r="P4356">
        <v>-2.3080195143286301E-2</v>
      </c>
      <c r="Q4356">
        <v>0.66128669771549897</v>
      </c>
      <c r="R4356">
        <v>0.43007996982183799</v>
      </c>
      <c r="S4356" t="s">
        <v>9939</v>
      </c>
      <c r="T4356" t="s">
        <v>11164</v>
      </c>
      <c r="U4356" t="s">
        <v>11164</v>
      </c>
      <c r="V4356" t="s">
        <v>11164</v>
      </c>
      <c r="W4356" t="s">
        <v>15476</v>
      </c>
      <c r="X4356">
        <v>1</v>
      </c>
      <c r="Y4356" t="s">
        <v>20948</v>
      </c>
      <c r="Z4356" t="s">
        <v>26506</v>
      </c>
      <c r="AA4356">
        <v>0.7605806258964557</v>
      </c>
      <c r="AB4356" t="str">
        <f>HYPERLINK("Melting_Curves/meltCurve_Q96I36_COX14.pdf", "Melting_Curves/meltCurve_Q96I36_COX14.pdf")</f>
        <v>Melting_Curves/meltCurve_Q96I36_COX14.pdf</v>
      </c>
    </row>
    <row r="4357" spans="1:28" x14ac:dyDescent="0.25">
      <c r="A4357" t="s">
        <v>4361</v>
      </c>
      <c r="B4357">
        <v>0.99796759195183404</v>
      </c>
      <c r="C4357">
        <v>0.95376831962715503</v>
      </c>
      <c r="D4357">
        <v>0.96101358061242403</v>
      </c>
      <c r="E4357">
        <v>0.88900236033452196</v>
      </c>
      <c r="F4357">
        <v>0.77038302867999697</v>
      </c>
      <c r="G4357">
        <v>0.74701766052299801</v>
      </c>
      <c r="H4357">
        <v>0.69420927241614505</v>
      </c>
      <c r="I4357">
        <v>0.58478815994459998</v>
      </c>
      <c r="J4357">
        <v>0.66682008163344697</v>
      </c>
      <c r="K4357">
        <v>0.38205842021533298</v>
      </c>
      <c r="L4357">
        <v>324.17675461652499</v>
      </c>
      <c r="M4357">
        <v>4.9070795431528396</v>
      </c>
      <c r="N4357">
        <v>66.063075279296399</v>
      </c>
      <c r="O4357">
        <v>57.402570080093</v>
      </c>
      <c r="P4357">
        <v>-2.1510973116509999E-2</v>
      </c>
      <c r="Q4357">
        <v>0</v>
      </c>
      <c r="R4357">
        <v>0.90628759066577902</v>
      </c>
      <c r="S4357" t="s">
        <v>9940</v>
      </c>
      <c r="T4357" t="s">
        <v>11164</v>
      </c>
      <c r="U4357" t="s">
        <v>11164</v>
      </c>
      <c r="V4357" t="s">
        <v>11164</v>
      </c>
      <c r="W4357" t="s">
        <v>15477</v>
      </c>
      <c r="X4357">
        <v>6</v>
      </c>
      <c r="Y4357" t="s">
        <v>20949</v>
      </c>
      <c r="Z4357" t="s">
        <v>26507</v>
      </c>
      <c r="AA4357">
        <v>0.76924023106696571</v>
      </c>
      <c r="AB4357" t="str">
        <f>HYPERLINK("Melting_Curves/meltCurve_Q96I51_WBSCR16.pdf", "Melting_Curves/meltCurve_Q96I51_WBSCR16.pdf")</f>
        <v>Melting_Curves/meltCurve_Q96I51_WBSCR16.pdf</v>
      </c>
    </row>
    <row r="4358" spans="1:28" x14ac:dyDescent="0.25">
      <c r="A4358" t="s">
        <v>4362</v>
      </c>
      <c r="B4358">
        <v>0.99796759195183404</v>
      </c>
      <c r="C4358">
        <v>1.3963052819313999</v>
      </c>
      <c r="D4358">
        <v>1.12725143076234</v>
      </c>
      <c r="E4358">
        <v>1.1553448878289001</v>
      </c>
      <c r="F4358">
        <v>0.898168038468389</v>
      </c>
      <c r="G4358">
        <v>0.63487767680602003</v>
      </c>
      <c r="H4358">
        <v>0.31897268248896699</v>
      </c>
      <c r="I4358">
        <v>0.36605109526365198</v>
      </c>
      <c r="J4358">
        <v>0.21009273497695199</v>
      </c>
      <c r="K4358">
        <v>0.331252564323258</v>
      </c>
      <c r="L4358">
        <v>1881.76337936815</v>
      </c>
      <c r="M4358">
        <v>35.132557040634403</v>
      </c>
      <c r="N4358">
        <v>54.919681161929802</v>
      </c>
      <c r="O4358">
        <v>53.389164335995403</v>
      </c>
      <c r="P4358">
        <v>-0.11676429928722599</v>
      </c>
      <c r="Q4358">
        <v>0.29023934165967502</v>
      </c>
      <c r="R4358">
        <v>0.867716216954867</v>
      </c>
      <c r="S4358" t="s">
        <v>9941</v>
      </c>
      <c r="T4358" t="s">
        <v>11164</v>
      </c>
      <c r="U4358" t="s">
        <v>11164</v>
      </c>
      <c r="V4358" t="s">
        <v>11164</v>
      </c>
      <c r="W4358" t="s">
        <v>15478</v>
      </c>
      <c r="X4358">
        <v>1</v>
      </c>
      <c r="Y4358" t="s">
        <v>20950</v>
      </c>
      <c r="Z4358" t="s">
        <v>26508</v>
      </c>
      <c r="AA4358">
        <v>0.68543342122944717</v>
      </c>
      <c r="AB4358" t="str">
        <f>HYPERLINK("Melting_Curves/meltCurve_Q96I59_NARS2.pdf", "Melting_Curves/meltCurve_Q96I59_NARS2.pdf")</f>
        <v>Melting_Curves/meltCurve_Q96I59_NARS2.pdf</v>
      </c>
    </row>
    <row r="4359" spans="1:28" x14ac:dyDescent="0.25">
      <c r="A4359" t="s">
        <v>4363</v>
      </c>
      <c r="B4359">
        <v>0.99796759195183404</v>
      </c>
      <c r="C4359">
        <v>0.83867542512714799</v>
      </c>
      <c r="D4359">
        <v>0.81814593909614997</v>
      </c>
      <c r="E4359">
        <v>0.94599657338425103</v>
      </c>
      <c r="F4359">
        <v>0.90834712632320602</v>
      </c>
      <c r="G4359">
        <v>0.612023879253213</v>
      </c>
      <c r="H4359">
        <v>0.47885043704365698</v>
      </c>
      <c r="I4359">
        <v>0.38511225615070599</v>
      </c>
      <c r="J4359">
        <v>0.474929081521279</v>
      </c>
      <c r="K4359">
        <v>0.29890753900807498</v>
      </c>
      <c r="L4359">
        <v>472.06388182806899</v>
      </c>
      <c r="M4359">
        <v>8.3734510236769601</v>
      </c>
      <c r="N4359">
        <v>58.776858436642598</v>
      </c>
      <c r="O4359">
        <v>53.435819191743803</v>
      </c>
      <c r="P4359">
        <v>-3.3533706400677599E-2</v>
      </c>
      <c r="Q4359">
        <v>0.14482325585610301</v>
      </c>
      <c r="R4359">
        <v>0.87005037044898903</v>
      </c>
      <c r="S4359" t="s">
        <v>9942</v>
      </c>
      <c r="T4359" t="s">
        <v>11164</v>
      </c>
      <c r="U4359" t="s">
        <v>11164</v>
      </c>
      <c r="V4359" t="s">
        <v>11164</v>
      </c>
      <c r="W4359" t="s">
        <v>15479</v>
      </c>
      <c r="X4359">
        <v>1</v>
      </c>
      <c r="Y4359" t="s">
        <v>20951</v>
      </c>
      <c r="Z4359" t="s">
        <v>26509</v>
      </c>
      <c r="AA4359">
        <v>0.69456250668388186</v>
      </c>
      <c r="AB4359" t="str">
        <f>HYPERLINK("Melting_Curves/meltCurve_Q96I82_2_KAZALD1.pdf", "Melting_Curves/meltCurve_Q96I82_2_KAZALD1.pdf")</f>
        <v>Melting_Curves/meltCurve_Q96I82_2_KAZALD1.pdf</v>
      </c>
    </row>
    <row r="4360" spans="1:28" x14ac:dyDescent="0.25">
      <c r="A4360" t="s">
        <v>4364</v>
      </c>
      <c r="B4360">
        <v>0.99796759195183404</v>
      </c>
      <c r="C4360">
        <v>0.979966439262416</v>
      </c>
      <c r="D4360">
        <v>0.95682745186857099</v>
      </c>
      <c r="E4360">
        <v>0.88220705749528405</v>
      </c>
      <c r="F4360">
        <v>0.79653779622491006</v>
      </c>
      <c r="G4360">
        <v>0.57937597279419395</v>
      </c>
      <c r="H4360">
        <v>0.23425788873122699</v>
      </c>
      <c r="I4360">
        <v>0.16632832229614</v>
      </c>
      <c r="J4360">
        <v>0.136288868924477</v>
      </c>
      <c r="K4360">
        <v>9.8936663067816302E-2</v>
      </c>
      <c r="L4360">
        <v>935.83763867576602</v>
      </c>
      <c r="M4360">
        <v>17.412709850470499</v>
      </c>
      <c r="N4360">
        <v>54.168610777658202</v>
      </c>
      <c r="O4360">
        <v>53.050695024963602</v>
      </c>
      <c r="P4360">
        <v>-7.6832462063822299E-2</v>
      </c>
      <c r="Q4360">
        <v>6.37215310053319E-2</v>
      </c>
      <c r="R4360">
        <v>0.99134546184597105</v>
      </c>
      <c r="S4360" t="s">
        <v>9943</v>
      </c>
      <c r="T4360" t="s">
        <v>11164</v>
      </c>
      <c r="U4360" t="s">
        <v>11164</v>
      </c>
      <c r="V4360" t="s">
        <v>11164</v>
      </c>
      <c r="W4360" t="s">
        <v>15480</v>
      </c>
      <c r="X4360">
        <v>22</v>
      </c>
      <c r="Y4360" t="s">
        <v>20952</v>
      </c>
      <c r="Z4360" t="s">
        <v>26510</v>
      </c>
      <c r="AA4360">
        <v>0.59986228868042546</v>
      </c>
      <c r="AB4360" t="str">
        <f>HYPERLINK("Melting_Curves/meltCurve_Q96I99_SUCLG2.pdf", "Melting_Curves/meltCurve_Q96I99_SUCLG2.pdf")</f>
        <v>Melting_Curves/meltCurve_Q96I99_SUCLG2.pdf</v>
      </c>
    </row>
    <row r="4361" spans="1:28" x14ac:dyDescent="0.25">
      <c r="A4361" t="s">
        <v>4365</v>
      </c>
      <c r="B4361">
        <v>0.99796759195183404</v>
      </c>
      <c r="C4361">
        <v>0.98084459756586195</v>
      </c>
      <c r="D4361">
        <v>1.049128257937</v>
      </c>
      <c r="E4361">
        <v>0.82860708762190904</v>
      </c>
      <c r="F4361">
        <v>0.81915953824515797</v>
      </c>
      <c r="G4361">
        <v>0.58994700029688996</v>
      </c>
      <c r="H4361">
        <v>0.253011515121427</v>
      </c>
      <c r="I4361">
        <v>0.35217056033108901</v>
      </c>
      <c r="J4361">
        <v>0.37225646725292399</v>
      </c>
      <c r="K4361">
        <v>0.16635656436478999</v>
      </c>
      <c r="L4361">
        <v>946.18183707435401</v>
      </c>
      <c r="M4361">
        <v>17.970826042545401</v>
      </c>
      <c r="N4361">
        <v>54.592001078160798</v>
      </c>
      <c r="O4361">
        <v>52.012018509212297</v>
      </c>
      <c r="P4361">
        <v>-6.5989678675383107E-2</v>
      </c>
      <c r="Q4361">
        <v>0.236076086353153</v>
      </c>
      <c r="R4361">
        <v>0.94457661769871704</v>
      </c>
      <c r="S4361" t="s">
        <v>9944</v>
      </c>
      <c r="T4361" t="s">
        <v>11164</v>
      </c>
      <c r="U4361" t="s">
        <v>11164</v>
      </c>
      <c r="V4361" t="s">
        <v>11164</v>
      </c>
      <c r="W4361" t="s">
        <v>15481</v>
      </c>
      <c r="X4361">
        <v>1</v>
      </c>
      <c r="Y4361" t="s">
        <v>20953</v>
      </c>
      <c r="Z4361" t="s">
        <v>26511</v>
      </c>
      <c r="AA4361">
        <v>0.64592131227284055</v>
      </c>
      <c r="AB4361" t="str">
        <f>HYPERLINK("Melting_Curves/meltCurve_Q96IF1_AJUBA.pdf", "Melting_Curves/meltCurve_Q96IF1_AJUBA.pdf")</f>
        <v>Melting_Curves/meltCurve_Q96IF1_AJUBA.pdf</v>
      </c>
    </row>
    <row r="4362" spans="1:28" x14ac:dyDescent="0.25">
      <c r="A4362" t="s">
        <v>4366</v>
      </c>
      <c r="B4362">
        <v>0.99796759195183404</v>
      </c>
      <c r="C4362">
        <v>1.1112499409174199</v>
      </c>
      <c r="D4362">
        <v>0.97589438195010503</v>
      </c>
      <c r="E4362">
        <v>1.0249976539624499</v>
      </c>
      <c r="F4362">
        <v>0.81120158586027602</v>
      </c>
      <c r="G4362">
        <v>0.92583893662793504</v>
      </c>
      <c r="H4362">
        <v>0.71987718667807798</v>
      </c>
      <c r="I4362">
        <v>0.46802021048488701</v>
      </c>
      <c r="J4362">
        <v>0.31185813790995598</v>
      </c>
      <c r="K4362">
        <v>0.186071750695331</v>
      </c>
      <c r="L4362">
        <v>910.65648182677398</v>
      </c>
      <c r="M4362">
        <v>15.007043813995599</v>
      </c>
      <c r="N4362">
        <v>60.6819367157443</v>
      </c>
      <c r="O4362">
        <v>59.635013640861096</v>
      </c>
      <c r="P4362">
        <v>-6.2918394245779996E-2</v>
      </c>
      <c r="Q4362">
        <v>0</v>
      </c>
      <c r="R4362">
        <v>0.95835977660767002</v>
      </c>
      <c r="S4362" t="s">
        <v>9945</v>
      </c>
      <c r="T4362" t="s">
        <v>11164</v>
      </c>
      <c r="U4362" t="s">
        <v>11164</v>
      </c>
      <c r="V4362" t="s">
        <v>11164</v>
      </c>
      <c r="W4362" t="s">
        <v>15482</v>
      </c>
      <c r="X4362">
        <v>8</v>
      </c>
      <c r="Y4362" t="s">
        <v>20954</v>
      </c>
      <c r="Z4362" t="s">
        <v>26512</v>
      </c>
      <c r="AA4362">
        <v>0.77792153129685482</v>
      </c>
      <c r="AB4362" t="str">
        <f>HYPERLINK("Melting_Curves/meltCurve_Q96IJ6_GMPPA.pdf", "Melting_Curves/meltCurve_Q96IJ6_GMPPA.pdf")</f>
        <v>Melting_Curves/meltCurve_Q96IJ6_GMPPA.pdf</v>
      </c>
    </row>
    <row r="4363" spans="1:28" x14ac:dyDescent="0.25">
      <c r="A4363" t="s">
        <v>4367</v>
      </c>
      <c r="B4363">
        <v>0.99796759195183404</v>
      </c>
      <c r="C4363">
        <v>0.995910381661956</v>
      </c>
      <c r="D4363">
        <v>0.98740070974882699</v>
      </c>
      <c r="E4363">
        <v>0.92173431167361897</v>
      </c>
      <c r="F4363">
        <v>0.82775803159565198</v>
      </c>
      <c r="G4363">
        <v>0.56321933463612395</v>
      </c>
      <c r="H4363">
        <v>0.56889296685627899</v>
      </c>
      <c r="I4363">
        <v>0.56852733808263101</v>
      </c>
      <c r="J4363">
        <v>0.69915859600136598</v>
      </c>
      <c r="K4363">
        <v>0.81257788485710902</v>
      </c>
      <c r="L4363">
        <v>12553.6637398773</v>
      </c>
      <c r="M4363">
        <v>250</v>
      </c>
      <c r="O4363">
        <v>50.211458667268403</v>
      </c>
      <c r="P4363">
        <v>-0.44502403992364598</v>
      </c>
      <c r="Q4363">
        <v>0.64247522263415302</v>
      </c>
      <c r="R4363">
        <v>0.81543377372848602</v>
      </c>
      <c r="S4363" t="s">
        <v>9946</v>
      </c>
      <c r="T4363" t="s">
        <v>11164</v>
      </c>
      <c r="U4363" t="s">
        <v>11164</v>
      </c>
      <c r="V4363" t="s">
        <v>11164</v>
      </c>
      <c r="W4363" t="s">
        <v>15483</v>
      </c>
      <c r="X4363">
        <v>7</v>
      </c>
      <c r="Y4363" t="s">
        <v>20955</v>
      </c>
      <c r="Z4363" t="s">
        <v>26513</v>
      </c>
      <c r="AA4363">
        <v>0.79999228225266306</v>
      </c>
      <c r="AB4363" t="str">
        <f>HYPERLINK("Melting_Curves/meltCurve_Q96IK1_BOD1.pdf", "Melting_Curves/meltCurve_Q96IK1_BOD1.pdf")</f>
        <v>Melting_Curves/meltCurve_Q96IK1_BOD1.pdf</v>
      </c>
    </row>
    <row r="4364" spans="1:28" x14ac:dyDescent="0.25">
      <c r="A4364" t="s">
        <v>4368</v>
      </c>
      <c r="B4364">
        <v>0.99796759195183404</v>
      </c>
      <c r="C4364">
        <v>0.96661197046540603</v>
      </c>
      <c r="D4364">
        <v>0.84724029717281502</v>
      </c>
      <c r="E4364">
        <v>0.93884105545298502</v>
      </c>
      <c r="F4364">
        <v>0.82778349921317096</v>
      </c>
      <c r="G4364">
        <v>0.59038020605487895</v>
      </c>
      <c r="H4364">
        <v>0.40120725535975399</v>
      </c>
      <c r="I4364">
        <v>0.31756427753793098</v>
      </c>
      <c r="J4364">
        <v>0.36834469475664799</v>
      </c>
      <c r="K4364">
        <v>0.357307756092199</v>
      </c>
      <c r="L4364">
        <v>1085.7789040272901</v>
      </c>
      <c r="M4364">
        <v>20.695837770483699</v>
      </c>
      <c r="N4364">
        <v>55.2821179629276</v>
      </c>
      <c r="O4364">
        <v>51.981173030430398</v>
      </c>
      <c r="P4364">
        <v>-6.7095699734533595E-2</v>
      </c>
      <c r="Q4364">
        <v>0.32592933102586802</v>
      </c>
      <c r="R4364">
        <v>0.962686037114869</v>
      </c>
      <c r="S4364" t="s">
        <v>9947</v>
      </c>
      <c r="T4364" t="s">
        <v>11164</v>
      </c>
      <c r="U4364" t="s">
        <v>11164</v>
      </c>
      <c r="V4364" t="s">
        <v>11164</v>
      </c>
      <c r="W4364" t="s">
        <v>15484</v>
      </c>
      <c r="X4364">
        <v>2</v>
      </c>
      <c r="Y4364" t="s">
        <v>20956</v>
      </c>
      <c r="Z4364" t="s">
        <v>26514</v>
      </c>
      <c r="AA4364">
        <v>0.68156080209730885</v>
      </c>
      <c r="AB4364" t="str">
        <f>HYPERLINK("Melting_Curves/meltCurve_Q96IQ9_2_ZNF414.pdf", "Melting_Curves/meltCurve_Q96IQ9_2_ZNF414.pdf")</f>
        <v>Melting_Curves/meltCurve_Q96IQ9_2_ZNF414.pdf</v>
      </c>
    </row>
    <row r="4365" spans="1:28" x14ac:dyDescent="0.25">
      <c r="A4365" t="s">
        <v>4369</v>
      </c>
      <c r="B4365">
        <v>0.99796759195183404</v>
      </c>
      <c r="C4365">
        <v>0.915790193699344</v>
      </c>
      <c r="D4365">
        <v>0.89661427124163195</v>
      </c>
      <c r="E4365">
        <v>0.83809481700226096</v>
      </c>
      <c r="F4365">
        <v>0.73887512249904796</v>
      </c>
      <c r="G4365">
        <v>0.58271553040074497</v>
      </c>
      <c r="H4365">
        <v>0.450973564245224</v>
      </c>
      <c r="I4365">
        <v>0.33298194325092501</v>
      </c>
      <c r="J4365">
        <v>0.24018439511609199</v>
      </c>
      <c r="K4365">
        <v>0.178154805052847</v>
      </c>
      <c r="L4365">
        <v>467.785497026656</v>
      </c>
      <c r="M4365">
        <v>8.3841106472259597</v>
      </c>
      <c r="N4365">
        <v>55.794289496381097</v>
      </c>
      <c r="O4365">
        <v>52.890992558918498</v>
      </c>
      <c r="P4365">
        <v>-3.96667994920612E-2</v>
      </c>
      <c r="Q4365">
        <v>0</v>
      </c>
      <c r="R4365">
        <v>0.99454306275152704</v>
      </c>
      <c r="S4365" t="s">
        <v>9948</v>
      </c>
      <c r="T4365" t="s">
        <v>11164</v>
      </c>
      <c r="U4365" t="s">
        <v>11164</v>
      </c>
      <c r="V4365" t="s">
        <v>11164</v>
      </c>
      <c r="W4365" t="s">
        <v>15485</v>
      </c>
      <c r="X4365">
        <v>7</v>
      </c>
      <c r="Y4365" t="s">
        <v>20957</v>
      </c>
      <c r="Z4365" t="s">
        <v>26515</v>
      </c>
      <c r="AA4365">
        <v>0.62837736271110123</v>
      </c>
      <c r="AB4365" t="str">
        <f>HYPERLINK("Melting_Curves/meltCurve_Q96IU4_ABHD14B.pdf", "Melting_Curves/meltCurve_Q96IU4_ABHD14B.pdf")</f>
        <v>Melting_Curves/meltCurve_Q96IU4_ABHD14B.pdf</v>
      </c>
    </row>
    <row r="4366" spans="1:28" x14ac:dyDescent="0.25">
      <c r="A4366" t="s">
        <v>4370</v>
      </c>
      <c r="B4366">
        <v>0.99796759195183404</v>
      </c>
      <c r="C4366">
        <v>0.99908022891981196</v>
      </c>
      <c r="D4366">
        <v>0.90373183239811705</v>
      </c>
      <c r="E4366">
        <v>0.85814527776469296</v>
      </c>
      <c r="F4366">
        <v>0.72253818221050004</v>
      </c>
      <c r="G4366">
        <v>0.36992678733523199</v>
      </c>
      <c r="H4366">
        <v>0.21507481445568999</v>
      </c>
      <c r="I4366">
        <v>0.16065812201690199</v>
      </c>
      <c r="J4366">
        <v>0.113170332304705</v>
      </c>
      <c r="K4366">
        <v>8.6471217949466897E-2</v>
      </c>
      <c r="L4366">
        <v>865.31096227719502</v>
      </c>
      <c r="M4366">
        <v>16.6565165233282</v>
      </c>
      <c r="N4366">
        <v>52.421601194148103</v>
      </c>
      <c r="O4366">
        <v>51.218813554871303</v>
      </c>
      <c r="P4366">
        <v>-7.5652208833300705E-2</v>
      </c>
      <c r="Q4366">
        <v>6.95396825946972E-2</v>
      </c>
      <c r="R4366">
        <v>0.99250886446271702</v>
      </c>
      <c r="S4366" t="s">
        <v>9949</v>
      </c>
      <c r="T4366" t="s">
        <v>11164</v>
      </c>
      <c r="U4366" t="s">
        <v>11164</v>
      </c>
      <c r="V4366" t="s">
        <v>11164</v>
      </c>
      <c r="W4366" t="s">
        <v>15486</v>
      </c>
      <c r="X4366">
        <v>4</v>
      </c>
      <c r="Y4366" t="s">
        <v>20958</v>
      </c>
      <c r="Z4366" t="s">
        <v>26516</v>
      </c>
      <c r="AA4366">
        <v>0.54890786390641244</v>
      </c>
      <c r="AB4366" t="str">
        <f>HYPERLINK("Melting_Curves/meltCurve_Q96IV0_3_NGLY1.pdf", "Melting_Curves/meltCurve_Q96IV0_3_NGLY1.pdf")</f>
        <v>Melting_Curves/meltCurve_Q96IV0_3_NGLY1.pdf</v>
      </c>
    </row>
    <row r="4367" spans="1:28" x14ac:dyDescent="0.25">
      <c r="A4367" t="s">
        <v>4371</v>
      </c>
      <c r="B4367">
        <v>0.99796759195183404</v>
      </c>
      <c r="C4367">
        <v>1.00277004983927</v>
      </c>
      <c r="D4367">
        <v>1.0694466930381901</v>
      </c>
      <c r="E4367">
        <v>0.99321299153863696</v>
      </c>
      <c r="F4367">
        <v>0.77308389094020002</v>
      </c>
      <c r="G4367">
        <v>0.553342125688016</v>
      </c>
      <c r="H4367">
        <v>0.47860048473588301</v>
      </c>
      <c r="I4367">
        <v>0.60301043254724396</v>
      </c>
      <c r="J4367">
        <v>0.611171479891227</v>
      </c>
      <c r="K4367">
        <v>0.65230403560985695</v>
      </c>
      <c r="L4367">
        <v>12541.9765718461</v>
      </c>
      <c r="M4367">
        <v>250</v>
      </c>
      <c r="O4367">
        <v>50.164684705008</v>
      </c>
      <c r="P4367">
        <v>-0.52366794562756802</v>
      </c>
      <c r="Q4367">
        <v>0.57968570846342804</v>
      </c>
      <c r="R4367">
        <v>0.94913526027213801</v>
      </c>
      <c r="S4367" t="s">
        <v>9950</v>
      </c>
      <c r="T4367" t="s">
        <v>11164</v>
      </c>
      <c r="U4367" t="s">
        <v>11164</v>
      </c>
      <c r="V4367" t="s">
        <v>11164</v>
      </c>
      <c r="W4367" t="s">
        <v>15487</v>
      </c>
      <c r="X4367">
        <v>2</v>
      </c>
      <c r="Y4367" t="s">
        <v>20959</v>
      </c>
      <c r="Z4367" t="s">
        <v>26517</v>
      </c>
      <c r="AA4367">
        <v>0.76421135464407197</v>
      </c>
      <c r="AB4367" t="str">
        <f>HYPERLINK("Melting_Curves/meltCurve_Q96IX5_USMG5.pdf", "Melting_Curves/meltCurve_Q96IX5_USMG5.pdf")</f>
        <v>Melting_Curves/meltCurve_Q96IX5_USMG5.pdf</v>
      </c>
    </row>
    <row r="4368" spans="1:28" x14ac:dyDescent="0.25">
      <c r="A4368" t="s">
        <v>4372</v>
      </c>
      <c r="B4368">
        <v>0.99796759195183404</v>
      </c>
      <c r="C4368">
        <v>0.99352048961865802</v>
      </c>
      <c r="D4368">
        <v>1.0057560331025901</v>
      </c>
      <c r="E4368">
        <v>0.88639528532214495</v>
      </c>
      <c r="F4368">
        <v>0.85313356554374198</v>
      </c>
      <c r="G4368">
        <v>0.72581615314675196</v>
      </c>
      <c r="H4368">
        <v>0.670126530396152</v>
      </c>
      <c r="I4368">
        <v>0.59975955360362199</v>
      </c>
      <c r="J4368">
        <v>0.79357358430286695</v>
      </c>
      <c r="K4368">
        <v>0.72401641941204298</v>
      </c>
      <c r="L4368">
        <v>1027.80080162691</v>
      </c>
      <c r="M4368">
        <v>20.941418602862399</v>
      </c>
      <c r="O4368">
        <v>48.6388524465278</v>
      </c>
      <c r="P4368">
        <v>-3.2943543619544498E-2</v>
      </c>
      <c r="Q4368">
        <v>0.69394775193110902</v>
      </c>
      <c r="R4368">
        <v>0.86773883144720099</v>
      </c>
      <c r="S4368" t="s">
        <v>9951</v>
      </c>
      <c r="T4368" t="s">
        <v>11164</v>
      </c>
      <c r="U4368" t="s">
        <v>11164</v>
      </c>
      <c r="V4368" t="s">
        <v>11164</v>
      </c>
      <c r="W4368" t="s">
        <v>15488</v>
      </c>
      <c r="X4368">
        <v>11</v>
      </c>
      <c r="Y4368" t="s">
        <v>20960</v>
      </c>
      <c r="Z4368" t="s">
        <v>26518</v>
      </c>
      <c r="AA4368">
        <v>0.82088916396057166</v>
      </c>
      <c r="AB4368" t="str">
        <f>HYPERLINK("Melting_Curves/meltCurve_Q96IZ0_PAWR.pdf", "Melting_Curves/meltCurve_Q96IZ0_PAWR.pdf")</f>
        <v>Melting_Curves/meltCurve_Q96IZ0_PAWR.pdf</v>
      </c>
    </row>
    <row r="4369" spans="1:28" x14ac:dyDescent="0.25">
      <c r="A4369" t="s">
        <v>4373</v>
      </c>
      <c r="B4369">
        <v>0.99796759195183404</v>
      </c>
      <c r="C4369">
        <v>1.0776644931508701</v>
      </c>
      <c r="D4369">
        <v>1.0001236334711401</v>
      </c>
      <c r="E4369">
        <v>0.77135361517245504</v>
      </c>
      <c r="F4369">
        <v>1.04238265494186</v>
      </c>
      <c r="G4369">
        <v>1.28774849839177</v>
      </c>
      <c r="H4369">
        <v>0.70157417042472503</v>
      </c>
      <c r="I4369">
        <v>0.42993096868533298</v>
      </c>
      <c r="J4369">
        <v>0.353647430065823</v>
      </c>
      <c r="K4369">
        <v>0.36117725625420799</v>
      </c>
      <c r="L4369">
        <v>12873.5729798189</v>
      </c>
      <c r="M4369">
        <v>224.208503971526</v>
      </c>
      <c r="N4369">
        <v>57.7891244597878</v>
      </c>
      <c r="O4369">
        <v>57.413293977250802</v>
      </c>
      <c r="P4369">
        <v>-0.60375375898834205</v>
      </c>
      <c r="Q4369">
        <v>0.381584705913107</v>
      </c>
      <c r="R4369">
        <v>0.85240178290797597</v>
      </c>
      <c r="S4369" t="s">
        <v>9952</v>
      </c>
      <c r="T4369" t="s">
        <v>11164</v>
      </c>
      <c r="U4369" t="s">
        <v>11164</v>
      </c>
      <c r="V4369" t="s">
        <v>11164</v>
      </c>
      <c r="W4369" t="s">
        <v>15489</v>
      </c>
      <c r="X4369">
        <v>2</v>
      </c>
      <c r="Y4369" t="s">
        <v>20961</v>
      </c>
      <c r="Z4369" t="s">
        <v>26519</v>
      </c>
      <c r="AA4369">
        <v>0.80255279580293082</v>
      </c>
      <c r="AB4369" t="str">
        <f>HYPERLINK("Melting_Curves/meltCurve_Q96IZ7_2_RSRC1.pdf", "Melting_Curves/meltCurve_Q96IZ7_2_RSRC1.pdf")</f>
        <v>Melting_Curves/meltCurve_Q96IZ7_2_RSRC1.pdf</v>
      </c>
    </row>
    <row r="4370" spans="1:28" x14ac:dyDescent="0.25">
      <c r="A4370" t="s">
        <v>4374</v>
      </c>
      <c r="B4370">
        <v>0.99796759195183404</v>
      </c>
      <c r="C4370">
        <v>1.0867890422759301</v>
      </c>
      <c r="D4370">
        <v>0.99432811109186803</v>
      </c>
      <c r="E4370">
        <v>0.85528543507073096</v>
      </c>
      <c r="F4370">
        <v>0.81497685234310102</v>
      </c>
      <c r="G4370">
        <v>0.59421523543600097</v>
      </c>
      <c r="H4370">
        <v>0.33487238166308197</v>
      </c>
      <c r="I4370">
        <v>0.19316775373655601</v>
      </c>
      <c r="J4370">
        <v>0.172851796470679</v>
      </c>
      <c r="K4370">
        <v>0.14121717264838299</v>
      </c>
      <c r="L4370">
        <v>843.82754938561004</v>
      </c>
      <c r="M4370">
        <v>15.5764668443839</v>
      </c>
      <c r="N4370">
        <v>54.823949316225203</v>
      </c>
      <c r="O4370">
        <v>53.303906905329001</v>
      </c>
      <c r="P4370">
        <v>-6.6895236120320806E-2</v>
      </c>
      <c r="Q4370">
        <v>8.4396542948622102E-2</v>
      </c>
      <c r="R4370">
        <v>0.98689367723626897</v>
      </c>
      <c r="S4370" t="s">
        <v>9953</v>
      </c>
      <c r="T4370" t="s">
        <v>11164</v>
      </c>
      <c r="U4370" t="s">
        <v>11164</v>
      </c>
      <c r="V4370" t="s">
        <v>11164</v>
      </c>
      <c r="W4370" t="s">
        <v>15490</v>
      </c>
      <c r="X4370">
        <v>9</v>
      </c>
      <c r="Y4370" t="s">
        <v>20962</v>
      </c>
      <c r="Z4370" t="s">
        <v>26520</v>
      </c>
      <c r="AA4370">
        <v>0.62266948371485897</v>
      </c>
      <c r="AB4370" t="str">
        <f>HYPERLINK("Melting_Curves/meltCurve_Q96J01_THOC3.pdf", "Melting_Curves/meltCurve_Q96J01_THOC3.pdf")</f>
        <v>Melting_Curves/meltCurve_Q96J01_THOC3.pdf</v>
      </c>
    </row>
    <row r="4371" spans="1:28" x14ac:dyDescent="0.25">
      <c r="A4371" t="s">
        <v>4375</v>
      </c>
      <c r="B4371">
        <v>0.99796759195183404</v>
      </c>
      <c r="C4371">
        <v>0.93817776364686101</v>
      </c>
      <c r="D4371">
        <v>0.92116243735263503</v>
      </c>
      <c r="E4371">
        <v>0.89199180637445696</v>
      </c>
      <c r="F4371">
        <v>0.73902459762235195</v>
      </c>
      <c r="G4371">
        <v>0.21113020925151399</v>
      </c>
      <c r="H4371">
        <v>0.14033593161329999</v>
      </c>
      <c r="I4371">
        <v>0.115823885607657</v>
      </c>
      <c r="J4371">
        <v>8.7261144219034706E-2</v>
      </c>
      <c r="K4371">
        <v>4.94533117563455E-2</v>
      </c>
      <c r="L4371">
        <v>1740.6984092014</v>
      </c>
      <c r="M4371">
        <v>33.910598004015299</v>
      </c>
      <c r="N4371">
        <v>51.616331071469403</v>
      </c>
      <c r="O4371">
        <v>51.154459154503499</v>
      </c>
      <c r="P4371">
        <v>-0.15160729405404</v>
      </c>
      <c r="Q4371">
        <v>8.5199486868775098E-2</v>
      </c>
      <c r="R4371">
        <v>0.98647799257856805</v>
      </c>
      <c r="S4371" t="s">
        <v>9954</v>
      </c>
      <c r="T4371" t="s">
        <v>11164</v>
      </c>
      <c r="U4371" t="s">
        <v>11164</v>
      </c>
      <c r="V4371" t="s">
        <v>11164</v>
      </c>
      <c r="W4371" t="s">
        <v>15491</v>
      </c>
      <c r="X4371">
        <v>3</v>
      </c>
      <c r="Y4371" t="s">
        <v>20963</v>
      </c>
      <c r="Z4371" t="s">
        <v>26521</v>
      </c>
      <c r="AA4371">
        <v>0.52673262063096005</v>
      </c>
      <c r="AB4371" t="str">
        <f>HYPERLINK("Melting_Curves/meltCurve_Q96J02_2_ITCH.pdf", "Melting_Curves/meltCurve_Q96J02_2_ITCH.pdf")</f>
        <v>Melting_Curves/meltCurve_Q96J02_2_ITCH.pdf</v>
      </c>
    </row>
    <row r="4372" spans="1:28" x14ac:dyDescent="0.25">
      <c r="A4372" t="s">
        <v>4376</v>
      </c>
      <c r="B4372">
        <v>0.99796759195183404</v>
      </c>
      <c r="C4372">
        <v>1.1512930083066599</v>
      </c>
      <c r="D4372">
        <v>0.952713801113523</v>
      </c>
      <c r="E4372">
        <v>0.95535043094702898</v>
      </c>
      <c r="F4372">
        <v>0.82267687192445504</v>
      </c>
      <c r="G4372">
        <v>0.48967205261462399</v>
      </c>
      <c r="H4372">
        <v>0.405282550299287</v>
      </c>
      <c r="I4372">
        <v>0.29456527818665801</v>
      </c>
      <c r="J4372">
        <v>0.302792876226333</v>
      </c>
      <c r="K4372">
        <v>0.221606804654324</v>
      </c>
      <c r="L4372">
        <v>1136.0866065290199</v>
      </c>
      <c r="M4372">
        <v>21.654044616523802</v>
      </c>
      <c r="N4372">
        <v>54.3133290051275</v>
      </c>
      <c r="O4372">
        <v>52.024047373634701</v>
      </c>
      <c r="P4372">
        <v>-7.6934728385461906E-2</v>
      </c>
      <c r="Q4372">
        <v>0.26067219081007398</v>
      </c>
      <c r="R4372">
        <v>0.97073101766576497</v>
      </c>
      <c r="S4372" t="s">
        <v>9955</v>
      </c>
      <c r="T4372" t="s">
        <v>11164</v>
      </c>
      <c r="U4372" t="s">
        <v>11164</v>
      </c>
      <c r="V4372" t="s">
        <v>11164</v>
      </c>
      <c r="W4372" t="s">
        <v>15492</v>
      </c>
      <c r="X4372">
        <v>5</v>
      </c>
      <c r="Y4372" t="s">
        <v>20964</v>
      </c>
      <c r="Z4372" t="s">
        <v>26522</v>
      </c>
      <c r="AA4372">
        <v>0.65015334168949979</v>
      </c>
      <c r="AB4372" t="str">
        <f>HYPERLINK("Melting_Curves/meltCurve_Q96J84_KIRREL.pdf", "Melting_Curves/meltCurve_Q96J84_KIRREL.pdf")</f>
        <v>Melting_Curves/meltCurve_Q96J84_KIRREL.pdf</v>
      </c>
    </row>
    <row r="4373" spans="1:28" x14ac:dyDescent="0.25">
      <c r="A4373" t="s">
        <v>4377</v>
      </c>
      <c r="B4373">
        <v>0.99796759195183404</v>
      </c>
      <c r="C4373">
        <v>1.1638549386983501</v>
      </c>
      <c r="D4373">
        <v>1.0940069031053801</v>
      </c>
      <c r="E4373">
        <v>1.03785414652411</v>
      </c>
      <c r="F4373">
        <v>1.15958625599846</v>
      </c>
      <c r="G4373">
        <v>0.71837081762177302</v>
      </c>
      <c r="H4373">
        <v>0.702684351493156</v>
      </c>
      <c r="I4373">
        <v>0.51889280176223596</v>
      </c>
      <c r="J4373">
        <v>0.44704871444655597</v>
      </c>
      <c r="K4373">
        <v>0.46347298689834698</v>
      </c>
      <c r="L4373">
        <v>1383.1367727225199</v>
      </c>
      <c r="M4373">
        <v>24.795026390531898</v>
      </c>
      <c r="N4373">
        <v>61.736329237194902</v>
      </c>
      <c r="O4373">
        <v>55.4237810144717</v>
      </c>
      <c r="P4373">
        <v>-6.1040788746051199E-2</v>
      </c>
      <c r="Q4373">
        <v>0.454235012381835</v>
      </c>
      <c r="R4373">
        <v>0.87556366468248503</v>
      </c>
      <c r="S4373" t="s">
        <v>9956</v>
      </c>
      <c r="T4373" t="s">
        <v>11164</v>
      </c>
      <c r="U4373" t="s">
        <v>11164</v>
      </c>
      <c r="V4373" t="s">
        <v>11164</v>
      </c>
      <c r="W4373" t="s">
        <v>15493</v>
      </c>
      <c r="X4373">
        <v>1</v>
      </c>
      <c r="Y4373" t="s">
        <v>20965</v>
      </c>
      <c r="Z4373" t="s">
        <v>26523</v>
      </c>
      <c r="AA4373">
        <v>0.80046618235573941</v>
      </c>
      <c r="AB4373" t="str">
        <f>HYPERLINK("Melting_Curves/meltCurve_Q96JA1_LRIG1.pdf", "Melting_Curves/meltCurve_Q96JA1_LRIG1.pdf")</f>
        <v>Melting_Curves/meltCurve_Q96JA1_LRIG1.pdf</v>
      </c>
    </row>
    <row r="4374" spans="1:28" x14ac:dyDescent="0.25">
      <c r="A4374" t="s">
        <v>4378</v>
      </c>
      <c r="B4374">
        <v>0.99796759195183404</v>
      </c>
      <c r="C4374">
        <v>1.0008884418412101</v>
      </c>
      <c r="D4374">
        <v>1.0125675663551701</v>
      </c>
      <c r="E4374">
        <v>0.93702433446242295</v>
      </c>
      <c r="F4374">
        <v>0.70668507806657899</v>
      </c>
      <c r="G4374">
        <v>0.23305223519923399</v>
      </c>
      <c r="H4374">
        <v>0.13318099983634099</v>
      </c>
      <c r="I4374">
        <v>0.121818665418958</v>
      </c>
      <c r="J4374">
        <v>0.105042814646459</v>
      </c>
      <c r="K4374">
        <v>7.8639713983150603E-2</v>
      </c>
      <c r="L4374">
        <v>1733.89605660913</v>
      </c>
      <c r="M4374">
        <v>33.870790200683302</v>
      </c>
      <c r="N4374">
        <v>51.533154836049498</v>
      </c>
      <c r="O4374">
        <v>51.014031475228698</v>
      </c>
      <c r="P4374">
        <v>-0.14929459035846701</v>
      </c>
      <c r="Q4374">
        <v>0.100571576295863</v>
      </c>
      <c r="R4374">
        <v>0.99852989387651003</v>
      </c>
      <c r="S4374" t="s">
        <v>9957</v>
      </c>
      <c r="T4374" t="s">
        <v>11164</v>
      </c>
      <c r="U4374" t="s">
        <v>11164</v>
      </c>
      <c r="V4374" t="s">
        <v>11164</v>
      </c>
      <c r="W4374" t="s">
        <v>15494</v>
      </c>
      <c r="X4374">
        <v>8</v>
      </c>
      <c r="Y4374" t="s">
        <v>20966</v>
      </c>
      <c r="Z4374" t="s">
        <v>26524</v>
      </c>
      <c r="AA4374">
        <v>0.53047296880756722</v>
      </c>
      <c r="AB4374" t="str">
        <f>HYPERLINK("Melting_Curves/meltCurve_Q96JB5_2_CDK5RAP3.pdf", "Melting_Curves/meltCurve_Q96JB5_2_CDK5RAP3.pdf")</f>
        <v>Melting_Curves/meltCurve_Q96JB5_2_CDK5RAP3.pdf</v>
      </c>
    </row>
    <row r="4375" spans="1:28" x14ac:dyDescent="0.25">
      <c r="A4375" t="s">
        <v>4379</v>
      </c>
      <c r="B4375">
        <v>0.99796759195183404</v>
      </c>
      <c r="C4375">
        <v>0.94073188848940303</v>
      </c>
      <c r="D4375">
        <v>0.80845147620028701</v>
      </c>
      <c r="E4375">
        <v>0.93990967571897799</v>
      </c>
      <c r="F4375">
        <v>0.74733036165345401</v>
      </c>
      <c r="G4375">
        <v>0.42456708942940702</v>
      </c>
      <c r="H4375">
        <v>0.22283284842657999</v>
      </c>
      <c r="I4375">
        <v>0.24062218062080701</v>
      </c>
      <c r="J4375">
        <v>0.14025357873608099</v>
      </c>
      <c r="K4375">
        <v>7.7278878607261403E-2</v>
      </c>
      <c r="L4375">
        <v>845.33630804583697</v>
      </c>
      <c r="M4375">
        <v>16.0947118191852</v>
      </c>
      <c r="N4375">
        <v>53.118497017080003</v>
      </c>
      <c r="O4375">
        <v>51.731849800243303</v>
      </c>
      <c r="P4375">
        <v>-7.13607876372718E-2</v>
      </c>
      <c r="Q4375">
        <v>8.2594905724061904E-2</v>
      </c>
      <c r="R4375">
        <v>0.96444123366899903</v>
      </c>
      <c r="S4375" t="s">
        <v>9958</v>
      </c>
      <c r="T4375" t="s">
        <v>11164</v>
      </c>
      <c r="U4375" t="s">
        <v>11164</v>
      </c>
      <c r="V4375" t="s">
        <v>11164</v>
      </c>
      <c r="W4375" t="s">
        <v>15495</v>
      </c>
      <c r="X4375">
        <v>1</v>
      </c>
      <c r="Y4375" t="s">
        <v>20967</v>
      </c>
      <c r="Z4375" t="s">
        <v>26525</v>
      </c>
      <c r="AA4375">
        <v>0.57296993958969344</v>
      </c>
      <c r="AB4375" t="str">
        <f>HYPERLINK("Melting_Curves/meltCurve_Q96JC1_2_VPS39.pdf", "Melting_Curves/meltCurve_Q96JC1_2_VPS39.pdf")</f>
        <v>Melting_Curves/meltCurve_Q96JC1_2_VPS39.pdf</v>
      </c>
    </row>
    <row r="4376" spans="1:28" x14ac:dyDescent="0.25">
      <c r="A4376" t="s">
        <v>4380</v>
      </c>
      <c r="B4376">
        <v>0.99796759195183404</v>
      </c>
      <c r="C4376">
        <v>0.952007236396189</v>
      </c>
      <c r="D4376">
        <v>0.97236920640664004</v>
      </c>
      <c r="E4376">
        <v>0.86902069784539804</v>
      </c>
      <c r="F4376">
        <v>0.65202609155185598</v>
      </c>
      <c r="G4376">
        <v>0.38859461170658499</v>
      </c>
      <c r="H4376">
        <v>0.29339732997235002</v>
      </c>
      <c r="I4376">
        <v>0.268265113669509</v>
      </c>
      <c r="J4376">
        <v>0.18227494247127199</v>
      </c>
      <c r="K4376">
        <v>0.161130480125348</v>
      </c>
      <c r="L4376">
        <v>859.317298888854</v>
      </c>
      <c r="M4376">
        <v>16.833623886399799</v>
      </c>
      <c r="N4376">
        <v>52.348927673603001</v>
      </c>
      <c r="O4376">
        <v>50.3436157200126</v>
      </c>
      <c r="P4376">
        <v>-6.9306685420592498E-2</v>
      </c>
      <c r="Q4376">
        <v>0.17096308273674901</v>
      </c>
      <c r="R4376">
        <v>0.99473859293390798</v>
      </c>
      <c r="S4376" t="s">
        <v>9959</v>
      </c>
      <c r="T4376" t="s">
        <v>11164</v>
      </c>
      <c r="U4376" t="s">
        <v>11164</v>
      </c>
      <c r="V4376" t="s">
        <v>11164</v>
      </c>
      <c r="W4376" t="s">
        <v>15496</v>
      </c>
      <c r="X4376">
        <v>2</v>
      </c>
      <c r="Y4376" t="s">
        <v>20968</v>
      </c>
      <c r="Z4376" t="s">
        <v>26526</v>
      </c>
      <c r="AA4376">
        <v>0.57336746868392752</v>
      </c>
      <c r="AB4376" t="str">
        <f>HYPERLINK("Melting_Curves/meltCurve_Q96JG6_3_CCDC132.pdf", "Melting_Curves/meltCurve_Q96JG6_3_CCDC132.pdf")</f>
        <v>Melting_Curves/meltCurve_Q96JG6_3_CCDC132.pdf</v>
      </c>
    </row>
    <row r="4377" spans="1:28" x14ac:dyDescent="0.25">
      <c r="A4377" t="s">
        <v>4381</v>
      </c>
      <c r="B4377">
        <v>0.99796759195183404</v>
      </c>
      <c r="C4377">
        <v>0.98204840395090298</v>
      </c>
      <c r="D4377">
        <v>0.96151399256374404</v>
      </c>
      <c r="E4377">
        <v>0.78836940363744001</v>
      </c>
      <c r="F4377">
        <v>0.426797557006729</v>
      </c>
      <c r="G4377">
        <v>0.26342875189534098</v>
      </c>
      <c r="H4377">
        <v>0.236175257292986</v>
      </c>
      <c r="I4377">
        <v>0.18273245277250699</v>
      </c>
      <c r="J4377">
        <v>0.18299629476132701</v>
      </c>
      <c r="K4377">
        <v>0.14753039780069299</v>
      </c>
      <c r="L4377">
        <v>1127.6421216715501</v>
      </c>
      <c r="M4377">
        <v>23.206801682243</v>
      </c>
      <c r="N4377">
        <v>49.530654902282997</v>
      </c>
      <c r="O4377">
        <v>48.234524476340503</v>
      </c>
      <c r="P4377">
        <v>-9.8865046221814801E-2</v>
      </c>
      <c r="Q4377">
        <v>0.17806471188890499</v>
      </c>
      <c r="R4377">
        <v>0.99766700482826198</v>
      </c>
      <c r="S4377" t="s">
        <v>9960</v>
      </c>
      <c r="T4377" t="s">
        <v>11164</v>
      </c>
      <c r="U4377" t="s">
        <v>11164</v>
      </c>
      <c r="V4377" t="s">
        <v>11164</v>
      </c>
      <c r="W4377" t="s">
        <v>15497</v>
      </c>
      <c r="X4377">
        <v>7</v>
      </c>
      <c r="Y4377" t="s">
        <v>20969</v>
      </c>
      <c r="Z4377" t="s">
        <v>26527</v>
      </c>
      <c r="AA4377">
        <v>0.50379733278568162</v>
      </c>
      <c r="AB4377" t="str">
        <f>HYPERLINK("Melting_Curves/meltCurve_Q96JH7_VCPIP1.pdf", "Melting_Curves/meltCurve_Q96JH7_VCPIP1.pdf")</f>
        <v>Melting_Curves/meltCurve_Q96JH7_VCPIP1.pdf</v>
      </c>
    </row>
    <row r="4378" spans="1:28" x14ac:dyDescent="0.25">
      <c r="A4378" t="s">
        <v>4382</v>
      </c>
      <c r="B4378">
        <v>0.99796759195183404</v>
      </c>
      <c r="C4378">
        <v>1.01608809686649</v>
      </c>
      <c r="D4378">
        <v>0.97393356276923404</v>
      </c>
      <c r="E4378">
        <v>0.94774626321825695</v>
      </c>
      <c r="F4378">
        <v>0.82709054535555304</v>
      </c>
      <c r="G4378">
        <v>0.714873942808114</v>
      </c>
      <c r="H4378">
        <v>0.45541752787330803</v>
      </c>
      <c r="I4378">
        <v>0.27244167244520301</v>
      </c>
      <c r="J4378">
        <v>0.14853101982466901</v>
      </c>
      <c r="K4378">
        <v>9.1509459142755503E-2</v>
      </c>
      <c r="L4378">
        <v>806.89404106363099</v>
      </c>
      <c r="M4378">
        <v>14.2310277512704</v>
      </c>
      <c r="N4378">
        <v>56.699632659121498</v>
      </c>
      <c r="O4378">
        <v>55.615282188305699</v>
      </c>
      <c r="P4378">
        <v>-6.3978791498795096E-2</v>
      </c>
      <c r="Q4378">
        <v>0</v>
      </c>
      <c r="R4378">
        <v>0.99732935038416903</v>
      </c>
      <c r="S4378" t="s">
        <v>9961</v>
      </c>
      <c r="T4378" t="s">
        <v>11164</v>
      </c>
      <c r="U4378" t="s">
        <v>11164</v>
      </c>
      <c r="V4378" t="s">
        <v>11164</v>
      </c>
      <c r="W4378" t="s">
        <v>15498</v>
      </c>
      <c r="X4378">
        <v>4</v>
      </c>
      <c r="Y4378" t="s">
        <v>20970</v>
      </c>
      <c r="Z4378" t="s">
        <v>26528</v>
      </c>
      <c r="AA4378">
        <v>0.66547931903775559</v>
      </c>
      <c r="AB4378" t="str">
        <f>HYPERLINK("Melting_Curves/meltCurve_Q96JJ7_TMX3.pdf", "Melting_Curves/meltCurve_Q96JJ7_TMX3.pdf")</f>
        <v>Melting_Curves/meltCurve_Q96JJ7_TMX3.pdf</v>
      </c>
    </row>
    <row r="4379" spans="1:28" x14ac:dyDescent="0.25">
      <c r="A4379" t="s">
        <v>4383</v>
      </c>
      <c r="B4379">
        <v>0.99796759195183404</v>
      </c>
      <c r="C4379">
        <v>0.80962388598338597</v>
      </c>
      <c r="D4379">
        <v>0.96450694303909201</v>
      </c>
      <c r="E4379">
        <v>0.79119422160946595</v>
      </c>
      <c r="F4379">
        <v>1.12965765501569</v>
      </c>
      <c r="G4379">
        <v>0.72092661034519601</v>
      </c>
      <c r="H4379">
        <v>0.31287826441716698</v>
      </c>
      <c r="I4379">
        <v>0.25883042519782901</v>
      </c>
      <c r="J4379">
        <v>0.26185133700952501</v>
      </c>
      <c r="K4379">
        <v>0.15526634846326701</v>
      </c>
      <c r="L4379">
        <v>2739.0433294937002</v>
      </c>
      <c r="M4379">
        <v>50.254973802711604</v>
      </c>
      <c r="N4379">
        <v>55.182089897344397</v>
      </c>
      <c r="O4379">
        <v>54.416835820944399</v>
      </c>
      <c r="P4379">
        <v>-0.17763251834618399</v>
      </c>
      <c r="Q4379">
        <v>0.230628077897537</v>
      </c>
      <c r="R4379">
        <v>0.90635312021973502</v>
      </c>
      <c r="S4379" t="s">
        <v>9962</v>
      </c>
      <c r="T4379" t="s">
        <v>11164</v>
      </c>
      <c r="U4379" t="s">
        <v>11164</v>
      </c>
      <c r="V4379" t="s">
        <v>11164</v>
      </c>
      <c r="W4379" t="s">
        <v>15499</v>
      </c>
      <c r="X4379">
        <v>3</v>
      </c>
      <c r="Y4379" t="s">
        <v>20971</v>
      </c>
      <c r="Z4379" t="s">
        <v>26529</v>
      </c>
      <c r="AA4379">
        <v>0.68133061323217115</v>
      </c>
      <c r="AB4379" t="str">
        <f>HYPERLINK("Melting_Curves/meltCurve_Q96JM3_CHAMP1.pdf", "Melting_Curves/meltCurve_Q96JM3_CHAMP1.pdf")</f>
        <v>Melting_Curves/meltCurve_Q96JM3_CHAMP1.pdf</v>
      </c>
    </row>
    <row r="4380" spans="1:28" x14ac:dyDescent="0.25">
      <c r="A4380" t="s">
        <v>4384</v>
      </c>
      <c r="B4380">
        <v>0.99796759195183404</v>
      </c>
      <c r="C4380">
        <v>1.07241192617193</v>
      </c>
      <c r="D4380">
        <v>1.0933670960166799</v>
      </c>
      <c r="E4380">
        <v>1.0249059981014299</v>
      </c>
      <c r="F4380">
        <v>0.96051735900310997</v>
      </c>
      <c r="G4380">
        <v>0.76911792493185205</v>
      </c>
      <c r="H4380">
        <v>0.31869186628977902</v>
      </c>
      <c r="I4380">
        <v>0.112442094447953</v>
      </c>
      <c r="J4380">
        <v>0.12352075609575</v>
      </c>
      <c r="K4380">
        <v>7.1552525652040705E-2</v>
      </c>
      <c r="L4380">
        <v>1846.95978972684</v>
      </c>
      <c r="M4380">
        <v>33.2538039855379</v>
      </c>
      <c r="N4380">
        <v>55.849495698380203</v>
      </c>
      <c r="O4380">
        <v>55.341607090502102</v>
      </c>
      <c r="P4380">
        <v>-0.13762912111651401</v>
      </c>
      <c r="Q4380">
        <v>8.3824087163451105E-2</v>
      </c>
      <c r="R4380">
        <v>0.99078369275307698</v>
      </c>
      <c r="S4380" t="s">
        <v>9963</v>
      </c>
      <c r="T4380" t="s">
        <v>11164</v>
      </c>
      <c r="U4380" t="s">
        <v>11164</v>
      </c>
      <c r="V4380" t="s">
        <v>11164</v>
      </c>
      <c r="W4380" t="s">
        <v>15500</v>
      </c>
      <c r="X4380">
        <v>8</v>
      </c>
      <c r="Y4380" t="s">
        <v>20972</v>
      </c>
      <c r="Z4380" t="s">
        <v>26530</v>
      </c>
      <c r="AA4380">
        <v>0.65490026609929808</v>
      </c>
      <c r="AB4380" t="str">
        <f>HYPERLINK("Melting_Curves/meltCurve_Q96JP5_ZFP91.pdf", "Melting_Curves/meltCurve_Q96JP5_ZFP91.pdf")</f>
        <v>Melting_Curves/meltCurve_Q96JP5_ZFP91.pdf</v>
      </c>
    </row>
    <row r="4381" spans="1:28" x14ac:dyDescent="0.25">
      <c r="A4381" t="s">
        <v>4385</v>
      </c>
      <c r="B4381">
        <v>0.99796759195183404</v>
      </c>
      <c r="C4381">
        <v>1.1152117338558001</v>
      </c>
      <c r="D4381">
        <v>0.97696751669884196</v>
      </c>
      <c r="E4381">
        <v>0.85991145148798298</v>
      </c>
      <c r="F4381">
        <v>0.93363289625155599</v>
      </c>
      <c r="G4381">
        <v>0.76115842917759102</v>
      </c>
      <c r="H4381">
        <v>0.32073279793263199</v>
      </c>
      <c r="I4381">
        <v>0.18514387614328001</v>
      </c>
      <c r="J4381">
        <v>0.11223546496813</v>
      </c>
      <c r="K4381">
        <v>9.3440584289090994E-2</v>
      </c>
      <c r="L4381">
        <v>1557.3160789230701</v>
      </c>
      <c r="M4381">
        <v>28.069799932501599</v>
      </c>
      <c r="N4381">
        <v>55.8942476056123</v>
      </c>
      <c r="O4381">
        <v>55.200831816774503</v>
      </c>
      <c r="P4381">
        <v>-0.115192152895183</v>
      </c>
      <c r="Q4381">
        <v>9.3880440980355098E-2</v>
      </c>
      <c r="R4381">
        <v>0.97676122393476295</v>
      </c>
      <c r="S4381" t="s">
        <v>9964</v>
      </c>
      <c r="T4381" t="s">
        <v>11164</v>
      </c>
      <c r="U4381" t="s">
        <v>11164</v>
      </c>
      <c r="V4381" t="s">
        <v>11164</v>
      </c>
      <c r="W4381" t="s">
        <v>15501</v>
      </c>
      <c r="X4381">
        <v>1</v>
      </c>
      <c r="Y4381" t="s">
        <v>20973</v>
      </c>
      <c r="Z4381" t="s">
        <v>26531</v>
      </c>
      <c r="AA4381">
        <v>0.65841420226519509</v>
      </c>
      <c r="AB4381" t="str">
        <f>HYPERLINK("Melting_Curves/meltCurve_Q96JQ2_CLMN.pdf", "Melting_Curves/meltCurve_Q96JQ2_CLMN.pdf")</f>
        <v>Melting_Curves/meltCurve_Q96JQ2_CLMN.pdf</v>
      </c>
    </row>
    <row r="4382" spans="1:28" x14ac:dyDescent="0.25">
      <c r="A4382" t="s">
        <v>4386</v>
      </c>
      <c r="B4382">
        <v>0.99796759195183404</v>
      </c>
      <c r="C4382">
        <v>1.3223602119904601</v>
      </c>
      <c r="D4382">
        <v>0.99060077878571995</v>
      </c>
      <c r="E4382">
        <v>1.03168160683647</v>
      </c>
      <c r="F4382">
        <v>1.1580302306355099</v>
      </c>
      <c r="G4382">
        <v>0.61492951428603304</v>
      </c>
      <c r="H4382">
        <v>0.82297562406118596</v>
      </c>
      <c r="I4382">
        <v>0.92790202435347402</v>
      </c>
      <c r="J4382">
        <v>1.2531129497317499</v>
      </c>
      <c r="K4382">
        <v>0.90786913426148996</v>
      </c>
      <c r="S4382" t="s">
        <v>9965</v>
      </c>
      <c r="T4382" t="s">
        <v>11164</v>
      </c>
      <c r="U4382" t="s">
        <v>11165</v>
      </c>
      <c r="V4382" t="s">
        <v>11164</v>
      </c>
      <c r="W4382" t="s">
        <v>15502</v>
      </c>
      <c r="X4382">
        <v>3</v>
      </c>
      <c r="Y4382" t="s">
        <v>20974</v>
      </c>
      <c r="Z4382" t="s">
        <v>26532</v>
      </c>
      <c r="AB4382" t="str">
        <f>HYPERLINK("Melting_Curves/meltCurve_Q96JY6_PDLIM2.pdf", "Melting_Curves/meltCurve_Q96JY6_PDLIM2.pdf")</f>
        <v>Melting_Curves/meltCurve_Q96JY6_PDLIM2.pdf</v>
      </c>
    </row>
    <row r="4383" spans="1:28" x14ac:dyDescent="0.25">
      <c r="A4383" t="s">
        <v>4387</v>
      </c>
      <c r="B4383">
        <v>0.99796759195183404</v>
      </c>
      <c r="C4383">
        <v>1.0236417528017601</v>
      </c>
      <c r="D4383">
        <v>0.95399392390017601</v>
      </c>
      <c r="E4383">
        <v>0.85426481141363397</v>
      </c>
      <c r="F4383">
        <v>0.58787291549142096</v>
      </c>
      <c r="G4383">
        <v>0.41081590533914403</v>
      </c>
      <c r="H4383">
        <v>0.30154376772448499</v>
      </c>
      <c r="I4383">
        <v>0.222545222143956</v>
      </c>
      <c r="J4383">
        <v>0.23888686815809901</v>
      </c>
      <c r="K4383">
        <v>0.17683399541484601</v>
      </c>
      <c r="L4383">
        <v>846.50447108696198</v>
      </c>
      <c r="M4383">
        <v>16.783579581496099</v>
      </c>
      <c r="N4383">
        <v>51.934233026009501</v>
      </c>
      <c r="O4383">
        <v>49.736767010272303</v>
      </c>
      <c r="P4383">
        <v>-6.8181319289969095E-2</v>
      </c>
      <c r="Q4383">
        <v>0.19185344526981499</v>
      </c>
      <c r="R4383">
        <v>0.996514326462139</v>
      </c>
      <c r="S4383" t="s">
        <v>9966</v>
      </c>
      <c r="T4383" t="s">
        <v>11164</v>
      </c>
      <c r="U4383" t="s">
        <v>11164</v>
      </c>
      <c r="V4383" t="s">
        <v>11164</v>
      </c>
      <c r="W4383" t="s">
        <v>15503</v>
      </c>
      <c r="X4383">
        <v>3</v>
      </c>
      <c r="Y4383" t="s">
        <v>20975</v>
      </c>
      <c r="Z4383" t="s">
        <v>26533</v>
      </c>
      <c r="AA4383">
        <v>0.56793240760950137</v>
      </c>
      <c r="AB4383" t="str">
        <f>HYPERLINK("Melting_Curves/meltCurve_Q96K12_FAR2.pdf", "Melting_Curves/meltCurve_Q96K12_FAR2.pdf")</f>
        <v>Melting_Curves/meltCurve_Q96K12_FAR2.pdf</v>
      </c>
    </row>
    <row r="4384" spans="1:28" x14ac:dyDescent="0.25">
      <c r="A4384" t="s">
        <v>4388</v>
      </c>
      <c r="B4384">
        <v>0.99796759195183404</v>
      </c>
      <c r="C4384">
        <v>0.93065590779158303</v>
      </c>
      <c r="D4384">
        <v>0.81596660170369495</v>
      </c>
      <c r="E4384">
        <v>0.91460222125478996</v>
      </c>
      <c r="F4384">
        <v>0.65676327185382</v>
      </c>
      <c r="G4384">
        <v>0.60911332078813996</v>
      </c>
      <c r="H4384">
        <v>0.62728786049767205</v>
      </c>
      <c r="I4384">
        <v>0.51081391358350703</v>
      </c>
      <c r="J4384">
        <v>0.55476269950503698</v>
      </c>
      <c r="K4384">
        <v>0.333114676793965</v>
      </c>
      <c r="L4384">
        <v>281.02111489344901</v>
      </c>
      <c r="M4384">
        <v>4.5841918404273896</v>
      </c>
      <c r="N4384">
        <v>61.678349037283702</v>
      </c>
      <c r="O4384">
        <v>52.359426879033002</v>
      </c>
      <c r="P4384">
        <v>-2.17638594664042E-2</v>
      </c>
      <c r="Q4384">
        <v>1.3784335156604601E-2</v>
      </c>
      <c r="R4384">
        <v>0.89482971070542905</v>
      </c>
      <c r="S4384" t="s">
        <v>9967</v>
      </c>
      <c r="T4384" t="s">
        <v>11164</v>
      </c>
      <c r="U4384" t="s">
        <v>11164</v>
      </c>
      <c r="V4384" t="s">
        <v>11164</v>
      </c>
      <c r="W4384" t="s">
        <v>15504</v>
      </c>
      <c r="X4384">
        <v>3</v>
      </c>
      <c r="Y4384" t="s">
        <v>20976</v>
      </c>
      <c r="Z4384" t="s">
        <v>26534</v>
      </c>
      <c r="AA4384">
        <v>0.69440791630300902</v>
      </c>
      <c r="AB4384" t="str">
        <f>HYPERLINK("Melting_Curves/meltCurve_Q96K19_2_RNF170.pdf", "Melting_Curves/meltCurve_Q96K19_2_RNF170.pdf")</f>
        <v>Melting_Curves/meltCurve_Q96K19_2_RNF170.pdf</v>
      </c>
    </row>
    <row r="4385" spans="1:28" x14ac:dyDescent="0.25">
      <c r="A4385" t="s">
        <v>4389</v>
      </c>
      <c r="B4385">
        <v>0.99796759195183404</v>
      </c>
      <c r="C4385">
        <v>1.03881531377082</v>
      </c>
      <c r="D4385">
        <v>1.0637811908706301</v>
      </c>
      <c r="E4385">
        <v>0.98521677770735105</v>
      </c>
      <c r="F4385">
        <v>0.86208788184642504</v>
      </c>
      <c r="G4385">
        <v>0.65692463127309697</v>
      </c>
      <c r="H4385">
        <v>0.34349250461629699</v>
      </c>
      <c r="I4385">
        <v>0.24500537655149701</v>
      </c>
      <c r="J4385">
        <v>0.19595588949394299</v>
      </c>
      <c r="K4385">
        <v>0.16054861462984499</v>
      </c>
      <c r="L4385">
        <v>1184.2522137798501</v>
      </c>
      <c r="M4385">
        <v>21.7404566006865</v>
      </c>
      <c r="N4385">
        <v>55.429982529160498</v>
      </c>
      <c r="O4385">
        <v>54.017700068735898</v>
      </c>
      <c r="P4385">
        <v>-8.4865625727635299E-2</v>
      </c>
      <c r="Q4385">
        <v>0.15657024986241799</v>
      </c>
      <c r="R4385">
        <v>0.99398979066400095</v>
      </c>
      <c r="S4385" t="s">
        <v>9968</v>
      </c>
      <c r="T4385" t="s">
        <v>11164</v>
      </c>
      <c r="U4385" t="s">
        <v>11164</v>
      </c>
      <c r="V4385" t="s">
        <v>11164</v>
      </c>
      <c r="W4385" t="s">
        <v>15505</v>
      </c>
      <c r="X4385">
        <v>9</v>
      </c>
      <c r="Y4385" t="s">
        <v>20977</v>
      </c>
      <c r="Z4385" t="s">
        <v>26535</v>
      </c>
      <c r="AA4385">
        <v>0.65672156944320503</v>
      </c>
      <c r="AB4385" t="str">
        <f>HYPERLINK("Melting_Curves/meltCurve_Q96KA5_2_CLPTM1L.pdf", "Melting_Curves/meltCurve_Q96KA5_2_CLPTM1L.pdf")</f>
        <v>Melting_Curves/meltCurve_Q96KA5_2_CLPTM1L.pdf</v>
      </c>
    </row>
    <row r="4386" spans="1:28" x14ac:dyDescent="0.25">
      <c r="A4386" t="s">
        <v>4390</v>
      </c>
      <c r="B4386">
        <v>0.99796759195183404</v>
      </c>
      <c r="C4386">
        <v>1.09222413407071</v>
      </c>
      <c r="D4386">
        <v>1.03818531421992</v>
      </c>
      <c r="E4386">
        <v>0.924444532025537</v>
      </c>
      <c r="F4386">
        <v>0.62455266110034802</v>
      </c>
      <c r="G4386">
        <v>0.22459974854360101</v>
      </c>
      <c r="H4386">
        <v>0.14843258539686199</v>
      </c>
      <c r="I4386">
        <v>0.11465192308785201</v>
      </c>
      <c r="J4386">
        <v>8.8147440327708798E-2</v>
      </c>
      <c r="K4386">
        <v>7.2731155542558601E-2</v>
      </c>
      <c r="L4386">
        <v>1480.2101763324899</v>
      </c>
      <c r="M4386">
        <v>29.169251765832399</v>
      </c>
      <c r="N4386">
        <v>51.1082639644574</v>
      </c>
      <c r="O4386">
        <v>50.508852244236103</v>
      </c>
      <c r="P4386">
        <v>-0.13087974621449799</v>
      </c>
      <c r="Q4386">
        <v>9.34923243840282E-2</v>
      </c>
      <c r="R4386">
        <v>0.99313619509244</v>
      </c>
      <c r="S4386" t="s">
        <v>9969</v>
      </c>
      <c r="T4386" t="s">
        <v>11164</v>
      </c>
      <c r="U4386" t="s">
        <v>11164</v>
      </c>
      <c r="V4386" t="s">
        <v>11164</v>
      </c>
      <c r="W4386" t="s">
        <v>15506</v>
      </c>
      <c r="X4386">
        <v>16</v>
      </c>
      <c r="Y4386" t="s">
        <v>20978</v>
      </c>
      <c r="Z4386" t="s">
        <v>26536</v>
      </c>
      <c r="AA4386">
        <v>0.51478499114371379</v>
      </c>
      <c r="AB4386" t="str">
        <f>HYPERLINK("Melting_Curves/meltCurve_Q96KB5_PBK.pdf", "Melting_Curves/meltCurve_Q96KB5_PBK.pdf")</f>
        <v>Melting_Curves/meltCurve_Q96KB5_PBK.pdf</v>
      </c>
    </row>
    <row r="4387" spans="1:28" x14ac:dyDescent="0.25">
      <c r="A4387" t="s">
        <v>4391</v>
      </c>
      <c r="B4387">
        <v>0.99796759195183404</v>
      </c>
      <c r="C4387">
        <v>0.88043503352950403</v>
      </c>
      <c r="D4387">
        <v>0.91065783281170498</v>
      </c>
      <c r="E4387">
        <v>0.82718326600019998</v>
      </c>
      <c r="F4387">
        <v>0.61784890345763499</v>
      </c>
      <c r="G4387">
        <v>0.35360691792688798</v>
      </c>
      <c r="H4387">
        <v>0.27758515768154302</v>
      </c>
      <c r="I4387">
        <v>0.22737927773522801</v>
      </c>
      <c r="J4387">
        <v>0.12653145015811099</v>
      </c>
      <c r="K4387">
        <v>0.104385853591693</v>
      </c>
      <c r="L4387">
        <v>607.78372537928203</v>
      </c>
      <c r="M4387">
        <v>11.8075024087996</v>
      </c>
      <c r="N4387">
        <v>51.9958819406583</v>
      </c>
      <c r="O4387">
        <v>50.064469465292603</v>
      </c>
      <c r="P4387">
        <v>-5.5683230788137701E-2</v>
      </c>
      <c r="Q4387">
        <v>5.5842298564719402E-2</v>
      </c>
      <c r="R4387">
        <v>0.98614925917072005</v>
      </c>
      <c r="S4387" t="s">
        <v>9970</v>
      </c>
      <c r="T4387" t="s">
        <v>11164</v>
      </c>
      <c r="U4387" t="s">
        <v>11164</v>
      </c>
      <c r="V4387" t="s">
        <v>11164</v>
      </c>
      <c r="W4387" t="s">
        <v>15507</v>
      </c>
      <c r="X4387">
        <v>3</v>
      </c>
      <c r="Y4387" t="s">
        <v>20979</v>
      </c>
      <c r="Z4387" t="s">
        <v>26537</v>
      </c>
      <c r="AA4387">
        <v>0.53532099601539318</v>
      </c>
      <c r="AB4387" t="str">
        <f>HYPERLINK("Melting_Curves/meltCurve_Q96KC2_ARL5B.pdf", "Melting_Curves/meltCurve_Q96KC2_ARL5B.pdf")</f>
        <v>Melting_Curves/meltCurve_Q96KC2_ARL5B.pdf</v>
      </c>
    </row>
    <row r="4388" spans="1:28" x14ac:dyDescent="0.25">
      <c r="A4388" t="s">
        <v>4392</v>
      </c>
      <c r="B4388">
        <v>0.99796759195183404</v>
      </c>
      <c r="C4388">
        <v>1.04336484288881</v>
      </c>
      <c r="D4388">
        <v>0.994286793909125</v>
      </c>
      <c r="E4388">
        <v>0.95890565460112098</v>
      </c>
      <c r="F4388">
        <v>0.823983723783416</v>
      </c>
      <c r="G4388">
        <v>0.62640300048947295</v>
      </c>
      <c r="H4388">
        <v>0.33747100617308001</v>
      </c>
      <c r="I4388">
        <v>0.20728389990680501</v>
      </c>
      <c r="J4388">
        <v>0.16356600144141401</v>
      </c>
      <c r="K4388">
        <v>0.117185643638595</v>
      </c>
      <c r="L4388">
        <v>981.42528283767001</v>
      </c>
      <c r="M4388">
        <v>17.9916146316382</v>
      </c>
      <c r="N4388">
        <v>55.170446970126903</v>
      </c>
      <c r="O4388">
        <v>53.888527897433598</v>
      </c>
      <c r="P4388">
        <v>-7.5815239726559E-2</v>
      </c>
      <c r="Q4388">
        <v>9.1716944785579693E-2</v>
      </c>
      <c r="R4388">
        <v>0.99741135159932703</v>
      </c>
      <c r="S4388" t="s">
        <v>9971</v>
      </c>
      <c r="T4388" t="s">
        <v>11164</v>
      </c>
      <c r="U4388" t="s">
        <v>11164</v>
      </c>
      <c r="V4388" t="s">
        <v>11164</v>
      </c>
      <c r="W4388" t="s">
        <v>15508</v>
      </c>
      <c r="X4388">
        <v>9</v>
      </c>
      <c r="Y4388" t="s">
        <v>20980</v>
      </c>
      <c r="Z4388" t="s">
        <v>26538</v>
      </c>
      <c r="AA4388">
        <v>0.63496444890519399</v>
      </c>
      <c r="AB4388" t="str">
        <f>HYPERLINK("Melting_Curves/meltCurve_Q96KC8_DNAJC1.pdf", "Melting_Curves/meltCurve_Q96KC8_DNAJC1.pdf")</f>
        <v>Melting_Curves/meltCurve_Q96KC8_DNAJC1.pdf</v>
      </c>
    </row>
    <row r="4389" spans="1:28" x14ac:dyDescent="0.25">
      <c r="A4389" t="s">
        <v>4393</v>
      </c>
      <c r="B4389">
        <v>0.99796759195183404</v>
      </c>
      <c r="C4389">
        <v>0.990137528766043</v>
      </c>
      <c r="D4389">
        <v>1.0004395510986701</v>
      </c>
      <c r="E4389">
        <v>0.91900185344087204</v>
      </c>
      <c r="F4389">
        <v>0.86530374442906199</v>
      </c>
      <c r="G4389">
        <v>0.48117272749044399</v>
      </c>
      <c r="H4389">
        <v>0.25846572789376399</v>
      </c>
      <c r="I4389">
        <v>0.16409490150962999</v>
      </c>
      <c r="J4389">
        <v>0.15117793105326899</v>
      </c>
      <c r="K4389">
        <v>0.111533100588218</v>
      </c>
      <c r="L4389">
        <v>1301.8664012900001</v>
      </c>
      <c r="M4389">
        <v>24.4830946139632</v>
      </c>
      <c r="N4389">
        <v>53.803348731210498</v>
      </c>
      <c r="O4389">
        <v>52.823155025991397</v>
      </c>
      <c r="P4389">
        <v>-0.101448630461534</v>
      </c>
      <c r="Q4389">
        <v>0.12449653771772901</v>
      </c>
      <c r="R4389">
        <v>0.99641013140832302</v>
      </c>
      <c r="S4389" t="s">
        <v>9972</v>
      </c>
      <c r="T4389" t="s">
        <v>11164</v>
      </c>
      <c r="U4389" t="s">
        <v>11164</v>
      </c>
      <c r="V4389" t="s">
        <v>11164</v>
      </c>
      <c r="W4389" t="s">
        <v>15509</v>
      </c>
      <c r="X4389">
        <v>12</v>
      </c>
      <c r="Y4389" t="s">
        <v>20981</v>
      </c>
      <c r="Z4389" t="s">
        <v>26539</v>
      </c>
      <c r="AA4389">
        <v>0.60451696586028447</v>
      </c>
      <c r="AB4389" t="str">
        <f>HYPERLINK("Melting_Curves/meltCurve_Q96KN1_FAM84B.pdf", "Melting_Curves/meltCurve_Q96KN1_FAM84B.pdf")</f>
        <v>Melting_Curves/meltCurve_Q96KN1_FAM84B.pdf</v>
      </c>
    </row>
    <row r="4390" spans="1:28" x14ac:dyDescent="0.25">
      <c r="A4390" t="s">
        <v>4394</v>
      </c>
      <c r="B4390">
        <v>0.99796759195183404</v>
      </c>
      <c r="C4390">
        <v>0.96059394029186296</v>
      </c>
      <c r="D4390">
        <v>0.83830960027273904</v>
      </c>
      <c r="E4390">
        <v>0.86364439449235197</v>
      </c>
      <c r="F4390">
        <v>0.56834310886214501</v>
      </c>
      <c r="G4390">
        <v>0.30161844542155603</v>
      </c>
      <c r="H4390">
        <v>0.26518850931397198</v>
      </c>
      <c r="I4390">
        <v>0.197017338041969</v>
      </c>
      <c r="J4390">
        <v>0.15843411332073501</v>
      </c>
      <c r="K4390">
        <v>0.168463698814102</v>
      </c>
      <c r="L4390">
        <v>804.61939277030797</v>
      </c>
      <c r="M4390">
        <v>16.0889004441369</v>
      </c>
      <c r="N4390">
        <v>51.099991274803401</v>
      </c>
      <c r="O4390">
        <v>49.257361349829999</v>
      </c>
      <c r="P4390">
        <v>-6.9809974364313895E-2</v>
      </c>
      <c r="Q4390">
        <v>0.14515195908666101</v>
      </c>
      <c r="R4390">
        <v>0.98273305190536897</v>
      </c>
      <c r="S4390" t="s">
        <v>9973</v>
      </c>
      <c r="T4390" t="s">
        <v>11164</v>
      </c>
      <c r="U4390" t="s">
        <v>11164</v>
      </c>
      <c r="V4390" t="s">
        <v>11164</v>
      </c>
      <c r="W4390" t="s">
        <v>15510</v>
      </c>
      <c r="X4390">
        <v>1</v>
      </c>
      <c r="Y4390" t="s">
        <v>20982</v>
      </c>
      <c r="Z4390" t="s">
        <v>26540</v>
      </c>
      <c r="AA4390">
        <v>0.53199055806587958</v>
      </c>
      <c r="AB4390" t="str">
        <f>HYPERLINK("Melting_Curves/meltCurve_Q96KP1_EXOC2.pdf", "Melting_Curves/meltCurve_Q96KP1_EXOC2.pdf")</f>
        <v>Melting_Curves/meltCurve_Q96KP1_EXOC2.pdf</v>
      </c>
    </row>
    <row r="4391" spans="1:28" x14ac:dyDescent="0.25">
      <c r="A4391" t="s">
        <v>4395</v>
      </c>
      <c r="B4391">
        <v>0.99796759195183404</v>
      </c>
      <c r="C4391">
        <v>0.99545570748538004</v>
      </c>
      <c r="D4391">
        <v>0.98884232788188697</v>
      </c>
      <c r="E4391">
        <v>0.93791264184230805</v>
      </c>
      <c r="F4391">
        <v>0.81423570348413798</v>
      </c>
      <c r="G4391">
        <v>0.62860977144834396</v>
      </c>
      <c r="H4391">
        <v>0.50238309981400298</v>
      </c>
      <c r="I4391">
        <v>0.36964088388878502</v>
      </c>
      <c r="J4391">
        <v>0.32931570785582998</v>
      </c>
      <c r="K4391">
        <v>0.21018113096007199</v>
      </c>
      <c r="L4391">
        <v>653.56063288318296</v>
      </c>
      <c r="M4391">
        <v>11.7410974120852</v>
      </c>
      <c r="N4391">
        <v>57.267164588602498</v>
      </c>
      <c r="O4391">
        <v>54.123177883111303</v>
      </c>
      <c r="P4391">
        <v>-4.6650668157478099E-2</v>
      </c>
      <c r="Q4391">
        <v>0.14003930562967501</v>
      </c>
      <c r="R4391">
        <v>0.99535907298571502</v>
      </c>
      <c r="S4391" t="s">
        <v>9974</v>
      </c>
      <c r="T4391" t="s">
        <v>11164</v>
      </c>
      <c r="U4391" t="s">
        <v>11164</v>
      </c>
      <c r="V4391" t="s">
        <v>11164</v>
      </c>
      <c r="W4391" t="s">
        <v>15511</v>
      </c>
      <c r="X4391">
        <v>20</v>
      </c>
      <c r="Y4391" t="s">
        <v>20983</v>
      </c>
      <c r="Z4391" t="s">
        <v>26541</v>
      </c>
      <c r="AA4391">
        <v>0.68459213704987165</v>
      </c>
      <c r="AB4391" t="str">
        <f>HYPERLINK("Melting_Curves/meltCurve_Q96KP4_CNDP2.pdf", "Melting_Curves/meltCurve_Q96KP4_CNDP2.pdf")</f>
        <v>Melting_Curves/meltCurve_Q96KP4_CNDP2.pdf</v>
      </c>
    </row>
    <row r="4392" spans="1:28" x14ac:dyDescent="0.25">
      <c r="A4392" t="s">
        <v>4396</v>
      </c>
      <c r="B4392">
        <v>0.99796759195183404</v>
      </c>
      <c r="C4392">
        <v>1.1269982771697</v>
      </c>
      <c r="D4392">
        <v>1.01210413470738</v>
      </c>
      <c r="E4392">
        <v>0.81731935323483096</v>
      </c>
      <c r="F4392">
        <v>0.61333816824448995</v>
      </c>
      <c r="G4392">
        <v>6.0600363371483397E-2</v>
      </c>
      <c r="H4392">
        <v>5.9842387881887699E-2</v>
      </c>
      <c r="I4392">
        <v>0.103666589143773</v>
      </c>
      <c r="J4392">
        <v>3.12174884888188E-2</v>
      </c>
      <c r="K4392">
        <v>0</v>
      </c>
      <c r="L4392">
        <v>1565.78374486997</v>
      </c>
      <c r="M4392">
        <v>31.0550954816459</v>
      </c>
      <c r="N4392">
        <v>50.513167680320699</v>
      </c>
      <c r="O4392">
        <v>50.211859169348401</v>
      </c>
      <c r="P4392">
        <v>-0.15029686248367</v>
      </c>
      <c r="Q4392">
        <v>2.7967306552707901E-2</v>
      </c>
      <c r="R4392">
        <v>0.97671067732016403</v>
      </c>
      <c r="S4392" t="s">
        <v>9975</v>
      </c>
      <c r="T4392" t="s">
        <v>11164</v>
      </c>
      <c r="U4392" t="s">
        <v>11164</v>
      </c>
      <c r="V4392" t="s">
        <v>11164</v>
      </c>
      <c r="W4392" t="s">
        <v>15512</v>
      </c>
      <c r="X4392">
        <v>2</v>
      </c>
      <c r="Y4392" t="s">
        <v>20984</v>
      </c>
      <c r="Z4392" t="s">
        <v>26542</v>
      </c>
      <c r="AA4392">
        <v>0.46838395509184211</v>
      </c>
      <c r="AB4392" t="str">
        <f>HYPERLINK("Melting_Curves/meltCurve_Q96KQ4_PPP1R13B.pdf", "Melting_Curves/meltCurve_Q96KQ4_PPP1R13B.pdf")</f>
        <v>Melting_Curves/meltCurve_Q96KQ4_PPP1R13B.pdf</v>
      </c>
    </row>
    <row r="4393" spans="1:28" x14ac:dyDescent="0.25">
      <c r="A4393" t="s">
        <v>4397</v>
      </c>
      <c r="B4393">
        <v>0.99796759195183404</v>
      </c>
      <c r="C4393">
        <v>0.91018317022682604</v>
      </c>
      <c r="D4393">
        <v>0.93942831629261603</v>
      </c>
      <c r="E4393">
        <v>0.841092246216121</v>
      </c>
      <c r="F4393">
        <v>0.56791412096692895</v>
      </c>
      <c r="G4393">
        <v>0.46525341956142502</v>
      </c>
      <c r="H4393">
        <v>0.439407868911388</v>
      </c>
      <c r="I4393">
        <v>0.255628106168999</v>
      </c>
      <c r="J4393">
        <v>0.122097347636315</v>
      </c>
      <c r="K4393">
        <v>8.4059960892468102E-2</v>
      </c>
      <c r="L4393">
        <v>506.57105698402398</v>
      </c>
      <c r="M4393">
        <v>9.4879661779720994</v>
      </c>
      <c r="N4393">
        <v>53.390921122991003</v>
      </c>
      <c r="O4393">
        <v>51.180487157040297</v>
      </c>
      <c r="P4393">
        <v>-4.6373168120244702E-2</v>
      </c>
      <c r="Q4393">
        <v>0</v>
      </c>
      <c r="R4393">
        <v>0.97541374004769699</v>
      </c>
      <c r="S4393" t="s">
        <v>9976</v>
      </c>
      <c r="T4393" t="s">
        <v>11164</v>
      </c>
      <c r="U4393" t="s">
        <v>11164</v>
      </c>
      <c r="V4393" t="s">
        <v>11164</v>
      </c>
      <c r="W4393" t="s">
        <v>15513</v>
      </c>
      <c r="X4393">
        <v>4</v>
      </c>
      <c r="Y4393" t="s">
        <v>20985</v>
      </c>
      <c r="Z4393" t="s">
        <v>26543</v>
      </c>
      <c r="AA4393">
        <v>0.56683211757229235</v>
      </c>
      <c r="AB4393" t="str">
        <f>HYPERLINK("Melting_Curves/meltCurve_Q96KR1_ZFR.pdf", "Melting_Curves/meltCurve_Q96KR1_ZFR.pdf")</f>
        <v>Melting_Curves/meltCurve_Q96KR1_ZFR.pdf</v>
      </c>
    </row>
    <row r="4394" spans="1:28" x14ac:dyDescent="0.25">
      <c r="A4394" t="s">
        <v>4398</v>
      </c>
      <c r="B4394">
        <v>0.99796759195183404</v>
      </c>
      <c r="C4394">
        <v>0.98973243624524498</v>
      </c>
      <c r="D4394">
        <v>1.0535712598348801</v>
      </c>
      <c r="E4394">
        <v>0.86861112514188199</v>
      </c>
      <c r="F4394">
        <v>0.51241310738684798</v>
      </c>
      <c r="G4394">
        <v>0.18097089416228601</v>
      </c>
      <c r="H4394">
        <v>0.22300937497769899</v>
      </c>
      <c r="I4394">
        <v>0.192080155011494</v>
      </c>
      <c r="J4394">
        <v>9.7107124719486307E-2</v>
      </c>
      <c r="K4394">
        <v>5.1320552650540703E-2</v>
      </c>
      <c r="L4394">
        <v>1390.59249065726</v>
      </c>
      <c r="M4394">
        <v>27.9808330189238</v>
      </c>
      <c r="N4394">
        <v>50.220629384525701</v>
      </c>
      <c r="O4394">
        <v>49.446263133311298</v>
      </c>
      <c r="P4394">
        <v>-0.12360357781817401</v>
      </c>
      <c r="Q4394">
        <v>0.12630430825480901</v>
      </c>
      <c r="R4394">
        <v>0.98577773738380603</v>
      </c>
      <c r="S4394" t="s">
        <v>9977</v>
      </c>
      <c r="T4394" t="s">
        <v>11164</v>
      </c>
      <c r="U4394" t="s">
        <v>11164</v>
      </c>
      <c r="V4394" t="s">
        <v>11164</v>
      </c>
      <c r="W4394" t="s">
        <v>15514</v>
      </c>
      <c r="X4394">
        <v>7</v>
      </c>
      <c r="Y4394" t="s">
        <v>20986</v>
      </c>
      <c r="Z4394" t="s">
        <v>26544</v>
      </c>
      <c r="AA4394">
        <v>0.50223114744798292</v>
      </c>
      <c r="AB4394" t="str">
        <f>HYPERLINK("Melting_Curves/meltCurve_Q96L35_EPHB4.pdf", "Melting_Curves/meltCurve_Q96L35_EPHB4.pdf")</f>
        <v>Melting_Curves/meltCurve_Q96L35_EPHB4.pdf</v>
      </c>
    </row>
    <row r="4395" spans="1:28" x14ac:dyDescent="0.25">
      <c r="A4395" t="s">
        <v>4399</v>
      </c>
      <c r="B4395">
        <v>0.99796759195183404</v>
      </c>
      <c r="C4395">
        <v>0.99004787015814</v>
      </c>
      <c r="D4395">
        <v>0.97626564290405704</v>
      </c>
      <c r="E4395">
        <v>0.94110974993819796</v>
      </c>
      <c r="F4395">
        <v>0.59321868098283204</v>
      </c>
      <c r="G4395">
        <v>0.200878632455747</v>
      </c>
      <c r="H4395">
        <v>0.158856691845775</v>
      </c>
      <c r="I4395">
        <v>0.136089690289138</v>
      </c>
      <c r="J4395">
        <v>0.13457035505509801</v>
      </c>
      <c r="K4395">
        <v>0.134774630024938</v>
      </c>
      <c r="L4395">
        <v>1792.2552766170199</v>
      </c>
      <c r="M4395">
        <v>35.613705530989101</v>
      </c>
      <c r="N4395">
        <v>50.775155279670102</v>
      </c>
      <c r="O4395">
        <v>50.166995146600797</v>
      </c>
      <c r="P4395">
        <v>-0.153445426351386</v>
      </c>
      <c r="Q4395">
        <v>0.13540361711943899</v>
      </c>
      <c r="R4395">
        <v>0.99928055010026895</v>
      </c>
      <c r="S4395" t="s">
        <v>9978</v>
      </c>
      <c r="T4395" t="s">
        <v>11164</v>
      </c>
      <c r="U4395" t="s">
        <v>11164</v>
      </c>
      <c r="V4395" t="s">
        <v>11164</v>
      </c>
      <c r="W4395" t="s">
        <v>15515</v>
      </c>
      <c r="X4395">
        <v>14</v>
      </c>
      <c r="Y4395" t="s">
        <v>20987</v>
      </c>
      <c r="Z4395" t="s">
        <v>26545</v>
      </c>
      <c r="AA4395">
        <v>0.52321793228517177</v>
      </c>
      <c r="AB4395" t="str">
        <f>HYPERLINK("Melting_Curves/meltCurve_Q96L92_3_SNX27.pdf", "Melting_Curves/meltCurve_Q96L92_3_SNX27.pdf")</f>
        <v>Melting_Curves/meltCurve_Q96L92_3_SNX27.pdf</v>
      </c>
    </row>
    <row r="4396" spans="1:28" x14ac:dyDescent="0.25">
      <c r="A4396" t="s">
        <v>4400</v>
      </c>
      <c r="B4396">
        <v>0.99796759195183404</v>
      </c>
      <c r="C4396">
        <v>0.87006723307381995</v>
      </c>
      <c r="D4396">
        <v>0.76788048077059501</v>
      </c>
      <c r="E4396">
        <v>0.82518283792542901</v>
      </c>
      <c r="F4396">
        <v>0.72917603583919599</v>
      </c>
      <c r="G4396">
        <v>0.59715959691680798</v>
      </c>
      <c r="H4396">
        <v>0.28029129009822901</v>
      </c>
      <c r="I4396">
        <v>0.29990632682048302</v>
      </c>
      <c r="J4396">
        <v>0.22978464829044901</v>
      </c>
      <c r="K4396">
        <v>0.128616134459343</v>
      </c>
      <c r="L4396">
        <v>445.66855925222302</v>
      </c>
      <c r="M4396">
        <v>8.2241806634275907</v>
      </c>
      <c r="N4396">
        <v>54.190039646613798</v>
      </c>
      <c r="O4396">
        <v>51.269153173035797</v>
      </c>
      <c r="P4396">
        <v>-4.0143867008798899E-2</v>
      </c>
      <c r="Q4396">
        <v>0</v>
      </c>
      <c r="R4396">
        <v>0.943294645222581</v>
      </c>
      <c r="S4396" t="s">
        <v>9979</v>
      </c>
      <c r="T4396" t="s">
        <v>11164</v>
      </c>
      <c r="U4396" t="s">
        <v>11164</v>
      </c>
      <c r="V4396" t="s">
        <v>11164</v>
      </c>
      <c r="W4396" t="s">
        <v>15516</v>
      </c>
      <c r="X4396">
        <v>1</v>
      </c>
      <c r="Y4396" t="s">
        <v>20988</v>
      </c>
      <c r="Z4396" t="s">
        <v>26546</v>
      </c>
      <c r="AA4396">
        <v>0.58674972284425975</v>
      </c>
      <c r="AB4396" t="str">
        <f>HYPERLINK("Melting_Curves/meltCurve_Q96LA8_2_PRMT6.pdf", "Melting_Curves/meltCurve_Q96LA8_2_PRMT6.pdf")</f>
        <v>Melting_Curves/meltCurve_Q96LA8_2_PRMT6.pdf</v>
      </c>
    </row>
    <row r="4397" spans="1:28" x14ac:dyDescent="0.25">
      <c r="A4397" t="s">
        <v>4401</v>
      </c>
      <c r="B4397">
        <v>0.99796759195183404</v>
      </c>
      <c r="C4397">
        <v>1.21772724496391</v>
      </c>
      <c r="D4397">
        <v>1.14598672860478</v>
      </c>
      <c r="E4397">
        <v>0.93625930773142196</v>
      </c>
      <c r="F4397">
        <v>0.73382514606563998</v>
      </c>
      <c r="G4397">
        <v>0.37726915305368303</v>
      </c>
      <c r="H4397">
        <v>0.35488416882081802</v>
      </c>
      <c r="I4397">
        <v>0.26036129871765701</v>
      </c>
      <c r="J4397">
        <v>0.23359920203892001</v>
      </c>
      <c r="K4397">
        <v>0.165426369958379</v>
      </c>
      <c r="L4397">
        <v>1318.6741825035399</v>
      </c>
      <c r="M4397">
        <v>25.6657230745075</v>
      </c>
      <c r="N4397">
        <v>52.633900163047898</v>
      </c>
      <c r="O4397">
        <v>51.0699421217641</v>
      </c>
      <c r="P4397">
        <v>-9.6885695350162601E-2</v>
      </c>
      <c r="Q4397">
        <v>0.22887244135210999</v>
      </c>
      <c r="R4397">
        <v>0.94495842022644005</v>
      </c>
      <c r="S4397" t="s">
        <v>9980</v>
      </c>
      <c r="T4397" t="s">
        <v>11164</v>
      </c>
      <c r="U4397" t="s">
        <v>11164</v>
      </c>
      <c r="V4397" t="s">
        <v>11164</v>
      </c>
      <c r="W4397" t="s">
        <v>15517</v>
      </c>
      <c r="X4397">
        <v>2</v>
      </c>
      <c r="Y4397" t="s">
        <v>20989</v>
      </c>
      <c r="Z4397" t="s">
        <v>26547</v>
      </c>
      <c r="AA4397">
        <v>0.60496444772486413</v>
      </c>
      <c r="AB4397" t="str">
        <f>HYPERLINK("Melting_Curves/meltCurve_Q96LB3_IFT74.pdf", "Melting_Curves/meltCurve_Q96LB3_IFT74.pdf")</f>
        <v>Melting_Curves/meltCurve_Q96LB3_IFT74.pdf</v>
      </c>
    </row>
    <row r="4398" spans="1:28" x14ac:dyDescent="0.25">
      <c r="A4398" t="s">
        <v>4402</v>
      </c>
      <c r="B4398">
        <v>0.99796759195183404</v>
      </c>
      <c r="C4398">
        <v>0.95530898844960699</v>
      </c>
      <c r="D4398">
        <v>0.92462235695433403</v>
      </c>
      <c r="E4398">
        <v>0.96461341770337705</v>
      </c>
      <c r="F4398">
        <v>1.0371189870494399</v>
      </c>
      <c r="G4398">
        <v>0.40814682812297698</v>
      </c>
      <c r="H4398">
        <v>0.33592930206622301</v>
      </c>
      <c r="I4398">
        <v>0.216610880726093</v>
      </c>
      <c r="J4398">
        <v>0.14990717775575901</v>
      </c>
      <c r="K4398">
        <v>0.12656979898391599</v>
      </c>
      <c r="L4398">
        <v>6341.1552955685202</v>
      </c>
      <c r="M4398">
        <v>118.94359089471401</v>
      </c>
      <c r="N4398">
        <v>53.553160484027799</v>
      </c>
      <c r="O4398">
        <v>53.297215116096702</v>
      </c>
      <c r="P4398">
        <v>-0.44234477148732798</v>
      </c>
      <c r="Q4398">
        <v>0.20716205588455799</v>
      </c>
      <c r="R4398">
        <v>0.97361537055236702</v>
      </c>
      <c r="S4398" t="s">
        <v>9981</v>
      </c>
      <c r="T4398" t="s">
        <v>11164</v>
      </c>
      <c r="U4398" t="s">
        <v>11164</v>
      </c>
      <c r="V4398" t="s">
        <v>11164</v>
      </c>
      <c r="W4398" t="s">
        <v>15518</v>
      </c>
      <c r="X4398">
        <v>5</v>
      </c>
      <c r="Y4398" t="s">
        <v>20990</v>
      </c>
      <c r="Z4398" t="s">
        <v>26548</v>
      </c>
      <c r="AA4398">
        <v>0.63859010997824428</v>
      </c>
      <c r="AB4398" t="str">
        <f>HYPERLINK("Melting_Curves/meltCurve_Q96LR5_UBE2E2.pdf", "Melting_Curves/meltCurve_Q96LR5_UBE2E2.pdf")</f>
        <v>Melting_Curves/meltCurve_Q96LR5_UBE2E2.pdf</v>
      </c>
    </row>
    <row r="4399" spans="1:28" x14ac:dyDescent="0.25">
      <c r="A4399" t="s">
        <v>4403</v>
      </c>
      <c r="B4399">
        <v>0.99796759195183404</v>
      </c>
      <c r="C4399">
        <v>0.97088526492054605</v>
      </c>
      <c r="D4399">
        <v>0.92820960679440601</v>
      </c>
      <c r="E4399">
        <v>0.92322644448758895</v>
      </c>
      <c r="F4399">
        <v>0.83286744941102797</v>
      </c>
      <c r="G4399">
        <v>0.75722518010048601</v>
      </c>
      <c r="H4399">
        <v>0.71855976297378099</v>
      </c>
      <c r="I4399">
        <v>0.59748155164949801</v>
      </c>
      <c r="J4399">
        <v>0.75660244119019704</v>
      </c>
      <c r="K4399">
        <v>0.62284908111181703</v>
      </c>
      <c r="L4399">
        <v>557.43809425128097</v>
      </c>
      <c r="M4399">
        <v>10.947646903749501</v>
      </c>
      <c r="O4399">
        <v>49.307994967383799</v>
      </c>
      <c r="P4399">
        <v>-2.0775693940877599E-2</v>
      </c>
      <c r="Q4399">
        <v>0.62583525116697603</v>
      </c>
      <c r="R4399">
        <v>0.901704656520394</v>
      </c>
      <c r="S4399" t="s">
        <v>9982</v>
      </c>
      <c r="T4399" t="s">
        <v>11164</v>
      </c>
      <c r="U4399" t="s">
        <v>11164</v>
      </c>
      <c r="V4399" t="s">
        <v>11164</v>
      </c>
      <c r="W4399" t="s">
        <v>15519</v>
      </c>
      <c r="X4399">
        <v>7</v>
      </c>
      <c r="Y4399" t="s">
        <v>20991</v>
      </c>
      <c r="Z4399" t="s">
        <v>26549</v>
      </c>
      <c r="AA4399">
        <v>0.8101210427515082</v>
      </c>
      <c r="AB4399" t="str">
        <f>HYPERLINK("Melting_Curves/meltCurve_Q96M27_PRRC1.pdf", "Melting_Curves/meltCurve_Q96M27_PRRC1.pdf")</f>
        <v>Melting_Curves/meltCurve_Q96M27_PRRC1.pdf</v>
      </c>
    </row>
    <row r="4400" spans="1:28" x14ac:dyDescent="0.25">
      <c r="A4400" t="s">
        <v>4404</v>
      </c>
      <c r="B4400">
        <v>0.99796759195183404</v>
      </c>
      <c r="C4400">
        <v>0.99505334712061899</v>
      </c>
      <c r="D4400">
        <v>0.94697975626751496</v>
      </c>
      <c r="E4400">
        <v>0.88057440955321398</v>
      </c>
      <c r="F4400">
        <v>0.82839992897852099</v>
      </c>
      <c r="G4400">
        <v>0.61874411814993902</v>
      </c>
      <c r="H4400">
        <v>0.44408380504210898</v>
      </c>
      <c r="I4400">
        <v>0.29086469345973998</v>
      </c>
      <c r="J4400">
        <v>0.19225620297733101</v>
      </c>
      <c r="K4400">
        <v>7.5445978063408303E-2</v>
      </c>
      <c r="L4400">
        <v>672.86540378886002</v>
      </c>
      <c r="M4400">
        <v>11.9913515659129</v>
      </c>
      <c r="N4400">
        <v>56.1125575386707</v>
      </c>
      <c r="O4400">
        <v>54.620338811057103</v>
      </c>
      <c r="P4400">
        <v>-5.4898278910070999E-2</v>
      </c>
      <c r="Q4400">
        <v>0</v>
      </c>
      <c r="R4400">
        <v>0.99478777064052604</v>
      </c>
      <c r="S4400" t="s">
        <v>9983</v>
      </c>
      <c r="T4400" t="s">
        <v>11164</v>
      </c>
      <c r="U4400" t="s">
        <v>11164</v>
      </c>
      <c r="V4400" t="s">
        <v>11164</v>
      </c>
      <c r="W4400" t="s">
        <v>15520</v>
      </c>
      <c r="X4400">
        <v>6</v>
      </c>
      <c r="Y4400" t="s">
        <v>20992</v>
      </c>
      <c r="Z4400" t="s">
        <v>26550</v>
      </c>
      <c r="AA4400">
        <v>0.64632713642780959</v>
      </c>
      <c r="AB4400" t="str">
        <f>HYPERLINK("Melting_Curves/meltCurve_Q96ME1_4_FBXL18.pdf", "Melting_Curves/meltCurve_Q96ME1_4_FBXL18.pdf")</f>
        <v>Melting_Curves/meltCurve_Q96ME1_4_FBXL18.pdf</v>
      </c>
    </row>
    <row r="4401" spans="1:28" x14ac:dyDescent="0.25">
      <c r="A4401" t="s">
        <v>4405</v>
      </c>
      <c r="B4401">
        <v>0.99796759195183404</v>
      </c>
      <c r="C4401">
        <v>0.90798756567415295</v>
      </c>
      <c r="D4401">
        <v>0.83051110187786503</v>
      </c>
      <c r="E4401">
        <v>0.93880964306598202</v>
      </c>
      <c r="F4401">
        <v>0.89016918906756504</v>
      </c>
      <c r="G4401">
        <v>0.79651047906204198</v>
      </c>
      <c r="H4401">
        <v>0.65290840472830503</v>
      </c>
      <c r="I4401">
        <v>0.347423648946667</v>
      </c>
      <c r="J4401">
        <v>0.12507805466859001</v>
      </c>
      <c r="K4401">
        <v>0</v>
      </c>
      <c r="L4401">
        <v>1127.0640613926601</v>
      </c>
      <c r="M4401">
        <v>19.2457836429321</v>
      </c>
      <c r="N4401">
        <v>58.561616509560103</v>
      </c>
      <c r="O4401">
        <v>57.940345457548403</v>
      </c>
      <c r="P4401">
        <v>-8.3044519301119099E-2</v>
      </c>
      <c r="Q4401">
        <v>0</v>
      </c>
      <c r="R4401">
        <v>0.94948939336580196</v>
      </c>
      <c r="S4401" t="s">
        <v>9984</v>
      </c>
      <c r="T4401" t="s">
        <v>11164</v>
      </c>
      <c r="U4401" t="s">
        <v>11164</v>
      </c>
      <c r="V4401" t="s">
        <v>11164</v>
      </c>
      <c r="W4401" t="s">
        <v>15521</v>
      </c>
      <c r="X4401">
        <v>1</v>
      </c>
      <c r="Y4401" t="s">
        <v>20993</v>
      </c>
      <c r="Z4401" t="s">
        <v>26551</v>
      </c>
      <c r="AA4401">
        <v>0.72380107526073945</v>
      </c>
      <c r="AB4401" t="str">
        <f>HYPERLINK("Melting_Curves/meltCurve_Q96MH6_TMEM68.pdf", "Melting_Curves/meltCurve_Q96MH6_TMEM68.pdf")</f>
        <v>Melting_Curves/meltCurve_Q96MH6_TMEM68.pdf</v>
      </c>
    </row>
    <row r="4402" spans="1:28" x14ac:dyDescent="0.25">
      <c r="A4402" t="s">
        <v>4406</v>
      </c>
      <c r="B4402">
        <v>0.99796759195183404</v>
      </c>
      <c r="C4402">
        <v>0.98323096623626804</v>
      </c>
      <c r="D4402">
        <v>0.98074251659509204</v>
      </c>
      <c r="E4402">
        <v>0.87728925452192397</v>
      </c>
      <c r="F4402">
        <v>0.52274379326055898</v>
      </c>
      <c r="G4402">
        <v>0.128732439929825</v>
      </c>
      <c r="H4402">
        <v>9.9945384090147693E-2</v>
      </c>
      <c r="I4402">
        <v>9.7554116544133096E-2</v>
      </c>
      <c r="J4402">
        <v>7.1603712180548895E-2</v>
      </c>
      <c r="K4402">
        <v>0</v>
      </c>
      <c r="L4402">
        <v>1420.2269546152199</v>
      </c>
      <c r="M4402">
        <v>28.392496711586801</v>
      </c>
      <c r="N4402">
        <v>50.218876899112701</v>
      </c>
      <c r="O4402">
        <v>49.775037350464601</v>
      </c>
      <c r="P4402">
        <v>-0.135065762558469</v>
      </c>
      <c r="Q4402">
        <v>5.2869649672371601E-2</v>
      </c>
      <c r="R4402">
        <v>0.99557039594472196</v>
      </c>
      <c r="S4402" t="s">
        <v>9985</v>
      </c>
      <c r="T4402" t="s">
        <v>11164</v>
      </c>
      <c r="U4402" t="s">
        <v>11164</v>
      </c>
      <c r="V4402" t="s">
        <v>11164</v>
      </c>
      <c r="W4402" t="s">
        <v>15522</v>
      </c>
      <c r="X4402">
        <v>2</v>
      </c>
      <c r="Y4402" t="s">
        <v>20994</v>
      </c>
      <c r="Z4402" t="s">
        <v>26552</v>
      </c>
      <c r="AA4402">
        <v>0.47044045193165679</v>
      </c>
      <c r="AB4402" t="str">
        <f>HYPERLINK("Melting_Curves/meltCurve_Q96N21_2_ENTHD2.pdf", "Melting_Curves/meltCurve_Q96N21_2_ENTHD2.pdf")</f>
        <v>Melting_Curves/meltCurve_Q96N21_2_ENTHD2.pdf</v>
      </c>
    </row>
    <row r="4403" spans="1:28" x14ac:dyDescent="0.25">
      <c r="A4403" t="s">
        <v>4407</v>
      </c>
      <c r="B4403">
        <v>0.99796759195183404</v>
      </c>
      <c r="C4403">
        <v>0.91914334380525997</v>
      </c>
      <c r="D4403">
        <v>0.96692802572538705</v>
      </c>
      <c r="E4403">
        <v>1.00418601279833</v>
      </c>
      <c r="F4403">
        <v>0.81294883071036095</v>
      </c>
      <c r="G4403">
        <v>0.55034391979643005</v>
      </c>
      <c r="H4403">
        <v>0.82270792250795699</v>
      </c>
      <c r="I4403">
        <v>0.92108348195495204</v>
      </c>
      <c r="J4403">
        <v>0.94179424422534797</v>
      </c>
      <c r="K4403">
        <v>0.32950580041383098</v>
      </c>
      <c r="L4403">
        <v>265.19350144291099</v>
      </c>
      <c r="M4403">
        <v>3.4058218669971199</v>
      </c>
      <c r="O4403">
        <v>60.416573914930503</v>
      </c>
      <c r="P4403">
        <v>-1.4392293764057399E-2</v>
      </c>
      <c r="Q4403">
        <v>0</v>
      </c>
      <c r="R4403">
        <v>0.31923040133222602</v>
      </c>
      <c r="S4403" t="s">
        <v>9986</v>
      </c>
      <c r="T4403" t="s">
        <v>11164</v>
      </c>
      <c r="U4403" t="s">
        <v>11164</v>
      </c>
      <c r="V4403" t="s">
        <v>11164</v>
      </c>
      <c r="W4403" t="s">
        <v>15523</v>
      </c>
      <c r="X4403">
        <v>3</v>
      </c>
      <c r="Y4403" t="s">
        <v>20995</v>
      </c>
      <c r="Z4403" t="s">
        <v>26553</v>
      </c>
      <c r="AA4403">
        <v>0.83136354555471614</v>
      </c>
      <c r="AB4403" t="str">
        <f>HYPERLINK("Melting_Curves/meltCurve_Q96N66_2_MBOAT7.pdf", "Melting_Curves/meltCurve_Q96N66_2_MBOAT7.pdf")</f>
        <v>Melting_Curves/meltCurve_Q96N66_2_MBOAT7.pdf</v>
      </c>
    </row>
    <row r="4404" spans="1:28" x14ac:dyDescent="0.25">
      <c r="A4404" t="s">
        <v>4408</v>
      </c>
      <c r="B4404">
        <v>0.99796759195183404</v>
      </c>
      <c r="C4404">
        <v>0.90456458641042703</v>
      </c>
      <c r="D4404">
        <v>0.81391455270916402</v>
      </c>
      <c r="E4404">
        <v>0.82617927857236495</v>
      </c>
      <c r="F4404">
        <v>0.65290779007511601</v>
      </c>
      <c r="G4404">
        <v>0.22659154244180399</v>
      </c>
      <c r="H4404">
        <v>0.119799814322051</v>
      </c>
      <c r="I4404">
        <v>6.8985965163695206E-2</v>
      </c>
      <c r="J4404">
        <v>8.3115601161416905E-2</v>
      </c>
      <c r="K4404">
        <v>4.10868559129332E-2</v>
      </c>
      <c r="L4404">
        <v>812.87737563690803</v>
      </c>
      <c r="M4404">
        <v>15.981495976943901</v>
      </c>
      <c r="N4404">
        <v>50.929659373961698</v>
      </c>
      <c r="O4404">
        <v>50.087256951204601</v>
      </c>
      <c r="P4404">
        <v>-7.8956986494695194E-2</v>
      </c>
      <c r="Q4404">
        <v>1.02484559848458E-2</v>
      </c>
      <c r="R4404">
        <v>0.96998574913410995</v>
      </c>
      <c r="S4404" t="s">
        <v>9987</v>
      </c>
      <c r="T4404" t="s">
        <v>11164</v>
      </c>
      <c r="U4404" t="s">
        <v>11164</v>
      </c>
      <c r="V4404" t="s">
        <v>11164</v>
      </c>
      <c r="W4404" t="s">
        <v>15524</v>
      </c>
      <c r="X4404">
        <v>1</v>
      </c>
      <c r="Y4404" t="s">
        <v>20996</v>
      </c>
      <c r="Z4404" t="s">
        <v>26554</v>
      </c>
      <c r="AA4404">
        <v>0.48600690172644079</v>
      </c>
      <c r="AB4404" t="str">
        <f>HYPERLINK("Melting_Curves/meltCurve_Q96NB1_FOPNL.pdf", "Melting_Curves/meltCurve_Q96NB1_FOPNL.pdf")</f>
        <v>Melting_Curves/meltCurve_Q96NB1_FOPNL.pdf</v>
      </c>
    </row>
    <row r="4405" spans="1:28" x14ac:dyDescent="0.25">
      <c r="A4405" t="s">
        <v>4409</v>
      </c>
      <c r="B4405">
        <v>0.99796759195183404</v>
      </c>
      <c r="C4405">
        <v>0.96569106029952401</v>
      </c>
      <c r="D4405">
        <v>0.91809983861591205</v>
      </c>
      <c r="E4405">
        <v>0.951507604457284</v>
      </c>
      <c r="F4405">
        <v>0.84855241801028203</v>
      </c>
      <c r="G4405">
        <v>0.75067990623215297</v>
      </c>
      <c r="H4405">
        <v>0.55185545963510296</v>
      </c>
      <c r="I4405">
        <v>0.25862640200850601</v>
      </c>
      <c r="J4405">
        <v>0.19269717997970401</v>
      </c>
      <c r="K4405">
        <v>0.13709702318699599</v>
      </c>
      <c r="L4405">
        <v>799.415997685413</v>
      </c>
      <c r="M4405">
        <v>13.888309925450001</v>
      </c>
      <c r="N4405">
        <v>57.560351413391302</v>
      </c>
      <c r="O4405">
        <v>56.406361000487401</v>
      </c>
      <c r="P4405">
        <v>-6.15631192480217E-2</v>
      </c>
      <c r="Q4405">
        <v>0</v>
      </c>
      <c r="R4405">
        <v>0.98742843593970597</v>
      </c>
      <c r="S4405" t="s">
        <v>9988</v>
      </c>
      <c r="T4405" t="s">
        <v>11164</v>
      </c>
      <c r="U4405" t="s">
        <v>11164</v>
      </c>
      <c r="V4405" t="s">
        <v>11164</v>
      </c>
      <c r="W4405" t="s">
        <v>15525</v>
      </c>
      <c r="X4405">
        <v>4</v>
      </c>
      <c r="Y4405" t="s">
        <v>20997</v>
      </c>
      <c r="Z4405" t="s">
        <v>26555</v>
      </c>
      <c r="AA4405">
        <v>0.6901566453474588</v>
      </c>
      <c r="AB4405" t="str">
        <f>HYPERLINK("Melting_Curves/meltCurve_Q96NB2_SFXN2.pdf", "Melting_Curves/meltCurve_Q96NB2_SFXN2.pdf")</f>
        <v>Melting_Curves/meltCurve_Q96NB2_SFXN2.pdf</v>
      </c>
    </row>
    <row r="4406" spans="1:28" x14ac:dyDescent="0.25">
      <c r="A4406" t="s">
        <v>4410</v>
      </c>
      <c r="B4406">
        <v>0.99796759195183404</v>
      </c>
      <c r="C4406">
        <v>1.05529756097212</v>
      </c>
      <c r="D4406">
        <v>1.05371051166643</v>
      </c>
      <c r="E4406">
        <v>1.12516999171196</v>
      </c>
      <c r="F4406">
        <v>1.63686599724135</v>
      </c>
      <c r="G4406">
        <v>1.3294678297759199</v>
      </c>
      <c r="H4406">
        <v>1.2805993918287699</v>
      </c>
      <c r="I4406">
        <v>1.17928380785258</v>
      </c>
      <c r="J4406">
        <v>1.5622074803964401</v>
      </c>
      <c r="K4406">
        <v>1.3944445093673501</v>
      </c>
      <c r="L4406">
        <v>11686.1632973141</v>
      </c>
      <c r="M4406">
        <v>250</v>
      </c>
      <c r="O4406">
        <v>46.741661852422098</v>
      </c>
      <c r="P4406">
        <v>0.53103700748716498</v>
      </c>
      <c r="Q4406">
        <v>1.3971448352031099</v>
      </c>
      <c r="R4406">
        <v>0.64027200165975395</v>
      </c>
      <c r="S4406" t="s">
        <v>9989</v>
      </c>
      <c r="T4406" t="s">
        <v>11164</v>
      </c>
      <c r="U4406" t="s">
        <v>11164</v>
      </c>
      <c r="V4406" t="s">
        <v>11164</v>
      </c>
      <c r="W4406" t="s">
        <v>15526</v>
      </c>
      <c r="X4406">
        <v>10</v>
      </c>
      <c r="Y4406" t="s">
        <v>20998</v>
      </c>
      <c r="Z4406" t="s">
        <v>26556</v>
      </c>
      <c r="AA4406">
        <v>1.2681109654756471</v>
      </c>
      <c r="AB4406" t="str">
        <f>HYPERLINK("Melting_Curves/meltCurve_Q96NB3_ZNF830.pdf", "Melting_Curves/meltCurve_Q96NB3_ZNF830.pdf")</f>
        <v>Melting_Curves/meltCurve_Q96NB3_ZNF830.pdf</v>
      </c>
    </row>
    <row r="4407" spans="1:28" x14ac:dyDescent="0.25">
      <c r="A4407" t="s">
        <v>4411</v>
      </c>
      <c r="B4407">
        <v>0.99796759195183404</v>
      </c>
      <c r="C4407">
        <v>1.0775049253486699</v>
      </c>
      <c r="D4407">
        <v>1.0801704491234201</v>
      </c>
      <c r="E4407">
        <v>1.10302941932844</v>
      </c>
      <c r="F4407">
        <v>0.83827697370785403</v>
      </c>
      <c r="G4407">
        <v>0.731369469054308</v>
      </c>
      <c r="H4407">
        <v>0.67718789047112105</v>
      </c>
      <c r="I4407">
        <v>0.567337239864947</v>
      </c>
      <c r="J4407">
        <v>0.561198185623629</v>
      </c>
      <c r="K4407">
        <v>0.52875728625048701</v>
      </c>
      <c r="L4407">
        <v>1117.08666536079</v>
      </c>
      <c r="M4407">
        <v>21.030602554312299</v>
      </c>
      <c r="O4407">
        <v>52.643905847882998</v>
      </c>
      <c r="P4407">
        <v>-4.52137092300057E-2</v>
      </c>
      <c r="Q4407">
        <v>0.54729519446664798</v>
      </c>
      <c r="R4407">
        <v>0.92696143418881505</v>
      </c>
      <c r="S4407" t="s">
        <v>9990</v>
      </c>
      <c r="T4407" t="s">
        <v>11164</v>
      </c>
      <c r="U4407" t="s">
        <v>11164</v>
      </c>
      <c r="V4407" t="s">
        <v>11164</v>
      </c>
      <c r="W4407" t="s">
        <v>15527</v>
      </c>
      <c r="X4407">
        <v>5</v>
      </c>
      <c r="Y4407" t="s">
        <v>20999</v>
      </c>
      <c r="Z4407" t="s">
        <v>26557</v>
      </c>
      <c r="AA4407">
        <v>0.79578447719762024</v>
      </c>
      <c r="AB4407" t="str">
        <f>HYPERLINK("Melting_Curves/meltCurve_Q96NC0_ZMAT2.pdf", "Melting_Curves/meltCurve_Q96NC0_ZMAT2.pdf")</f>
        <v>Melting_Curves/meltCurve_Q96NC0_ZMAT2.pdf</v>
      </c>
    </row>
    <row r="4408" spans="1:28" x14ac:dyDescent="0.25">
      <c r="A4408" t="s">
        <v>4412</v>
      </c>
      <c r="B4408">
        <v>0.99796759195183404</v>
      </c>
      <c r="C4408">
        <v>0.88749376321531104</v>
      </c>
      <c r="D4408">
        <v>0.92866582790744201</v>
      </c>
      <c r="E4408">
        <v>0.84478510094790904</v>
      </c>
      <c r="F4408">
        <v>0.92730953513208003</v>
      </c>
      <c r="G4408">
        <v>0.43152260315693203</v>
      </c>
      <c r="H4408">
        <v>0.47349426236693498</v>
      </c>
      <c r="I4408">
        <v>0.396296843761416</v>
      </c>
      <c r="J4408">
        <v>0.58039726136462899</v>
      </c>
      <c r="K4408">
        <v>0.44938736577249999</v>
      </c>
      <c r="L4408">
        <v>12642.7385493003</v>
      </c>
      <c r="M4408">
        <v>250</v>
      </c>
      <c r="N4408">
        <v>51.1219947556311</v>
      </c>
      <c r="O4408">
        <v>50.567720141136299</v>
      </c>
      <c r="P4408">
        <v>-0.65973458847452304</v>
      </c>
      <c r="Q4408">
        <v>0.46621963870258198</v>
      </c>
      <c r="R4408">
        <v>0.88665736371197501</v>
      </c>
      <c r="S4408" t="s">
        <v>9991</v>
      </c>
      <c r="T4408" t="s">
        <v>11164</v>
      </c>
      <c r="U4408" t="s">
        <v>11164</v>
      </c>
      <c r="V4408" t="s">
        <v>11164</v>
      </c>
      <c r="W4408" t="s">
        <v>15528</v>
      </c>
      <c r="X4408">
        <v>1</v>
      </c>
      <c r="Y4408" t="s">
        <v>21000</v>
      </c>
      <c r="Z4408" t="s">
        <v>26558</v>
      </c>
      <c r="AA4408">
        <v>0.70773064018797671</v>
      </c>
      <c r="AB4408" t="str">
        <f>HYPERLINK("Melting_Curves/meltCurve_Q96NL1_TMEM74.pdf", "Melting_Curves/meltCurve_Q96NL1_TMEM74.pdf")</f>
        <v>Melting_Curves/meltCurve_Q96NL1_TMEM74.pdf</v>
      </c>
    </row>
    <row r="4409" spans="1:28" x14ac:dyDescent="0.25">
      <c r="A4409" t="s">
        <v>4413</v>
      </c>
      <c r="B4409">
        <v>0.99796759195183404</v>
      </c>
      <c r="C4409">
        <v>1.0065461045934201</v>
      </c>
      <c r="D4409">
        <v>0.99658497724383099</v>
      </c>
      <c r="E4409">
        <v>0.85576168270758801</v>
      </c>
      <c r="F4409">
        <v>0.63209450724056604</v>
      </c>
      <c r="G4409">
        <v>0.364910020738204</v>
      </c>
      <c r="H4409">
        <v>0.2601168818438</v>
      </c>
      <c r="I4409">
        <v>0.204911726985538</v>
      </c>
      <c r="J4409">
        <v>0.191979009459293</v>
      </c>
      <c r="K4409">
        <v>0.11192248079700499</v>
      </c>
      <c r="L4409">
        <v>913.148238815318</v>
      </c>
      <c r="M4409">
        <v>17.932416228423701</v>
      </c>
      <c r="N4409">
        <v>51.916448694596603</v>
      </c>
      <c r="O4409">
        <v>50.301053870741299</v>
      </c>
      <c r="P4409">
        <v>-7.6170585327395901E-2</v>
      </c>
      <c r="Q4409">
        <v>0.145397968849245</v>
      </c>
      <c r="R4409">
        <v>0.99646677347106904</v>
      </c>
      <c r="S4409" t="s">
        <v>9992</v>
      </c>
      <c r="T4409" t="s">
        <v>11164</v>
      </c>
      <c r="U4409" t="s">
        <v>11164</v>
      </c>
      <c r="V4409" t="s">
        <v>11164</v>
      </c>
      <c r="W4409" t="s">
        <v>15529</v>
      </c>
      <c r="X4409">
        <v>6</v>
      </c>
      <c r="Y4409" t="s">
        <v>21001</v>
      </c>
      <c r="Z4409" t="s">
        <v>26559</v>
      </c>
      <c r="AA4409">
        <v>0.55533262236387071</v>
      </c>
      <c r="AB4409" t="str">
        <f>HYPERLINK("Melting_Curves/meltCurve_Q96P11_2_NSUN5.pdf", "Melting_Curves/meltCurve_Q96P11_2_NSUN5.pdf")</f>
        <v>Melting_Curves/meltCurve_Q96P11_2_NSUN5.pdf</v>
      </c>
    </row>
    <row r="4410" spans="1:28" x14ac:dyDescent="0.25">
      <c r="A4410" t="s">
        <v>4414</v>
      </c>
      <c r="B4410">
        <v>0.99796759195183404</v>
      </c>
      <c r="C4410">
        <v>1.0727478895767999</v>
      </c>
      <c r="D4410">
        <v>1.11827143357939</v>
      </c>
      <c r="E4410">
        <v>1.0434678137547</v>
      </c>
      <c r="F4410">
        <v>0.58405130282622297</v>
      </c>
      <c r="G4410">
        <v>0.171520242003078</v>
      </c>
      <c r="H4410">
        <v>0.11011678678504799</v>
      </c>
      <c r="I4410">
        <v>7.9790110313288601E-2</v>
      </c>
      <c r="J4410">
        <v>5.5447555466797298E-2</v>
      </c>
      <c r="K4410">
        <v>4.5511012134618098E-2</v>
      </c>
      <c r="L4410">
        <v>2148.4560417243201</v>
      </c>
      <c r="M4410">
        <v>42.5276751016982</v>
      </c>
      <c r="N4410">
        <v>50.718106426968497</v>
      </c>
      <c r="O4410">
        <v>50.407683566877999</v>
      </c>
      <c r="P4410">
        <v>-0.194704310585322</v>
      </c>
      <c r="Q4410">
        <v>7.68760800735237E-2</v>
      </c>
      <c r="R4410">
        <v>0.986849156058897</v>
      </c>
      <c r="S4410" t="s">
        <v>9993</v>
      </c>
      <c r="T4410" t="s">
        <v>11164</v>
      </c>
      <c r="U4410" t="s">
        <v>11164</v>
      </c>
      <c r="V4410" t="s">
        <v>11164</v>
      </c>
      <c r="W4410" t="s">
        <v>15530</v>
      </c>
      <c r="X4410">
        <v>4</v>
      </c>
      <c r="Y4410" t="s">
        <v>21002</v>
      </c>
      <c r="Z4410" t="s">
        <v>26560</v>
      </c>
      <c r="AA4410">
        <v>0.49571448981804372</v>
      </c>
      <c r="AB4410" t="str">
        <f>HYPERLINK("Melting_Curves/meltCurve_Q96P16_3_RPRD1A.pdf", "Melting_Curves/meltCurve_Q96P16_3_RPRD1A.pdf")</f>
        <v>Melting_Curves/meltCurve_Q96P16_3_RPRD1A.pdf</v>
      </c>
    </row>
    <row r="4411" spans="1:28" x14ac:dyDescent="0.25">
      <c r="A4411" t="s">
        <v>4415</v>
      </c>
      <c r="B4411">
        <v>0.99796759195183404</v>
      </c>
      <c r="C4411">
        <v>1.0929796560483001</v>
      </c>
      <c r="D4411">
        <v>0.92446577463601498</v>
      </c>
      <c r="E4411">
        <v>0.898616758392635</v>
      </c>
      <c r="F4411">
        <v>0.57874533391624605</v>
      </c>
      <c r="G4411">
        <v>0.27878673017185202</v>
      </c>
      <c r="H4411">
        <v>0.213350170423589</v>
      </c>
      <c r="I4411">
        <v>0.17486516349092701</v>
      </c>
      <c r="J4411">
        <v>0.13286857667506299</v>
      </c>
      <c r="K4411">
        <v>0.106942585735695</v>
      </c>
      <c r="L4411">
        <v>1141.5952230985299</v>
      </c>
      <c r="M4411">
        <v>22.678046048870598</v>
      </c>
      <c r="N4411">
        <v>51.041234460997799</v>
      </c>
      <c r="O4411">
        <v>49.952702709392298</v>
      </c>
      <c r="P4411">
        <v>-9.8293657026583894E-2</v>
      </c>
      <c r="Q4411">
        <v>0.13397536488151199</v>
      </c>
      <c r="R4411">
        <v>0.98928973818081201</v>
      </c>
      <c r="S4411" t="s">
        <v>9994</v>
      </c>
      <c r="T4411" t="s">
        <v>11164</v>
      </c>
      <c r="U4411" t="s">
        <v>11164</v>
      </c>
      <c r="V4411" t="s">
        <v>11164</v>
      </c>
      <c r="W4411" t="s">
        <v>15531</v>
      </c>
      <c r="X4411">
        <v>5</v>
      </c>
      <c r="Y4411" t="s">
        <v>21003</v>
      </c>
      <c r="Z4411" t="s">
        <v>26561</v>
      </c>
      <c r="AA4411">
        <v>0.52815566189757535</v>
      </c>
      <c r="AB4411" t="str">
        <f>HYPERLINK("Melting_Curves/meltCurve_Q96P47_AGAP3.pdf", "Melting_Curves/meltCurve_Q96P47_AGAP3.pdf")</f>
        <v>Melting_Curves/meltCurve_Q96P47_AGAP3.pdf</v>
      </c>
    </row>
    <row r="4412" spans="1:28" x14ac:dyDescent="0.25">
      <c r="A4412" t="s">
        <v>4416</v>
      </c>
      <c r="B4412">
        <v>0.99796759195183404</v>
      </c>
      <c r="C4412">
        <v>1.08924162555273</v>
      </c>
      <c r="D4412">
        <v>1.0741189767786301</v>
      </c>
      <c r="E4412">
        <v>0.96145345702110596</v>
      </c>
      <c r="F4412">
        <v>0.61983096673253901</v>
      </c>
      <c r="G4412">
        <v>0.426353740020462</v>
      </c>
      <c r="H4412">
        <v>0.30707631480306002</v>
      </c>
      <c r="I4412">
        <v>0.222309061313956</v>
      </c>
      <c r="J4412">
        <v>0.153033438269435</v>
      </c>
      <c r="K4412">
        <v>0.119134488540746</v>
      </c>
      <c r="L4412">
        <v>995.17490942084999</v>
      </c>
      <c r="M4412">
        <v>19.2884321004824</v>
      </c>
      <c r="N4412">
        <v>52.5851888879331</v>
      </c>
      <c r="O4412">
        <v>51.049413007920201</v>
      </c>
      <c r="P4412">
        <v>-8.0071337792263705E-2</v>
      </c>
      <c r="Q4412">
        <v>0.15235379263906901</v>
      </c>
      <c r="R4412">
        <v>0.97907966730909501</v>
      </c>
      <c r="S4412" t="s">
        <v>9995</v>
      </c>
      <c r="T4412" t="s">
        <v>11164</v>
      </c>
      <c r="U4412" t="s">
        <v>11164</v>
      </c>
      <c r="V4412" t="s">
        <v>11164</v>
      </c>
      <c r="W4412" t="s">
        <v>15532</v>
      </c>
      <c r="X4412">
        <v>6</v>
      </c>
      <c r="Y4412" t="s">
        <v>21004</v>
      </c>
      <c r="Z4412" t="s">
        <v>26562</v>
      </c>
      <c r="AA4412">
        <v>0.57638896168372578</v>
      </c>
      <c r="AB4412" t="str">
        <f>HYPERLINK("Melting_Curves/meltCurve_Q96P48_3_ARAP1.pdf", "Melting_Curves/meltCurve_Q96P48_3_ARAP1.pdf")</f>
        <v>Melting_Curves/meltCurve_Q96P48_3_ARAP1.pdf</v>
      </c>
    </row>
    <row r="4413" spans="1:28" x14ac:dyDescent="0.25">
      <c r="A4413" t="s">
        <v>4417</v>
      </c>
      <c r="B4413">
        <v>0.99796759195183404</v>
      </c>
      <c r="C4413">
        <v>1.2604230981998199</v>
      </c>
      <c r="D4413">
        <v>1.24426205433785</v>
      </c>
      <c r="E4413">
        <v>1.1970325125861001</v>
      </c>
      <c r="F4413">
        <v>1.14973627254084</v>
      </c>
      <c r="G4413">
        <v>0.56305065943958199</v>
      </c>
      <c r="H4413">
        <v>0.30123941396520998</v>
      </c>
      <c r="I4413">
        <v>0.21650007305507801</v>
      </c>
      <c r="J4413">
        <v>0.19638887546520301</v>
      </c>
      <c r="K4413">
        <v>0.129404549086163</v>
      </c>
      <c r="L4413">
        <v>6405.2515283984603</v>
      </c>
      <c r="M4413">
        <v>119.270422127519</v>
      </c>
      <c r="N4413">
        <v>53.951174662831903</v>
      </c>
      <c r="O4413">
        <v>53.688508717865403</v>
      </c>
      <c r="P4413">
        <v>-0.43833653396127398</v>
      </c>
      <c r="Q4413">
        <v>0.210746988788341</v>
      </c>
      <c r="R4413">
        <v>0.90444986032488095</v>
      </c>
      <c r="S4413" t="s">
        <v>9996</v>
      </c>
      <c r="T4413" t="s">
        <v>11164</v>
      </c>
      <c r="U4413" t="s">
        <v>11164</v>
      </c>
      <c r="V4413" t="s">
        <v>11164</v>
      </c>
      <c r="W4413" t="s">
        <v>15533</v>
      </c>
      <c r="X4413">
        <v>1</v>
      </c>
      <c r="Y4413" t="s">
        <v>21005</v>
      </c>
      <c r="Z4413" t="s">
        <v>26563</v>
      </c>
      <c r="AA4413">
        <v>0.6505197143169712</v>
      </c>
      <c r="AB4413" t="str">
        <f>HYPERLINK("Melting_Curves/meltCurve_Q96P50_ACAP3.pdf", "Melting_Curves/meltCurve_Q96P50_ACAP3.pdf")</f>
        <v>Melting_Curves/meltCurve_Q96P50_ACAP3.pdf</v>
      </c>
    </row>
    <row r="4414" spans="1:28" x14ac:dyDescent="0.25">
      <c r="A4414" t="s">
        <v>4418</v>
      </c>
      <c r="B4414">
        <v>0.99796759195183404</v>
      </c>
      <c r="C4414">
        <v>1.0782049064036201</v>
      </c>
      <c r="D4414">
        <v>1.0284081332177999</v>
      </c>
      <c r="E4414">
        <v>1.0380946538137099</v>
      </c>
      <c r="F4414">
        <v>0.96338623858319905</v>
      </c>
      <c r="G4414">
        <v>0.87379334411686005</v>
      </c>
      <c r="H4414">
        <v>0.58890711416901198</v>
      </c>
      <c r="I4414">
        <v>0.21297737942321701</v>
      </c>
      <c r="J4414">
        <v>0.13417372864482</v>
      </c>
      <c r="K4414">
        <v>8.6305138646441695E-2</v>
      </c>
      <c r="L4414">
        <v>1590.2959641437701</v>
      </c>
      <c r="M4414">
        <v>27.548866738816599</v>
      </c>
      <c r="N4414">
        <v>58.017693329877602</v>
      </c>
      <c r="O4414">
        <v>57.424750953607898</v>
      </c>
      <c r="P4414">
        <v>-0.11218840000422101</v>
      </c>
      <c r="Q4414">
        <v>6.4595490648929804E-2</v>
      </c>
      <c r="R4414">
        <v>0.99305597038120297</v>
      </c>
      <c r="S4414" t="s">
        <v>9997</v>
      </c>
      <c r="T4414" t="s">
        <v>11164</v>
      </c>
      <c r="U4414" t="s">
        <v>11164</v>
      </c>
      <c r="V4414" t="s">
        <v>11164</v>
      </c>
      <c r="W4414" t="s">
        <v>15534</v>
      </c>
      <c r="X4414">
        <v>12</v>
      </c>
      <c r="Y4414" t="s">
        <v>21006</v>
      </c>
      <c r="Z4414" t="s">
        <v>26564</v>
      </c>
      <c r="AA4414">
        <v>0.71668728131750881</v>
      </c>
      <c r="AB4414" t="str">
        <f>HYPERLINK("Melting_Curves/meltCurve_Q96P70_IPO9.pdf", "Melting_Curves/meltCurve_Q96P70_IPO9.pdf")</f>
        <v>Melting_Curves/meltCurve_Q96P70_IPO9.pdf</v>
      </c>
    </row>
    <row r="4415" spans="1:28" x14ac:dyDescent="0.25">
      <c r="A4415" t="s">
        <v>4419</v>
      </c>
      <c r="B4415">
        <v>0.99796759195183404</v>
      </c>
      <c r="C4415">
        <v>1.46857161699676</v>
      </c>
      <c r="D4415">
        <v>1.07394841574156</v>
      </c>
      <c r="E4415">
        <v>1.601322562662</v>
      </c>
      <c r="F4415">
        <v>1.11491672186952</v>
      </c>
      <c r="G4415">
        <v>2.72695156926709</v>
      </c>
      <c r="H4415">
        <v>0.980446482563195</v>
      </c>
      <c r="I4415">
        <v>1.02659415667204</v>
      </c>
      <c r="J4415">
        <v>0.63990596412814205</v>
      </c>
      <c r="K4415">
        <v>0.60406953780163697</v>
      </c>
      <c r="L4415">
        <v>15000</v>
      </c>
      <c r="M4415">
        <v>236.31559484312999</v>
      </c>
      <c r="O4415">
        <v>63.4698948320952</v>
      </c>
      <c r="P4415">
        <v>-0.36855658878423903</v>
      </c>
      <c r="Q4415">
        <v>0.60405071777407904</v>
      </c>
      <c r="R4415">
        <v>-6.3186515105553495E-2</v>
      </c>
      <c r="S4415" t="s">
        <v>9998</v>
      </c>
      <c r="T4415" t="s">
        <v>11164</v>
      </c>
      <c r="U4415" t="s">
        <v>11164</v>
      </c>
      <c r="V4415" t="s">
        <v>11164</v>
      </c>
      <c r="W4415" t="s">
        <v>15535</v>
      </c>
      <c r="X4415">
        <v>4</v>
      </c>
      <c r="Y4415" t="s">
        <v>21007</v>
      </c>
      <c r="Z4415" t="s">
        <v>26565</v>
      </c>
      <c r="AA4415">
        <v>0.95351791478620462</v>
      </c>
      <c r="AB4415" t="str">
        <f>HYPERLINK("Melting_Curves/meltCurve_Q96PD2_DCBLD2.pdf", "Melting_Curves/meltCurve_Q96PD2_DCBLD2.pdf")</f>
        <v>Melting_Curves/meltCurve_Q96PD2_DCBLD2.pdf</v>
      </c>
    </row>
    <row r="4416" spans="1:28" x14ac:dyDescent="0.25">
      <c r="A4416" t="s">
        <v>4420</v>
      </c>
      <c r="B4416">
        <v>0.99796759195183404</v>
      </c>
      <c r="C4416">
        <v>0.94941507947123704</v>
      </c>
      <c r="D4416">
        <v>0.92768484104947901</v>
      </c>
      <c r="E4416">
        <v>0.91169672732153795</v>
      </c>
      <c r="F4416">
        <v>0.82254394384963303</v>
      </c>
      <c r="G4416">
        <v>0.62029840699981498</v>
      </c>
      <c r="H4416">
        <v>0.65619202125355103</v>
      </c>
      <c r="I4416">
        <v>0.61494835345388899</v>
      </c>
      <c r="J4416">
        <v>0.77121595368920004</v>
      </c>
      <c r="K4416">
        <v>0.56737105717968905</v>
      </c>
      <c r="L4416">
        <v>973.85743237992995</v>
      </c>
      <c r="M4416">
        <v>19.8444640446886</v>
      </c>
      <c r="O4416">
        <v>48.584323566610202</v>
      </c>
      <c r="P4416">
        <v>-3.7191157727652399E-2</v>
      </c>
      <c r="Q4416">
        <v>0.63579836102250298</v>
      </c>
      <c r="R4416">
        <v>0.84864078342226701</v>
      </c>
      <c r="S4416" t="s">
        <v>9999</v>
      </c>
      <c r="T4416" t="s">
        <v>11164</v>
      </c>
      <c r="U4416" t="s">
        <v>11164</v>
      </c>
      <c r="V4416" t="s">
        <v>11164</v>
      </c>
      <c r="W4416" t="s">
        <v>15536</v>
      </c>
      <c r="X4416">
        <v>4</v>
      </c>
      <c r="Y4416" t="s">
        <v>21008</v>
      </c>
      <c r="Z4416" t="s">
        <v>26566</v>
      </c>
      <c r="AA4416">
        <v>0.78725085769139569</v>
      </c>
      <c r="AB4416" t="str">
        <f>HYPERLINK("Melting_Curves/meltCurve_Q96PE7_MCEE.pdf", "Melting_Curves/meltCurve_Q96PE7_MCEE.pdf")</f>
        <v>Melting_Curves/meltCurve_Q96PE7_MCEE.pdf</v>
      </c>
    </row>
    <row r="4417" spans="1:28" x14ac:dyDescent="0.25">
      <c r="A4417" t="s">
        <v>4421</v>
      </c>
      <c r="B4417">
        <v>0.99796759195183404</v>
      </c>
      <c r="C4417">
        <v>0.93012612676293804</v>
      </c>
      <c r="D4417">
        <v>0.90406424943526098</v>
      </c>
      <c r="E4417">
        <v>0.79153552059310395</v>
      </c>
      <c r="F4417">
        <v>1.1740277240519701</v>
      </c>
      <c r="G4417">
        <v>0.35554068445012199</v>
      </c>
      <c r="H4417">
        <v>0.48048057656397197</v>
      </c>
      <c r="I4417">
        <v>0.63794279636212403</v>
      </c>
      <c r="J4417">
        <v>0.66249116101595895</v>
      </c>
      <c r="K4417">
        <v>0.599728337379003</v>
      </c>
      <c r="L4417">
        <v>4104.3930872765504</v>
      </c>
      <c r="M4417">
        <v>79.061519251039797</v>
      </c>
      <c r="O4417">
        <v>51.880730613588803</v>
      </c>
      <c r="P4417">
        <v>-0.17293488696395601</v>
      </c>
      <c r="Q4417">
        <v>0.54607565669138403</v>
      </c>
      <c r="R4417">
        <v>0.69306193812833095</v>
      </c>
      <c r="S4417" t="s">
        <v>10000</v>
      </c>
      <c r="T4417" t="s">
        <v>11164</v>
      </c>
      <c r="U4417" t="s">
        <v>11164</v>
      </c>
      <c r="V4417" t="s">
        <v>11164</v>
      </c>
      <c r="W4417" t="s">
        <v>15537</v>
      </c>
      <c r="X4417">
        <v>2</v>
      </c>
      <c r="Y4417" t="s">
        <v>21009</v>
      </c>
      <c r="Z4417" t="s">
        <v>26567</v>
      </c>
      <c r="AA4417">
        <v>0.77214965177892059</v>
      </c>
      <c r="AB4417" t="str">
        <f>HYPERLINK("Melting_Curves/meltCurve_Q96PG8_BBC3.pdf", "Melting_Curves/meltCurve_Q96PG8_BBC3.pdf")</f>
        <v>Melting_Curves/meltCurve_Q96PG8_BBC3.pdf</v>
      </c>
    </row>
    <row r="4418" spans="1:28" x14ac:dyDescent="0.25">
      <c r="A4418" t="s">
        <v>4422</v>
      </c>
      <c r="B4418">
        <v>0.99796759195183404</v>
      </c>
      <c r="C4418">
        <v>1.0439840339064099</v>
      </c>
      <c r="D4418">
        <v>1.0388225687963699</v>
      </c>
      <c r="E4418">
        <v>0.84868187567382103</v>
      </c>
      <c r="F4418">
        <v>0.49084651322609801</v>
      </c>
      <c r="G4418">
        <v>0.30018496548954099</v>
      </c>
      <c r="H4418">
        <v>0.28885119904490703</v>
      </c>
      <c r="I4418">
        <v>0.27274836926761098</v>
      </c>
      <c r="J4418">
        <v>0.194960448491383</v>
      </c>
      <c r="K4418">
        <v>0.20284382919462199</v>
      </c>
      <c r="L4418">
        <v>1370.9925261199901</v>
      </c>
      <c r="M4418">
        <v>27.968730783054198</v>
      </c>
      <c r="N4418">
        <v>50.162312497797501</v>
      </c>
      <c r="O4418">
        <v>48.770211738471801</v>
      </c>
      <c r="P4418">
        <v>-0.109575033997085</v>
      </c>
      <c r="Q4418">
        <v>0.23572468694571599</v>
      </c>
      <c r="R4418">
        <v>0.99128745742097801</v>
      </c>
      <c r="S4418" t="s">
        <v>10001</v>
      </c>
      <c r="T4418" t="s">
        <v>11164</v>
      </c>
      <c r="U4418" t="s">
        <v>11164</v>
      </c>
      <c r="V4418" t="s">
        <v>11164</v>
      </c>
      <c r="W4418" t="s">
        <v>15538</v>
      </c>
      <c r="X4418">
        <v>6</v>
      </c>
      <c r="Y4418" t="s">
        <v>16780</v>
      </c>
      <c r="Z4418" t="s">
        <v>26568</v>
      </c>
      <c r="AA4418">
        <v>0.54721311579559617</v>
      </c>
      <c r="AB4418" t="str">
        <f>HYPERLINK("Melting_Curves/meltCurve_Q96PK6_RBM14.pdf", "Melting_Curves/meltCurve_Q96PK6_RBM14.pdf")</f>
        <v>Melting_Curves/meltCurve_Q96PK6_RBM14.pdf</v>
      </c>
    </row>
    <row r="4419" spans="1:28" x14ac:dyDescent="0.25">
      <c r="A4419" t="s">
        <v>4423</v>
      </c>
      <c r="B4419">
        <v>0.99796759195183404</v>
      </c>
      <c r="C4419">
        <v>0.99781728207952902</v>
      </c>
      <c r="D4419">
        <v>0.75698785398470603</v>
      </c>
      <c r="E4419">
        <v>0.87062098106244601</v>
      </c>
      <c r="F4419">
        <v>0.796368972134472</v>
      </c>
      <c r="G4419">
        <v>0.52460023598955097</v>
      </c>
      <c r="H4419">
        <v>0.58090139203977198</v>
      </c>
      <c r="I4419">
        <v>0.70816787858327301</v>
      </c>
      <c r="J4419">
        <v>0.53317024155872506</v>
      </c>
      <c r="K4419">
        <v>0.37514250113796299</v>
      </c>
      <c r="L4419">
        <v>303.51344751765299</v>
      </c>
      <c r="M4419">
        <v>5.3852762742915896</v>
      </c>
      <c r="N4419">
        <v>64.289896515695304</v>
      </c>
      <c r="O4419">
        <v>50.0037929585733</v>
      </c>
      <c r="P4419">
        <v>-2.04871977676509E-2</v>
      </c>
      <c r="Q4419">
        <v>0.24267366429564999</v>
      </c>
      <c r="R4419">
        <v>0.78263828130872204</v>
      </c>
      <c r="S4419" t="s">
        <v>10002</v>
      </c>
      <c r="T4419" t="s">
        <v>11164</v>
      </c>
      <c r="U4419" t="s">
        <v>11164</v>
      </c>
      <c r="V4419" t="s">
        <v>11164</v>
      </c>
      <c r="W4419" t="s">
        <v>15539</v>
      </c>
      <c r="X4419">
        <v>10</v>
      </c>
      <c r="Y4419" t="s">
        <v>21010</v>
      </c>
      <c r="Z4419" t="s">
        <v>26569</v>
      </c>
      <c r="AA4419">
        <v>0.71044072308110062</v>
      </c>
      <c r="AB4419" t="str">
        <f>HYPERLINK("Melting_Curves/meltCurve_Q96PM5_RCHY1.pdf", "Melting_Curves/meltCurve_Q96PM5_RCHY1.pdf")</f>
        <v>Melting_Curves/meltCurve_Q96PM5_RCHY1.pdf</v>
      </c>
    </row>
    <row r="4420" spans="1:28" x14ac:dyDescent="0.25">
      <c r="A4420" t="s">
        <v>4424</v>
      </c>
      <c r="B4420">
        <v>0.99796759195183404</v>
      </c>
      <c r="C4420">
        <v>0.92770252636679096</v>
      </c>
      <c r="D4420">
        <v>0.85776372987349003</v>
      </c>
      <c r="E4420">
        <v>0.86551295293113395</v>
      </c>
      <c r="F4420">
        <v>0.57006493010450898</v>
      </c>
      <c r="G4420">
        <v>0.33942432614912998</v>
      </c>
      <c r="H4420">
        <v>0.258509064359283</v>
      </c>
      <c r="I4420">
        <v>0.185637134004489</v>
      </c>
      <c r="J4420">
        <v>0.15187088686783301</v>
      </c>
      <c r="K4420">
        <v>0.14175308190231101</v>
      </c>
      <c r="L4420">
        <v>727.411063232179</v>
      </c>
      <c r="M4420">
        <v>14.407392062866</v>
      </c>
      <c r="N4420">
        <v>51.406797612488901</v>
      </c>
      <c r="O4420">
        <v>49.545940424784199</v>
      </c>
      <c r="P4420">
        <v>-6.4458669937894397E-2</v>
      </c>
      <c r="Q4420">
        <v>0.113430760335783</v>
      </c>
      <c r="R4420">
        <v>0.98681530318644495</v>
      </c>
      <c r="S4420" t="s">
        <v>10003</v>
      </c>
      <c r="T4420" t="s">
        <v>11164</v>
      </c>
      <c r="U4420" t="s">
        <v>11164</v>
      </c>
      <c r="V4420" t="s">
        <v>11164</v>
      </c>
      <c r="W4420" t="s">
        <v>15540</v>
      </c>
      <c r="X4420">
        <v>4</v>
      </c>
      <c r="Y4420" t="s">
        <v>21011</v>
      </c>
      <c r="Z4420" t="s">
        <v>26570</v>
      </c>
      <c r="AA4420">
        <v>0.53129638800943846</v>
      </c>
      <c r="AB4420" t="str">
        <f>HYPERLINK("Melting_Curves/meltCurve_Q96PU5_2_NEDD4L.pdf", "Melting_Curves/meltCurve_Q96PU5_2_NEDD4L.pdf")</f>
        <v>Melting_Curves/meltCurve_Q96PU5_2_NEDD4L.pdf</v>
      </c>
    </row>
    <row r="4421" spans="1:28" x14ac:dyDescent="0.25">
      <c r="A4421" t="s">
        <v>4425</v>
      </c>
      <c r="B4421">
        <v>0.99796759195183404</v>
      </c>
      <c r="C4421">
        <v>0.98588829018720803</v>
      </c>
      <c r="D4421">
        <v>0.87465909480915405</v>
      </c>
      <c r="E4421">
        <v>0.82161931378345598</v>
      </c>
      <c r="F4421">
        <v>0.62075194541519696</v>
      </c>
      <c r="G4421">
        <v>0.27773419239178998</v>
      </c>
      <c r="H4421">
        <v>0.144104457775482</v>
      </c>
      <c r="I4421">
        <v>0.11664327515105199</v>
      </c>
      <c r="J4421">
        <v>7.9919297563851799E-2</v>
      </c>
      <c r="K4421">
        <v>6.9554495703918806E-2</v>
      </c>
      <c r="L4421">
        <v>836.89210711315695</v>
      </c>
      <c r="M4421">
        <v>16.478960337333302</v>
      </c>
      <c r="N4421">
        <v>51.070597909820698</v>
      </c>
      <c r="O4421">
        <v>50.055279749747498</v>
      </c>
      <c r="P4421">
        <v>-7.8692563186561607E-2</v>
      </c>
      <c r="Q4421">
        <v>4.3943647399352498E-2</v>
      </c>
      <c r="R4421">
        <v>0.99194725509984405</v>
      </c>
      <c r="S4421" t="s">
        <v>10004</v>
      </c>
      <c r="T4421" t="s">
        <v>11164</v>
      </c>
      <c r="U4421" t="s">
        <v>11164</v>
      </c>
      <c r="V4421" t="s">
        <v>11164</v>
      </c>
      <c r="W4421" t="s">
        <v>15541</v>
      </c>
      <c r="X4421">
        <v>14</v>
      </c>
      <c r="Y4421" t="s">
        <v>21012</v>
      </c>
      <c r="Z4421" t="s">
        <v>26571</v>
      </c>
      <c r="AA4421">
        <v>0.50028934744225795</v>
      </c>
      <c r="AB4421" t="str">
        <f>HYPERLINK("Melting_Curves/meltCurve_Q96PU8_QKI.pdf", "Melting_Curves/meltCurve_Q96PU8_QKI.pdf")</f>
        <v>Melting_Curves/meltCurve_Q96PU8_QKI.pdf</v>
      </c>
    </row>
    <row r="4422" spans="1:28" x14ac:dyDescent="0.25">
      <c r="A4422" t="s">
        <v>4426</v>
      </c>
      <c r="B4422">
        <v>0.99796759195183404</v>
      </c>
      <c r="C4422">
        <v>0.95691566518801097</v>
      </c>
      <c r="D4422">
        <v>0.97092343011724003</v>
      </c>
      <c r="E4422">
        <v>0.958375996777588</v>
      </c>
      <c r="F4422">
        <v>0.80298959891563304</v>
      </c>
      <c r="G4422">
        <v>0.64018065933481005</v>
      </c>
      <c r="H4422">
        <v>0.51546877339459796</v>
      </c>
      <c r="I4422">
        <v>0.31024326935167001</v>
      </c>
      <c r="J4422">
        <v>0.23853180278264399</v>
      </c>
      <c r="K4422">
        <v>0.19243811915866799</v>
      </c>
      <c r="L4422">
        <v>656.85626158293599</v>
      </c>
      <c r="M4422">
        <v>11.646536281258999</v>
      </c>
      <c r="N4422">
        <v>56.976170816908301</v>
      </c>
      <c r="O4422">
        <v>54.813475570040701</v>
      </c>
      <c r="P4422">
        <v>-5.0178175005417699E-2</v>
      </c>
      <c r="Q4422">
        <v>5.5617580886667697E-2</v>
      </c>
      <c r="R4422">
        <v>0.994954960002154</v>
      </c>
      <c r="S4422" t="s">
        <v>10005</v>
      </c>
      <c r="T4422" t="s">
        <v>11164</v>
      </c>
      <c r="U4422" t="s">
        <v>11164</v>
      </c>
      <c r="V4422" t="s">
        <v>11164</v>
      </c>
      <c r="W4422" t="s">
        <v>15542</v>
      </c>
      <c r="X4422">
        <v>25</v>
      </c>
      <c r="Y4422" t="s">
        <v>21013</v>
      </c>
      <c r="Z4422" t="s">
        <v>26572</v>
      </c>
      <c r="AA4422">
        <v>0.67316040047658443</v>
      </c>
      <c r="AB4422" t="str">
        <f>HYPERLINK("Melting_Curves/meltCurve_Q96PZ0_PUS7.pdf", "Melting_Curves/meltCurve_Q96PZ0_PUS7.pdf")</f>
        <v>Melting_Curves/meltCurve_Q96PZ0_PUS7.pdf</v>
      </c>
    </row>
    <row r="4423" spans="1:28" x14ac:dyDescent="0.25">
      <c r="A4423" t="s">
        <v>4427</v>
      </c>
      <c r="B4423">
        <v>0.99796759195183404</v>
      </c>
      <c r="C4423">
        <v>0.99222286012674898</v>
      </c>
      <c r="D4423">
        <v>0.98084742750212695</v>
      </c>
      <c r="E4423">
        <v>0.90292504276650998</v>
      </c>
      <c r="F4423">
        <v>0.74466454053676001</v>
      </c>
      <c r="G4423">
        <v>0.48441667707541602</v>
      </c>
      <c r="H4423">
        <v>0.21596667468266501</v>
      </c>
      <c r="I4423">
        <v>0.14880688310879001</v>
      </c>
      <c r="J4423">
        <v>0.122503184051271</v>
      </c>
      <c r="K4423">
        <v>8.3582062996243295E-2</v>
      </c>
      <c r="L4423">
        <v>948.64481830718501</v>
      </c>
      <c r="M4423">
        <v>17.940156274708901</v>
      </c>
      <c r="N4423">
        <v>53.305706478081902</v>
      </c>
      <c r="O4423">
        <v>52.234411583834699</v>
      </c>
      <c r="P4423">
        <v>-8.0115682738051197E-2</v>
      </c>
      <c r="Q4423">
        <v>6.6990077095240894E-2</v>
      </c>
      <c r="R4423">
        <v>0.99829637811364502</v>
      </c>
      <c r="S4423" t="s">
        <v>10006</v>
      </c>
      <c r="T4423" t="s">
        <v>11164</v>
      </c>
      <c r="U4423" t="s">
        <v>11164</v>
      </c>
      <c r="V4423" t="s">
        <v>11164</v>
      </c>
      <c r="W4423" t="s">
        <v>15543</v>
      </c>
      <c r="X4423">
        <v>11</v>
      </c>
      <c r="Y4423" t="s">
        <v>21014</v>
      </c>
      <c r="Z4423" t="s">
        <v>26573</v>
      </c>
      <c r="AA4423">
        <v>0.57451319755503982</v>
      </c>
      <c r="AB4423" t="str">
        <f>HYPERLINK("Melting_Curves/meltCurve_Q96Q11_2_TRNT1.pdf", "Melting_Curves/meltCurve_Q96Q11_2_TRNT1.pdf")</f>
        <v>Melting_Curves/meltCurve_Q96Q11_2_TRNT1.pdf</v>
      </c>
    </row>
    <row r="4424" spans="1:28" x14ac:dyDescent="0.25">
      <c r="A4424" t="s">
        <v>4428</v>
      </c>
      <c r="B4424">
        <v>0.99796759195183404</v>
      </c>
      <c r="C4424">
        <v>0.94673325000373698</v>
      </c>
      <c r="D4424">
        <v>0.88576119592356894</v>
      </c>
      <c r="E4424">
        <v>0.88849813479976303</v>
      </c>
      <c r="F4424">
        <v>0.74222419256572802</v>
      </c>
      <c r="G4424">
        <v>0.55096060421489901</v>
      </c>
      <c r="H4424">
        <v>0.64323173942038103</v>
      </c>
      <c r="I4424">
        <v>0.49218580716552401</v>
      </c>
      <c r="J4424">
        <v>0.29541932095729601</v>
      </c>
      <c r="K4424">
        <v>0.13844985225244599</v>
      </c>
      <c r="L4424">
        <v>446.56516934802301</v>
      </c>
      <c r="M4424">
        <v>7.7202786247718498</v>
      </c>
      <c r="N4424">
        <v>57.843140830927801</v>
      </c>
      <c r="O4424">
        <v>54.346222369456399</v>
      </c>
      <c r="P4424">
        <v>-3.5560191392509599E-2</v>
      </c>
      <c r="Q4424">
        <v>0</v>
      </c>
      <c r="R4424">
        <v>0.93099770872755705</v>
      </c>
      <c r="S4424" t="s">
        <v>10007</v>
      </c>
      <c r="T4424" t="s">
        <v>11164</v>
      </c>
      <c r="U4424" t="s">
        <v>11164</v>
      </c>
      <c r="V4424" t="s">
        <v>11164</v>
      </c>
      <c r="W4424" t="s">
        <v>15544</v>
      </c>
      <c r="X4424">
        <v>1</v>
      </c>
      <c r="Y4424" t="s">
        <v>21015</v>
      </c>
      <c r="Z4424" t="s">
        <v>26574</v>
      </c>
      <c r="AA4424">
        <v>0.67323879046033663</v>
      </c>
      <c r="AB4424" t="str">
        <f>HYPERLINK("Melting_Curves/meltCurve_Q96Q45_2_TMEM237.pdf", "Melting_Curves/meltCurve_Q96Q45_2_TMEM237.pdf")</f>
        <v>Melting_Curves/meltCurve_Q96Q45_2_TMEM237.pdf</v>
      </c>
    </row>
    <row r="4425" spans="1:28" x14ac:dyDescent="0.25">
      <c r="A4425" t="s">
        <v>4429</v>
      </c>
      <c r="B4425">
        <v>0.99796759195183404</v>
      </c>
      <c r="C4425">
        <v>0.94065941824482702</v>
      </c>
      <c r="D4425">
        <v>0.88275474113631702</v>
      </c>
      <c r="E4425">
        <v>0.93385140090727103</v>
      </c>
      <c r="F4425">
        <v>0.856278935721278</v>
      </c>
      <c r="G4425">
        <v>0.60640920420868605</v>
      </c>
      <c r="H4425">
        <v>0.54291822704479897</v>
      </c>
      <c r="I4425">
        <v>0.46084870123712002</v>
      </c>
      <c r="J4425">
        <v>0.52943213399003897</v>
      </c>
      <c r="K4425">
        <v>0.43784634755208102</v>
      </c>
      <c r="L4425">
        <v>918.53738577443403</v>
      </c>
      <c r="M4425">
        <v>17.690338148805601</v>
      </c>
      <c r="N4425">
        <v>59.887624126811197</v>
      </c>
      <c r="O4425">
        <v>51.273243888845997</v>
      </c>
      <c r="P4425">
        <v>-4.72322183091545E-2</v>
      </c>
      <c r="Q4425">
        <v>0.45244207391649699</v>
      </c>
      <c r="R4425">
        <v>0.94885049218856699</v>
      </c>
      <c r="S4425" t="s">
        <v>10008</v>
      </c>
      <c r="T4425" t="s">
        <v>11164</v>
      </c>
      <c r="U4425" t="s">
        <v>11164</v>
      </c>
      <c r="V4425" t="s">
        <v>11164</v>
      </c>
      <c r="W4425" t="s">
        <v>15545</v>
      </c>
      <c r="X4425">
        <v>6</v>
      </c>
      <c r="Y4425" t="s">
        <v>21016</v>
      </c>
      <c r="Z4425" t="s">
        <v>26575</v>
      </c>
      <c r="AA4425">
        <v>0.73332438004609912</v>
      </c>
      <c r="AB4425" t="str">
        <f>HYPERLINK("Melting_Curves/meltCurve_Q96Q83_ALKBH3.pdf", "Melting_Curves/meltCurve_Q96Q83_ALKBH3.pdf")</f>
        <v>Melting_Curves/meltCurve_Q96Q83_ALKBH3.pdf</v>
      </c>
    </row>
    <row r="4426" spans="1:28" x14ac:dyDescent="0.25">
      <c r="A4426" t="s">
        <v>4430</v>
      </c>
      <c r="B4426">
        <v>0.99796759195183404</v>
      </c>
      <c r="C4426">
        <v>0.953546209350284</v>
      </c>
      <c r="D4426">
        <v>1.02555923953656</v>
      </c>
      <c r="E4426">
        <v>1.0988432557093699</v>
      </c>
      <c r="F4426">
        <v>0.76318695915916801</v>
      </c>
      <c r="G4426">
        <v>0.60644682785565696</v>
      </c>
      <c r="H4426">
        <v>0.38778602219750502</v>
      </c>
      <c r="I4426">
        <v>0.22002127959839199</v>
      </c>
      <c r="J4426">
        <v>7.1526587903690597E-2</v>
      </c>
      <c r="K4426">
        <v>0</v>
      </c>
      <c r="L4426">
        <v>909.64997320016403</v>
      </c>
      <c r="M4426">
        <v>16.425811435164501</v>
      </c>
      <c r="N4426">
        <v>55.379303224416802</v>
      </c>
      <c r="O4426">
        <v>54.578008127757599</v>
      </c>
      <c r="P4426">
        <v>-7.5245387284256296E-2</v>
      </c>
      <c r="Q4426">
        <v>0</v>
      </c>
      <c r="R4426">
        <v>0.97689377343431505</v>
      </c>
      <c r="S4426" t="s">
        <v>10009</v>
      </c>
      <c r="T4426" t="s">
        <v>11164</v>
      </c>
      <c r="U4426" t="s">
        <v>11164</v>
      </c>
      <c r="V4426" t="s">
        <v>11164</v>
      </c>
      <c r="W4426" t="s">
        <v>15546</v>
      </c>
      <c r="X4426">
        <v>2</v>
      </c>
      <c r="Y4426" t="s">
        <v>21017</v>
      </c>
      <c r="Z4426" t="s">
        <v>26576</v>
      </c>
      <c r="AA4426">
        <v>0.62538605377490308</v>
      </c>
      <c r="AB4426" t="str">
        <f>HYPERLINK("Melting_Curves/meltCurve_Q96QC0_PPP1R10.pdf", "Melting_Curves/meltCurve_Q96QC0_PPP1R10.pdf")</f>
        <v>Melting_Curves/meltCurve_Q96QC0_PPP1R10.pdf</v>
      </c>
    </row>
    <row r="4427" spans="1:28" x14ac:dyDescent="0.25">
      <c r="A4427" t="s">
        <v>4431</v>
      </c>
      <c r="B4427">
        <v>0.99796759195183404</v>
      </c>
      <c r="C4427">
        <v>0.98531788766995998</v>
      </c>
      <c r="D4427">
        <v>0.94519592254028695</v>
      </c>
      <c r="E4427">
        <v>0.75890350298059495</v>
      </c>
      <c r="F4427">
        <v>0.41989775163770598</v>
      </c>
      <c r="G4427">
        <v>0.33203285832199803</v>
      </c>
      <c r="H4427">
        <v>0.25229718720316102</v>
      </c>
      <c r="I4427">
        <v>0.20441772021141499</v>
      </c>
      <c r="J4427">
        <v>0.17480821141037001</v>
      </c>
      <c r="K4427">
        <v>0.10905356070174101</v>
      </c>
      <c r="L4427">
        <v>853.88931357060198</v>
      </c>
      <c r="M4427">
        <v>17.523295474411899</v>
      </c>
      <c r="N4427">
        <v>49.831535204993202</v>
      </c>
      <c r="O4427">
        <v>48.107487471688998</v>
      </c>
      <c r="P4427">
        <v>-7.6431992209563399E-2</v>
      </c>
      <c r="Q4427">
        <v>0.160717351547776</v>
      </c>
      <c r="R4427">
        <v>0.99139616593443003</v>
      </c>
      <c r="S4427" t="s">
        <v>10010</v>
      </c>
      <c r="T4427" t="s">
        <v>11164</v>
      </c>
      <c r="U4427" t="s">
        <v>11164</v>
      </c>
      <c r="V4427" t="s">
        <v>11164</v>
      </c>
      <c r="W4427" t="s">
        <v>15547</v>
      </c>
      <c r="X4427">
        <v>4</v>
      </c>
      <c r="Y4427" t="s">
        <v>21018</v>
      </c>
      <c r="Z4427" t="s">
        <v>26577</v>
      </c>
      <c r="AA4427">
        <v>0.50285480355083467</v>
      </c>
      <c r="AB4427" t="str">
        <f>HYPERLINK("Melting_Curves/meltCurve_Q96QD5_2_DEPDC7.pdf", "Melting_Curves/meltCurve_Q96QD5_2_DEPDC7.pdf")</f>
        <v>Melting_Curves/meltCurve_Q96QD5_2_DEPDC7.pdf</v>
      </c>
    </row>
    <row r="4428" spans="1:28" x14ac:dyDescent="0.25">
      <c r="A4428" t="s">
        <v>4432</v>
      </c>
      <c r="B4428">
        <v>0.99796759195183404</v>
      </c>
      <c r="C4428">
        <v>0.99077679795529405</v>
      </c>
      <c r="D4428">
        <v>0.93967352479982302</v>
      </c>
      <c r="E4428">
        <v>0.90002268544574904</v>
      </c>
      <c r="F4428">
        <v>0.83603542612845605</v>
      </c>
      <c r="G4428">
        <v>0.87458268935269701</v>
      </c>
      <c r="H4428">
        <v>0.46490591018133898</v>
      </c>
      <c r="I4428">
        <v>0.197637009005974</v>
      </c>
      <c r="J4428">
        <v>0.15377915455729799</v>
      </c>
      <c r="K4428">
        <v>0.119772344328668</v>
      </c>
      <c r="L4428">
        <v>1425.0270273526601</v>
      </c>
      <c r="M4428">
        <v>25.1414733548818</v>
      </c>
      <c r="N4428">
        <v>57.148471656668399</v>
      </c>
      <c r="O4428">
        <v>56.325383643786601</v>
      </c>
      <c r="P4428">
        <v>-0.10120670346454499</v>
      </c>
      <c r="Q4428">
        <v>9.3063236066242394E-2</v>
      </c>
      <c r="R4428">
        <v>0.97189773945371105</v>
      </c>
      <c r="S4428" t="s">
        <v>10011</v>
      </c>
      <c r="T4428" t="s">
        <v>11164</v>
      </c>
      <c r="U4428" t="s">
        <v>11164</v>
      </c>
      <c r="V4428" t="s">
        <v>11164</v>
      </c>
      <c r="W4428" t="s">
        <v>15548</v>
      </c>
      <c r="X4428">
        <v>16</v>
      </c>
      <c r="Y4428" t="s">
        <v>21019</v>
      </c>
      <c r="Z4428" t="s">
        <v>26578</v>
      </c>
      <c r="AA4428">
        <v>0.69496830956835987</v>
      </c>
      <c r="AB4428" t="str">
        <f>HYPERLINK("Melting_Curves/meltCurve_Q96QK1_VPS35.pdf", "Melting_Curves/meltCurve_Q96QK1_VPS35.pdf")</f>
        <v>Melting_Curves/meltCurve_Q96QK1_VPS35.pdf</v>
      </c>
    </row>
    <row r="4429" spans="1:28" x14ac:dyDescent="0.25">
      <c r="A4429" t="s">
        <v>4433</v>
      </c>
      <c r="B4429">
        <v>0.99796759195183404</v>
      </c>
      <c r="C4429">
        <v>0.89095466117157995</v>
      </c>
      <c r="D4429">
        <v>0.95148468965918698</v>
      </c>
      <c r="E4429">
        <v>0.94609800270529398</v>
      </c>
      <c r="F4429">
        <v>0.75789244887218499</v>
      </c>
      <c r="G4429">
        <v>0.373583782188326</v>
      </c>
      <c r="H4429">
        <v>0.44596048747645101</v>
      </c>
      <c r="I4429">
        <v>0.32292142595010997</v>
      </c>
      <c r="J4429">
        <v>0.17784771829681101</v>
      </c>
      <c r="K4429">
        <v>0.117133393445222</v>
      </c>
      <c r="L4429">
        <v>667.77764997351505</v>
      </c>
      <c r="M4429">
        <v>12.5090365858252</v>
      </c>
      <c r="N4429">
        <v>54.312130865524601</v>
      </c>
      <c r="O4429">
        <v>52.074381270806803</v>
      </c>
      <c r="P4429">
        <v>-5.4283668617467203E-2</v>
      </c>
      <c r="Q4429">
        <v>9.6266239840408399E-2</v>
      </c>
      <c r="R4429">
        <v>0.95011790793411199</v>
      </c>
      <c r="S4429" t="s">
        <v>10012</v>
      </c>
      <c r="T4429" t="s">
        <v>11164</v>
      </c>
      <c r="U4429" t="s">
        <v>11164</v>
      </c>
      <c r="V4429" t="s">
        <v>11164</v>
      </c>
      <c r="W4429" t="s">
        <v>15549</v>
      </c>
      <c r="X4429">
        <v>4</v>
      </c>
      <c r="Y4429" t="s">
        <v>21020</v>
      </c>
      <c r="Z4429" t="s">
        <v>26579</v>
      </c>
      <c r="AA4429">
        <v>0.60749089055487737</v>
      </c>
      <c r="AB4429" t="str">
        <f>HYPERLINK("Melting_Curves/meltCurve_Q96QR8_PURB.pdf", "Melting_Curves/meltCurve_Q96QR8_PURB.pdf")</f>
        <v>Melting_Curves/meltCurve_Q96QR8_PURB.pdf</v>
      </c>
    </row>
    <row r="4430" spans="1:28" x14ac:dyDescent="0.25">
      <c r="A4430" t="s">
        <v>4434</v>
      </c>
      <c r="B4430">
        <v>0.99796759195183404</v>
      </c>
      <c r="C4430">
        <v>1.05497122946861</v>
      </c>
      <c r="D4430">
        <v>1.04921519265749</v>
      </c>
      <c r="E4430">
        <v>1.0033313500290899</v>
      </c>
      <c r="F4430">
        <v>0.81693891678889397</v>
      </c>
      <c r="G4430">
        <v>0.33657963969346799</v>
      </c>
      <c r="H4430">
        <v>0.21216070894176201</v>
      </c>
      <c r="I4430">
        <v>0.198733026545442</v>
      </c>
      <c r="J4430">
        <v>0.157181925354129</v>
      </c>
      <c r="K4430">
        <v>0.127326657859401</v>
      </c>
      <c r="L4430">
        <v>1928.25053992841</v>
      </c>
      <c r="M4430">
        <v>37.1484095412603</v>
      </c>
      <c r="N4430">
        <v>52.4749540794772</v>
      </c>
      <c r="O4430">
        <v>51.756947769117303</v>
      </c>
      <c r="P4430">
        <v>-0.14971988597629601</v>
      </c>
      <c r="Q4430">
        <v>0.16561459299640699</v>
      </c>
      <c r="R4430">
        <v>0.99444028807815499</v>
      </c>
      <c r="S4430" t="s">
        <v>10013</v>
      </c>
      <c r="T4430" t="s">
        <v>11164</v>
      </c>
      <c r="U4430" t="s">
        <v>11164</v>
      </c>
      <c r="V4430" t="s">
        <v>11164</v>
      </c>
      <c r="W4430" t="s">
        <v>15550</v>
      </c>
      <c r="X4430">
        <v>7</v>
      </c>
      <c r="Y4430" t="s">
        <v>21021</v>
      </c>
      <c r="Z4430" t="s">
        <v>26580</v>
      </c>
      <c r="AA4430">
        <v>0.58367248699627894</v>
      </c>
      <c r="AB4430" t="str">
        <f>HYPERLINK("Melting_Curves/meltCurve_Q96QU8_XPO6.pdf", "Melting_Curves/meltCurve_Q96QU8_XPO6.pdf")</f>
        <v>Melting_Curves/meltCurve_Q96QU8_XPO6.pdf</v>
      </c>
    </row>
    <row r="4431" spans="1:28" x14ac:dyDescent="0.25">
      <c r="A4431" t="s">
        <v>4435</v>
      </c>
      <c r="B4431">
        <v>0.99796759195183404</v>
      </c>
      <c r="C4431">
        <v>0.95147431838712704</v>
      </c>
      <c r="D4431">
        <v>0.931654679153188</v>
      </c>
      <c r="E4431">
        <v>0.80311008452368204</v>
      </c>
      <c r="F4431">
        <v>0.53802045342664195</v>
      </c>
      <c r="G4431">
        <v>0.27836500820109</v>
      </c>
      <c r="H4431">
        <v>0.20605744131915801</v>
      </c>
      <c r="I4431">
        <v>0.17593268833030501</v>
      </c>
      <c r="J4431">
        <v>0.109356994852277</v>
      </c>
      <c r="K4431">
        <v>7.5185225070724004E-2</v>
      </c>
      <c r="L4431">
        <v>807.75576253931001</v>
      </c>
      <c r="M4431">
        <v>16.142137523598901</v>
      </c>
      <c r="N4431">
        <v>50.650258374384798</v>
      </c>
      <c r="O4431">
        <v>49.291130383943802</v>
      </c>
      <c r="P4431">
        <v>-7.4644068052186999E-2</v>
      </c>
      <c r="Q4431">
        <v>8.8345991366615695E-2</v>
      </c>
      <c r="R4431">
        <v>0.99600322514861905</v>
      </c>
      <c r="S4431" t="s">
        <v>10014</v>
      </c>
      <c r="T4431" t="s">
        <v>11164</v>
      </c>
      <c r="U4431" t="s">
        <v>11164</v>
      </c>
      <c r="V4431" t="s">
        <v>11164</v>
      </c>
      <c r="W4431" t="s">
        <v>15551</v>
      </c>
      <c r="X4431">
        <v>11</v>
      </c>
      <c r="Y4431" t="s">
        <v>21022</v>
      </c>
      <c r="Z4431" t="s">
        <v>26581</v>
      </c>
      <c r="AA4431">
        <v>0.50168444549840396</v>
      </c>
      <c r="AB4431" t="str">
        <f>HYPERLINK("Melting_Curves/meltCurve_Q96R06_SPAG5.pdf", "Melting_Curves/meltCurve_Q96R06_SPAG5.pdf")</f>
        <v>Melting_Curves/meltCurve_Q96R06_SPAG5.pdf</v>
      </c>
    </row>
    <row r="4432" spans="1:28" x14ac:dyDescent="0.25">
      <c r="A4432" t="s">
        <v>4436</v>
      </c>
      <c r="B4432">
        <v>0.99796759195183404</v>
      </c>
      <c r="C4432">
        <v>1.0571924530955099</v>
      </c>
      <c r="D4432">
        <v>1.0109914524819501</v>
      </c>
      <c r="E4432">
        <v>0.93479020512791799</v>
      </c>
      <c r="F4432">
        <v>0.77255675927258205</v>
      </c>
      <c r="G4432">
        <v>0.344296130340633</v>
      </c>
      <c r="H4432">
        <v>0.232038551570447</v>
      </c>
      <c r="I4432">
        <v>0.18573936237595101</v>
      </c>
      <c r="J4432">
        <v>0.15131031683406301</v>
      </c>
      <c r="K4432">
        <v>9.4223796024381898E-2</v>
      </c>
      <c r="L4432">
        <v>1408.1327177273999</v>
      </c>
      <c r="M4432">
        <v>27.159040415050299</v>
      </c>
      <c r="N4432">
        <v>52.489373580755299</v>
      </c>
      <c r="O4432">
        <v>51.569011968605302</v>
      </c>
      <c r="P4432">
        <v>-0.113064683314947</v>
      </c>
      <c r="Q4432">
        <v>0.141268991785236</v>
      </c>
      <c r="R4432">
        <v>0.99331758980217899</v>
      </c>
      <c r="S4432" t="s">
        <v>10015</v>
      </c>
      <c r="T4432" t="s">
        <v>11164</v>
      </c>
      <c r="U4432" t="s">
        <v>11164</v>
      </c>
      <c r="V4432" t="s">
        <v>11164</v>
      </c>
      <c r="W4432" t="s">
        <v>15552</v>
      </c>
      <c r="X4432">
        <v>6</v>
      </c>
      <c r="Y4432" t="s">
        <v>21023</v>
      </c>
      <c r="Z4432" t="s">
        <v>26582</v>
      </c>
      <c r="AA4432">
        <v>0.57280540489263676</v>
      </c>
      <c r="AB4432" t="str">
        <f>HYPERLINK("Melting_Curves/meltCurve_Q96RE7_NACC1.pdf", "Melting_Curves/meltCurve_Q96RE7_NACC1.pdf")</f>
        <v>Melting_Curves/meltCurve_Q96RE7_NACC1.pdf</v>
      </c>
    </row>
    <row r="4433" spans="1:28" x14ac:dyDescent="0.25">
      <c r="A4433" t="s">
        <v>4437</v>
      </c>
      <c r="B4433">
        <v>0.99796759195183404</v>
      </c>
      <c r="C4433">
        <v>1.0243845758401</v>
      </c>
      <c r="D4433">
        <v>0.975961391827188</v>
      </c>
      <c r="E4433">
        <v>0.84151627585404698</v>
      </c>
      <c r="F4433">
        <v>0.71115995141841004</v>
      </c>
      <c r="G4433">
        <v>0.30245136525129801</v>
      </c>
      <c r="H4433">
        <v>0.17321517697159999</v>
      </c>
      <c r="I4433">
        <v>8.3871297439129799E-2</v>
      </c>
      <c r="J4433">
        <v>0.180910436401025</v>
      </c>
      <c r="K4433">
        <v>6.5993954794130297E-2</v>
      </c>
      <c r="L4433">
        <v>1113.6783345895401</v>
      </c>
      <c r="M4433">
        <v>21.695042051235799</v>
      </c>
      <c r="N4433">
        <v>51.814348982138299</v>
      </c>
      <c r="O4433">
        <v>50.903138160737697</v>
      </c>
      <c r="P4433">
        <v>-9.6834108223460197E-2</v>
      </c>
      <c r="Q4433">
        <v>9.1212884205481404E-2</v>
      </c>
      <c r="R4433">
        <v>0.98801011207498102</v>
      </c>
      <c r="S4433" t="s">
        <v>10016</v>
      </c>
      <c r="T4433" t="s">
        <v>11164</v>
      </c>
      <c r="U4433" t="s">
        <v>11164</v>
      </c>
      <c r="V4433" t="s">
        <v>11164</v>
      </c>
      <c r="W4433" t="s">
        <v>15553</v>
      </c>
      <c r="X4433">
        <v>1</v>
      </c>
      <c r="Y4433" t="s">
        <v>21024</v>
      </c>
      <c r="Z4433" t="s">
        <v>26583</v>
      </c>
      <c r="AA4433">
        <v>0.53575408772422395</v>
      </c>
      <c r="AB4433" t="str">
        <f>HYPERLINK("Melting_Curves/meltCurve_Q96RF0_3_SNX18.pdf", "Melting_Curves/meltCurve_Q96RF0_3_SNX18.pdf")</f>
        <v>Melting_Curves/meltCurve_Q96RF0_3_SNX18.pdf</v>
      </c>
    </row>
    <row r="4434" spans="1:28" x14ac:dyDescent="0.25">
      <c r="A4434" t="s">
        <v>4438</v>
      </c>
      <c r="B4434">
        <v>0.99796759195183404</v>
      </c>
      <c r="C4434">
        <v>0.89306333666079796</v>
      </c>
      <c r="D4434">
        <v>0.83372965555566203</v>
      </c>
      <c r="E4434">
        <v>0.94152675824423004</v>
      </c>
      <c r="F4434">
        <v>0.74231936524530395</v>
      </c>
      <c r="G4434">
        <v>0.54154313751954897</v>
      </c>
      <c r="H4434">
        <v>0.29239507977180701</v>
      </c>
      <c r="I4434">
        <v>0.227928032269061</v>
      </c>
      <c r="J4434">
        <v>0.276742301798093</v>
      </c>
      <c r="K4434">
        <v>0.14335211391959399</v>
      </c>
      <c r="L4434">
        <v>727.68366890237405</v>
      </c>
      <c r="M4434">
        <v>13.7183517028712</v>
      </c>
      <c r="N4434">
        <v>54.169853947083404</v>
      </c>
      <c r="O4434">
        <v>51.955469748065397</v>
      </c>
      <c r="P4434">
        <v>-5.7834083776960803E-2</v>
      </c>
      <c r="Q4434">
        <v>0.123986131241714</v>
      </c>
      <c r="R4434">
        <v>0.95755531036712704</v>
      </c>
      <c r="S4434" t="s">
        <v>10017</v>
      </c>
      <c r="T4434" t="s">
        <v>11164</v>
      </c>
      <c r="U4434" t="s">
        <v>11164</v>
      </c>
      <c r="V4434" t="s">
        <v>11164</v>
      </c>
      <c r="W4434" t="s">
        <v>15554</v>
      </c>
      <c r="X4434">
        <v>7</v>
      </c>
      <c r="Y4434" t="s">
        <v>21025</v>
      </c>
      <c r="Z4434" t="s">
        <v>26584</v>
      </c>
      <c r="AA4434">
        <v>0.60932552161730702</v>
      </c>
      <c r="AB4434" t="str">
        <f>HYPERLINK("Melting_Curves/meltCurve_Q96RG2_PASK.pdf", "Melting_Curves/meltCurve_Q96RG2_PASK.pdf")</f>
        <v>Melting_Curves/meltCurve_Q96RG2_PASK.pdf</v>
      </c>
    </row>
    <row r="4435" spans="1:28" x14ac:dyDescent="0.25">
      <c r="A4435" t="s">
        <v>4439</v>
      </c>
      <c r="B4435">
        <v>0.99796759195183404</v>
      </c>
      <c r="C4435">
        <v>0.95663050248472004</v>
      </c>
      <c r="D4435">
        <v>1.0539754942331601</v>
      </c>
      <c r="E4435">
        <v>1.0461137653233199</v>
      </c>
      <c r="F4435">
        <v>0.79209014382320897</v>
      </c>
      <c r="G4435">
        <v>0.96567028007889799</v>
      </c>
      <c r="H4435">
        <v>0.82513408706798896</v>
      </c>
      <c r="I4435">
        <v>0.71806225546818003</v>
      </c>
      <c r="J4435">
        <v>0.51460321824037902</v>
      </c>
      <c r="K4435">
        <v>0.35239238676735501</v>
      </c>
      <c r="L4435">
        <v>845.18765605732995</v>
      </c>
      <c r="M4435">
        <v>13.117105450129699</v>
      </c>
      <c r="N4435">
        <v>64.434011636986696</v>
      </c>
      <c r="O4435">
        <v>62.991627315357697</v>
      </c>
      <c r="P4435">
        <v>-5.2067813723571603E-2</v>
      </c>
      <c r="Q4435">
        <v>0</v>
      </c>
      <c r="R4435">
        <v>0.90953341128955201</v>
      </c>
      <c r="S4435" t="s">
        <v>10018</v>
      </c>
      <c r="T4435" t="s">
        <v>11164</v>
      </c>
      <c r="U4435" t="s">
        <v>11164</v>
      </c>
      <c r="V4435" t="s">
        <v>11164</v>
      </c>
      <c r="W4435" t="s">
        <v>15555</v>
      </c>
      <c r="X4435">
        <v>1</v>
      </c>
      <c r="Y4435" t="s">
        <v>21026</v>
      </c>
      <c r="Z4435" t="s">
        <v>26585</v>
      </c>
      <c r="AA4435">
        <v>0.85494349782903867</v>
      </c>
      <c r="AB4435" t="str">
        <f>HYPERLINK("Melting_Curves/meltCurve_Q96RL7_4_VPS13A.pdf", "Melting_Curves/meltCurve_Q96RL7_4_VPS13A.pdf")</f>
        <v>Melting_Curves/meltCurve_Q96RL7_4_VPS13A.pdf</v>
      </c>
    </row>
    <row r="4436" spans="1:28" x14ac:dyDescent="0.25">
      <c r="A4436" t="s">
        <v>4440</v>
      </c>
      <c r="B4436">
        <v>0.99796759195183404</v>
      </c>
      <c r="C4436">
        <v>0.99156695492862301</v>
      </c>
      <c r="D4436">
        <v>0.99711700721094998</v>
      </c>
      <c r="E4436">
        <v>0.93225614995871697</v>
      </c>
      <c r="F4436">
        <v>0.58688075305319198</v>
      </c>
      <c r="G4436">
        <v>0.28668505488103202</v>
      </c>
      <c r="H4436">
        <v>0.123434683318773</v>
      </c>
      <c r="I4436">
        <v>9.82249048225039E-2</v>
      </c>
      <c r="J4436">
        <v>7.7206349867106699E-2</v>
      </c>
      <c r="K4436">
        <v>5.6237734841805297E-2</v>
      </c>
      <c r="L4436">
        <v>1214.41524539177</v>
      </c>
      <c r="M4436">
        <v>23.870116645695301</v>
      </c>
      <c r="N4436">
        <v>51.196341674190499</v>
      </c>
      <c r="O4436">
        <v>50.522928994955997</v>
      </c>
      <c r="P4436">
        <v>-0.109922611210181</v>
      </c>
      <c r="Q4436">
        <v>6.9376554857529402E-2</v>
      </c>
      <c r="R4436">
        <v>0.998790776268629</v>
      </c>
      <c r="S4436" t="s">
        <v>10019</v>
      </c>
      <c r="T4436" t="s">
        <v>11164</v>
      </c>
      <c r="U4436" t="s">
        <v>11164</v>
      </c>
      <c r="V4436" t="s">
        <v>11164</v>
      </c>
      <c r="W4436" t="s">
        <v>15556</v>
      </c>
      <c r="X4436">
        <v>18</v>
      </c>
      <c r="Y4436" t="s">
        <v>21027</v>
      </c>
      <c r="Z4436" t="s">
        <v>26586</v>
      </c>
      <c r="AA4436">
        <v>0.50875547485495087</v>
      </c>
      <c r="AB4436" t="str">
        <f>HYPERLINK("Melting_Curves/meltCurve_Q96RP9_GFM1.pdf", "Melting_Curves/meltCurve_Q96RP9_GFM1.pdf")</f>
        <v>Melting_Curves/meltCurve_Q96RP9_GFM1.pdf</v>
      </c>
    </row>
    <row r="4437" spans="1:28" x14ac:dyDescent="0.25">
      <c r="A4437" t="s">
        <v>4441</v>
      </c>
      <c r="B4437">
        <v>0.99796759195183404</v>
      </c>
      <c r="C4437">
        <v>1.3746286507438299</v>
      </c>
      <c r="D4437">
        <v>1.28160704114864</v>
      </c>
      <c r="E4437">
        <v>1.52644317667047</v>
      </c>
      <c r="F4437">
        <v>1.270106533276</v>
      </c>
      <c r="G4437">
        <v>0.79082000672930397</v>
      </c>
      <c r="H4437">
        <v>1.6254767648653801</v>
      </c>
      <c r="I4437">
        <v>1.27547313956008</v>
      </c>
      <c r="J4437">
        <v>1.1482996681435</v>
      </c>
      <c r="K4437">
        <v>1.20547988671372</v>
      </c>
      <c r="L4437">
        <v>9526.7899573383693</v>
      </c>
      <c r="M4437">
        <v>250</v>
      </c>
      <c r="O4437">
        <v>38.104721232867803</v>
      </c>
      <c r="P4437">
        <v>0.455312496079671</v>
      </c>
      <c r="Q4437">
        <v>1.2775928914004899</v>
      </c>
      <c r="R4437">
        <v>0.13488332997997499</v>
      </c>
      <c r="S4437" t="s">
        <v>10020</v>
      </c>
      <c r="T4437" t="s">
        <v>11164</v>
      </c>
      <c r="U4437" t="s">
        <v>11164</v>
      </c>
      <c r="V4437" t="s">
        <v>11164</v>
      </c>
      <c r="W4437" t="s">
        <v>15557</v>
      </c>
      <c r="X4437">
        <v>1</v>
      </c>
      <c r="Y4437" t="s">
        <v>21028</v>
      </c>
      <c r="Z4437" t="s">
        <v>26587</v>
      </c>
      <c r="AA4437">
        <v>1.2673289263781271</v>
      </c>
      <c r="AB4437" t="str">
        <f>HYPERLINK("Melting_Curves/meltCurve_Q96RR1_PEO1.pdf", "Melting_Curves/meltCurve_Q96RR1_PEO1.pdf")</f>
        <v>Melting_Curves/meltCurve_Q96RR1_PEO1.pdf</v>
      </c>
    </row>
    <row r="4438" spans="1:28" x14ac:dyDescent="0.25">
      <c r="A4438" t="s">
        <v>4442</v>
      </c>
      <c r="B4438">
        <v>0.99796759195183404</v>
      </c>
      <c r="C4438">
        <v>1.1349649238066699</v>
      </c>
      <c r="D4438">
        <v>1.08056001952697</v>
      </c>
      <c r="E4438">
        <v>0.95744818308993096</v>
      </c>
      <c r="F4438">
        <v>0.79570878346438001</v>
      </c>
      <c r="G4438">
        <v>0.435428863929326</v>
      </c>
      <c r="H4438">
        <v>0.195429875243878</v>
      </c>
      <c r="I4438">
        <v>0.159022769118669</v>
      </c>
      <c r="J4438">
        <v>0.117970078118713</v>
      </c>
      <c r="K4438">
        <v>8.3933839494831602E-2</v>
      </c>
      <c r="L4438">
        <v>1319.2236985442401</v>
      </c>
      <c r="M4438">
        <v>25.055176030834101</v>
      </c>
      <c r="N4438">
        <v>53.144793654776997</v>
      </c>
      <c r="O4438">
        <v>52.3207792841811</v>
      </c>
      <c r="P4438">
        <v>-0.107327390140321</v>
      </c>
      <c r="Q4438">
        <v>0.103518345415635</v>
      </c>
      <c r="R4438">
        <v>0.984462853099772</v>
      </c>
      <c r="S4438" t="s">
        <v>10021</v>
      </c>
      <c r="T4438" t="s">
        <v>11164</v>
      </c>
      <c r="U4438" t="s">
        <v>11164</v>
      </c>
      <c r="V4438" t="s">
        <v>11164</v>
      </c>
      <c r="W4438" t="s">
        <v>15558</v>
      </c>
      <c r="X4438">
        <v>8</v>
      </c>
      <c r="Y4438" t="s">
        <v>21029</v>
      </c>
      <c r="Z4438" t="s">
        <v>26588</v>
      </c>
      <c r="AA4438">
        <v>0.57917067484060925</v>
      </c>
      <c r="AB4438" t="str">
        <f>HYPERLINK("Melting_Curves/meltCurve_Q96RR4_2_CAMKK2.pdf", "Melting_Curves/meltCurve_Q96RR4_2_CAMKK2.pdf")</f>
        <v>Melting_Curves/meltCurve_Q96RR4_2_CAMKK2.pdf</v>
      </c>
    </row>
    <row r="4439" spans="1:28" x14ac:dyDescent="0.25">
      <c r="A4439" t="s">
        <v>4443</v>
      </c>
      <c r="B4439">
        <v>0.99796759195183404</v>
      </c>
      <c r="C4439">
        <v>1.00453096004406</v>
      </c>
      <c r="D4439">
        <v>1.01475692328642</v>
      </c>
      <c r="E4439">
        <v>0.90928519666436802</v>
      </c>
      <c r="F4439">
        <v>0.83511852653468999</v>
      </c>
      <c r="G4439">
        <v>0.61616585688400405</v>
      </c>
      <c r="H4439">
        <v>0.43648901551494601</v>
      </c>
      <c r="I4439">
        <v>0.33881085889208801</v>
      </c>
      <c r="J4439">
        <v>0.22937861328523401</v>
      </c>
      <c r="K4439">
        <v>0.18917139368495001</v>
      </c>
      <c r="L4439">
        <v>747.74438116674401</v>
      </c>
      <c r="M4439">
        <v>13.578289941161801</v>
      </c>
      <c r="N4439">
        <v>56.263282099934898</v>
      </c>
      <c r="O4439">
        <v>53.915838765109697</v>
      </c>
      <c r="P4439">
        <v>-5.5086538937878501E-2</v>
      </c>
      <c r="Q4439">
        <v>0.12519347746405099</v>
      </c>
      <c r="R4439">
        <v>0.99661561532630105</v>
      </c>
      <c r="S4439" t="s">
        <v>10022</v>
      </c>
      <c r="T4439" t="s">
        <v>11164</v>
      </c>
      <c r="U4439" t="s">
        <v>11164</v>
      </c>
      <c r="V4439" t="s">
        <v>11164</v>
      </c>
      <c r="W4439" t="s">
        <v>15559</v>
      </c>
      <c r="X4439">
        <v>8</v>
      </c>
      <c r="Y4439" t="s">
        <v>21030</v>
      </c>
      <c r="Z4439" t="s">
        <v>26589</v>
      </c>
      <c r="AA4439">
        <v>0.66453767707576494</v>
      </c>
      <c r="AB4439" t="str">
        <f>HYPERLINK("Melting_Curves/meltCurve_Q96RS6_NUDCD1.pdf", "Melting_Curves/meltCurve_Q96RS6_NUDCD1.pdf")</f>
        <v>Melting_Curves/meltCurve_Q96RS6_NUDCD1.pdf</v>
      </c>
    </row>
    <row r="4440" spans="1:28" x14ac:dyDescent="0.25">
      <c r="A4440" t="s">
        <v>4444</v>
      </c>
      <c r="B4440">
        <v>0.99796759195183404</v>
      </c>
      <c r="C4440">
        <v>0.964415806919247</v>
      </c>
      <c r="D4440">
        <v>0.948094570296379</v>
      </c>
      <c r="E4440">
        <v>0.85674117032590302</v>
      </c>
      <c r="F4440">
        <v>0.71416901516946696</v>
      </c>
      <c r="G4440">
        <v>0.43253668768863801</v>
      </c>
      <c r="H4440">
        <v>0.28909635881439499</v>
      </c>
      <c r="I4440">
        <v>0.22409602889525601</v>
      </c>
      <c r="J4440">
        <v>0.141730662925828</v>
      </c>
      <c r="K4440">
        <v>0.10456300857446001</v>
      </c>
      <c r="L4440">
        <v>718.12721208772405</v>
      </c>
      <c r="M4440">
        <v>13.6560343233811</v>
      </c>
      <c r="N4440">
        <v>53.177616875879401</v>
      </c>
      <c r="O4440">
        <v>51.497592559435198</v>
      </c>
      <c r="P4440">
        <v>-6.1637313928602902E-2</v>
      </c>
      <c r="Q4440">
        <v>7.0385913641550904E-2</v>
      </c>
      <c r="R4440">
        <v>0.996713626665236</v>
      </c>
      <c r="S4440" t="s">
        <v>10023</v>
      </c>
      <c r="T4440" t="s">
        <v>11164</v>
      </c>
      <c r="U4440" t="s">
        <v>11164</v>
      </c>
      <c r="V4440" t="s">
        <v>11164</v>
      </c>
      <c r="W4440" t="s">
        <v>15560</v>
      </c>
      <c r="X4440">
        <v>7</v>
      </c>
      <c r="Y4440" t="s">
        <v>21031</v>
      </c>
      <c r="Z4440" t="s">
        <v>26590</v>
      </c>
      <c r="AA4440">
        <v>0.57211737435554466</v>
      </c>
      <c r="AB4440" t="str">
        <f>HYPERLINK("Melting_Curves/meltCurve_Q96RT1_7_ERBB2IP.pdf", "Melting_Curves/meltCurve_Q96RT1_7_ERBB2IP.pdf")</f>
        <v>Melting_Curves/meltCurve_Q96RT1_7_ERBB2IP.pdf</v>
      </c>
    </row>
    <row r="4441" spans="1:28" x14ac:dyDescent="0.25">
      <c r="A4441" t="s">
        <v>4445</v>
      </c>
      <c r="B4441">
        <v>0.99796759195183404</v>
      </c>
      <c r="C4441">
        <v>1.0761327285307101</v>
      </c>
      <c r="D4441">
        <v>1.0973882891547999</v>
      </c>
      <c r="E4441">
        <v>0.84827774753496499</v>
      </c>
      <c r="F4441">
        <v>0.50826058023687504</v>
      </c>
      <c r="G4441">
        <v>0.34715592138478901</v>
      </c>
      <c r="H4441">
        <v>0.271275536374043</v>
      </c>
      <c r="I4441">
        <v>0.33592694864524297</v>
      </c>
      <c r="J4441">
        <v>0.21094494266341901</v>
      </c>
      <c r="K4441">
        <v>0.32256004007080502</v>
      </c>
      <c r="L4441">
        <v>1499.0749578621501</v>
      </c>
      <c r="M4441">
        <v>30.679416308332701</v>
      </c>
      <c r="N4441">
        <v>50.263353565483598</v>
      </c>
      <c r="O4441">
        <v>48.656368480353798</v>
      </c>
      <c r="P4441">
        <v>-0.11233642191861699</v>
      </c>
      <c r="Q4441">
        <v>0.28735935265533202</v>
      </c>
      <c r="R4441">
        <v>0.97586008697957205</v>
      </c>
      <c r="S4441" t="s">
        <v>10024</v>
      </c>
      <c r="T4441" t="s">
        <v>11164</v>
      </c>
      <c r="U4441" t="s">
        <v>11164</v>
      </c>
      <c r="V4441" t="s">
        <v>11164</v>
      </c>
      <c r="W4441" t="s">
        <v>15561</v>
      </c>
      <c r="X4441">
        <v>1</v>
      </c>
      <c r="Y4441" t="s">
        <v>21032</v>
      </c>
      <c r="Z4441" t="s">
        <v>26591</v>
      </c>
      <c r="AA4441">
        <v>0.57325127563192058</v>
      </c>
      <c r="AB4441" t="str">
        <f>HYPERLINK("Melting_Curves/meltCurve_Q96RU2_2_USP28.pdf", "Melting_Curves/meltCurve_Q96RU2_2_USP28.pdf")</f>
        <v>Melting_Curves/meltCurve_Q96RU2_2_USP28.pdf</v>
      </c>
    </row>
    <row r="4442" spans="1:28" x14ac:dyDescent="0.25">
      <c r="A4442" t="s">
        <v>4446</v>
      </c>
      <c r="B4442">
        <v>0.99796759195183404</v>
      </c>
      <c r="C4442">
        <v>1.07027719359915</v>
      </c>
      <c r="D4442">
        <v>1.10604353695624</v>
      </c>
      <c r="E4442">
        <v>0.92597198911372203</v>
      </c>
      <c r="F4442">
        <v>0.74848988133425798</v>
      </c>
      <c r="G4442">
        <v>0.40730277280624</v>
      </c>
      <c r="H4442">
        <v>0.29974781325786098</v>
      </c>
      <c r="I4442">
        <v>0.20809646100329199</v>
      </c>
      <c r="J4442">
        <v>0.196307184230395</v>
      </c>
      <c r="K4442">
        <v>0.14792940078546599</v>
      </c>
      <c r="L4442">
        <v>1184.71155503865</v>
      </c>
      <c r="M4442">
        <v>22.8225718883578</v>
      </c>
      <c r="N4442">
        <v>52.923080267612399</v>
      </c>
      <c r="O4442">
        <v>51.516029962766801</v>
      </c>
      <c r="P4442">
        <v>-9.1150043289650096E-2</v>
      </c>
      <c r="Q4442">
        <v>0.17702562003647601</v>
      </c>
      <c r="R4442">
        <v>0.98466443485173905</v>
      </c>
      <c r="S4442" t="s">
        <v>10025</v>
      </c>
      <c r="T4442" t="s">
        <v>11164</v>
      </c>
      <c r="U4442" t="s">
        <v>11164</v>
      </c>
      <c r="V4442" t="s">
        <v>11164</v>
      </c>
      <c r="W4442" t="s">
        <v>15562</v>
      </c>
      <c r="X4442">
        <v>6</v>
      </c>
      <c r="Y4442" t="s">
        <v>21033</v>
      </c>
      <c r="Z4442" t="s">
        <v>26592</v>
      </c>
      <c r="AA4442">
        <v>0.59459497044517751</v>
      </c>
      <c r="AB4442" t="str">
        <f>HYPERLINK("Melting_Curves/meltCurve_Q96RU3_4_FNBP1.pdf", "Melting_Curves/meltCurve_Q96RU3_4_FNBP1.pdf")</f>
        <v>Melting_Curves/meltCurve_Q96RU3_4_FNBP1.pdf</v>
      </c>
    </row>
    <row r="4443" spans="1:28" x14ac:dyDescent="0.25">
      <c r="A4443" t="s">
        <v>4447</v>
      </c>
      <c r="B4443">
        <v>0.99796759195183404</v>
      </c>
      <c r="C4443">
        <v>0.94958127674833803</v>
      </c>
      <c r="D4443">
        <v>0.93216290554318804</v>
      </c>
      <c r="E4443">
        <v>0.90820757647778305</v>
      </c>
      <c r="F4443">
        <v>0.80844725925128702</v>
      </c>
      <c r="G4443">
        <v>0.47168389736135402</v>
      </c>
      <c r="H4443">
        <v>0.29725890493240797</v>
      </c>
      <c r="I4443">
        <v>0.23039939813136401</v>
      </c>
      <c r="J4443">
        <v>0.158682599172037</v>
      </c>
      <c r="K4443">
        <v>0.121790919283622</v>
      </c>
      <c r="L4443">
        <v>922.59893164373295</v>
      </c>
      <c r="M4443">
        <v>17.386528769156001</v>
      </c>
      <c r="N4443">
        <v>53.877905489029501</v>
      </c>
      <c r="O4443">
        <v>52.376954858209899</v>
      </c>
      <c r="P4443">
        <v>-7.3407171086491002E-2</v>
      </c>
      <c r="Q4443">
        <v>0.11549299702627799</v>
      </c>
      <c r="R4443">
        <v>0.99150771200955301</v>
      </c>
      <c r="S4443" t="s">
        <v>10026</v>
      </c>
      <c r="T4443" t="s">
        <v>11164</v>
      </c>
      <c r="U4443" t="s">
        <v>11164</v>
      </c>
      <c r="V4443" t="s">
        <v>11164</v>
      </c>
      <c r="W4443" t="s">
        <v>15563</v>
      </c>
      <c r="X4443">
        <v>4</v>
      </c>
      <c r="Y4443" t="s">
        <v>21034</v>
      </c>
      <c r="Z4443" t="s">
        <v>26593</v>
      </c>
      <c r="AA4443">
        <v>0.60250292015933382</v>
      </c>
      <c r="AB4443" t="str">
        <f>HYPERLINK("Melting_Curves/meltCurve_Q96S19_C16orf13.pdf", "Melting_Curves/meltCurve_Q96S19_C16orf13.pdf")</f>
        <v>Melting_Curves/meltCurve_Q96S19_C16orf13.pdf</v>
      </c>
    </row>
    <row r="4444" spans="1:28" x14ac:dyDescent="0.25">
      <c r="A4444" t="s">
        <v>4448</v>
      </c>
      <c r="B4444">
        <v>0.99796759195183404</v>
      </c>
      <c r="C4444">
        <v>0.99786346828764805</v>
      </c>
      <c r="D4444">
        <v>0.99848490795603695</v>
      </c>
      <c r="E4444">
        <v>0.95584225029981595</v>
      </c>
      <c r="F4444">
        <v>0.89267151263726696</v>
      </c>
      <c r="G4444">
        <v>0.81419967432470997</v>
      </c>
      <c r="H4444">
        <v>0.52498327852275894</v>
      </c>
      <c r="I4444">
        <v>0.291342968884441</v>
      </c>
      <c r="J4444">
        <v>0.14133543527800099</v>
      </c>
      <c r="K4444">
        <v>8.0090740372594796E-2</v>
      </c>
      <c r="L4444">
        <v>1007.01040987154</v>
      </c>
      <c r="M4444">
        <v>17.422869802514199</v>
      </c>
      <c r="N4444">
        <v>57.798195135175199</v>
      </c>
      <c r="O4444">
        <v>57.052894581639499</v>
      </c>
      <c r="P4444">
        <v>-7.6349532254458993E-2</v>
      </c>
      <c r="Q4444">
        <v>0</v>
      </c>
      <c r="R4444">
        <v>0.99719196988296499</v>
      </c>
      <c r="S4444" t="s">
        <v>10027</v>
      </c>
      <c r="T4444" t="s">
        <v>11164</v>
      </c>
      <c r="U4444" t="s">
        <v>11164</v>
      </c>
      <c r="V4444" t="s">
        <v>11164</v>
      </c>
      <c r="W4444" t="s">
        <v>15564</v>
      </c>
      <c r="X4444">
        <v>9</v>
      </c>
      <c r="Y4444" t="s">
        <v>21035</v>
      </c>
      <c r="Z4444" t="s">
        <v>26594</v>
      </c>
      <c r="AA4444">
        <v>0.69996202736726099</v>
      </c>
      <c r="AB4444" t="str">
        <f>HYPERLINK("Melting_Curves/meltCurve_Q96S44_TP53RK.pdf", "Melting_Curves/meltCurve_Q96S44_TP53RK.pdf")</f>
        <v>Melting_Curves/meltCurve_Q96S44_TP53RK.pdf</v>
      </c>
    </row>
    <row r="4445" spans="1:28" x14ac:dyDescent="0.25">
      <c r="A4445" t="s">
        <v>4449</v>
      </c>
      <c r="B4445">
        <v>0.99796759195183404</v>
      </c>
      <c r="C4445">
        <v>0.85592586022050898</v>
      </c>
      <c r="D4445">
        <v>0.78054007324018704</v>
      </c>
      <c r="E4445">
        <v>0.88126044580372798</v>
      </c>
      <c r="F4445">
        <v>0.75228807352051397</v>
      </c>
      <c r="G4445">
        <v>0.73187699629383696</v>
      </c>
      <c r="H4445">
        <v>0.52505119288956303</v>
      </c>
      <c r="I4445">
        <v>0.27322222911261101</v>
      </c>
      <c r="J4445">
        <v>0.188008317892018</v>
      </c>
      <c r="K4445">
        <v>0.14373118270985</v>
      </c>
      <c r="L4445">
        <v>554.61026944784601</v>
      </c>
      <c r="M4445">
        <v>9.8074997212916593</v>
      </c>
      <c r="N4445">
        <v>56.5495876122231</v>
      </c>
      <c r="O4445">
        <v>54.348942313838201</v>
      </c>
      <c r="P4445">
        <v>-4.5137195262235801E-2</v>
      </c>
      <c r="Q4445">
        <v>0</v>
      </c>
      <c r="R4445">
        <v>0.91855036066709195</v>
      </c>
      <c r="S4445" t="s">
        <v>10028</v>
      </c>
      <c r="T4445" t="s">
        <v>11164</v>
      </c>
      <c r="U4445" t="s">
        <v>11164</v>
      </c>
      <c r="V4445" t="s">
        <v>11164</v>
      </c>
      <c r="W4445" t="s">
        <v>15565</v>
      </c>
      <c r="X4445">
        <v>3</v>
      </c>
      <c r="Y4445" t="s">
        <v>21036</v>
      </c>
      <c r="Z4445" t="s">
        <v>26595</v>
      </c>
      <c r="AA4445">
        <v>0.65337706727725364</v>
      </c>
      <c r="AB4445" t="str">
        <f>HYPERLINK("Melting_Curves/meltCurve_Q96S52_PIGS.pdf", "Melting_Curves/meltCurve_Q96S52_PIGS.pdf")</f>
        <v>Melting_Curves/meltCurve_Q96S52_PIGS.pdf</v>
      </c>
    </row>
    <row r="4446" spans="1:28" x14ac:dyDescent="0.25">
      <c r="A4446" t="s">
        <v>4450</v>
      </c>
      <c r="B4446">
        <v>0.99796759195183404</v>
      </c>
      <c r="C4446">
        <v>1.03911634815204</v>
      </c>
      <c r="D4446">
        <v>0.89932078996614995</v>
      </c>
      <c r="E4446">
        <v>0.93474922858132303</v>
      </c>
      <c r="F4446">
        <v>0.55227124464418098</v>
      </c>
      <c r="G4446">
        <v>0.262839646078314</v>
      </c>
      <c r="H4446">
        <v>0.20303272013336399</v>
      </c>
      <c r="I4446">
        <v>0.15602140491158201</v>
      </c>
      <c r="J4446">
        <v>0.12135806977175501</v>
      </c>
      <c r="K4446">
        <v>7.9854609547201499E-2</v>
      </c>
      <c r="L4446">
        <v>1232.7892377877899</v>
      </c>
      <c r="M4446">
        <v>24.513735766293401</v>
      </c>
      <c r="N4446">
        <v>50.872187737344703</v>
      </c>
      <c r="O4446">
        <v>49.958651670841803</v>
      </c>
      <c r="P4446">
        <v>-0.10766180210198301</v>
      </c>
      <c r="Q4446">
        <v>0.12235977179792</v>
      </c>
      <c r="R4446">
        <v>0.989238450516014</v>
      </c>
      <c r="S4446" t="s">
        <v>10029</v>
      </c>
      <c r="T4446" t="s">
        <v>11164</v>
      </c>
      <c r="U4446" t="s">
        <v>11164</v>
      </c>
      <c r="V4446" t="s">
        <v>11164</v>
      </c>
      <c r="W4446" t="s">
        <v>15566</v>
      </c>
      <c r="X4446">
        <v>5</v>
      </c>
      <c r="Y4446" t="s">
        <v>21037</v>
      </c>
      <c r="Z4446" t="s">
        <v>26596</v>
      </c>
      <c r="AA4446">
        <v>0.51913509309690631</v>
      </c>
      <c r="AB4446" t="str">
        <f>HYPERLINK("Melting_Curves/meltCurve_Q96S55_2_WRNIP1.pdf", "Melting_Curves/meltCurve_Q96S55_2_WRNIP1.pdf")</f>
        <v>Melting_Curves/meltCurve_Q96S55_2_WRNIP1.pdf</v>
      </c>
    </row>
    <row r="4447" spans="1:28" x14ac:dyDescent="0.25">
      <c r="A4447" t="s">
        <v>4451</v>
      </c>
      <c r="B4447">
        <v>0.99796759195183404</v>
      </c>
      <c r="C4447">
        <v>0.94869812869270498</v>
      </c>
      <c r="D4447">
        <v>1.0188376957349801</v>
      </c>
      <c r="E4447">
        <v>0.86599571413765097</v>
      </c>
      <c r="F4447">
        <v>0.79333903339783596</v>
      </c>
      <c r="G4447">
        <v>1.1806427812170299</v>
      </c>
      <c r="H4447">
        <v>0.79248434248548405</v>
      </c>
      <c r="I4447">
        <v>0.50530766627330403</v>
      </c>
      <c r="J4447">
        <v>0.47657787270688501</v>
      </c>
      <c r="K4447">
        <v>0.21657749065690399</v>
      </c>
      <c r="L4447">
        <v>1638.96864338452</v>
      </c>
      <c r="M4447">
        <v>27.265609459630198</v>
      </c>
      <c r="N4447">
        <v>61.639065366088403</v>
      </c>
      <c r="O4447">
        <v>59.790654619805203</v>
      </c>
      <c r="P4447">
        <v>-8.6002048687685503E-2</v>
      </c>
      <c r="Q4447">
        <v>0.245633036738864</v>
      </c>
      <c r="R4447">
        <v>0.83661071181165703</v>
      </c>
      <c r="S4447" t="s">
        <v>10030</v>
      </c>
      <c r="T4447" t="s">
        <v>11164</v>
      </c>
      <c r="U4447" t="s">
        <v>11164</v>
      </c>
      <c r="V4447" t="s">
        <v>11164</v>
      </c>
      <c r="W4447" t="s">
        <v>15567</v>
      </c>
      <c r="X4447">
        <v>1</v>
      </c>
      <c r="Y4447" t="s">
        <v>21038</v>
      </c>
      <c r="Z4447" t="s">
        <v>26597</v>
      </c>
      <c r="AA4447">
        <v>0.82915763446840429</v>
      </c>
      <c r="AB4447" t="str">
        <f>HYPERLINK("Melting_Curves/meltCurve_Q96S59_RANBP9.pdf", "Melting_Curves/meltCurve_Q96S59_RANBP9.pdf")</f>
        <v>Melting_Curves/meltCurve_Q96S59_RANBP9.pdf</v>
      </c>
    </row>
    <row r="4448" spans="1:28" x14ac:dyDescent="0.25">
      <c r="A4448" t="s">
        <v>4452</v>
      </c>
      <c r="B4448">
        <v>0.99796759195183404</v>
      </c>
      <c r="C4448">
        <v>1.01924457849218</v>
      </c>
      <c r="D4448">
        <v>1.01315777251035</v>
      </c>
      <c r="E4448">
        <v>0.990730282984291</v>
      </c>
      <c r="F4448">
        <v>0.84332847857871795</v>
      </c>
      <c r="G4448">
        <v>0.64719140023862198</v>
      </c>
      <c r="H4448">
        <v>0.712825571830488</v>
      </c>
      <c r="I4448">
        <v>0.64543025539479704</v>
      </c>
      <c r="J4448">
        <v>0.80259207568016799</v>
      </c>
      <c r="K4448">
        <v>0.66390295845847902</v>
      </c>
      <c r="S4448" t="s">
        <v>10031</v>
      </c>
      <c r="T4448" t="s">
        <v>11164</v>
      </c>
      <c r="U4448" t="s">
        <v>11165</v>
      </c>
      <c r="V4448" t="s">
        <v>11164</v>
      </c>
      <c r="W4448" t="s">
        <v>15568</v>
      </c>
      <c r="X4448">
        <v>15</v>
      </c>
      <c r="Y4448" t="s">
        <v>21039</v>
      </c>
      <c r="Z4448" t="s">
        <v>26598</v>
      </c>
      <c r="AB4448" t="str">
        <f>HYPERLINK("Melting_Curves/meltCurve_Q96S66_CLCC1.pdf", "Melting_Curves/meltCurve_Q96S66_CLCC1.pdf")</f>
        <v>Melting_Curves/meltCurve_Q96S66_CLCC1.pdf</v>
      </c>
    </row>
    <row r="4449" spans="1:28" x14ac:dyDescent="0.25">
      <c r="A4449" t="s">
        <v>4453</v>
      </c>
      <c r="B4449">
        <v>0.99796759195183404</v>
      </c>
      <c r="C4449">
        <v>1.00843284665988</v>
      </c>
      <c r="D4449">
        <v>1.02716712799071</v>
      </c>
      <c r="E4449">
        <v>0.98943538755038796</v>
      </c>
      <c r="F4449">
        <v>0.90604105284105896</v>
      </c>
      <c r="G4449">
        <v>0.66733120599355999</v>
      </c>
      <c r="H4449">
        <v>0.41573313992314698</v>
      </c>
      <c r="I4449">
        <v>0.321490197043443</v>
      </c>
      <c r="J4449">
        <v>0.26112296757846098</v>
      </c>
      <c r="K4449">
        <v>0.21083035473060299</v>
      </c>
      <c r="L4449">
        <v>1170.4560049717099</v>
      </c>
      <c r="M4449">
        <v>21.425696963892499</v>
      </c>
      <c r="N4449">
        <v>56.153068347877799</v>
      </c>
      <c r="O4449">
        <v>54.159403664417198</v>
      </c>
      <c r="P4449">
        <v>-7.7093508652374201E-2</v>
      </c>
      <c r="Q4449">
        <v>0.22051824636464401</v>
      </c>
      <c r="R4449">
        <v>0.99760688607132997</v>
      </c>
      <c r="S4449" t="s">
        <v>10032</v>
      </c>
      <c r="T4449" t="s">
        <v>11164</v>
      </c>
      <c r="U4449" t="s">
        <v>11164</v>
      </c>
      <c r="V4449" t="s">
        <v>11164</v>
      </c>
      <c r="W4449" t="s">
        <v>15569</v>
      </c>
      <c r="X4449">
        <v>4</v>
      </c>
      <c r="Y4449" t="s">
        <v>21040</v>
      </c>
      <c r="Z4449" t="s">
        <v>26599</v>
      </c>
      <c r="AA4449">
        <v>0.686904968910516</v>
      </c>
      <c r="AB4449" t="str">
        <f>HYPERLINK("Melting_Curves/meltCurve_Q96S90_2_LYSMD1.pdf", "Melting_Curves/meltCurve_Q96S90_2_LYSMD1.pdf")</f>
        <v>Melting_Curves/meltCurve_Q96S90_2_LYSMD1.pdf</v>
      </c>
    </row>
    <row r="4450" spans="1:28" x14ac:dyDescent="0.25">
      <c r="A4450" t="s">
        <v>4454</v>
      </c>
      <c r="B4450">
        <v>0.99796759195183404</v>
      </c>
      <c r="C4450">
        <v>0.92187609636116796</v>
      </c>
      <c r="D4450">
        <v>0.91653897666697803</v>
      </c>
      <c r="E4450">
        <v>1.08120471463123</v>
      </c>
      <c r="F4450">
        <v>0.69903361133681696</v>
      </c>
      <c r="G4450">
        <v>0.27539933798997301</v>
      </c>
      <c r="H4450">
        <v>7.1841156484551597E-2</v>
      </c>
      <c r="I4450">
        <v>0.12903036999232601</v>
      </c>
      <c r="J4450">
        <v>0</v>
      </c>
      <c r="K4450">
        <v>8.7799026253373394E-2</v>
      </c>
      <c r="L4450">
        <v>1725.5164751565901</v>
      </c>
      <c r="M4450">
        <v>33.478257877590003</v>
      </c>
      <c r="N4450">
        <v>51.762772438823703</v>
      </c>
      <c r="O4450">
        <v>51.358537636069698</v>
      </c>
      <c r="P4450">
        <v>-0.15209476253723</v>
      </c>
      <c r="Q4450">
        <v>6.6697787103254205E-2</v>
      </c>
      <c r="R4450">
        <v>0.98026936056088199</v>
      </c>
      <c r="S4450" t="s">
        <v>10033</v>
      </c>
      <c r="T4450" t="s">
        <v>11164</v>
      </c>
      <c r="U4450" t="s">
        <v>11164</v>
      </c>
      <c r="V4450" t="s">
        <v>11164</v>
      </c>
      <c r="W4450" t="s">
        <v>15570</v>
      </c>
      <c r="X4450">
        <v>1</v>
      </c>
      <c r="Y4450" t="s">
        <v>21041</v>
      </c>
      <c r="Z4450" t="s">
        <v>26600</v>
      </c>
      <c r="AA4450">
        <v>0.52380947428462366</v>
      </c>
      <c r="AB4450" t="str">
        <f>HYPERLINK("Melting_Curves/meltCurve_Q96S94_3_CCNL2.pdf", "Melting_Curves/meltCurve_Q96S94_3_CCNL2.pdf")</f>
        <v>Melting_Curves/meltCurve_Q96S94_3_CCNL2.pdf</v>
      </c>
    </row>
    <row r="4451" spans="1:28" x14ac:dyDescent="0.25">
      <c r="A4451" t="s">
        <v>4455</v>
      </c>
      <c r="B4451">
        <v>0.99796759195183404</v>
      </c>
      <c r="C4451">
        <v>0.94043718704243695</v>
      </c>
      <c r="D4451">
        <v>0.83579380494056499</v>
      </c>
      <c r="E4451">
        <v>0.82604875477924899</v>
      </c>
      <c r="F4451">
        <v>0.66192208763420102</v>
      </c>
      <c r="G4451">
        <v>0.40620666697580499</v>
      </c>
      <c r="H4451">
        <v>0.26691298762005899</v>
      </c>
      <c r="I4451">
        <v>0.25019777078122102</v>
      </c>
      <c r="J4451">
        <v>0.15527134024270101</v>
      </c>
      <c r="K4451">
        <v>6.8292118548037004E-2</v>
      </c>
      <c r="L4451">
        <v>529.23304030414999</v>
      </c>
      <c r="M4451">
        <v>10.058821590466399</v>
      </c>
      <c r="N4451">
        <v>52.613821164133803</v>
      </c>
      <c r="O4451">
        <v>50.661236566202597</v>
      </c>
      <c r="P4451">
        <v>-4.9661270779954698E-2</v>
      </c>
      <c r="Q4451">
        <v>0</v>
      </c>
      <c r="R4451">
        <v>0.98600704072329404</v>
      </c>
      <c r="S4451" t="s">
        <v>10034</v>
      </c>
      <c r="T4451" t="s">
        <v>11164</v>
      </c>
      <c r="U4451" t="s">
        <v>11164</v>
      </c>
      <c r="V4451" t="s">
        <v>11164</v>
      </c>
      <c r="W4451" t="s">
        <v>15571</v>
      </c>
      <c r="X4451">
        <v>2</v>
      </c>
      <c r="Y4451" t="s">
        <v>21042</v>
      </c>
      <c r="Z4451" t="s">
        <v>26601</v>
      </c>
      <c r="AA4451">
        <v>0.54451958838627978</v>
      </c>
      <c r="AB4451" t="str">
        <f>HYPERLINK("Melting_Curves/meltCurve_Q96S99_PLEKHF1.pdf", "Melting_Curves/meltCurve_Q96S99_PLEKHF1.pdf")</f>
        <v>Melting_Curves/meltCurve_Q96S99_PLEKHF1.pdf</v>
      </c>
    </row>
    <row r="4452" spans="1:28" x14ac:dyDescent="0.25">
      <c r="A4452" t="s">
        <v>4456</v>
      </c>
      <c r="B4452">
        <v>0.99796759195183404</v>
      </c>
      <c r="C4452">
        <v>0.99648914429740698</v>
      </c>
      <c r="D4452">
        <v>0.93970123027178598</v>
      </c>
      <c r="E4452">
        <v>0.87733993232819196</v>
      </c>
      <c r="F4452">
        <v>0.77976146369440003</v>
      </c>
      <c r="G4452">
        <v>0.63304961891922396</v>
      </c>
      <c r="H4452">
        <v>0.59705284333384601</v>
      </c>
      <c r="I4452">
        <v>0.42689707926506998</v>
      </c>
      <c r="J4452">
        <v>0.26266851423723298</v>
      </c>
      <c r="K4452">
        <v>0.200811954505038</v>
      </c>
      <c r="L4452">
        <v>508.18205213334699</v>
      </c>
      <c r="M4452">
        <v>8.7619749402447997</v>
      </c>
      <c r="N4452">
        <v>57.998563844248402</v>
      </c>
      <c r="O4452">
        <v>55.215415090545399</v>
      </c>
      <c r="P4452">
        <v>-3.9703667530549602E-2</v>
      </c>
      <c r="Q4452">
        <v>0</v>
      </c>
      <c r="R4452">
        <v>0.98554932526990502</v>
      </c>
      <c r="S4452" t="s">
        <v>10035</v>
      </c>
      <c r="T4452" t="s">
        <v>11164</v>
      </c>
      <c r="U4452" t="s">
        <v>11164</v>
      </c>
      <c r="V4452" t="s">
        <v>11164</v>
      </c>
      <c r="W4452" t="s">
        <v>15572</v>
      </c>
      <c r="X4452">
        <v>2</v>
      </c>
      <c r="Y4452" t="s">
        <v>21043</v>
      </c>
      <c r="Z4452" t="s">
        <v>26602</v>
      </c>
      <c r="AA4452">
        <v>0.68453740715879041</v>
      </c>
      <c r="AB4452" t="str">
        <f>HYPERLINK("Melting_Curves/meltCurve_Q96SB3_PPP1R9B.pdf", "Melting_Curves/meltCurve_Q96SB3_PPP1R9B.pdf")</f>
        <v>Melting_Curves/meltCurve_Q96SB3_PPP1R9B.pdf</v>
      </c>
    </row>
    <row r="4453" spans="1:28" x14ac:dyDescent="0.25">
      <c r="A4453" t="s">
        <v>4457</v>
      </c>
      <c r="B4453">
        <v>0.99796759195183404</v>
      </c>
      <c r="C4453">
        <v>1.0966360530786301</v>
      </c>
      <c r="D4453">
        <v>0.98490825342691202</v>
      </c>
      <c r="E4453">
        <v>0.77475162064467396</v>
      </c>
      <c r="F4453">
        <v>0.90856670250145599</v>
      </c>
      <c r="G4453">
        <v>0.50717304666339202</v>
      </c>
      <c r="H4453">
        <v>0.40016265394290701</v>
      </c>
      <c r="I4453">
        <v>0.416460971748498</v>
      </c>
      <c r="J4453">
        <v>0.24792679802773401</v>
      </c>
      <c r="K4453">
        <v>0.164766911235185</v>
      </c>
      <c r="L4453">
        <v>632.490810137719</v>
      </c>
      <c r="M4453">
        <v>11.5670124595565</v>
      </c>
      <c r="N4453">
        <v>55.897731709735503</v>
      </c>
      <c r="O4453">
        <v>53.122875423800501</v>
      </c>
      <c r="P4453">
        <v>-4.8388519830171901E-2</v>
      </c>
      <c r="Q4453">
        <v>0.111327018679301</v>
      </c>
      <c r="R4453">
        <v>0.93534642314861005</v>
      </c>
      <c r="S4453" t="s">
        <v>10036</v>
      </c>
      <c r="T4453" t="s">
        <v>11164</v>
      </c>
      <c r="U4453" t="s">
        <v>11164</v>
      </c>
      <c r="V4453" t="s">
        <v>11164</v>
      </c>
      <c r="W4453" t="s">
        <v>15573</v>
      </c>
      <c r="X4453">
        <v>1</v>
      </c>
      <c r="Y4453" t="s">
        <v>21044</v>
      </c>
      <c r="Z4453" t="s">
        <v>26603</v>
      </c>
      <c r="AA4453">
        <v>0.64867045635285059</v>
      </c>
      <c r="AB4453" t="str">
        <f>HYPERLINK("Melting_Curves/meltCurve_Q96SB8_SMC6.pdf", "Melting_Curves/meltCurve_Q96SB8_SMC6.pdf")</f>
        <v>Melting_Curves/meltCurve_Q96SB8_SMC6.pdf</v>
      </c>
    </row>
    <row r="4454" spans="1:28" x14ac:dyDescent="0.25">
      <c r="A4454" t="s">
        <v>4458</v>
      </c>
      <c r="B4454">
        <v>0.99796759195183404</v>
      </c>
      <c r="C4454">
        <v>0.84523157398930804</v>
      </c>
      <c r="D4454">
        <v>0.88490850804679499</v>
      </c>
      <c r="E4454">
        <v>0.85096622009991696</v>
      </c>
      <c r="F4454">
        <v>0.84134129376502897</v>
      </c>
      <c r="G4454">
        <v>0.85691709442988595</v>
      </c>
      <c r="H4454">
        <v>0.87430387431557499</v>
      </c>
      <c r="I4454">
        <v>0.61555361874298897</v>
      </c>
      <c r="J4454">
        <v>0.72430594501346002</v>
      </c>
      <c r="K4454">
        <v>0.34686688635744301</v>
      </c>
      <c r="L4454">
        <v>371.14462786362498</v>
      </c>
      <c r="M4454">
        <v>5.4424725928591204</v>
      </c>
      <c r="O4454">
        <v>60.636143325781099</v>
      </c>
      <c r="P4454">
        <v>-2.2541605076131298E-2</v>
      </c>
      <c r="Q4454">
        <v>0</v>
      </c>
      <c r="R4454">
        <v>0.65790733367144405</v>
      </c>
      <c r="S4454" t="s">
        <v>10037</v>
      </c>
      <c r="T4454" t="s">
        <v>11164</v>
      </c>
      <c r="U4454" t="s">
        <v>11164</v>
      </c>
      <c r="V4454" t="s">
        <v>11164</v>
      </c>
      <c r="W4454" t="s">
        <v>15574</v>
      </c>
      <c r="X4454">
        <v>3</v>
      </c>
      <c r="Y4454" t="s">
        <v>21045</v>
      </c>
      <c r="Z4454" t="s">
        <v>26604</v>
      </c>
      <c r="AA4454">
        <v>0.81248229282035012</v>
      </c>
      <c r="AB4454" t="str">
        <f>HYPERLINK("Melting_Curves/meltCurve_Q96SI1_KCTD15.pdf", "Melting_Curves/meltCurve_Q96SI1_KCTD15.pdf")</f>
        <v>Melting_Curves/meltCurve_Q96SI1_KCTD15.pdf</v>
      </c>
    </row>
    <row r="4455" spans="1:28" x14ac:dyDescent="0.25">
      <c r="A4455" t="s">
        <v>4459</v>
      </c>
      <c r="B4455">
        <v>0.99796759195183404</v>
      </c>
      <c r="C4455">
        <v>0.93732696009073202</v>
      </c>
      <c r="D4455">
        <v>1.01243849680192</v>
      </c>
      <c r="E4455">
        <v>0.86393900899877996</v>
      </c>
      <c r="F4455">
        <v>0.69819986230466802</v>
      </c>
      <c r="G4455">
        <v>0.84140171883264803</v>
      </c>
      <c r="H4455">
        <v>0.28737788640476702</v>
      </c>
      <c r="I4455">
        <v>0.15973344609021101</v>
      </c>
      <c r="J4455">
        <v>9.8115719477091703E-2</v>
      </c>
      <c r="K4455">
        <v>7.9492870537800006E-2</v>
      </c>
      <c r="L4455">
        <v>880.03933981324406</v>
      </c>
      <c r="M4455">
        <v>15.834802712698099</v>
      </c>
      <c r="N4455">
        <v>55.5762752296027</v>
      </c>
      <c r="O4455">
        <v>54.712555215947098</v>
      </c>
      <c r="P4455">
        <v>-7.2360431170890901E-2</v>
      </c>
      <c r="Q4455">
        <v>0</v>
      </c>
      <c r="R4455">
        <v>0.93592193308856098</v>
      </c>
      <c r="S4455" t="s">
        <v>10038</v>
      </c>
      <c r="T4455" t="s">
        <v>11164</v>
      </c>
      <c r="U4455" t="s">
        <v>11164</v>
      </c>
      <c r="V4455" t="s">
        <v>11164</v>
      </c>
      <c r="W4455" t="s">
        <v>15575</v>
      </c>
      <c r="X4455">
        <v>4</v>
      </c>
      <c r="Y4455" t="s">
        <v>21046</v>
      </c>
      <c r="Z4455" t="s">
        <v>26605</v>
      </c>
      <c r="AA4455">
        <v>0.63171675282308692</v>
      </c>
      <c r="AB4455" t="str">
        <f>HYPERLINK("Melting_Curves/meltCurve_Q96SK2_2_TMEM209.pdf", "Melting_Curves/meltCurve_Q96SK2_2_TMEM209.pdf")</f>
        <v>Melting_Curves/meltCurve_Q96SK2_2_TMEM209.pdf</v>
      </c>
    </row>
    <row r="4456" spans="1:28" x14ac:dyDescent="0.25">
      <c r="A4456" t="s">
        <v>4460</v>
      </c>
      <c r="B4456">
        <v>0.99796759195183404</v>
      </c>
      <c r="C4456">
        <v>1.0174506900231199</v>
      </c>
      <c r="D4456">
        <v>0.98328239908419701</v>
      </c>
      <c r="E4456">
        <v>1.0552709824930799</v>
      </c>
      <c r="F4456">
        <v>0.72441683951954705</v>
      </c>
      <c r="G4456">
        <v>0.36118505875242302</v>
      </c>
      <c r="H4456">
        <v>0.30373360983860198</v>
      </c>
      <c r="I4456">
        <v>0.248824757184678</v>
      </c>
      <c r="J4456">
        <v>0.21480338181453701</v>
      </c>
      <c r="K4456">
        <v>0.19164121574425599</v>
      </c>
      <c r="L4456">
        <v>1756.2772367624</v>
      </c>
      <c r="M4456">
        <v>34.297023591269401</v>
      </c>
      <c r="N4456">
        <v>52.166135710797697</v>
      </c>
      <c r="O4456">
        <v>51.034708796692001</v>
      </c>
      <c r="P4456">
        <v>-0.128743507526662</v>
      </c>
      <c r="Q4456">
        <v>0.233710508058664</v>
      </c>
      <c r="R4456">
        <v>0.99037731358419601</v>
      </c>
      <c r="S4456" t="s">
        <v>10039</v>
      </c>
      <c r="T4456" t="s">
        <v>11164</v>
      </c>
      <c r="U4456" t="s">
        <v>11164</v>
      </c>
      <c r="V4456" t="s">
        <v>11164</v>
      </c>
      <c r="W4456" t="s">
        <v>15576</v>
      </c>
      <c r="X4456">
        <v>15</v>
      </c>
      <c r="Y4456" t="s">
        <v>21047</v>
      </c>
      <c r="Z4456" t="s">
        <v>26606</v>
      </c>
      <c r="AA4456">
        <v>0.60030225810508497</v>
      </c>
      <c r="AB4456" t="str">
        <f>HYPERLINK("Melting_Curves/meltCurve_Q96ST2_IWS1.pdf", "Melting_Curves/meltCurve_Q96ST2_IWS1.pdf")</f>
        <v>Melting_Curves/meltCurve_Q96ST2_IWS1.pdf</v>
      </c>
    </row>
    <row r="4457" spans="1:28" x14ac:dyDescent="0.25">
      <c r="A4457" t="s">
        <v>4461</v>
      </c>
      <c r="B4457">
        <v>0.99796759195183404</v>
      </c>
      <c r="C4457">
        <v>0.98894848042162398</v>
      </c>
      <c r="D4457">
        <v>0.99633513100716997</v>
      </c>
      <c r="E4457">
        <v>0.92528164912278499</v>
      </c>
      <c r="F4457">
        <v>0.83973428379630399</v>
      </c>
      <c r="G4457">
        <v>0.71186500638513694</v>
      </c>
      <c r="H4457">
        <v>0.48756142150309001</v>
      </c>
      <c r="I4457">
        <v>0.39508101385203598</v>
      </c>
      <c r="J4457">
        <v>0.33551874589304198</v>
      </c>
      <c r="K4457">
        <v>0.29684069750269898</v>
      </c>
      <c r="L4457">
        <v>776.89646385361505</v>
      </c>
      <c r="M4457">
        <v>14.1073815952735</v>
      </c>
      <c r="N4457">
        <v>57.729654794387699</v>
      </c>
      <c r="O4457">
        <v>53.9990743463771</v>
      </c>
      <c r="P4457">
        <v>-4.9713036975827601E-2</v>
      </c>
      <c r="Q4457">
        <v>0.23894785725363299</v>
      </c>
      <c r="R4457">
        <v>0.99713322239464997</v>
      </c>
      <c r="S4457" t="s">
        <v>10040</v>
      </c>
      <c r="T4457" t="s">
        <v>11164</v>
      </c>
      <c r="U4457" t="s">
        <v>11164</v>
      </c>
      <c r="V4457" t="s">
        <v>11164</v>
      </c>
      <c r="W4457" t="s">
        <v>15577</v>
      </c>
      <c r="X4457">
        <v>5</v>
      </c>
      <c r="Y4457" t="s">
        <v>21048</v>
      </c>
      <c r="Z4457" t="s">
        <v>26607</v>
      </c>
      <c r="AA4457">
        <v>0.70814011610820049</v>
      </c>
      <c r="AB4457" t="str">
        <f>HYPERLINK("Melting_Curves/meltCurve_Q96ST3_SIN3A.pdf", "Melting_Curves/meltCurve_Q96ST3_SIN3A.pdf")</f>
        <v>Melting_Curves/meltCurve_Q96ST3_SIN3A.pdf</v>
      </c>
    </row>
    <row r="4458" spans="1:28" x14ac:dyDescent="0.25">
      <c r="A4458" t="s">
        <v>4462</v>
      </c>
      <c r="B4458">
        <v>0.99796759195183404</v>
      </c>
      <c r="C4458">
        <v>1.03811590052112</v>
      </c>
      <c r="D4458">
        <v>1.0115819267477799</v>
      </c>
      <c r="E4458">
        <v>0.98571862434844504</v>
      </c>
      <c r="F4458">
        <v>0.86757713424042804</v>
      </c>
      <c r="G4458">
        <v>0.60437777120375502</v>
      </c>
      <c r="H4458">
        <v>0.56924279538032396</v>
      </c>
      <c r="I4458">
        <v>0.43391718614566199</v>
      </c>
      <c r="J4458">
        <v>0.36066281159901797</v>
      </c>
      <c r="K4458">
        <v>0.190257069495438</v>
      </c>
      <c r="L4458">
        <v>632.16685312596996</v>
      </c>
      <c r="M4458">
        <v>11.0183235140547</v>
      </c>
      <c r="N4458">
        <v>58.461590120813703</v>
      </c>
      <c r="O4458">
        <v>55.581433269191798</v>
      </c>
      <c r="P4458">
        <v>-4.4982419583961403E-2</v>
      </c>
      <c r="Q4458">
        <v>9.2657067007099303E-2</v>
      </c>
      <c r="R4458">
        <v>0.97281558036510496</v>
      </c>
      <c r="S4458" t="s">
        <v>10041</v>
      </c>
      <c r="T4458" t="s">
        <v>11164</v>
      </c>
      <c r="U4458" t="s">
        <v>11164</v>
      </c>
      <c r="V4458" t="s">
        <v>11164</v>
      </c>
      <c r="W4458" t="s">
        <v>15578</v>
      </c>
      <c r="X4458">
        <v>16</v>
      </c>
      <c r="Y4458" t="s">
        <v>21049</v>
      </c>
      <c r="Z4458" t="s">
        <v>26608</v>
      </c>
      <c r="AA4458">
        <v>0.7088231503887763</v>
      </c>
      <c r="AB4458" t="str">
        <f>HYPERLINK("Melting_Curves/meltCurve_Q96SZ5_ADO.pdf", "Melting_Curves/meltCurve_Q96SZ5_ADO.pdf")</f>
        <v>Melting_Curves/meltCurve_Q96SZ5_ADO.pdf</v>
      </c>
    </row>
    <row r="4459" spans="1:28" x14ac:dyDescent="0.25">
      <c r="A4459" t="s">
        <v>4463</v>
      </c>
      <c r="B4459">
        <v>0.99796759195183404</v>
      </c>
      <c r="C4459">
        <v>0.92902692275859899</v>
      </c>
      <c r="D4459">
        <v>0.99807985644241604</v>
      </c>
      <c r="E4459">
        <v>0.809210095106769</v>
      </c>
      <c r="F4459">
        <v>0.49282860305895099</v>
      </c>
      <c r="G4459">
        <v>0.28894411783967799</v>
      </c>
      <c r="H4459">
        <v>0.232409750462581</v>
      </c>
      <c r="I4459">
        <v>0.16063199035734199</v>
      </c>
      <c r="J4459">
        <v>0.15253306312096801</v>
      </c>
      <c r="K4459">
        <v>0.111820418389207</v>
      </c>
      <c r="L4459">
        <v>967.70161338584296</v>
      </c>
      <c r="M4459">
        <v>19.548571639360301</v>
      </c>
      <c r="N4459">
        <v>50.342568438365298</v>
      </c>
      <c r="O4459">
        <v>48.993138463220902</v>
      </c>
      <c r="P4459">
        <v>-8.5870874065559905E-2</v>
      </c>
      <c r="Q4459">
        <v>0.13918353037471901</v>
      </c>
      <c r="R4459">
        <v>0.99326672703667696</v>
      </c>
      <c r="S4459" t="s">
        <v>10042</v>
      </c>
      <c r="T4459" t="s">
        <v>11164</v>
      </c>
      <c r="U4459" t="s">
        <v>11164</v>
      </c>
      <c r="V4459" t="s">
        <v>11164</v>
      </c>
      <c r="W4459" t="s">
        <v>15579</v>
      </c>
      <c r="X4459">
        <v>3</v>
      </c>
      <c r="Y4459" t="s">
        <v>21050</v>
      </c>
      <c r="Z4459" t="s">
        <v>26609</v>
      </c>
      <c r="AA4459">
        <v>0.50974122308555792</v>
      </c>
      <c r="AB4459" t="str">
        <f>HYPERLINK("Melting_Curves/meltCurve_Q96SZ6_2_CDK5RAP1.pdf", "Melting_Curves/meltCurve_Q96SZ6_2_CDK5RAP1.pdf")</f>
        <v>Melting_Curves/meltCurve_Q96SZ6_2_CDK5RAP1.pdf</v>
      </c>
    </row>
    <row r="4460" spans="1:28" x14ac:dyDescent="0.25">
      <c r="A4460" t="s">
        <v>4464</v>
      </c>
      <c r="B4460">
        <v>0.99796759195183404</v>
      </c>
      <c r="C4460">
        <v>1.04437507545791</v>
      </c>
      <c r="D4460">
        <v>1.29369170755336</v>
      </c>
      <c r="E4460">
        <v>1.3329824885182799</v>
      </c>
      <c r="F4460">
        <v>0.59258655248273895</v>
      </c>
      <c r="G4460">
        <v>0.14933129971325401</v>
      </c>
      <c r="H4460">
        <v>0.39413878059110302</v>
      </c>
      <c r="I4460">
        <v>0.42297522422927802</v>
      </c>
      <c r="J4460">
        <v>0.33587624565385399</v>
      </c>
      <c r="K4460">
        <v>0.50589106205543899</v>
      </c>
      <c r="L4460">
        <v>12521.503808224999</v>
      </c>
      <c r="M4460">
        <v>250</v>
      </c>
      <c r="N4460">
        <v>50.344733248036299</v>
      </c>
      <c r="O4460">
        <v>50.082823328576197</v>
      </c>
      <c r="P4460">
        <v>-0.79662747427275904</v>
      </c>
      <c r="Q4460">
        <v>0.36164252032604799</v>
      </c>
      <c r="R4460">
        <v>0.832563173126315</v>
      </c>
      <c r="S4460" t="s">
        <v>10043</v>
      </c>
      <c r="T4460" t="s">
        <v>11164</v>
      </c>
      <c r="U4460" t="s">
        <v>11164</v>
      </c>
      <c r="V4460" t="s">
        <v>11164</v>
      </c>
      <c r="W4460" t="s">
        <v>15580</v>
      </c>
      <c r="X4460">
        <v>1</v>
      </c>
      <c r="Y4460" t="s">
        <v>21051</v>
      </c>
      <c r="Z4460" t="s">
        <v>26610</v>
      </c>
      <c r="AA4460">
        <v>0.64015048882994241</v>
      </c>
      <c r="AB4460" t="str">
        <f>HYPERLINK("Melting_Curves/meltCurve_Q96T37_2_RBM15.pdf", "Melting_Curves/meltCurve_Q96T37_2_RBM15.pdf")</f>
        <v>Melting_Curves/meltCurve_Q96T37_2_RBM15.pdf</v>
      </c>
    </row>
    <row r="4461" spans="1:28" x14ac:dyDescent="0.25">
      <c r="A4461" t="s">
        <v>4465</v>
      </c>
      <c r="B4461">
        <v>0.99796759195183404</v>
      </c>
      <c r="C4461">
        <v>1.0401458090469999</v>
      </c>
      <c r="D4461">
        <v>0.99505494190759403</v>
      </c>
      <c r="E4461">
        <v>0.96443538709919496</v>
      </c>
      <c r="F4461">
        <v>0.66287789842242595</v>
      </c>
      <c r="G4461">
        <v>0.34979377496196501</v>
      </c>
      <c r="H4461">
        <v>0.25796071959516098</v>
      </c>
      <c r="I4461">
        <v>0.21889793190328699</v>
      </c>
      <c r="J4461">
        <v>0.172216959462442</v>
      </c>
      <c r="K4461">
        <v>0.13622376720756901</v>
      </c>
      <c r="L4461">
        <v>1285.44158386247</v>
      </c>
      <c r="M4461">
        <v>25.166823187179901</v>
      </c>
      <c r="N4461">
        <v>51.975853708140903</v>
      </c>
      <c r="O4461">
        <v>50.757626111089699</v>
      </c>
      <c r="P4461">
        <v>-0.102083396424109</v>
      </c>
      <c r="Q4461">
        <v>0.17646471272598999</v>
      </c>
      <c r="R4461">
        <v>0.99505177426857205</v>
      </c>
      <c r="S4461" t="s">
        <v>10044</v>
      </c>
      <c r="T4461" t="s">
        <v>11164</v>
      </c>
      <c r="U4461" t="s">
        <v>11164</v>
      </c>
      <c r="V4461" t="s">
        <v>11164</v>
      </c>
      <c r="W4461" t="s">
        <v>15581</v>
      </c>
      <c r="X4461">
        <v>21</v>
      </c>
      <c r="Y4461" t="s">
        <v>21052</v>
      </c>
      <c r="Z4461" t="s">
        <v>26611</v>
      </c>
      <c r="AA4461">
        <v>0.57007052788506885</v>
      </c>
      <c r="AB4461" t="str">
        <f>HYPERLINK("Melting_Curves/meltCurve_Q96T51_RUFY1.pdf", "Melting_Curves/meltCurve_Q96T51_RUFY1.pdf")</f>
        <v>Melting_Curves/meltCurve_Q96T51_RUFY1.pdf</v>
      </c>
    </row>
    <row r="4462" spans="1:28" x14ac:dyDescent="0.25">
      <c r="A4462" t="s">
        <v>4466</v>
      </c>
      <c r="B4462">
        <v>0.99796759195183404</v>
      </c>
      <c r="C4462">
        <v>0.95049737879166396</v>
      </c>
      <c r="D4462">
        <v>0.92813718726396099</v>
      </c>
      <c r="E4462">
        <v>0.87674157769830496</v>
      </c>
      <c r="F4462">
        <v>0.653909727330097</v>
      </c>
      <c r="G4462">
        <v>0.44571330923055902</v>
      </c>
      <c r="H4462">
        <v>0.35864888366228398</v>
      </c>
      <c r="I4462">
        <v>0.26223728779670702</v>
      </c>
      <c r="J4462">
        <v>0.176454571379349</v>
      </c>
      <c r="K4462">
        <v>7.07222745802778E-2</v>
      </c>
      <c r="L4462">
        <v>554.48179250845806</v>
      </c>
      <c r="M4462">
        <v>10.3308104534929</v>
      </c>
      <c r="N4462">
        <v>53.672632646346898</v>
      </c>
      <c r="O4462">
        <v>51.778280858584097</v>
      </c>
      <c r="P4462">
        <v>-4.9901458352168998E-2</v>
      </c>
      <c r="Q4462">
        <v>0</v>
      </c>
      <c r="R4462">
        <v>0.99134661078930797</v>
      </c>
      <c r="S4462" t="s">
        <v>10045</v>
      </c>
      <c r="T4462" t="s">
        <v>11164</v>
      </c>
      <c r="U4462" t="s">
        <v>11164</v>
      </c>
      <c r="V4462" t="s">
        <v>11164</v>
      </c>
      <c r="W4462" t="s">
        <v>15582</v>
      </c>
      <c r="X4462">
        <v>1</v>
      </c>
      <c r="Y4462" t="s">
        <v>21053</v>
      </c>
      <c r="Z4462" t="s">
        <v>26612</v>
      </c>
      <c r="AA4462">
        <v>0.57506857899030606</v>
      </c>
      <c r="AB4462" t="str">
        <f>HYPERLINK("Melting_Curves/meltCurve_Q96T52_2_IMMP2L.pdf", "Melting_Curves/meltCurve_Q96T52_2_IMMP2L.pdf")</f>
        <v>Melting_Curves/meltCurve_Q96T52_2_IMMP2L.pdf</v>
      </c>
    </row>
    <row r="4463" spans="1:28" x14ac:dyDescent="0.25">
      <c r="A4463" t="s">
        <v>4467</v>
      </c>
      <c r="B4463">
        <v>0.99796759195183404</v>
      </c>
      <c r="C4463">
        <v>1.04155271571075</v>
      </c>
      <c r="D4463">
        <v>1.03031818965918</v>
      </c>
      <c r="E4463">
        <v>0.97728099642102595</v>
      </c>
      <c r="F4463">
        <v>0.84988311877969702</v>
      </c>
      <c r="G4463">
        <v>0.63759463130201499</v>
      </c>
      <c r="H4463">
        <v>0.66212640810313295</v>
      </c>
      <c r="I4463">
        <v>0.54626941218732195</v>
      </c>
      <c r="J4463">
        <v>0.63802464594103603</v>
      </c>
      <c r="K4463">
        <v>0.432530656583199</v>
      </c>
      <c r="L4463">
        <v>1074.9780954333701</v>
      </c>
      <c r="M4463">
        <v>20.735452051811698</v>
      </c>
      <c r="O4463">
        <v>51.367576878095498</v>
      </c>
      <c r="P4463">
        <v>-4.6563245931617502E-2</v>
      </c>
      <c r="Q4463">
        <v>0.53861182528721996</v>
      </c>
      <c r="R4463">
        <v>0.931046872426326</v>
      </c>
      <c r="S4463" t="s">
        <v>10046</v>
      </c>
      <c r="T4463" t="s">
        <v>11164</v>
      </c>
      <c r="U4463" t="s">
        <v>11164</v>
      </c>
      <c r="V4463" t="s">
        <v>11164</v>
      </c>
      <c r="W4463" t="s">
        <v>15583</v>
      </c>
      <c r="X4463">
        <v>5</v>
      </c>
      <c r="Y4463" t="s">
        <v>21054</v>
      </c>
      <c r="Z4463" t="s">
        <v>26613</v>
      </c>
      <c r="AA4463">
        <v>0.77252290698951753</v>
      </c>
      <c r="AB4463" t="str">
        <f>HYPERLINK("Melting_Curves/meltCurve_Q96T58_SPEN.pdf", "Melting_Curves/meltCurve_Q96T58_SPEN.pdf")</f>
        <v>Melting_Curves/meltCurve_Q96T58_SPEN.pdf</v>
      </c>
    </row>
    <row r="4464" spans="1:28" x14ac:dyDescent="0.25">
      <c r="A4464" t="s">
        <v>4468</v>
      </c>
      <c r="B4464">
        <v>0.99796759195183404</v>
      </c>
      <c r="C4464">
        <v>0.96973275070008502</v>
      </c>
      <c r="D4464">
        <v>1.03045334886258</v>
      </c>
      <c r="E4464">
        <v>0.94446938769720601</v>
      </c>
      <c r="F4464">
        <v>0.89343918327799798</v>
      </c>
      <c r="G4464">
        <v>0.23858034225540201</v>
      </c>
      <c r="H4464">
        <v>0.19820873786889101</v>
      </c>
      <c r="I4464">
        <v>0.16121504102578799</v>
      </c>
      <c r="J4464">
        <v>0.10304031187224499</v>
      </c>
      <c r="K4464">
        <v>0.15098073332126899</v>
      </c>
      <c r="L4464">
        <v>3026.33069986789</v>
      </c>
      <c r="M4464">
        <v>58.373347761320801</v>
      </c>
      <c r="N4464">
        <v>52.167595631268597</v>
      </c>
      <c r="O4464">
        <v>51.783669653725198</v>
      </c>
      <c r="P4464">
        <v>-0.239052558895854</v>
      </c>
      <c r="Q4464">
        <v>0.15173558335074999</v>
      </c>
      <c r="R4464">
        <v>0.99429568266070301</v>
      </c>
      <c r="S4464" t="s">
        <v>10047</v>
      </c>
      <c r="T4464" t="s">
        <v>11164</v>
      </c>
      <c r="U4464" t="s">
        <v>11164</v>
      </c>
      <c r="V4464" t="s">
        <v>11164</v>
      </c>
      <c r="W4464" t="s">
        <v>15584</v>
      </c>
      <c r="X4464">
        <v>7</v>
      </c>
      <c r="Y4464" t="s">
        <v>21055</v>
      </c>
      <c r="Z4464" t="s">
        <v>26614</v>
      </c>
      <c r="AA4464">
        <v>0.57288894191738682</v>
      </c>
      <c r="AB4464" t="str">
        <f>HYPERLINK("Melting_Curves/meltCurve_Q96T76_9_MMS19.pdf", "Melting_Curves/meltCurve_Q96T76_9_MMS19.pdf")</f>
        <v>Melting_Curves/meltCurve_Q96T76_9_MMS19.pdf</v>
      </c>
    </row>
    <row r="4465" spans="1:28" x14ac:dyDescent="0.25">
      <c r="A4465" t="s">
        <v>4469</v>
      </c>
      <c r="B4465">
        <v>0.99796759195183404</v>
      </c>
      <c r="C4465">
        <v>1.2882232802862399</v>
      </c>
      <c r="D4465">
        <v>0.861563623580341</v>
      </c>
      <c r="E4465">
        <v>0.88368411491154297</v>
      </c>
      <c r="F4465">
        <v>0.50581329419624099</v>
      </c>
      <c r="G4465">
        <v>0.22067422115214999</v>
      </c>
      <c r="H4465">
        <v>0.167045298694946</v>
      </c>
      <c r="I4465">
        <v>0.18444050930269801</v>
      </c>
      <c r="J4465">
        <v>0.18554867939365199</v>
      </c>
      <c r="K4465">
        <v>8.4847283829954795E-2</v>
      </c>
      <c r="L4465">
        <v>1322.58394689073</v>
      </c>
      <c r="M4465">
        <v>26.679591785763201</v>
      </c>
      <c r="N4465">
        <v>50.215642422789202</v>
      </c>
      <c r="O4465">
        <v>49.296873816901098</v>
      </c>
      <c r="P4465">
        <v>-0.115730582984836</v>
      </c>
      <c r="Q4465">
        <v>0.14465006642518199</v>
      </c>
      <c r="R4465">
        <v>0.93726324291926499</v>
      </c>
      <c r="S4465" t="s">
        <v>10048</v>
      </c>
      <c r="T4465" t="s">
        <v>11164</v>
      </c>
      <c r="U4465" t="s">
        <v>11164</v>
      </c>
      <c r="V4465" t="s">
        <v>11164</v>
      </c>
      <c r="W4465" t="s">
        <v>15585</v>
      </c>
      <c r="X4465">
        <v>3</v>
      </c>
      <c r="Y4465" t="s">
        <v>21056</v>
      </c>
      <c r="Z4465" t="s">
        <v>26615</v>
      </c>
      <c r="AA4465">
        <v>0.5096872170264336</v>
      </c>
      <c r="AB4465" t="str">
        <f>HYPERLINK("Melting_Curves/meltCurve_Q96T88_UHRF1.pdf", "Melting_Curves/meltCurve_Q96T88_UHRF1.pdf")</f>
        <v>Melting_Curves/meltCurve_Q96T88_UHRF1.pdf</v>
      </c>
    </row>
    <row r="4466" spans="1:28" x14ac:dyDescent="0.25">
      <c r="A4466" t="s">
        <v>4470</v>
      </c>
      <c r="B4466">
        <v>0.99796759195183404</v>
      </c>
      <c r="C4466">
        <v>0.97666246589370198</v>
      </c>
      <c r="D4466">
        <v>0.95801629218336304</v>
      </c>
      <c r="E4466">
        <v>0.89488766328909397</v>
      </c>
      <c r="F4466">
        <v>0.84690259470214102</v>
      </c>
      <c r="G4466">
        <v>0.56136635628629505</v>
      </c>
      <c r="H4466">
        <v>0.26977287692512603</v>
      </c>
      <c r="I4466">
        <v>0.18492779369544801</v>
      </c>
      <c r="J4466">
        <v>0.17533161612447201</v>
      </c>
      <c r="K4466">
        <v>0.11155344565678101</v>
      </c>
      <c r="L4466">
        <v>1067.3058621978801</v>
      </c>
      <c r="M4466">
        <v>19.876082684133799</v>
      </c>
      <c r="N4466">
        <v>54.373191725376998</v>
      </c>
      <c r="O4466">
        <v>53.163301941555403</v>
      </c>
      <c r="P4466">
        <v>-8.3248833588135104E-2</v>
      </c>
      <c r="Q4466">
        <v>0.109354625221351</v>
      </c>
      <c r="R4466">
        <v>0.99290879110357599</v>
      </c>
      <c r="S4466" t="s">
        <v>10049</v>
      </c>
      <c r="T4466" t="s">
        <v>11164</v>
      </c>
      <c r="U4466" t="s">
        <v>11164</v>
      </c>
      <c r="V4466" t="s">
        <v>11164</v>
      </c>
      <c r="W4466" t="s">
        <v>15586</v>
      </c>
      <c r="X4466">
        <v>10</v>
      </c>
      <c r="Y4466" t="s">
        <v>21057</v>
      </c>
      <c r="Z4466" t="s">
        <v>26616</v>
      </c>
      <c r="AA4466">
        <v>0.61610507336816644</v>
      </c>
      <c r="AB4466" t="str">
        <f>HYPERLINK("Melting_Curves/meltCurve_Q96TA1_2_FAM129B.pdf", "Melting_Curves/meltCurve_Q96TA1_2_FAM129B.pdf")</f>
        <v>Melting_Curves/meltCurve_Q96TA1_2_FAM129B.pdf</v>
      </c>
    </row>
    <row r="4467" spans="1:28" x14ac:dyDescent="0.25">
      <c r="A4467" t="s">
        <v>4471</v>
      </c>
      <c r="B4467">
        <v>0.99796759195183404</v>
      </c>
      <c r="C4467">
        <v>0.98464374134920996</v>
      </c>
      <c r="D4467">
        <v>0.98857352410155996</v>
      </c>
      <c r="E4467">
        <v>0.86515088890216496</v>
      </c>
      <c r="F4467">
        <v>0.74774419850850604</v>
      </c>
      <c r="G4467">
        <v>0.50584733272096105</v>
      </c>
      <c r="H4467">
        <v>0.31708276580140898</v>
      </c>
      <c r="I4467">
        <v>0.27836970562857</v>
      </c>
      <c r="J4467">
        <v>0.24228662813580501</v>
      </c>
      <c r="K4467">
        <v>0.174700414665591</v>
      </c>
      <c r="L4467">
        <v>802.85889568018104</v>
      </c>
      <c r="M4467">
        <v>15.2998348497393</v>
      </c>
      <c r="N4467">
        <v>53.9348676825133</v>
      </c>
      <c r="O4467">
        <v>51.6030487542901</v>
      </c>
      <c r="P4467">
        <v>-6.1561641691705402E-2</v>
      </c>
      <c r="Q4467">
        <v>0.16954098807326301</v>
      </c>
      <c r="R4467">
        <v>0.99597508225221698</v>
      </c>
      <c r="S4467" t="s">
        <v>10050</v>
      </c>
      <c r="T4467" t="s">
        <v>11164</v>
      </c>
      <c r="U4467" t="s">
        <v>11164</v>
      </c>
      <c r="V4467" t="s">
        <v>11164</v>
      </c>
      <c r="W4467" t="s">
        <v>15587</v>
      </c>
      <c r="X4467">
        <v>5</v>
      </c>
      <c r="Y4467" t="s">
        <v>21058</v>
      </c>
      <c r="Z4467" t="s">
        <v>26617</v>
      </c>
      <c r="AA4467">
        <v>0.613009757726105</v>
      </c>
      <c r="AB4467" t="str">
        <f>HYPERLINK("Melting_Curves/meltCurve_Q96TA2_3_YME1L1.pdf", "Melting_Curves/meltCurve_Q96TA2_3_YME1L1.pdf")</f>
        <v>Melting_Curves/meltCurve_Q96TA2_3_YME1L1.pdf</v>
      </c>
    </row>
    <row r="4468" spans="1:28" x14ac:dyDescent="0.25">
      <c r="A4468" t="s">
        <v>4472</v>
      </c>
      <c r="B4468">
        <v>0.99796759195183404</v>
      </c>
      <c r="C4468">
        <v>0.928212173573153</v>
      </c>
      <c r="D4468">
        <v>0.81308325761677203</v>
      </c>
      <c r="E4468">
        <v>0.62203812441529005</v>
      </c>
      <c r="F4468">
        <v>0.50408965294282404</v>
      </c>
      <c r="G4468">
        <v>0.46671881244075702</v>
      </c>
      <c r="H4468">
        <v>0.30226070512776199</v>
      </c>
      <c r="I4468">
        <v>0.23995913268857899</v>
      </c>
      <c r="J4468">
        <v>8.5393182232132298E-2</v>
      </c>
      <c r="K4468">
        <v>0.240321792220623</v>
      </c>
      <c r="L4468">
        <v>439.01681742580797</v>
      </c>
      <c r="M4468">
        <v>8.8421871150366105</v>
      </c>
      <c r="N4468">
        <v>50.737162195414598</v>
      </c>
      <c r="O4468">
        <v>47.307423629313298</v>
      </c>
      <c r="P4468">
        <v>-4.2728833974179502E-2</v>
      </c>
      <c r="Q4468">
        <v>8.6279179017388602E-2</v>
      </c>
      <c r="R4468">
        <v>0.96904790469274005</v>
      </c>
      <c r="S4468" t="s">
        <v>10051</v>
      </c>
      <c r="T4468" t="s">
        <v>11164</v>
      </c>
      <c r="U4468" t="s">
        <v>11164</v>
      </c>
      <c r="V4468" t="s">
        <v>11164</v>
      </c>
      <c r="W4468" t="s">
        <v>15588</v>
      </c>
      <c r="X4468">
        <v>3</v>
      </c>
      <c r="Y4468" t="s">
        <v>21059</v>
      </c>
      <c r="Z4468" t="s">
        <v>26618</v>
      </c>
      <c r="AA4468">
        <v>0.5075534850461092</v>
      </c>
      <c r="AB4468" t="str">
        <f>HYPERLINK("Melting_Curves/meltCurve_Q99081_TCF12.pdf", "Melting_Curves/meltCurve_Q99081_TCF12.pdf")</f>
        <v>Melting_Curves/meltCurve_Q99081_TCF12.pdf</v>
      </c>
    </row>
    <row r="4469" spans="1:28" x14ac:dyDescent="0.25">
      <c r="A4469" t="s">
        <v>4473</v>
      </c>
      <c r="B4469">
        <v>0.99796759195183404</v>
      </c>
      <c r="C4469">
        <v>1.02253795184574</v>
      </c>
      <c r="D4469">
        <v>1.0030397781921301</v>
      </c>
      <c r="E4469">
        <v>0.97905710204881102</v>
      </c>
      <c r="F4469">
        <v>0.85097343363272104</v>
      </c>
      <c r="G4469">
        <v>0.61571330331086804</v>
      </c>
      <c r="H4469">
        <v>0.70414039666491501</v>
      </c>
      <c r="I4469">
        <v>0.63818784663540795</v>
      </c>
      <c r="J4469">
        <v>0.75479925278503801</v>
      </c>
      <c r="K4469">
        <v>0.69600735374730804</v>
      </c>
      <c r="L4469">
        <v>12556.374353364199</v>
      </c>
      <c r="M4469">
        <v>250</v>
      </c>
      <c r="O4469">
        <v>50.2223029285434</v>
      </c>
      <c r="P4469">
        <v>-0.39602735796356198</v>
      </c>
      <c r="Q4469">
        <v>0.68176962886260095</v>
      </c>
      <c r="R4469">
        <v>0.94473105994260798</v>
      </c>
      <c r="S4469" t="s">
        <v>10052</v>
      </c>
      <c r="T4469" t="s">
        <v>11164</v>
      </c>
      <c r="U4469" t="s">
        <v>11164</v>
      </c>
      <c r="V4469" t="s">
        <v>11164</v>
      </c>
      <c r="W4469" t="s">
        <v>15589</v>
      </c>
      <c r="X4469">
        <v>8</v>
      </c>
      <c r="Y4469" t="s">
        <v>21060</v>
      </c>
      <c r="Z4469" t="s">
        <v>26619</v>
      </c>
      <c r="AA4469">
        <v>0.8220895109466364</v>
      </c>
      <c r="AB4469" t="str">
        <f>HYPERLINK("Melting_Curves/meltCurve_Q99417_MYCBP.pdf", "Melting_Curves/meltCurve_Q99417_MYCBP.pdf")</f>
        <v>Melting_Curves/meltCurve_Q99417_MYCBP.pdf</v>
      </c>
    </row>
    <row r="4470" spans="1:28" x14ac:dyDescent="0.25">
      <c r="A4470" t="s">
        <v>4474</v>
      </c>
      <c r="B4470">
        <v>0.99796759195183404</v>
      </c>
      <c r="C4470">
        <v>0.99302432254703099</v>
      </c>
      <c r="D4470">
        <v>1.0005296372417001</v>
      </c>
      <c r="E4470">
        <v>0.99192061517803498</v>
      </c>
      <c r="F4470">
        <v>0.83068210226607497</v>
      </c>
      <c r="G4470">
        <v>0.37501456346706902</v>
      </c>
      <c r="H4470">
        <v>0.21505098082134699</v>
      </c>
      <c r="I4470">
        <v>0.151712663321803</v>
      </c>
      <c r="J4470">
        <v>0.126198450232204</v>
      </c>
      <c r="K4470">
        <v>0.104699613151904</v>
      </c>
      <c r="L4470">
        <v>1655.75685397749</v>
      </c>
      <c r="M4470">
        <v>31.6227829668656</v>
      </c>
      <c r="N4470">
        <v>52.864979087239497</v>
      </c>
      <c r="O4470">
        <v>52.1515626404287</v>
      </c>
      <c r="P4470">
        <v>-0.13181774823818301</v>
      </c>
      <c r="Q4470">
        <v>0.130441408421623</v>
      </c>
      <c r="R4470">
        <v>0.99838575974410004</v>
      </c>
      <c r="S4470" t="s">
        <v>10053</v>
      </c>
      <c r="T4470" t="s">
        <v>11164</v>
      </c>
      <c r="U4470" t="s">
        <v>11164</v>
      </c>
      <c r="V4470" t="s">
        <v>11164</v>
      </c>
      <c r="W4470" t="s">
        <v>15590</v>
      </c>
      <c r="X4470">
        <v>22</v>
      </c>
      <c r="Y4470" t="s">
        <v>21061</v>
      </c>
      <c r="Z4470" t="s">
        <v>26620</v>
      </c>
      <c r="AA4470">
        <v>0.58062292757396505</v>
      </c>
      <c r="AB4470" t="str">
        <f>HYPERLINK("Melting_Curves/meltCurve_Q99426_TBCB.pdf", "Melting_Curves/meltCurve_Q99426_TBCB.pdf")</f>
        <v>Melting_Curves/meltCurve_Q99426_TBCB.pdf</v>
      </c>
    </row>
    <row r="4471" spans="1:28" x14ac:dyDescent="0.25">
      <c r="A4471" t="s">
        <v>4475</v>
      </c>
      <c r="B4471">
        <v>0.99796759195183404</v>
      </c>
      <c r="C4471">
        <v>1.0555031118366101</v>
      </c>
      <c r="D4471">
        <v>1.0687509483163999</v>
      </c>
      <c r="E4471">
        <v>0.96435967485359197</v>
      </c>
      <c r="F4471">
        <v>1.05913822627521</v>
      </c>
      <c r="G4471">
        <v>1.9106486863497401</v>
      </c>
      <c r="H4471">
        <v>2.6145036491393698</v>
      </c>
      <c r="I4471">
        <v>5.2359940051191298</v>
      </c>
      <c r="J4471">
        <v>2.9337157336483601</v>
      </c>
      <c r="K4471">
        <v>1.68427123936958</v>
      </c>
      <c r="L4471">
        <v>12650.8432128976</v>
      </c>
      <c r="M4471">
        <v>250</v>
      </c>
      <c r="O4471">
        <v>50.600119409777697</v>
      </c>
      <c r="P4471">
        <v>0.61758729018101299</v>
      </c>
      <c r="Q4471">
        <v>1.5</v>
      </c>
      <c r="R4471">
        <v>-5.6854421663375503E-2</v>
      </c>
      <c r="S4471" t="s">
        <v>10054</v>
      </c>
      <c r="T4471" t="s">
        <v>11164</v>
      </c>
      <c r="U4471" t="s">
        <v>11164</v>
      </c>
      <c r="V4471" t="s">
        <v>11164</v>
      </c>
      <c r="W4471" t="s">
        <v>15591</v>
      </c>
      <c r="X4471">
        <v>2</v>
      </c>
      <c r="Y4471" t="s">
        <v>21062</v>
      </c>
      <c r="Z4471" t="s">
        <v>26621</v>
      </c>
      <c r="AA4471">
        <v>1.2732327150742639</v>
      </c>
      <c r="AB4471" t="str">
        <f>HYPERLINK("Melting_Curves/meltCurve_Q99436_PSMB7.pdf", "Melting_Curves/meltCurve_Q99436_PSMB7.pdf")</f>
        <v>Melting_Curves/meltCurve_Q99436_PSMB7.pdf</v>
      </c>
    </row>
    <row r="4472" spans="1:28" x14ac:dyDescent="0.25">
      <c r="A4472" t="s">
        <v>4476</v>
      </c>
      <c r="B4472">
        <v>0.99796759195183404</v>
      </c>
      <c r="C4472">
        <v>0.90479479685862796</v>
      </c>
      <c r="D4472">
        <v>0.89533699256640298</v>
      </c>
      <c r="E4472">
        <v>0.959081060460656</v>
      </c>
      <c r="F4472">
        <v>0.76740996837942199</v>
      </c>
      <c r="G4472">
        <v>0.486960810525153</v>
      </c>
      <c r="H4472">
        <v>0.41607503575377103</v>
      </c>
      <c r="I4472">
        <v>0.28553600690242398</v>
      </c>
      <c r="J4472">
        <v>0.192103054660999</v>
      </c>
      <c r="K4472">
        <v>0.16494919231267599</v>
      </c>
      <c r="L4472">
        <v>678.27421562173004</v>
      </c>
      <c r="M4472">
        <v>12.585957529538501</v>
      </c>
      <c r="N4472">
        <v>54.843801682372401</v>
      </c>
      <c r="O4472">
        <v>52.585141589032197</v>
      </c>
      <c r="P4472">
        <v>-5.3972880199941398E-2</v>
      </c>
      <c r="Q4472">
        <v>9.8168576883466196E-2</v>
      </c>
      <c r="R4472">
        <v>0.97659783841084302</v>
      </c>
      <c r="S4472" t="s">
        <v>10055</v>
      </c>
      <c r="T4472" t="s">
        <v>11164</v>
      </c>
      <c r="U4472" t="s">
        <v>11164</v>
      </c>
      <c r="V4472" t="s">
        <v>11164</v>
      </c>
      <c r="W4472" t="s">
        <v>15592</v>
      </c>
      <c r="X4472">
        <v>5</v>
      </c>
      <c r="Y4472" t="s">
        <v>21063</v>
      </c>
      <c r="Z4472" t="s">
        <v>26622</v>
      </c>
      <c r="AA4472">
        <v>0.62221657320738366</v>
      </c>
      <c r="AB4472" t="str">
        <f>HYPERLINK("Melting_Curves/meltCurve_Q99442_SEC62.pdf", "Melting_Curves/meltCurve_Q99442_SEC62.pdf")</f>
        <v>Melting_Curves/meltCurve_Q99442_SEC62.pdf</v>
      </c>
    </row>
    <row r="4473" spans="1:28" x14ac:dyDescent="0.25">
      <c r="A4473" t="s">
        <v>4477</v>
      </c>
      <c r="B4473">
        <v>0.99796759195183404</v>
      </c>
      <c r="C4473">
        <v>0.97806497397758896</v>
      </c>
      <c r="D4473">
        <v>0.95743441420172604</v>
      </c>
      <c r="E4473">
        <v>0.93307133047979196</v>
      </c>
      <c r="F4473">
        <v>0.83532454422450897</v>
      </c>
      <c r="G4473">
        <v>0.74801300784604097</v>
      </c>
      <c r="H4473">
        <v>0.49694203894538502</v>
      </c>
      <c r="I4473">
        <v>0.189681932736257</v>
      </c>
      <c r="J4473">
        <v>0.13070720380386799</v>
      </c>
      <c r="K4473">
        <v>9.34907818185612E-2</v>
      </c>
      <c r="L4473">
        <v>913.28675874567102</v>
      </c>
      <c r="M4473">
        <v>16.080054137812901</v>
      </c>
      <c r="N4473">
        <v>56.796249193642403</v>
      </c>
      <c r="O4473">
        <v>55.939620252325199</v>
      </c>
      <c r="P4473">
        <v>-7.1868962937195496E-2</v>
      </c>
      <c r="Q4473">
        <v>0</v>
      </c>
      <c r="R4473">
        <v>0.98958220824356002</v>
      </c>
      <c r="S4473" t="s">
        <v>10056</v>
      </c>
      <c r="T4473" t="s">
        <v>11164</v>
      </c>
      <c r="U4473" t="s">
        <v>11164</v>
      </c>
      <c r="V4473" t="s">
        <v>11164</v>
      </c>
      <c r="W4473" t="s">
        <v>15593</v>
      </c>
      <c r="X4473">
        <v>11</v>
      </c>
      <c r="Y4473" t="s">
        <v>21064</v>
      </c>
      <c r="Z4473" t="s">
        <v>26623</v>
      </c>
      <c r="AA4473">
        <v>0.66917501053930595</v>
      </c>
      <c r="AB4473" t="str">
        <f>HYPERLINK("Melting_Curves/meltCurve_Q99447_PCYT2.pdf", "Melting_Curves/meltCurve_Q99447_PCYT2.pdf")</f>
        <v>Melting_Curves/meltCurve_Q99447_PCYT2.pdf</v>
      </c>
    </row>
    <row r="4474" spans="1:28" x14ac:dyDescent="0.25">
      <c r="A4474" t="s">
        <v>4478</v>
      </c>
      <c r="B4474">
        <v>0.99796759195183404</v>
      </c>
      <c r="C4474">
        <v>0.94586497290177196</v>
      </c>
      <c r="D4474">
        <v>0.89680828902927301</v>
      </c>
      <c r="E4474">
        <v>0.80924751138780804</v>
      </c>
      <c r="F4474">
        <v>0.67591852501082805</v>
      </c>
      <c r="G4474">
        <v>0.37680942220895702</v>
      </c>
      <c r="H4474">
        <v>0.223406166154029</v>
      </c>
      <c r="I4474">
        <v>0.156476576075225</v>
      </c>
      <c r="J4474">
        <v>0.118045780842639</v>
      </c>
      <c r="K4474">
        <v>9.7361026787086996E-2</v>
      </c>
      <c r="L4474">
        <v>679.34792312742104</v>
      </c>
      <c r="M4474">
        <v>13.120822548761399</v>
      </c>
      <c r="N4474">
        <v>52.1055285151688</v>
      </c>
      <c r="O4474">
        <v>50.617913958228101</v>
      </c>
      <c r="P4474">
        <v>-6.2236136932155801E-2</v>
      </c>
      <c r="Q4474">
        <v>3.9777683372372703E-2</v>
      </c>
      <c r="R4474">
        <v>0.99356899112135999</v>
      </c>
      <c r="S4474" t="s">
        <v>10057</v>
      </c>
      <c r="T4474" t="s">
        <v>11164</v>
      </c>
      <c r="U4474" t="s">
        <v>11164</v>
      </c>
      <c r="V4474" t="s">
        <v>11164</v>
      </c>
      <c r="W4474" t="s">
        <v>15594</v>
      </c>
      <c r="X4474">
        <v>3</v>
      </c>
      <c r="Y4474" t="s">
        <v>21065</v>
      </c>
      <c r="Z4474" t="s">
        <v>26624</v>
      </c>
      <c r="AA4474">
        <v>0.53424642043103576</v>
      </c>
      <c r="AB4474" t="str">
        <f>HYPERLINK("Melting_Curves/meltCurve_Q99459_CDC5L.pdf", "Melting_Curves/meltCurve_Q99459_CDC5L.pdf")</f>
        <v>Melting_Curves/meltCurve_Q99459_CDC5L.pdf</v>
      </c>
    </row>
    <row r="4475" spans="1:28" x14ac:dyDescent="0.25">
      <c r="A4475" t="s">
        <v>4479</v>
      </c>
      <c r="B4475">
        <v>0.99796759195183404</v>
      </c>
      <c r="C4475">
        <v>0.94300046742061705</v>
      </c>
      <c r="D4475">
        <v>0.87377813417046701</v>
      </c>
      <c r="E4475">
        <v>0.94375086162312205</v>
      </c>
      <c r="F4475">
        <v>0.79134883408997503</v>
      </c>
      <c r="G4475">
        <v>1.01526997575492</v>
      </c>
      <c r="H4475">
        <v>0.80318538485676205</v>
      </c>
      <c r="I4475">
        <v>0.60573990472657002</v>
      </c>
      <c r="J4475">
        <v>0.35357949055188398</v>
      </c>
      <c r="K4475">
        <v>0.24055274854261099</v>
      </c>
      <c r="L4475">
        <v>1059.42410970796</v>
      </c>
      <c r="M4475">
        <v>17.012668275435999</v>
      </c>
      <c r="N4475">
        <v>62.272660186742499</v>
      </c>
      <c r="O4475">
        <v>61.431333319387797</v>
      </c>
      <c r="P4475">
        <v>-6.9238738189776897E-2</v>
      </c>
      <c r="Q4475">
        <v>0</v>
      </c>
      <c r="R4475">
        <v>0.900051983185023</v>
      </c>
      <c r="S4475" t="s">
        <v>10058</v>
      </c>
      <c r="T4475" t="s">
        <v>11164</v>
      </c>
      <c r="U4475" t="s">
        <v>11164</v>
      </c>
      <c r="V4475" t="s">
        <v>11164</v>
      </c>
      <c r="W4475" t="s">
        <v>15595</v>
      </c>
      <c r="X4475">
        <v>7</v>
      </c>
      <c r="Y4475" t="s">
        <v>21066</v>
      </c>
      <c r="Z4475" t="s">
        <v>26625</v>
      </c>
      <c r="AA4475">
        <v>0.82372506382187738</v>
      </c>
      <c r="AB4475" t="str">
        <f>HYPERLINK("Melting_Curves/meltCurve_Q99460_PSMD1.pdf", "Melting_Curves/meltCurve_Q99460_PSMD1.pdf")</f>
        <v>Melting_Curves/meltCurve_Q99460_PSMD1.pdf</v>
      </c>
    </row>
    <row r="4476" spans="1:28" x14ac:dyDescent="0.25">
      <c r="A4476" t="s">
        <v>4480</v>
      </c>
      <c r="B4476">
        <v>0.99796759195183404</v>
      </c>
      <c r="C4476">
        <v>0.97649613045254702</v>
      </c>
      <c r="D4476">
        <v>0.963462036125868</v>
      </c>
      <c r="E4476">
        <v>0.96328024159870196</v>
      </c>
      <c r="F4476">
        <v>0.85546469977486095</v>
      </c>
      <c r="G4476">
        <v>0.80260385624747999</v>
      </c>
      <c r="H4476">
        <v>0.69879098706536702</v>
      </c>
      <c r="I4476">
        <v>0.60724378624583397</v>
      </c>
      <c r="J4476">
        <v>0.62353882503240998</v>
      </c>
      <c r="K4476">
        <v>0.339928751287149</v>
      </c>
      <c r="L4476">
        <v>464.880052180951</v>
      </c>
      <c r="M4476">
        <v>7.2024999617460299</v>
      </c>
      <c r="N4476">
        <v>64.544263016172096</v>
      </c>
      <c r="O4476">
        <v>60.125226344177001</v>
      </c>
      <c r="P4476">
        <v>-2.9997915443998598E-2</v>
      </c>
      <c r="Q4476">
        <v>0</v>
      </c>
      <c r="R4476">
        <v>0.94408274104964396</v>
      </c>
      <c r="S4476" t="s">
        <v>10059</v>
      </c>
      <c r="T4476" t="s">
        <v>11164</v>
      </c>
      <c r="U4476" t="s">
        <v>11164</v>
      </c>
      <c r="V4476" t="s">
        <v>11164</v>
      </c>
      <c r="W4476" t="s">
        <v>15596</v>
      </c>
      <c r="X4476">
        <v>14</v>
      </c>
      <c r="Y4476" t="s">
        <v>21067</v>
      </c>
      <c r="Z4476" t="s">
        <v>26626</v>
      </c>
      <c r="AA4476">
        <v>0.79769490379044194</v>
      </c>
      <c r="AB4476" t="str">
        <f>HYPERLINK("Melting_Curves/meltCurve_Q99471_PFDN5.pdf", "Melting_Curves/meltCurve_Q99471_PFDN5.pdf")</f>
        <v>Melting_Curves/meltCurve_Q99471_PFDN5.pdf</v>
      </c>
    </row>
    <row r="4477" spans="1:28" x14ac:dyDescent="0.25">
      <c r="A4477" t="s">
        <v>4481</v>
      </c>
      <c r="B4477">
        <v>0.99796759195183404</v>
      </c>
      <c r="C4477">
        <v>0.94023172095625096</v>
      </c>
      <c r="D4477">
        <v>0.81026591535760895</v>
      </c>
      <c r="E4477">
        <v>0.97619146134731904</v>
      </c>
      <c r="F4477">
        <v>0.805143180183713</v>
      </c>
      <c r="G4477">
        <v>0.55760048302366905</v>
      </c>
      <c r="H4477">
        <v>0.218098285174711</v>
      </c>
      <c r="I4477">
        <v>0.158733371100126</v>
      </c>
      <c r="J4477">
        <v>5.1676464095536299E-2</v>
      </c>
      <c r="K4477">
        <v>5.1230560864199699E-2</v>
      </c>
      <c r="L4477">
        <v>996.67263976345703</v>
      </c>
      <c r="M4477">
        <v>18.441321496852499</v>
      </c>
      <c r="N4477">
        <v>54.144415858085601</v>
      </c>
      <c r="O4477">
        <v>53.4221268038158</v>
      </c>
      <c r="P4477">
        <v>-8.4875988121708004E-2</v>
      </c>
      <c r="Q4477">
        <v>1.6544961089078498E-2</v>
      </c>
      <c r="R4477">
        <v>0.97086350240966901</v>
      </c>
      <c r="S4477" t="s">
        <v>10060</v>
      </c>
      <c r="T4477" t="s">
        <v>11164</v>
      </c>
      <c r="U4477" t="s">
        <v>11164</v>
      </c>
      <c r="V4477" t="s">
        <v>11164</v>
      </c>
      <c r="W4477" t="s">
        <v>15597</v>
      </c>
      <c r="X4477">
        <v>3</v>
      </c>
      <c r="Y4477" t="s">
        <v>21068</v>
      </c>
      <c r="Z4477" t="s">
        <v>26627</v>
      </c>
      <c r="AA4477">
        <v>0.58841779974701869</v>
      </c>
      <c r="AB4477" t="str">
        <f>HYPERLINK("Melting_Curves/meltCurve_Q99487_PAFAH2.pdf", "Melting_Curves/meltCurve_Q99487_PAFAH2.pdf")</f>
        <v>Melting_Curves/meltCurve_Q99487_PAFAH2.pdf</v>
      </c>
    </row>
    <row r="4478" spans="1:28" x14ac:dyDescent="0.25">
      <c r="A4478" t="s">
        <v>4482</v>
      </c>
      <c r="B4478">
        <v>0.99796759195183404</v>
      </c>
      <c r="C4478">
        <v>0.94146044103465798</v>
      </c>
      <c r="D4478">
        <v>0.948505944619916</v>
      </c>
      <c r="E4478">
        <v>0.90451981012325899</v>
      </c>
      <c r="F4478">
        <v>0.75212632513422895</v>
      </c>
      <c r="G4478">
        <v>0.52449740451802696</v>
      </c>
      <c r="H4478">
        <v>0.29584578262885203</v>
      </c>
      <c r="I4478">
        <v>0.234107276738515</v>
      </c>
      <c r="J4478">
        <v>0.215115190037558</v>
      </c>
      <c r="K4478">
        <v>0.18429113054969301</v>
      </c>
      <c r="L4478">
        <v>873.24531419536095</v>
      </c>
      <c r="M4478">
        <v>16.579949949205499</v>
      </c>
      <c r="N4478">
        <v>53.903556321555897</v>
      </c>
      <c r="O4478">
        <v>51.920452118346702</v>
      </c>
      <c r="P4478">
        <v>-6.7224195219059701E-2</v>
      </c>
      <c r="Q4478">
        <v>0.158001651750386</v>
      </c>
      <c r="R4478">
        <v>0.99452346474584696</v>
      </c>
      <c r="S4478" t="s">
        <v>10061</v>
      </c>
      <c r="T4478" t="s">
        <v>11164</v>
      </c>
      <c r="U4478" t="s">
        <v>11164</v>
      </c>
      <c r="V4478" t="s">
        <v>11164</v>
      </c>
      <c r="W4478" t="s">
        <v>15598</v>
      </c>
      <c r="X4478">
        <v>5</v>
      </c>
      <c r="Y4478" t="s">
        <v>21069</v>
      </c>
      <c r="Z4478" t="s">
        <v>26628</v>
      </c>
      <c r="AA4478">
        <v>0.61155924680257578</v>
      </c>
      <c r="AB4478" t="str">
        <f>HYPERLINK("Melting_Curves/meltCurve_Q99496_RNF2.pdf", "Melting_Curves/meltCurve_Q99496_RNF2.pdf")</f>
        <v>Melting_Curves/meltCurve_Q99496_RNF2.pdf</v>
      </c>
    </row>
    <row r="4479" spans="1:28" x14ac:dyDescent="0.25">
      <c r="A4479" t="s">
        <v>4483</v>
      </c>
      <c r="B4479">
        <v>0.99796759195183404</v>
      </c>
      <c r="C4479">
        <v>1.03847182195559</v>
      </c>
      <c r="D4479">
        <v>1.0217941214839601</v>
      </c>
      <c r="E4479">
        <v>0.97087729002039203</v>
      </c>
      <c r="F4479">
        <v>0.88826923298534799</v>
      </c>
      <c r="G4479">
        <v>0.73734871668499502</v>
      </c>
      <c r="H4479">
        <v>0.63043437583307704</v>
      </c>
      <c r="I4479">
        <v>0.54602413336502198</v>
      </c>
      <c r="J4479">
        <v>0.38594753282095601</v>
      </c>
      <c r="K4479">
        <v>0.22925496648555299</v>
      </c>
      <c r="L4479">
        <v>612.09527448916106</v>
      </c>
      <c r="M4479">
        <v>10.087533536834201</v>
      </c>
      <c r="N4479">
        <v>60.678401033855799</v>
      </c>
      <c r="O4479">
        <v>58.4385337940924</v>
      </c>
      <c r="P4479">
        <v>-4.3174755778489803E-2</v>
      </c>
      <c r="Q4479">
        <v>0</v>
      </c>
      <c r="R4479">
        <v>0.98377244543799303</v>
      </c>
      <c r="S4479" t="s">
        <v>10062</v>
      </c>
      <c r="T4479" t="s">
        <v>11164</v>
      </c>
      <c r="U4479" t="s">
        <v>11164</v>
      </c>
      <c r="V4479" t="s">
        <v>11164</v>
      </c>
      <c r="W4479" t="s">
        <v>15599</v>
      </c>
      <c r="X4479">
        <v>19</v>
      </c>
      <c r="Y4479" t="s">
        <v>21070</v>
      </c>
      <c r="Z4479" t="s">
        <v>26629</v>
      </c>
      <c r="AA4479">
        <v>0.75585051041729601</v>
      </c>
      <c r="AB4479" t="str">
        <f>HYPERLINK("Melting_Curves/meltCurve_Q99497_PARK7.pdf", "Melting_Curves/meltCurve_Q99497_PARK7.pdf")</f>
        <v>Melting_Curves/meltCurve_Q99497_PARK7.pdf</v>
      </c>
    </row>
    <row r="4480" spans="1:28" x14ac:dyDescent="0.25">
      <c r="A4480" t="s">
        <v>4484</v>
      </c>
      <c r="B4480">
        <v>0.99796759195183404</v>
      </c>
      <c r="C4480">
        <v>0.90667942731837103</v>
      </c>
      <c r="D4480">
        <v>0.97892082473601305</v>
      </c>
      <c r="E4480">
        <v>0.861170020154994</v>
      </c>
      <c r="F4480">
        <v>0.40123482504084601</v>
      </c>
      <c r="G4480">
        <v>0.198565438376679</v>
      </c>
      <c r="H4480">
        <v>5.8216526961050001E-2</v>
      </c>
      <c r="I4480">
        <v>6.9607046336588804E-2</v>
      </c>
      <c r="J4480">
        <v>0</v>
      </c>
      <c r="K4480">
        <v>0</v>
      </c>
      <c r="L4480">
        <v>1171.0525172227599</v>
      </c>
      <c r="M4480">
        <v>23.6078009554987</v>
      </c>
      <c r="N4480">
        <v>49.7013296082783</v>
      </c>
      <c r="O4480">
        <v>49.2526784733287</v>
      </c>
      <c r="P4480">
        <v>-0.11713803495834101</v>
      </c>
      <c r="Q4480">
        <v>2.2482082736288399E-2</v>
      </c>
      <c r="R4480">
        <v>0.99095061614995095</v>
      </c>
      <c r="S4480" t="s">
        <v>10063</v>
      </c>
      <c r="T4480" t="s">
        <v>11164</v>
      </c>
      <c r="U4480" t="s">
        <v>11164</v>
      </c>
      <c r="V4480" t="s">
        <v>11164</v>
      </c>
      <c r="W4480" t="s">
        <v>15600</v>
      </c>
      <c r="X4480">
        <v>3</v>
      </c>
      <c r="Y4480" t="s">
        <v>21071</v>
      </c>
      <c r="Z4480" t="s">
        <v>26630</v>
      </c>
      <c r="AA4480">
        <v>0.44267930220150059</v>
      </c>
      <c r="AB4480" t="str">
        <f>HYPERLINK("Melting_Curves/meltCurve_Q99504_2_EYA3.pdf", "Melting_Curves/meltCurve_Q99504_2_EYA3.pdf")</f>
        <v>Melting_Curves/meltCurve_Q99504_2_EYA3.pdf</v>
      </c>
    </row>
    <row r="4481" spans="1:28" x14ac:dyDescent="0.25">
      <c r="A4481" t="s">
        <v>4485</v>
      </c>
      <c r="B4481">
        <v>0.99796759195183404</v>
      </c>
      <c r="C4481">
        <v>0.85035567418465097</v>
      </c>
      <c r="D4481">
        <v>0.75058713388771303</v>
      </c>
      <c r="E4481">
        <v>0.718642278271163</v>
      </c>
      <c r="F4481">
        <v>0.65297075032005203</v>
      </c>
      <c r="G4481">
        <v>0.61907226271792404</v>
      </c>
      <c r="H4481">
        <v>0.61537841993515596</v>
      </c>
      <c r="I4481">
        <v>0.59169047036992894</v>
      </c>
      <c r="J4481">
        <v>0.30284846600505499</v>
      </c>
      <c r="K4481">
        <v>0.173619878345245</v>
      </c>
      <c r="L4481">
        <v>274.79188856065798</v>
      </c>
      <c r="M4481">
        <v>4.7763857944675703</v>
      </c>
      <c r="N4481">
        <v>57.5313571804868</v>
      </c>
      <c r="O4481">
        <v>49.660033461549801</v>
      </c>
      <c r="P4481">
        <v>-2.4217604596773499E-2</v>
      </c>
      <c r="Q4481">
        <v>0</v>
      </c>
      <c r="R4481">
        <v>0.83507523582606602</v>
      </c>
      <c r="S4481" t="s">
        <v>10064</v>
      </c>
      <c r="T4481" t="s">
        <v>11164</v>
      </c>
      <c r="U4481" t="s">
        <v>11164</v>
      </c>
      <c r="V4481" t="s">
        <v>11164</v>
      </c>
      <c r="W4481" t="s">
        <v>15601</v>
      </c>
      <c r="X4481">
        <v>6</v>
      </c>
      <c r="Y4481" t="s">
        <v>21072</v>
      </c>
      <c r="Z4481" t="s">
        <v>26631</v>
      </c>
      <c r="AA4481">
        <v>0.63085870425613388</v>
      </c>
      <c r="AB4481" t="str">
        <f>HYPERLINK("Melting_Curves/meltCurve_Q99519_NEU1.pdf", "Melting_Curves/meltCurve_Q99519_NEU1.pdf")</f>
        <v>Melting_Curves/meltCurve_Q99519_NEU1.pdf</v>
      </c>
    </row>
    <row r="4482" spans="1:28" x14ac:dyDescent="0.25">
      <c r="A4482" t="s">
        <v>4486</v>
      </c>
      <c r="B4482">
        <v>0.99796759195183404</v>
      </c>
      <c r="C4482">
        <v>1.1115847769051601</v>
      </c>
      <c r="D4482">
        <v>1.0478690818882701</v>
      </c>
      <c r="E4482">
        <v>1.05091942533785</v>
      </c>
      <c r="F4482">
        <v>0.96166109560224999</v>
      </c>
      <c r="G4482">
        <v>0.87015683744725103</v>
      </c>
      <c r="H4482">
        <v>0.80747535181416896</v>
      </c>
      <c r="I4482">
        <v>0.67688115056387699</v>
      </c>
      <c r="J4482">
        <v>0.38071524330360801</v>
      </c>
      <c r="K4482">
        <v>0.20412865268323099</v>
      </c>
      <c r="L4482">
        <v>1092.4204221002999</v>
      </c>
      <c r="M4482">
        <v>17.4688423620115</v>
      </c>
      <c r="N4482">
        <v>62.535347159554199</v>
      </c>
      <c r="O4482">
        <v>61.733133310050199</v>
      </c>
      <c r="P4482">
        <v>-7.0747314783694795E-2</v>
      </c>
      <c r="Q4482">
        <v>0</v>
      </c>
      <c r="R4482">
        <v>0.96384435273423696</v>
      </c>
      <c r="S4482" t="s">
        <v>10065</v>
      </c>
      <c r="T4482" t="s">
        <v>11164</v>
      </c>
      <c r="U4482" t="s">
        <v>11164</v>
      </c>
      <c r="V4482" t="s">
        <v>11164</v>
      </c>
      <c r="W4482" t="s">
        <v>15602</v>
      </c>
      <c r="X4482">
        <v>5</v>
      </c>
      <c r="Y4482" t="s">
        <v>21073</v>
      </c>
      <c r="Z4482" t="s">
        <v>26632</v>
      </c>
      <c r="AA4482">
        <v>0.83141239090643115</v>
      </c>
      <c r="AB4482" t="str">
        <f>HYPERLINK("Melting_Curves/meltCurve_Q99523_SORT1.pdf", "Melting_Curves/meltCurve_Q99523_SORT1.pdf")</f>
        <v>Melting_Curves/meltCurve_Q99523_SORT1.pdf</v>
      </c>
    </row>
    <row r="4483" spans="1:28" x14ac:dyDescent="0.25">
      <c r="A4483" t="s">
        <v>4487</v>
      </c>
      <c r="B4483">
        <v>0.99796759195183404</v>
      </c>
      <c r="C4483">
        <v>1.01788842332125</v>
      </c>
      <c r="D4483">
        <v>1.0053042105993399</v>
      </c>
      <c r="E4483">
        <v>0.94621120872679698</v>
      </c>
      <c r="F4483">
        <v>0.88786339404861903</v>
      </c>
      <c r="G4483">
        <v>0.75604621777482495</v>
      </c>
      <c r="H4483">
        <v>0.62111192641570701</v>
      </c>
      <c r="I4483">
        <v>0.45047082248153197</v>
      </c>
      <c r="J4483">
        <v>0.30609526796361702</v>
      </c>
      <c r="K4483">
        <v>0.180323251488643</v>
      </c>
      <c r="L4483">
        <v>694.56395484207201</v>
      </c>
      <c r="M4483">
        <v>11.673143419023599</v>
      </c>
      <c r="N4483">
        <v>59.501021303886297</v>
      </c>
      <c r="O4483">
        <v>57.835262749699297</v>
      </c>
      <c r="P4483">
        <v>-5.0472118769714497E-2</v>
      </c>
      <c r="Q4483">
        <v>0</v>
      </c>
      <c r="R4483">
        <v>0.99630817795725501</v>
      </c>
      <c r="S4483" t="s">
        <v>10066</v>
      </c>
      <c r="T4483" t="s">
        <v>11164</v>
      </c>
      <c r="U4483" t="s">
        <v>11164</v>
      </c>
      <c r="V4483" t="s">
        <v>11164</v>
      </c>
      <c r="W4483" t="s">
        <v>15603</v>
      </c>
      <c r="X4483">
        <v>11</v>
      </c>
      <c r="Y4483" t="s">
        <v>21074</v>
      </c>
      <c r="Z4483" t="s">
        <v>26633</v>
      </c>
      <c r="AA4483">
        <v>0.73656493788100297</v>
      </c>
      <c r="AB4483" t="str">
        <f>HYPERLINK("Melting_Curves/meltCurve_Q99536_VAT1.pdf", "Melting_Curves/meltCurve_Q99536_VAT1.pdf")</f>
        <v>Melting_Curves/meltCurve_Q99536_VAT1.pdf</v>
      </c>
    </row>
    <row r="4484" spans="1:28" x14ac:dyDescent="0.25">
      <c r="A4484" t="s">
        <v>4488</v>
      </c>
      <c r="B4484">
        <v>0.99796759195183404</v>
      </c>
      <c r="C4484">
        <v>1.0269659936101201</v>
      </c>
      <c r="D4484">
        <v>1.014320508245</v>
      </c>
      <c r="E4484">
        <v>0.90055746487341803</v>
      </c>
      <c r="F4484">
        <v>0.45561166995915597</v>
      </c>
      <c r="G4484">
        <v>0.28874840898812598</v>
      </c>
      <c r="H4484">
        <v>0.25541340479025598</v>
      </c>
      <c r="I4484">
        <v>0.20481863850864401</v>
      </c>
      <c r="J4484">
        <v>0.15272481673849</v>
      </c>
      <c r="K4484">
        <v>0.140544889699833</v>
      </c>
      <c r="L4484">
        <v>1499.57302728834</v>
      </c>
      <c r="M4484">
        <v>30.4401342575703</v>
      </c>
      <c r="N4484">
        <v>50.052066978241399</v>
      </c>
      <c r="O4484">
        <v>49.051883230353603</v>
      </c>
      <c r="P4484">
        <v>-0.12557798465003001</v>
      </c>
      <c r="Q4484">
        <v>0.190568844043634</v>
      </c>
      <c r="R4484">
        <v>0.99178795386528296</v>
      </c>
      <c r="S4484" t="s">
        <v>10067</v>
      </c>
      <c r="T4484" t="s">
        <v>11164</v>
      </c>
      <c r="U4484" t="s">
        <v>11164</v>
      </c>
      <c r="V4484" t="s">
        <v>11164</v>
      </c>
      <c r="W4484" t="s">
        <v>15604</v>
      </c>
      <c r="X4484">
        <v>15</v>
      </c>
      <c r="Y4484" t="s">
        <v>21075</v>
      </c>
      <c r="Z4484" t="s">
        <v>26634</v>
      </c>
      <c r="AA4484">
        <v>0.52620276494858687</v>
      </c>
      <c r="AB4484" t="str">
        <f>HYPERLINK("Melting_Curves/meltCurve_Q99543_DNAJC2.pdf", "Melting_Curves/meltCurve_Q99543_DNAJC2.pdf")</f>
        <v>Melting_Curves/meltCurve_Q99543_DNAJC2.pdf</v>
      </c>
    </row>
    <row r="4485" spans="1:28" x14ac:dyDescent="0.25">
      <c r="A4485" t="s">
        <v>4489</v>
      </c>
      <c r="B4485">
        <v>0.99796759195183404</v>
      </c>
      <c r="C4485">
        <v>1.00176825144941</v>
      </c>
      <c r="D4485">
        <v>0.96060981174237103</v>
      </c>
      <c r="E4485">
        <v>0.809157751756721</v>
      </c>
      <c r="F4485">
        <v>0.62480480486439205</v>
      </c>
      <c r="G4485">
        <v>0.55571911511850303</v>
      </c>
      <c r="H4485">
        <v>0.29169104720247502</v>
      </c>
      <c r="I4485">
        <v>0.19519913253746199</v>
      </c>
      <c r="J4485">
        <v>0.116170461238107</v>
      </c>
      <c r="K4485">
        <v>7.8229135198553498E-2</v>
      </c>
      <c r="L4485">
        <v>601.43401705497604</v>
      </c>
      <c r="M4485">
        <v>11.269208959181</v>
      </c>
      <c r="N4485">
        <v>53.369652117602101</v>
      </c>
      <c r="O4485">
        <v>51.771906552978997</v>
      </c>
      <c r="P4485">
        <v>-5.4434312914241403E-2</v>
      </c>
      <c r="Q4485">
        <v>0</v>
      </c>
      <c r="R4485">
        <v>0.99123891532972797</v>
      </c>
      <c r="S4485" t="s">
        <v>10068</v>
      </c>
      <c r="T4485" t="s">
        <v>11164</v>
      </c>
      <c r="U4485" t="s">
        <v>11164</v>
      </c>
      <c r="V4485" t="s">
        <v>11164</v>
      </c>
      <c r="W4485" t="s">
        <v>15605</v>
      </c>
      <c r="X4485">
        <v>8</v>
      </c>
      <c r="Y4485" t="s">
        <v>21076</v>
      </c>
      <c r="Z4485" t="s">
        <v>26635</v>
      </c>
      <c r="AA4485">
        <v>0.5660494809014478</v>
      </c>
      <c r="AB4485" t="str">
        <f>HYPERLINK("Melting_Curves/meltCurve_Q99567_NUP88.pdf", "Melting_Curves/meltCurve_Q99567_NUP88.pdf")</f>
        <v>Melting_Curves/meltCurve_Q99567_NUP88.pdf</v>
      </c>
    </row>
    <row r="4486" spans="1:28" x14ac:dyDescent="0.25">
      <c r="A4486" t="s">
        <v>4490</v>
      </c>
      <c r="B4486">
        <v>0.99796759195183404</v>
      </c>
      <c r="C4486">
        <v>0.91294852635142099</v>
      </c>
      <c r="D4486">
        <v>0.93684120648982605</v>
      </c>
      <c r="E4486">
        <v>0.84267811024981698</v>
      </c>
      <c r="F4486">
        <v>0.71701988858087595</v>
      </c>
      <c r="G4486">
        <v>0.35461098607926</v>
      </c>
      <c r="H4486">
        <v>0.15152323170304099</v>
      </c>
      <c r="I4486">
        <v>0.136656693021594</v>
      </c>
      <c r="J4486">
        <v>9.6477005571910204E-2</v>
      </c>
      <c r="K4486">
        <v>7.1102144954844099E-2</v>
      </c>
      <c r="L4486">
        <v>932.69929622749896</v>
      </c>
      <c r="M4486">
        <v>18.015926515665299</v>
      </c>
      <c r="N4486">
        <v>52.112153484204903</v>
      </c>
      <c r="O4486">
        <v>51.145606286050601</v>
      </c>
      <c r="P4486">
        <v>-8.3165076412954897E-2</v>
      </c>
      <c r="Q4486">
        <v>5.5653536294048303E-2</v>
      </c>
      <c r="R4486">
        <v>0.98796379655948696</v>
      </c>
      <c r="S4486" t="s">
        <v>10069</v>
      </c>
      <c r="T4486" t="s">
        <v>11164</v>
      </c>
      <c r="U4486" t="s">
        <v>11164</v>
      </c>
      <c r="V4486" t="s">
        <v>11164</v>
      </c>
      <c r="W4486" t="s">
        <v>15606</v>
      </c>
      <c r="X4486">
        <v>4</v>
      </c>
      <c r="Y4486" t="s">
        <v>21077</v>
      </c>
      <c r="Z4486" t="s">
        <v>26636</v>
      </c>
      <c r="AA4486">
        <v>0.53497143513419831</v>
      </c>
      <c r="AB4486" t="str">
        <f>HYPERLINK("Melting_Curves/meltCurve_Q99569_2_PKP4.pdf", "Melting_Curves/meltCurve_Q99569_2_PKP4.pdf")</f>
        <v>Melting_Curves/meltCurve_Q99569_2_PKP4.pdf</v>
      </c>
    </row>
    <row r="4487" spans="1:28" x14ac:dyDescent="0.25">
      <c r="A4487" t="s">
        <v>4491</v>
      </c>
      <c r="B4487">
        <v>0.99796759195183404</v>
      </c>
      <c r="C4487">
        <v>0.84223095463790498</v>
      </c>
      <c r="D4487">
        <v>1.10717633975236</v>
      </c>
      <c r="E4487">
        <v>1.0386044924046001</v>
      </c>
      <c r="F4487">
        <v>0.83736352314477203</v>
      </c>
      <c r="G4487">
        <v>0.563776294118841</v>
      </c>
      <c r="H4487">
        <v>0.79303984337591304</v>
      </c>
      <c r="I4487">
        <v>0.61556716023665603</v>
      </c>
      <c r="J4487">
        <v>0.33492037252755102</v>
      </c>
      <c r="K4487">
        <v>0</v>
      </c>
      <c r="L4487">
        <v>725.53258347357905</v>
      </c>
      <c r="M4487">
        <v>12.0793493942338</v>
      </c>
      <c r="N4487">
        <v>60.063879273603497</v>
      </c>
      <c r="O4487">
        <v>58.488747275003</v>
      </c>
      <c r="P4487">
        <v>-5.1643195666966103E-2</v>
      </c>
      <c r="Q4487">
        <v>0</v>
      </c>
      <c r="R4487">
        <v>0.80648130900081005</v>
      </c>
      <c r="S4487" t="s">
        <v>10070</v>
      </c>
      <c r="T4487" t="s">
        <v>11164</v>
      </c>
      <c r="U4487" t="s">
        <v>11164</v>
      </c>
      <c r="V4487" t="s">
        <v>11164</v>
      </c>
      <c r="W4487" t="s">
        <v>15607</v>
      </c>
      <c r="X4487">
        <v>1</v>
      </c>
      <c r="Y4487" t="s">
        <v>21078</v>
      </c>
      <c r="Z4487" t="s">
        <v>26637</v>
      </c>
      <c r="AA4487">
        <v>0.75230930885270475</v>
      </c>
      <c r="AB4487" t="str">
        <f>HYPERLINK("Melting_Curves/meltCurve_Q99574_SERPINI1.pdf", "Melting_Curves/meltCurve_Q99574_SERPINI1.pdf")</f>
        <v>Melting_Curves/meltCurve_Q99574_SERPINI1.pdf</v>
      </c>
    </row>
    <row r="4488" spans="1:28" x14ac:dyDescent="0.25">
      <c r="A4488" t="s">
        <v>4492</v>
      </c>
      <c r="B4488">
        <v>0.99796759195183404</v>
      </c>
      <c r="C4488">
        <v>1.1502423637626999</v>
      </c>
      <c r="D4488">
        <v>0.76584154410998395</v>
      </c>
      <c r="E4488">
        <v>0.75402051845117102</v>
      </c>
      <c r="F4488">
        <v>0.66908350280552098</v>
      </c>
      <c r="G4488">
        <v>0.78046306638882801</v>
      </c>
      <c r="H4488">
        <v>0.47993229010091398</v>
      </c>
      <c r="I4488">
        <v>0.34649010029153698</v>
      </c>
      <c r="J4488">
        <v>0.13048112729876099</v>
      </c>
      <c r="K4488">
        <v>5.9758054539432497E-2</v>
      </c>
      <c r="L4488">
        <v>532.53531891546697</v>
      </c>
      <c r="M4488">
        <v>9.5372777423335808</v>
      </c>
      <c r="N4488">
        <v>55.837240692123103</v>
      </c>
      <c r="O4488">
        <v>53.547813653415702</v>
      </c>
      <c r="P4488">
        <v>-4.4552883374316302E-2</v>
      </c>
      <c r="Q4488">
        <v>0</v>
      </c>
      <c r="R4488">
        <v>0.87545307260997096</v>
      </c>
      <c r="S4488" t="s">
        <v>10071</v>
      </c>
      <c r="T4488" t="s">
        <v>11164</v>
      </c>
      <c r="U4488" t="s">
        <v>11164</v>
      </c>
      <c r="V4488" t="s">
        <v>11164</v>
      </c>
      <c r="W4488" t="s">
        <v>15608</v>
      </c>
      <c r="X4488">
        <v>6</v>
      </c>
      <c r="Y4488" t="s">
        <v>21079</v>
      </c>
      <c r="Z4488" t="s">
        <v>26638</v>
      </c>
      <c r="AA4488">
        <v>0.63373069635884804</v>
      </c>
      <c r="AB4488" t="str">
        <f>HYPERLINK("Melting_Curves/meltCurve_Q99575_POP1.pdf", "Melting_Curves/meltCurve_Q99575_POP1.pdf")</f>
        <v>Melting_Curves/meltCurve_Q99575_POP1.pdf</v>
      </c>
    </row>
    <row r="4489" spans="1:28" x14ac:dyDescent="0.25">
      <c r="A4489" t="s">
        <v>4493</v>
      </c>
      <c r="B4489">
        <v>0.99796759195183404</v>
      </c>
      <c r="C4489">
        <v>0.96280772424463901</v>
      </c>
      <c r="D4489">
        <v>0.95644394243034003</v>
      </c>
      <c r="E4489">
        <v>0.93258168984968903</v>
      </c>
      <c r="F4489">
        <v>0.78837784021891</v>
      </c>
      <c r="G4489">
        <v>0.652553847459309</v>
      </c>
      <c r="H4489">
        <v>0.62822141814807397</v>
      </c>
      <c r="I4489">
        <v>0.51410616531960696</v>
      </c>
      <c r="J4489">
        <v>0.49693188750301498</v>
      </c>
      <c r="K4489">
        <v>0.380608344307652</v>
      </c>
      <c r="L4489">
        <v>485.49861000354002</v>
      </c>
      <c r="M4489">
        <v>8.6858272672241199</v>
      </c>
      <c r="N4489">
        <v>61.677646631275699</v>
      </c>
      <c r="O4489">
        <v>53.1697588221231</v>
      </c>
      <c r="P4489">
        <v>-2.9489746112268199E-2</v>
      </c>
      <c r="Q4489">
        <v>0.278520572522725</v>
      </c>
      <c r="R4489">
        <v>0.98210408574877295</v>
      </c>
      <c r="S4489" t="s">
        <v>10072</v>
      </c>
      <c r="T4489" t="s">
        <v>11164</v>
      </c>
      <c r="U4489" t="s">
        <v>11164</v>
      </c>
      <c r="V4489" t="s">
        <v>11164</v>
      </c>
      <c r="W4489" t="s">
        <v>15609</v>
      </c>
      <c r="X4489">
        <v>9</v>
      </c>
      <c r="Y4489" t="s">
        <v>21080</v>
      </c>
      <c r="Z4489" t="s">
        <v>26639</v>
      </c>
      <c r="AA4489">
        <v>0.73466054612565945</v>
      </c>
      <c r="AB4489" t="str">
        <f>HYPERLINK("Melting_Curves/meltCurve_Q99584_S100A13.pdf", "Melting_Curves/meltCurve_Q99584_S100A13.pdf")</f>
        <v>Melting_Curves/meltCurve_Q99584_S100A13.pdf</v>
      </c>
    </row>
    <row r="4490" spans="1:28" x14ac:dyDescent="0.25">
      <c r="A4490" t="s">
        <v>4494</v>
      </c>
      <c r="B4490">
        <v>0.99796759195183404</v>
      </c>
      <c r="C4490">
        <v>1.0032374132816499</v>
      </c>
      <c r="D4490">
        <v>0.97622787687672896</v>
      </c>
      <c r="E4490">
        <v>0.89955609256878599</v>
      </c>
      <c r="F4490">
        <v>0.84442168589378097</v>
      </c>
      <c r="G4490">
        <v>0.88718899412607899</v>
      </c>
      <c r="H4490">
        <v>0.75840728685577197</v>
      </c>
      <c r="I4490">
        <v>0.68673686859435301</v>
      </c>
      <c r="J4490">
        <v>0.71262838922532101</v>
      </c>
      <c r="K4490">
        <v>0.41162644378997298</v>
      </c>
      <c r="L4490">
        <v>436.94989548154899</v>
      </c>
      <c r="M4490">
        <v>6.4309833410151196</v>
      </c>
      <c r="O4490">
        <v>62.268038708180498</v>
      </c>
      <c r="P4490">
        <v>-2.58849350282357E-2</v>
      </c>
      <c r="Q4490">
        <v>0</v>
      </c>
      <c r="R4490">
        <v>0.88453817859756501</v>
      </c>
      <c r="S4490" t="s">
        <v>10073</v>
      </c>
      <c r="T4490" t="s">
        <v>11164</v>
      </c>
      <c r="U4490" t="s">
        <v>11164</v>
      </c>
      <c r="V4490" t="s">
        <v>11164</v>
      </c>
      <c r="W4490" t="s">
        <v>15610</v>
      </c>
      <c r="X4490">
        <v>16</v>
      </c>
      <c r="Y4490" t="s">
        <v>21081</v>
      </c>
      <c r="Z4490" t="s">
        <v>26640</v>
      </c>
      <c r="AA4490">
        <v>0.83302303929224475</v>
      </c>
      <c r="AB4490" t="str">
        <f>HYPERLINK("Melting_Curves/meltCurve_Q99598_TSNAX.pdf", "Melting_Curves/meltCurve_Q99598_TSNAX.pdf")</f>
        <v>Melting_Curves/meltCurve_Q99598_TSNAX.pdf</v>
      </c>
    </row>
    <row r="4491" spans="1:28" x14ac:dyDescent="0.25">
      <c r="A4491" t="s">
        <v>4495</v>
      </c>
      <c r="B4491">
        <v>0.99796759195183404</v>
      </c>
      <c r="C4491">
        <v>1.09761403641331</v>
      </c>
      <c r="D4491">
        <v>1.02200197318843</v>
      </c>
      <c r="E4491">
        <v>0.96398990805302098</v>
      </c>
      <c r="F4491">
        <v>0.85700562156674398</v>
      </c>
      <c r="G4491">
        <v>0.71017658028219099</v>
      </c>
      <c r="H4491">
        <v>0.78425578779049798</v>
      </c>
      <c r="I4491">
        <v>0.71379439319747395</v>
      </c>
      <c r="J4491">
        <v>0.91131334039476597</v>
      </c>
      <c r="K4491">
        <v>0.81085715782074497</v>
      </c>
      <c r="L4491">
        <v>2198.08817362937</v>
      </c>
      <c r="M4491">
        <v>44.840737971640003</v>
      </c>
      <c r="O4491">
        <v>48.922696582777803</v>
      </c>
      <c r="P4491">
        <v>-4.8712837840617203E-2</v>
      </c>
      <c r="Q4491">
        <v>0.78741114772349297</v>
      </c>
      <c r="R4491">
        <v>0.75952620905061696</v>
      </c>
      <c r="S4491" t="s">
        <v>10074</v>
      </c>
      <c r="T4491" t="s">
        <v>11164</v>
      </c>
      <c r="U4491" t="s">
        <v>11164</v>
      </c>
      <c r="V4491" t="s">
        <v>11164</v>
      </c>
      <c r="W4491" t="s">
        <v>15611</v>
      </c>
      <c r="X4491">
        <v>3</v>
      </c>
      <c r="Y4491" t="s">
        <v>21082</v>
      </c>
      <c r="Z4491" t="s">
        <v>26641</v>
      </c>
      <c r="AA4491">
        <v>0.87315989554629048</v>
      </c>
      <c r="AB4491" t="str">
        <f>HYPERLINK("Melting_Curves/meltCurve_Q99611_SEPHS2.pdf", "Melting_Curves/meltCurve_Q99611_SEPHS2.pdf")</f>
        <v>Melting_Curves/meltCurve_Q99611_SEPHS2.pdf</v>
      </c>
    </row>
    <row r="4492" spans="1:28" x14ac:dyDescent="0.25">
      <c r="A4492" t="s">
        <v>4496</v>
      </c>
      <c r="B4492">
        <v>0.99796759195183404</v>
      </c>
      <c r="C4492">
        <v>1.0695174459785</v>
      </c>
      <c r="D4492">
        <v>1.0194638660794</v>
      </c>
      <c r="E4492">
        <v>0.999435213706097</v>
      </c>
      <c r="F4492">
        <v>0.90129099720617101</v>
      </c>
      <c r="G4492">
        <v>0.72452136594719796</v>
      </c>
      <c r="H4492">
        <v>0.764766790757194</v>
      </c>
      <c r="I4492">
        <v>0.71589813787943102</v>
      </c>
      <c r="J4492">
        <v>0.84606868290089898</v>
      </c>
      <c r="K4492">
        <v>1.3674268360509501</v>
      </c>
      <c r="L4492">
        <v>15000</v>
      </c>
      <c r="M4492">
        <v>224.89909075122301</v>
      </c>
      <c r="O4492">
        <v>66.691305235168898</v>
      </c>
      <c r="P4492">
        <v>0.42153000762743698</v>
      </c>
      <c r="Q4492">
        <v>1.5</v>
      </c>
      <c r="R4492">
        <v>0.28469678362679202</v>
      </c>
      <c r="S4492" t="s">
        <v>10075</v>
      </c>
      <c r="T4492" t="s">
        <v>11164</v>
      </c>
      <c r="U4492" t="s">
        <v>11164</v>
      </c>
      <c r="V4492" t="s">
        <v>11164</v>
      </c>
      <c r="W4492" t="s">
        <v>15612</v>
      </c>
      <c r="X4492">
        <v>20</v>
      </c>
      <c r="Y4492" t="s">
        <v>21083</v>
      </c>
      <c r="Z4492" t="s">
        <v>26642</v>
      </c>
      <c r="AA4492">
        <v>1.00653757497614</v>
      </c>
      <c r="AB4492" t="str">
        <f>HYPERLINK("Melting_Curves/meltCurve_Q99614_TTC1.pdf", "Melting_Curves/meltCurve_Q99614_TTC1.pdf")</f>
        <v>Melting_Curves/meltCurve_Q99614_TTC1.pdf</v>
      </c>
    </row>
    <row r="4493" spans="1:28" x14ac:dyDescent="0.25">
      <c r="A4493" t="s">
        <v>4497</v>
      </c>
      <c r="B4493">
        <v>0.99796759195183404</v>
      </c>
      <c r="C4493">
        <v>1.00792167715206</v>
      </c>
      <c r="D4493">
        <v>0.96859561207641098</v>
      </c>
      <c r="E4493">
        <v>0.87452128904713</v>
      </c>
      <c r="F4493">
        <v>0.66451760139000804</v>
      </c>
      <c r="G4493">
        <v>0.22319605906937301</v>
      </c>
      <c r="H4493">
        <v>0.157206094680199</v>
      </c>
      <c r="I4493">
        <v>0.13074013600183701</v>
      </c>
      <c r="J4493">
        <v>0.120046926476379</v>
      </c>
      <c r="K4493">
        <v>9.0402341266473396E-2</v>
      </c>
      <c r="L4493">
        <v>1373.7229865909701</v>
      </c>
      <c r="M4493">
        <v>27.044499993741901</v>
      </c>
      <c r="N4493">
        <v>51.243872491345897</v>
      </c>
      <c r="O4493">
        <v>50.519623405775398</v>
      </c>
      <c r="P4493">
        <v>-0.119715968022769</v>
      </c>
      <c r="Q4493">
        <v>0.10548227604192401</v>
      </c>
      <c r="R4493">
        <v>0.99479210435255305</v>
      </c>
      <c r="S4493" t="s">
        <v>10076</v>
      </c>
      <c r="T4493" t="s">
        <v>11164</v>
      </c>
      <c r="U4493" t="s">
        <v>11164</v>
      </c>
      <c r="V4493" t="s">
        <v>11164</v>
      </c>
      <c r="W4493" t="s">
        <v>15613</v>
      </c>
      <c r="X4493">
        <v>24</v>
      </c>
      <c r="Y4493" t="s">
        <v>21084</v>
      </c>
      <c r="Z4493" t="s">
        <v>26643</v>
      </c>
      <c r="AA4493">
        <v>0.52360037750289135</v>
      </c>
      <c r="AB4493" t="str">
        <f>HYPERLINK("Melting_Curves/meltCurve_Q99615_DNAJC7.pdf", "Melting_Curves/meltCurve_Q99615_DNAJC7.pdf")</f>
        <v>Melting_Curves/meltCurve_Q99615_DNAJC7.pdf</v>
      </c>
    </row>
    <row r="4494" spans="1:28" x14ac:dyDescent="0.25">
      <c r="A4494" t="s">
        <v>4498</v>
      </c>
      <c r="B4494">
        <v>0.99796759195183404</v>
      </c>
      <c r="C4494">
        <v>0.94740089198418898</v>
      </c>
      <c r="D4494">
        <v>0.99250873930446604</v>
      </c>
      <c r="E4494">
        <v>0.94708579806955495</v>
      </c>
      <c r="F4494">
        <v>0.88332033143469701</v>
      </c>
      <c r="G4494">
        <v>0.64425412825859596</v>
      </c>
      <c r="H4494">
        <v>0.76701896519075796</v>
      </c>
      <c r="I4494">
        <v>0.64731088253669899</v>
      </c>
      <c r="J4494">
        <v>0.82692822894008899</v>
      </c>
      <c r="K4494">
        <v>0.69293853329357002</v>
      </c>
      <c r="L4494">
        <v>12568.1888483455</v>
      </c>
      <c r="M4494">
        <v>250</v>
      </c>
      <c r="O4494">
        <v>50.269538272536003</v>
      </c>
      <c r="P4494">
        <v>-0.353481780399588</v>
      </c>
      <c r="Q4494">
        <v>0.715690146129768</v>
      </c>
      <c r="R4494">
        <v>0.82362714861625896</v>
      </c>
      <c r="S4494" t="s">
        <v>10077</v>
      </c>
      <c r="T4494" t="s">
        <v>11164</v>
      </c>
      <c r="U4494" t="s">
        <v>11164</v>
      </c>
      <c r="V4494" t="s">
        <v>11164</v>
      </c>
      <c r="W4494" t="s">
        <v>15614</v>
      </c>
      <c r="X4494">
        <v>8</v>
      </c>
      <c r="Y4494" t="s">
        <v>21085</v>
      </c>
      <c r="Z4494" t="s">
        <v>26644</v>
      </c>
      <c r="AA4494">
        <v>0.84150106840365457</v>
      </c>
      <c r="AB4494" t="str">
        <f>HYPERLINK("Melting_Curves/meltCurve_Q99618_CDCA3.pdf", "Melting_Curves/meltCurve_Q99618_CDCA3.pdf")</f>
        <v>Melting_Curves/meltCurve_Q99618_CDCA3.pdf</v>
      </c>
    </row>
    <row r="4495" spans="1:28" x14ac:dyDescent="0.25">
      <c r="A4495" t="s">
        <v>4499</v>
      </c>
      <c r="B4495">
        <v>0.99796759195183404</v>
      </c>
      <c r="C4495">
        <v>1.02480145458657</v>
      </c>
      <c r="D4495">
        <v>1.0147630323266501</v>
      </c>
      <c r="E4495">
        <v>0.91624635934046605</v>
      </c>
      <c r="F4495">
        <v>0.72609623131809398</v>
      </c>
      <c r="G4495">
        <v>0.369583566455645</v>
      </c>
      <c r="H4495">
        <v>0.23958323688031599</v>
      </c>
      <c r="I4495">
        <v>0.19996184176881801</v>
      </c>
      <c r="J4495">
        <v>0.234304410217478</v>
      </c>
      <c r="K4495">
        <v>0.17209155649868799</v>
      </c>
      <c r="L4495">
        <v>1340.3796653580901</v>
      </c>
      <c r="M4495">
        <v>26.121093001134</v>
      </c>
      <c r="N4495">
        <v>52.296817718821103</v>
      </c>
      <c r="O4495">
        <v>51.016154405404599</v>
      </c>
      <c r="P4495">
        <v>-0.103178828517726</v>
      </c>
      <c r="Q4495">
        <v>0.193949873323182</v>
      </c>
      <c r="R4495">
        <v>0.99674339055872996</v>
      </c>
      <c r="S4495" t="s">
        <v>10078</v>
      </c>
      <c r="T4495" t="s">
        <v>11164</v>
      </c>
      <c r="U4495" t="s">
        <v>11164</v>
      </c>
      <c r="V4495" t="s">
        <v>11164</v>
      </c>
      <c r="W4495" t="s">
        <v>15615</v>
      </c>
      <c r="X4495">
        <v>5</v>
      </c>
      <c r="Y4495" t="s">
        <v>21086</v>
      </c>
      <c r="Z4495" t="s">
        <v>26645</v>
      </c>
      <c r="AA4495">
        <v>0.58511321537449745</v>
      </c>
      <c r="AB4495" t="str">
        <f>HYPERLINK("Melting_Curves/meltCurve_Q99622_C12orf57.pdf", "Melting_Curves/meltCurve_Q99622_C12orf57.pdf")</f>
        <v>Melting_Curves/meltCurve_Q99622_C12orf57.pdf</v>
      </c>
    </row>
    <row r="4496" spans="1:28" x14ac:dyDescent="0.25">
      <c r="A4496" t="s">
        <v>4500</v>
      </c>
      <c r="B4496">
        <v>0.99796759195183404</v>
      </c>
      <c r="C4496">
        <v>0.99237418340711303</v>
      </c>
      <c r="D4496">
        <v>0.96343385218278699</v>
      </c>
      <c r="E4496">
        <v>0.94089516061766498</v>
      </c>
      <c r="F4496">
        <v>0.80201005493991595</v>
      </c>
      <c r="G4496">
        <v>1.2440396088405901</v>
      </c>
      <c r="H4496">
        <v>1.4557765741872799</v>
      </c>
      <c r="I4496">
        <v>3.7739660360535798</v>
      </c>
      <c r="J4496">
        <v>1.69253404866999</v>
      </c>
      <c r="K4496">
        <v>1.0868534543126001</v>
      </c>
      <c r="L4496">
        <v>9315.2150356501006</v>
      </c>
      <c r="M4496">
        <v>173.097510654535</v>
      </c>
      <c r="O4496">
        <v>53.807658503431703</v>
      </c>
      <c r="P4496">
        <v>0.40212099106329602</v>
      </c>
      <c r="Q4496">
        <v>1.5</v>
      </c>
      <c r="R4496">
        <v>0.21758143051095899</v>
      </c>
      <c r="S4496" t="s">
        <v>10079</v>
      </c>
      <c r="T4496" t="s">
        <v>11164</v>
      </c>
      <c r="U4496" t="s">
        <v>11164</v>
      </c>
      <c r="V4496" t="s">
        <v>11164</v>
      </c>
      <c r="W4496" t="s">
        <v>15616</v>
      </c>
      <c r="X4496">
        <v>21</v>
      </c>
      <c r="Y4496" t="s">
        <v>21087</v>
      </c>
      <c r="Z4496" t="s">
        <v>26646</v>
      </c>
      <c r="AA4496">
        <v>1.2196541224794371</v>
      </c>
      <c r="AB4496" t="str">
        <f>HYPERLINK("Melting_Curves/meltCurve_Q99623_PHB2.pdf", "Melting_Curves/meltCurve_Q99623_PHB2.pdf")</f>
        <v>Melting_Curves/meltCurve_Q99623_PHB2.pdf</v>
      </c>
    </row>
    <row r="4497" spans="1:28" x14ac:dyDescent="0.25">
      <c r="A4497" t="s">
        <v>4501</v>
      </c>
      <c r="B4497">
        <v>0.99796759195183404</v>
      </c>
      <c r="C4497">
        <v>0.96529447053865602</v>
      </c>
      <c r="D4497">
        <v>0.92584803983655495</v>
      </c>
      <c r="E4497">
        <v>0.93232260870344397</v>
      </c>
      <c r="F4497">
        <v>0.71441658159210297</v>
      </c>
      <c r="G4497">
        <v>0.43519933408391198</v>
      </c>
      <c r="H4497">
        <v>0.24854254417531699</v>
      </c>
      <c r="I4497">
        <v>0.181740967200856</v>
      </c>
      <c r="J4497">
        <v>0.157019100540913</v>
      </c>
      <c r="K4497">
        <v>0.10431986803549401</v>
      </c>
      <c r="L4497">
        <v>940.27828843987095</v>
      </c>
      <c r="M4497">
        <v>17.993402852336601</v>
      </c>
      <c r="N4497">
        <v>52.971631162093097</v>
      </c>
      <c r="O4497">
        <v>51.624191680546701</v>
      </c>
      <c r="P4497">
        <v>-7.77482187680925E-2</v>
      </c>
      <c r="Q4497">
        <v>0.107786001864796</v>
      </c>
      <c r="R4497">
        <v>0.99562172809125105</v>
      </c>
      <c r="S4497" t="s">
        <v>10080</v>
      </c>
      <c r="T4497" t="s">
        <v>11164</v>
      </c>
      <c r="U4497" t="s">
        <v>11164</v>
      </c>
      <c r="V4497" t="s">
        <v>11164</v>
      </c>
      <c r="W4497" t="s">
        <v>15617</v>
      </c>
      <c r="X4497">
        <v>8</v>
      </c>
      <c r="Y4497" t="s">
        <v>21088</v>
      </c>
      <c r="Z4497" t="s">
        <v>26647</v>
      </c>
      <c r="AA4497">
        <v>0.57491433331528918</v>
      </c>
      <c r="AB4497" t="str">
        <f>HYPERLINK("Melting_Curves/meltCurve_Q99633_PRPF18.pdf", "Melting_Curves/meltCurve_Q99633_PRPF18.pdf")</f>
        <v>Melting_Curves/meltCurve_Q99633_PRPF18.pdf</v>
      </c>
    </row>
    <row r="4498" spans="1:28" x14ac:dyDescent="0.25">
      <c r="A4498" t="s">
        <v>4502</v>
      </c>
      <c r="B4498">
        <v>0.99796759195183404</v>
      </c>
      <c r="C4498">
        <v>1.05482202855287</v>
      </c>
      <c r="D4498">
        <v>1.10868028904337</v>
      </c>
      <c r="E4498">
        <v>0.81585609036311002</v>
      </c>
      <c r="F4498">
        <v>0.22441028126568499</v>
      </c>
      <c r="G4498">
        <v>0.29835017686262499</v>
      </c>
      <c r="H4498">
        <v>0.116749496404667</v>
      </c>
      <c r="I4498">
        <v>0.13854920209919799</v>
      </c>
      <c r="J4498">
        <v>5.0732690738022397E-2</v>
      </c>
      <c r="K4498">
        <v>5.7485361461897699E-2</v>
      </c>
      <c r="L4498">
        <v>2099.1561684119101</v>
      </c>
      <c r="M4498">
        <v>43.716614855184503</v>
      </c>
      <c r="N4498">
        <v>48.342975474162103</v>
      </c>
      <c r="O4498">
        <v>47.917202872141097</v>
      </c>
      <c r="P4498">
        <v>-0.198994821440271</v>
      </c>
      <c r="Q4498">
        <v>0.12753890065166801</v>
      </c>
      <c r="R4498">
        <v>0.97032104467871105</v>
      </c>
      <c r="S4498" t="s">
        <v>10081</v>
      </c>
      <c r="T4498" t="s">
        <v>11164</v>
      </c>
      <c r="U4498" t="s">
        <v>11164</v>
      </c>
      <c r="V4498" t="s">
        <v>11164</v>
      </c>
      <c r="W4498" t="s">
        <v>15618</v>
      </c>
      <c r="X4498">
        <v>1</v>
      </c>
      <c r="Y4498" t="s">
        <v>21089</v>
      </c>
      <c r="Z4498" t="s">
        <v>26648</v>
      </c>
      <c r="AA4498">
        <v>0.45036728277304078</v>
      </c>
      <c r="AB4498" t="str">
        <f>HYPERLINK("Melting_Curves/meltCurve_Q99640_3_PKMYT1.pdf", "Melting_Curves/meltCurve_Q99640_3_PKMYT1.pdf")</f>
        <v>Melting_Curves/meltCurve_Q99640_3_PKMYT1.pdf</v>
      </c>
    </row>
    <row r="4499" spans="1:28" x14ac:dyDescent="0.25">
      <c r="A4499" t="s">
        <v>4503</v>
      </c>
      <c r="B4499">
        <v>0.99796759195183404</v>
      </c>
      <c r="C4499">
        <v>0.87017785702803296</v>
      </c>
      <c r="D4499">
        <v>0.918391796351683</v>
      </c>
      <c r="E4499">
        <v>0.90411982509684596</v>
      </c>
      <c r="F4499">
        <v>0.74229763414212202</v>
      </c>
      <c r="G4499">
        <v>0.59872613080678105</v>
      </c>
      <c r="H4499">
        <v>0.44971101914817402</v>
      </c>
      <c r="I4499">
        <v>0.25966632521688399</v>
      </c>
      <c r="J4499">
        <v>0.24277903772032999</v>
      </c>
      <c r="K4499">
        <v>0.198218847487033</v>
      </c>
      <c r="L4499">
        <v>516.93877932599503</v>
      </c>
      <c r="M4499">
        <v>9.2547977669719597</v>
      </c>
      <c r="N4499">
        <v>55.863861802915601</v>
      </c>
      <c r="O4499">
        <v>53.434172523142003</v>
      </c>
      <c r="P4499">
        <v>-4.3301157355970198E-2</v>
      </c>
      <c r="Q4499">
        <v>6.2601120250618402E-4</v>
      </c>
      <c r="R4499">
        <v>0.98017160331449604</v>
      </c>
      <c r="S4499" t="s">
        <v>10082</v>
      </c>
      <c r="T4499" t="s">
        <v>11164</v>
      </c>
      <c r="U4499" t="s">
        <v>11164</v>
      </c>
      <c r="V4499" t="s">
        <v>11164</v>
      </c>
      <c r="W4499" t="s">
        <v>15619</v>
      </c>
      <c r="X4499">
        <v>6</v>
      </c>
      <c r="Y4499" t="s">
        <v>21090</v>
      </c>
      <c r="Z4499" t="s">
        <v>26649</v>
      </c>
      <c r="AA4499">
        <v>0.63356570804171042</v>
      </c>
      <c r="AB4499" t="str">
        <f>HYPERLINK("Melting_Curves/meltCurve_Q99653_CHP1.pdf", "Melting_Curves/meltCurve_Q99653_CHP1.pdf")</f>
        <v>Melting_Curves/meltCurve_Q99653_CHP1.pdf</v>
      </c>
    </row>
    <row r="4500" spans="1:28" x14ac:dyDescent="0.25">
      <c r="A4500" t="s">
        <v>4504</v>
      </c>
      <c r="B4500">
        <v>0.99796759195183404</v>
      </c>
      <c r="C4500">
        <v>0.93834392415518897</v>
      </c>
      <c r="D4500">
        <v>0.89654299517645297</v>
      </c>
      <c r="E4500">
        <v>0.768149740333819</v>
      </c>
      <c r="F4500">
        <v>0.54670922228702301</v>
      </c>
      <c r="G4500">
        <v>0.19470989999043101</v>
      </c>
      <c r="H4500">
        <v>0.128979758548566</v>
      </c>
      <c r="I4500">
        <v>9.5349534443806006E-2</v>
      </c>
      <c r="J4500">
        <v>8.4438886355531095E-2</v>
      </c>
      <c r="K4500">
        <v>6.4295735973252804E-2</v>
      </c>
      <c r="L4500">
        <v>843.03753656408401</v>
      </c>
      <c r="M4500">
        <v>16.937847907020199</v>
      </c>
      <c r="N4500">
        <v>50.063252086498203</v>
      </c>
      <c r="O4500">
        <v>49.094161355127298</v>
      </c>
      <c r="P4500">
        <v>-8.2215692966213505E-2</v>
      </c>
      <c r="Q4500">
        <v>4.6854720110040902E-2</v>
      </c>
      <c r="R4500">
        <v>0.99188585144434904</v>
      </c>
      <c r="S4500" t="s">
        <v>10083</v>
      </c>
      <c r="T4500" t="s">
        <v>11164</v>
      </c>
      <c r="U4500" t="s">
        <v>11164</v>
      </c>
      <c r="V4500" t="s">
        <v>11164</v>
      </c>
      <c r="W4500" t="s">
        <v>15620</v>
      </c>
      <c r="X4500">
        <v>13</v>
      </c>
      <c r="Y4500" t="s">
        <v>21091</v>
      </c>
      <c r="Z4500" t="s">
        <v>26650</v>
      </c>
      <c r="AA4500">
        <v>0.4692887491563692</v>
      </c>
      <c r="AB4500" t="str">
        <f>HYPERLINK("Melting_Curves/meltCurve_Q99661_KIF2C.pdf", "Melting_Curves/meltCurve_Q99661_KIF2C.pdf")</f>
        <v>Melting_Curves/meltCurve_Q99661_KIF2C.pdf</v>
      </c>
    </row>
    <row r="4501" spans="1:28" x14ac:dyDescent="0.25">
      <c r="A4501" t="s">
        <v>4505</v>
      </c>
      <c r="B4501">
        <v>0.99796759195183404</v>
      </c>
      <c r="C4501">
        <v>0.96142516510619302</v>
      </c>
      <c r="D4501">
        <v>0.95770380149857404</v>
      </c>
      <c r="E4501">
        <v>0.73742935282303301</v>
      </c>
      <c r="F4501">
        <v>0.80131337634597599</v>
      </c>
      <c r="G4501">
        <v>0.53296775862421197</v>
      </c>
      <c r="H4501">
        <v>0.28713715726501698</v>
      </c>
      <c r="I4501">
        <v>0.18389047965152799</v>
      </c>
      <c r="J4501">
        <v>0.15917189037587201</v>
      </c>
      <c r="K4501">
        <v>0.11397950898496</v>
      </c>
      <c r="L4501">
        <v>610.16235887398898</v>
      </c>
      <c r="M4501">
        <v>11.3067635832499</v>
      </c>
      <c r="N4501">
        <v>53.964367965355599</v>
      </c>
      <c r="O4501">
        <v>52.358976903335801</v>
      </c>
      <c r="P4501">
        <v>-5.4003118633718497E-2</v>
      </c>
      <c r="Q4501">
        <v>0</v>
      </c>
      <c r="R4501">
        <v>0.97500812447659801</v>
      </c>
      <c r="S4501" t="s">
        <v>10084</v>
      </c>
      <c r="T4501" t="s">
        <v>11164</v>
      </c>
      <c r="U4501" t="s">
        <v>11164</v>
      </c>
      <c r="V4501" t="s">
        <v>11164</v>
      </c>
      <c r="W4501" t="s">
        <v>15621</v>
      </c>
      <c r="X4501">
        <v>1</v>
      </c>
      <c r="Y4501" t="s">
        <v>21092</v>
      </c>
      <c r="Z4501" t="s">
        <v>26651</v>
      </c>
      <c r="AA4501">
        <v>0.58362459406131673</v>
      </c>
      <c r="AB4501" t="str">
        <f>HYPERLINK("Melting_Curves/meltCurve_Q99704_DOK1.pdf", "Melting_Curves/meltCurve_Q99704_DOK1.pdf")</f>
        <v>Melting_Curves/meltCurve_Q99704_DOK1.pdf</v>
      </c>
    </row>
    <row r="4502" spans="1:28" x14ac:dyDescent="0.25">
      <c r="A4502" t="s">
        <v>4506</v>
      </c>
      <c r="B4502">
        <v>0.99796759195183404</v>
      </c>
      <c r="C4502">
        <v>1.03447733379657</v>
      </c>
      <c r="D4502">
        <v>0.97186349628250301</v>
      </c>
      <c r="E4502">
        <v>0.58086201369184698</v>
      </c>
      <c r="F4502">
        <v>0.33667045019271202</v>
      </c>
      <c r="G4502">
        <v>0.23259021208050101</v>
      </c>
      <c r="H4502">
        <v>0.17657232517753699</v>
      </c>
      <c r="I4502">
        <v>0.15289989712106999</v>
      </c>
      <c r="J4502">
        <v>0.120033465594438</v>
      </c>
      <c r="K4502">
        <v>9.5148188201782197E-2</v>
      </c>
      <c r="L4502">
        <v>1057.8440951272401</v>
      </c>
      <c r="M4502">
        <v>22.4209889286034</v>
      </c>
      <c r="N4502">
        <v>47.882564287671599</v>
      </c>
      <c r="O4502">
        <v>46.810456520829199</v>
      </c>
      <c r="P4502">
        <v>-0.10298086918028999</v>
      </c>
      <c r="Q4502">
        <v>0.14000549615213301</v>
      </c>
      <c r="R4502">
        <v>0.99029336438460003</v>
      </c>
      <c r="S4502" t="s">
        <v>10085</v>
      </c>
      <c r="T4502" t="s">
        <v>11164</v>
      </c>
      <c r="U4502" t="s">
        <v>11164</v>
      </c>
      <c r="V4502" t="s">
        <v>11164</v>
      </c>
      <c r="W4502" t="s">
        <v>15622</v>
      </c>
      <c r="X4502">
        <v>9</v>
      </c>
      <c r="Y4502" t="s">
        <v>21093</v>
      </c>
      <c r="Z4502" t="s">
        <v>26652</v>
      </c>
      <c r="AA4502">
        <v>0.4408569556491036</v>
      </c>
      <c r="AB4502" t="str">
        <f>HYPERLINK("Melting_Curves/meltCurve_Q99707_MTR.pdf", "Melting_Curves/meltCurve_Q99707_MTR.pdf")</f>
        <v>Melting_Curves/meltCurve_Q99707_MTR.pdf</v>
      </c>
    </row>
    <row r="4503" spans="1:28" x14ac:dyDescent="0.25">
      <c r="A4503" t="s">
        <v>4507</v>
      </c>
      <c r="B4503">
        <v>0.99796759195183404</v>
      </c>
      <c r="C4503">
        <v>1.08741094075233</v>
      </c>
      <c r="D4503">
        <v>1.01041264018472</v>
      </c>
      <c r="E4503">
        <v>1.0269881145722</v>
      </c>
      <c r="F4503">
        <v>0.95347969750744199</v>
      </c>
      <c r="G4503">
        <v>1.8301888821747601</v>
      </c>
      <c r="H4503">
        <v>1.2967715152220101</v>
      </c>
      <c r="I4503">
        <v>0.23177919953325701</v>
      </c>
      <c r="J4503">
        <v>0.12024542659875501</v>
      </c>
      <c r="K4503">
        <v>8.7548560155781094E-2</v>
      </c>
      <c r="L4503">
        <v>15000</v>
      </c>
      <c r="M4503">
        <v>247.694565971223</v>
      </c>
      <c r="N4503">
        <v>60.615455814857498</v>
      </c>
      <c r="O4503">
        <v>60.554506313786298</v>
      </c>
      <c r="P4503">
        <v>-0.91636555847403101</v>
      </c>
      <c r="Q4503">
        <v>0.10389533696320701</v>
      </c>
      <c r="R4503">
        <v>0.71844763819969704</v>
      </c>
      <c r="S4503" t="s">
        <v>10086</v>
      </c>
      <c r="T4503" t="s">
        <v>11164</v>
      </c>
      <c r="U4503" t="s">
        <v>11164</v>
      </c>
      <c r="V4503" t="s">
        <v>11164</v>
      </c>
      <c r="W4503" t="s">
        <v>15623</v>
      </c>
      <c r="X4503">
        <v>9</v>
      </c>
      <c r="Y4503" t="s">
        <v>21094</v>
      </c>
      <c r="Z4503" t="s">
        <v>26653</v>
      </c>
      <c r="AA4503">
        <v>0.80768704096567823</v>
      </c>
      <c r="AB4503" t="str">
        <f>HYPERLINK("Melting_Curves/meltCurve_Q99714_HSD17B10.pdf", "Melting_Curves/meltCurve_Q99714_HSD17B10.pdf")</f>
        <v>Melting_Curves/meltCurve_Q99714_HSD17B10.pdf</v>
      </c>
    </row>
    <row r="4504" spans="1:28" x14ac:dyDescent="0.25">
      <c r="A4504" t="s">
        <v>4508</v>
      </c>
      <c r="B4504">
        <v>0.99796759195183404</v>
      </c>
      <c r="C4504">
        <v>0.89824173976517396</v>
      </c>
      <c r="D4504">
        <v>0.89649196610900905</v>
      </c>
      <c r="E4504">
        <v>0.89916818973062296</v>
      </c>
      <c r="F4504">
        <v>0.81738723322483597</v>
      </c>
      <c r="G4504">
        <v>0.73881627040877995</v>
      </c>
      <c r="H4504">
        <v>0.70548334073351404</v>
      </c>
      <c r="I4504">
        <v>0.79102948372284798</v>
      </c>
      <c r="J4504">
        <v>0.88759971141342697</v>
      </c>
      <c r="K4504">
        <v>0.82295836886673202</v>
      </c>
      <c r="L4504">
        <v>559.90562058513501</v>
      </c>
      <c r="M4504">
        <v>13.120519311141001</v>
      </c>
      <c r="O4504">
        <v>41.719242403179798</v>
      </c>
      <c r="P4504">
        <v>-1.63720447508214E-2</v>
      </c>
      <c r="Q4504">
        <v>0.79180308452817905</v>
      </c>
      <c r="R4504">
        <v>0.59103319371539398</v>
      </c>
      <c r="S4504" t="s">
        <v>10087</v>
      </c>
      <c r="T4504" t="s">
        <v>11164</v>
      </c>
      <c r="U4504" t="s">
        <v>11164</v>
      </c>
      <c r="V4504" t="s">
        <v>11164</v>
      </c>
      <c r="W4504" t="s">
        <v>15624</v>
      </c>
      <c r="X4504">
        <v>2</v>
      </c>
      <c r="Y4504" t="s">
        <v>21095</v>
      </c>
      <c r="Z4504" t="s">
        <v>26654</v>
      </c>
      <c r="AA4504">
        <v>0.83863715182326493</v>
      </c>
      <c r="AB4504" t="str">
        <f>HYPERLINK("Melting_Curves/meltCurve_Q99720_4_SIGMAR1.pdf", "Melting_Curves/meltCurve_Q99720_4_SIGMAR1.pdf")</f>
        <v>Melting_Curves/meltCurve_Q99720_4_SIGMAR1.pdf</v>
      </c>
    </row>
    <row r="4505" spans="1:28" x14ac:dyDescent="0.25">
      <c r="A4505" t="s">
        <v>4509</v>
      </c>
      <c r="B4505">
        <v>0.99796759195183404</v>
      </c>
      <c r="C4505">
        <v>1.0597848888010299</v>
      </c>
      <c r="D4505">
        <v>0.97249020425113297</v>
      </c>
      <c r="E4505">
        <v>1.3995195820484301</v>
      </c>
      <c r="F4505">
        <v>1.0118772518189101</v>
      </c>
      <c r="G4505">
        <v>1.2786679432467201</v>
      </c>
      <c r="H4505">
        <v>0.80451141072918297</v>
      </c>
      <c r="I4505">
        <v>0.73819320747408501</v>
      </c>
      <c r="J4505">
        <v>0.61059503676531302</v>
      </c>
      <c r="K4505">
        <v>0.89131332953331199</v>
      </c>
      <c r="L4505">
        <v>14280.068651609699</v>
      </c>
      <c r="M4505">
        <v>250</v>
      </c>
      <c r="O4505">
        <v>57.116619279588903</v>
      </c>
      <c r="P4505">
        <v>-0.27717365313534598</v>
      </c>
      <c r="Q4505">
        <v>0.746700447933346</v>
      </c>
      <c r="R4505">
        <v>0.44462552076948803</v>
      </c>
      <c r="S4505" t="s">
        <v>10088</v>
      </c>
      <c r="T4505" t="s">
        <v>11164</v>
      </c>
      <c r="U4505" t="s">
        <v>11164</v>
      </c>
      <c r="V4505" t="s">
        <v>11164</v>
      </c>
      <c r="W4505" t="s">
        <v>15625</v>
      </c>
      <c r="X4505">
        <v>11</v>
      </c>
      <c r="Y4505" t="s">
        <v>21096</v>
      </c>
      <c r="Z4505" t="s">
        <v>26655</v>
      </c>
      <c r="AA4505">
        <v>0.91660772483811559</v>
      </c>
      <c r="AB4505" t="str">
        <f>HYPERLINK("Melting_Curves/meltCurve_Q99729_3_HNRNPAB.pdf", "Melting_Curves/meltCurve_Q99729_3_HNRNPAB.pdf")</f>
        <v>Melting_Curves/meltCurve_Q99729_3_HNRNPAB.pdf</v>
      </c>
    </row>
    <row r="4506" spans="1:28" x14ac:dyDescent="0.25">
      <c r="A4506" t="s">
        <v>4510</v>
      </c>
      <c r="B4506">
        <v>0.99796759195183404</v>
      </c>
      <c r="C4506">
        <v>0.98880945327257397</v>
      </c>
      <c r="D4506">
        <v>0.95136406335085599</v>
      </c>
      <c r="E4506">
        <v>0.92854270796889105</v>
      </c>
      <c r="F4506">
        <v>0.80016892799010297</v>
      </c>
      <c r="G4506">
        <v>0.73284329125840197</v>
      </c>
      <c r="H4506">
        <v>0.399220017120614</v>
      </c>
      <c r="I4506">
        <v>0.16990280505655</v>
      </c>
      <c r="J4506">
        <v>0.13895751308682999</v>
      </c>
      <c r="K4506">
        <v>0.101494958535501</v>
      </c>
      <c r="L4506">
        <v>857.67396499240397</v>
      </c>
      <c r="M4506">
        <v>15.3075165065832</v>
      </c>
      <c r="N4506">
        <v>56.042795579962998</v>
      </c>
      <c r="O4506">
        <v>55.099484245056701</v>
      </c>
      <c r="P4506">
        <v>-6.93354899735171E-2</v>
      </c>
      <c r="Q4506">
        <v>1.7993324945895801E-3</v>
      </c>
      <c r="R4506">
        <v>0.98788279330226902</v>
      </c>
      <c r="S4506" t="s">
        <v>10089</v>
      </c>
      <c r="T4506" t="s">
        <v>11164</v>
      </c>
      <c r="U4506" t="s">
        <v>11164</v>
      </c>
      <c r="V4506" t="s">
        <v>11164</v>
      </c>
      <c r="W4506" t="s">
        <v>15626</v>
      </c>
      <c r="X4506">
        <v>20</v>
      </c>
      <c r="Y4506" t="s">
        <v>21097</v>
      </c>
      <c r="Z4506" t="s">
        <v>26656</v>
      </c>
      <c r="AA4506">
        <v>0.64636093842740017</v>
      </c>
      <c r="AB4506" t="str">
        <f>HYPERLINK("Melting_Curves/meltCurve_Q99733_NAP1L4.pdf", "Melting_Curves/meltCurve_Q99733_NAP1L4.pdf")</f>
        <v>Melting_Curves/meltCurve_Q99733_NAP1L4.pdf</v>
      </c>
    </row>
    <row r="4507" spans="1:28" x14ac:dyDescent="0.25">
      <c r="A4507" t="s">
        <v>4511</v>
      </c>
      <c r="B4507">
        <v>0.99796759195183404</v>
      </c>
      <c r="C4507">
        <v>0.77916095507084604</v>
      </c>
      <c r="D4507">
        <v>0.94731780507908703</v>
      </c>
      <c r="E4507">
        <v>0.83492434214868305</v>
      </c>
      <c r="F4507">
        <v>0.69834040673311104</v>
      </c>
      <c r="G4507">
        <v>0.52193320430983603</v>
      </c>
      <c r="H4507">
        <v>0.54830838601096499</v>
      </c>
      <c r="I4507">
        <v>0.50442997232474296</v>
      </c>
      <c r="J4507">
        <v>0.50246804731198003</v>
      </c>
      <c r="K4507">
        <v>0.45194902686658101</v>
      </c>
      <c r="L4507">
        <v>426.08914595961897</v>
      </c>
      <c r="M4507">
        <v>8.5812607716811797</v>
      </c>
      <c r="N4507">
        <v>60.994956344625798</v>
      </c>
      <c r="O4507">
        <v>47.177558083011</v>
      </c>
      <c r="P4507">
        <v>-2.7371005422621102E-2</v>
      </c>
      <c r="Q4507">
        <v>0.39860813148987001</v>
      </c>
      <c r="R4507">
        <v>0.88792162259313601</v>
      </c>
      <c r="S4507" t="s">
        <v>10090</v>
      </c>
      <c r="T4507" t="s">
        <v>11164</v>
      </c>
      <c r="U4507" t="s">
        <v>11164</v>
      </c>
      <c r="V4507" t="s">
        <v>11164</v>
      </c>
      <c r="W4507" t="s">
        <v>15627</v>
      </c>
      <c r="X4507">
        <v>2</v>
      </c>
      <c r="Y4507" t="s">
        <v>21098</v>
      </c>
      <c r="Z4507" t="s">
        <v>26657</v>
      </c>
      <c r="AA4507">
        <v>0.67655221374521346</v>
      </c>
      <c r="AB4507" t="str">
        <f>HYPERLINK("Melting_Curves/meltCurve_Q99735_2_MGST2.pdf", "Melting_Curves/meltCurve_Q99735_2_MGST2.pdf")</f>
        <v>Melting_Curves/meltCurve_Q99735_2_MGST2.pdf</v>
      </c>
    </row>
    <row r="4508" spans="1:28" x14ac:dyDescent="0.25">
      <c r="A4508" t="s">
        <v>4512</v>
      </c>
      <c r="B4508">
        <v>0.99796759195183404</v>
      </c>
      <c r="C4508">
        <v>1.03671097882379</v>
      </c>
      <c r="D4508">
        <v>0.96915656946309203</v>
      </c>
      <c r="E4508">
        <v>0.95176001845706604</v>
      </c>
      <c r="F4508">
        <v>0.71036446847634405</v>
      </c>
      <c r="G4508">
        <v>0.330024032104419</v>
      </c>
      <c r="H4508">
        <v>0.25496218363408402</v>
      </c>
      <c r="I4508">
        <v>0.203966477774537</v>
      </c>
      <c r="J4508">
        <v>0.20971583921981299</v>
      </c>
      <c r="K4508">
        <v>0.168416355884521</v>
      </c>
      <c r="L4508">
        <v>1506.50526105823</v>
      </c>
      <c r="M4508">
        <v>29.475972169656998</v>
      </c>
      <c r="N4508">
        <v>51.989060404904301</v>
      </c>
      <c r="O4508">
        <v>50.876108602906299</v>
      </c>
      <c r="P4508">
        <v>-0.116407957346329</v>
      </c>
      <c r="Q4508">
        <v>0.19631618074500301</v>
      </c>
      <c r="R4508">
        <v>0.99677868284599103</v>
      </c>
      <c r="S4508" t="s">
        <v>10091</v>
      </c>
      <c r="T4508" t="s">
        <v>11164</v>
      </c>
      <c r="U4508" t="s">
        <v>11164</v>
      </c>
      <c r="V4508" t="s">
        <v>11164</v>
      </c>
      <c r="W4508" t="s">
        <v>15628</v>
      </c>
      <c r="X4508">
        <v>13</v>
      </c>
      <c r="Y4508" t="s">
        <v>21099</v>
      </c>
      <c r="Z4508" t="s">
        <v>26658</v>
      </c>
      <c r="AA4508">
        <v>0.5794942792731016</v>
      </c>
      <c r="AB4508" t="str">
        <f>HYPERLINK("Melting_Curves/meltCurve_Q99747_NAPG.pdf", "Melting_Curves/meltCurve_Q99747_NAPG.pdf")</f>
        <v>Melting_Curves/meltCurve_Q99747_NAPG.pdf</v>
      </c>
    </row>
    <row r="4509" spans="1:28" x14ac:dyDescent="0.25">
      <c r="A4509" t="s">
        <v>4513</v>
      </c>
      <c r="B4509">
        <v>0.99796759195183404</v>
      </c>
      <c r="C4509">
        <v>1.0868253824103</v>
      </c>
      <c r="D4509">
        <v>1.07522991980961</v>
      </c>
      <c r="E4509">
        <v>1.09819317322459</v>
      </c>
      <c r="F4509">
        <v>0.90795519939098401</v>
      </c>
      <c r="G4509">
        <v>0.57942968961140795</v>
      </c>
      <c r="H4509">
        <v>0.62705346633722603</v>
      </c>
      <c r="I4509">
        <v>0.41044155146169398</v>
      </c>
      <c r="J4509">
        <v>0.59694066441137295</v>
      </c>
      <c r="K4509">
        <v>0.51856798688175199</v>
      </c>
      <c r="L4509">
        <v>2746.21983877505</v>
      </c>
      <c r="M4509">
        <v>53.270616394330602</v>
      </c>
      <c r="O4509">
        <v>51.479748603261697</v>
      </c>
      <c r="P4509">
        <v>-0.119786306119016</v>
      </c>
      <c r="Q4509">
        <v>0.53696313145861896</v>
      </c>
      <c r="R4509">
        <v>0.921379805243144</v>
      </c>
      <c r="S4509" t="s">
        <v>10092</v>
      </c>
      <c r="T4509" t="s">
        <v>11164</v>
      </c>
      <c r="U4509" t="s">
        <v>11164</v>
      </c>
      <c r="V4509" t="s">
        <v>11164</v>
      </c>
      <c r="W4509" t="s">
        <v>15629</v>
      </c>
      <c r="X4509">
        <v>2</v>
      </c>
      <c r="Y4509" t="s">
        <v>21100</v>
      </c>
      <c r="Z4509" t="s">
        <v>26659</v>
      </c>
      <c r="AA4509">
        <v>0.76249752833879347</v>
      </c>
      <c r="AB4509" t="str">
        <f>HYPERLINK("Melting_Curves/meltCurve_Q99757_TXN2.pdf", "Melting_Curves/meltCurve_Q99757_TXN2.pdf")</f>
        <v>Melting_Curves/meltCurve_Q99757_TXN2.pdf</v>
      </c>
    </row>
    <row r="4510" spans="1:28" x14ac:dyDescent="0.25">
      <c r="A4510" t="s">
        <v>4514</v>
      </c>
      <c r="B4510">
        <v>0.99796759195183404</v>
      </c>
      <c r="C4510">
        <v>1.0229861354877201</v>
      </c>
      <c r="D4510">
        <v>1.01108033901178</v>
      </c>
      <c r="E4510">
        <v>0.88227008210930202</v>
      </c>
      <c r="F4510">
        <v>0.76106951169218695</v>
      </c>
      <c r="G4510">
        <v>0.58933265292221904</v>
      </c>
      <c r="H4510">
        <v>0.200965872093505</v>
      </c>
      <c r="I4510">
        <v>0.13639751891025201</v>
      </c>
      <c r="J4510">
        <v>6.9988042571047904E-2</v>
      </c>
      <c r="K4510">
        <v>4.7321175043799998E-2</v>
      </c>
      <c r="L4510">
        <v>906.07994533686804</v>
      </c>
      <c r="M4510">
        <v>16.777938011739199</v>
      </c>
      <c r="N4510">
        <v>54.004249571262598</v>
      </c>
      <c r="O4510">
        <v>53.254571659944403</v>
      </c>
      <c r="P4510">
        <v>-7.8768042356676601E-2</v>
      </c>
      <c r="Q4510">
        <v>0</v>
      </c>
      <c r="R4510">
        <v>0.990511968446675</v>
      </c>
      <c r="S4510" t="s">
        <v>10093</v>
      </c>
      <c r="T4510" t="s">
        <v>11164</v>
      </c>
      <c r="U4510" t="s">
        <v>11164</v>
      </c>
      <c r="V4510" t="s">
        <v>11164</v>
      </c>
      <c r="W4510" t="s">
        <v>15630</v>
      </c>
      <c r="X4510">
        <v>4</v>
      </c>
      <c r="Y4510" t="s">
        <v>21101</v>
      </c>
      <c r="Z4510" t="s">
        <v>26660</v>
      </c>
      <c r="AA4510">
        <v>0.58154482581421896</v>
      </c>
      <c r="AB4510" t="str">
        <f>HYPERLINK("Melting_Curves/meltCurve_Q99766_ATP5S.pdf", "Melting_Curves/meltCurve_Q99766_ATP5S.pdf")</f>
        <v>Melting_Curves/meltCurve_Q99766_ATP5S.pdf</v>
      </c>
    </row>
    <row r="4511" spans="1:28" x14ac:dyDescent="0.25">
      <c r="A4511" t="s">
        <v>4515</v>
      </c>
      <c r="B4511">
        <v>0.99796759195183404</v>
      </c>
      <c r="C4511">
        <v>1.0034149086135999</v>
      </c>
      <c r="D4511">
        <v>0.90100189540577003</v>
      </c>
      <c r="E4511">
        <v>0.89243152875049303</v>
      </c>
      <c r="F4511">
        <v>0.67456621482468204</v>
      </c>
      <c r="G4511">
        <v>0.27279317051424301</v>
      </c>
      <c r="H4511">
        <v>0.205447344761266</v>
      </c>
      <c r="I4511">
        <v>0.18717064454243701</v>
      </c>
      <c r="J4511">
        <v>0.177044272665419</v>
      </c>
      <c r="K4511">
        <v>0.111694028035943</v>
      </c>
      <c r="L4511">
        <v>1261.9694163422</v>
      </c>
      <c r="M4511">
        <v>24.8437019673331</v>
      </c>
      <c r="N4511">
        <v>51.5222111406379</v>
      </c>
      <c r="O4511">
        <v>50.470643793492201</v>
      </c>
      <c r="P4511">
        <v>-0.10489080291785401</v>
      </c>
      <c r="Q4511">
        <v>0.147657551314226</v>
      </c>
      <c r="R4511">
        <v>0.98856369876450001</v>
      </c>
      <c r="S4511" t="s">
        <v>10094</v>
      </c>
      <c r="T4511" t="s">
        <v>11164</v>
      </c>
      <c r="U4511" t="s">
        <v>11164</v>
      </c>
      <c r="V4511" t="s">
        <v>11164</v>
      </c>
      <c r="W4511" t="s">
        <v>15631</v>
      </c>
      <c r="X4511">
        <v>4</v>
      </c>
      <c r="Y4511" t="s">
        <v>21102</v>
      </c>
      <c r="Z4511" t="s">
        <v>26661</v>
      </c>
      <c r="AA4511">
        <v>0.54722867815397402</v>
      </c>
      <c r="AB4511" t="str">
        <f>HYPERLINK("Melting_Curves/meltCurve_Q99767_2_APBA2.pdf", "Melting_Curves/meltCurve_Q99767_2_APBA2.pdf")</f>
        <v>Melting_Curves/meltCurve_Q99767_2_APBA2.pdf</v>
      </c>
    </row>
    <row r="4512" spans="1:28" x14ac:dyDescent="0.25">
      <c r="A4512" t="s">
        <v>4516</v>
      </c>
      <c r="B4512">
        <v>0.99796759195183404</v>
      </c>
      <c r="C4512">
        <v>0.951003369952101</v>
      </c>
      <c r="D4512">
        <v>0.94204610623366303</v>
      </c>
      <c r="E4512">
        <v>0.88037628103244603</v>
      </c>
      <c r="F4512">
        <v>0.71909148386807098</v>
      </c>
      <c r="G4512">
        <v>0.43771290070251501</v>
      </c>
      <c r="H4512">
        <v>0.19401113657685601</v>
      </c>
      <c r="I4512">
        <v>0.14686053318072401</v>
      </c>
      <c r="J4512">
        <v>0.1131542583219</v>
      </c>
      <c r="K4512">
        <v>6.8675420947619706E-2</v>
      </c>
      <c r="L4512">
        <v>875.41438865773796</v>
      </c>
      <c r="M4512">
        <v>16.685151511287302</v>
      </c>
      <c r="N4512">
        <v>52.8060189270184</v>
      </c>
      <c r="O4512">
        <v>51.7303944922485</v>
      </c>
      <c r="P4512">
        <v>-7.6540801842597803E-2</v>
      </c>
      <c r="Q4512">
        <v>5.0839299052980097E-2</v>
      </c>
      <c r="R4512">
        <v>0.99557312523271502</v>
      </c>
      <c r="S4512" t="s">
        <v>10095</v>
      </c>
      <c r="T4512" t="s">
        <v>11164</v>
      </c>
      <c r="U4512" t="s">
        <v>11164</v>
      </c>
      <c r="V4512" t="s">
        <v>11164</v>
      </c>
      <c r="W4512" t="s">
        <v>15632</v>
      </c>
      <c r="X4512">
        <v>18</v>
      </c>
      <c r="Y4512" t="s">
        <v>21103</v>
      </c>
      <c r="Z4512" t="s">
        <v>26662</v>
      </c>
      <c r="AA4512">
        <v>0.55577260225253278</v>
      </c>
      <c r="AB4512" t="str">
        <f>HYPERLINK("Melting_Curves/meltCurve_Q99797_MIPEP.pdf", "Melting_Curves/meltCurve_Q99797_MIPEP.pdf")</f>
        <v>Melting_Curves/meltCurve_Q99797_MIPEP.pdf</v>
      </c>
    </row>
    <row r="4513" spans="1:28" x14ac:dyDescent="0.25">
      <c r="A4513" t="s">
        <v>4517</v>
      </c>
      <c r="B4513">
        <v>0.99796759195183404</v>
      </c>
      <c r="C4513">
        <v>1.21151076544071</v>
      </c>
      <c r="D4513">
        <v>1.16811125554488</v>
      </c>
      <c r="E4513">
        <v>0.94197746058701204</v>
      </c>
      <c r="F4513">
        <v>1.0431637967138501</v>
      </c>
      <c r="G4513">
        <v>1.1126556032914401</v>
      </c>
      <c r="H4513">
        <v>0.93766780850996401</v>
      </c>
      <c r="I4513">
        <v>0.48126473140808901</v>
      </c>
      <c r="J4513">
        <v>0.245390092766017</v>
      </c>
      <c r="K4513">
        <v>0.22319305813349499</v>
      </c>
      <c r="L4513">
        <v>3189.7691868726301</v>
      </c>
      <c r="M4513">
        <v>52.979079796658397</v>
      </c>
      <c r="N4513">
        <v>60.865518510142401</v>
      </c>
      <c r="O4513">
        <v>60.122489224704097</v>
      </c>
      <c r="P4513">
        <v>-0.17230082984652501</v>
      </c>
      <c r="Q4513">
        <v>0.21786880148044199</v>
      </c>
      <c r="R4513">
        <v>0.92802279733455395</v>
      </c>
      <c r="S4513" t="s">
        <v>10096</v>
      </c>
      <c r="T4513" t="s">
        <v>11164</v>
      </c>
      <c r="U4513" t="s">
        <v>11164</v>
      </c>
      <c r="V4513" t="s">
        <v>11164</v>
      </c>
      <c r="W4513" t="s">
        <v>15633</v>
      </c>
      <c r="X4513">
        <v>3</v>
      </c>
      <c r="Y4513" t="s">
        <v>21104</v>
      </c>
      <c r="Z4513" t="s">
        <v>26663</v>
      </c>
      <c r="AA4513">
        <v>0.8245989264465865</v>
      </c>
      <c r="AB4513" t="str">
        <f>HYPERLINK("Melting_Curves/meltCurve_Q99805_TM9SF2.pdf", "Melting_Curves/meltCurve_Q99805_TM9SF2.pdf")</f>
        <v>Melting_Curves/meltCurve_Q99805_TM9SF2.pdf</v>
      </c>
    </row>
    <row r="4514" spans="1:28" x14ac:dyDescent="0.25">
      <c r="A4514" t="s">
        <v>4518</v>
      </c>
      <c r="B4514">
        <v>0.99796759195183404</v>
      </c>
      <c r="C4514">
        <v>1.01577696481269</v>
      </c>
      <c r="D4514">
        <v>0.97662928792895498</v>
      </c>
      <c r="E4514">
        <v>0.95246890946249196</v>
      </c>
      <c r="F4514">
        <v>0.80647195102699998</v>
      </c>
      <c r="G4514">
        <v>0.60245663868591603</v>
      </c>
      <c r="H4514">
        <v>0.60087552565206803</v>
      </c>
      <c r="I4514">
        <v>0.52299485316050198</v>
      </c>
      <c r="J4514">
        <v>0.439438909000268</v>
      </c>
      <c r="K4514">
        <v>0.19540960080287001</v>
      </c>
      <c r="L4514">
        <v>478.013046966415</v>
      </c>
      <c r="M4514">
        <v>8.0072664859582705</v>
      </c>
      <c r="N4514">
        <v>59.697402819544202</v>
      </c>
      <c r="O4514">
        <v>56.319185563714797</v>
      </c>
      <c r="P4514">
        <v>-3.5584191693743897E-2</v>
      </c>
      <c r="Q4514">
        <v>0</v>
      </c>
      <c r="R4514">
        <v>0.95103727672721705</v>
      </c>
      <c r="S4514" t="s">
        <v>10097</v>
      </c>
      <c r="T4514" t="s">
        <v>11164</v>
      </c>
      <c r="U4514" t="s">
        <v>11164</v>
      </c>
      <c r="V4514" t="s">
        <v>11164</v>
      </c>
      <c r="W4514" t="s">
        <v>15634</v>
      </c>
      <c r="X4514">
        <v>9</v>
      </c>
      <c r="Y4514" t="s">
        <v>21105</v>
      </c>
      <c r="Z4514" t="s">
        <v>26664</v>
      </c>
      <c r="AA4514">
        <v>0.71689438853099774</v>
      </c>
      <c r="AB4514" t="str">
        <f>HYPERLINK("Melting_Curves/meltCurve_Q99807_COQ7.pdf", "Melting_Curves/meltCurve_Q99807_COQ7.pdf")</f>
        <v>Melting_Curves/meltCurve_Q99807_COQ7.pdf</v>
      </c>
    </row>
    <row r="4515" spans="1:28" x14ac:dyDescent="0.25">
      <c r="A4515" t="s">
        <v>4519</v>
      </c>
      <c r="B4515">
        <v>0.99796759195183404</v>
      </c>
      <c r="C4515">
        <v>0.66232007750417998</v>
      </c>
      <c r="D4515">
        <v>0.94212191094428999</v>
      </c>
      <c r="E4515">
        <v>0.68709250218141504</v>
      </c>
      <c r="F4515">
        <v>0.79669669181049496</v>
      </c>
      <c r="G4515">
        <v>0.49568157942526703</v>
      </c>
      <c r="H4515">
        <v>0.257402204480291</v>
      </c>
      <c r="I4515">
        <v>0</v>
      </c>
      <c r="J4515">
        <v>6.2512261507899194E-2</v>
      </c>
      <c r="K4515">
        <v>0.12271988613674301</v>
      </c>
      <c r="L4515">
        <v>630.26724331051696</v>
      </c>
      <c r="M4515">
        <v>11.9777985111728</v>
      </c>
      <c r="N4515">
        <v>52.619642829341302</v>
      </c>
      <c r="O4515">
        <v>51.2172633916732</v>
      </c>
      <c r="P4515">
        <v>-5.84798266460212E-2</v>
      </c>
      <c r="Q4515">
        <v>0</v>
      </c>
      <c r="R4515">
        <v>0.85607166684000602</v>
      </c>
      <c r="S4515" t="s">
        <v>10098</v>
      </c>
      <c r="T4515" t="s">
        <v>11164</v>
      </c>
      <c r="U4515" t="s">
        <v>11164</v>
      </c>
      <c r="V4515" t="s">
        <v>11164</v>
      </c>
      <c r="W4515" t="s">
        <v>15635</v>
      </c>
      <c r="X4515">
        <v>3</v>
      </c>
      <c r="Y4515" t="s">
        <v>21106</v>
      </c>
      <c r="Z4515" t="s">
        <v>26665</v>
      </c>
      <c r="AA4515">
        <v>0.54282926400497333</v>
      </c>
      <c r="AB4515" t="str">
        <f>HYPERLINK("Melting_Curves/meltCurve_Q99816_TSG101.pdf", "Melting_Curves/meltCurve_Q99816_TSG101.pdf")</f>
        <v>Melting_Curves/meltCurve_Q99816_TSG101.pdf</v>
      </c>
    </row>
    <row r="4516" spans="1:28" x14ac:dyDescent="0.25">
      <c r="A4516" t="s">
        <v>4520</v>
      </c>
      <c r="B4516">
        <v>0.99796759195183404</v>
      </c>
      <c r="C4516">
        <v>0.95634900560480196</v>
      </c>
      <c r="D4516">
        <v>0.89307400967496298</v>
      </c>
      <c r="E4516">
        <v>0.83289791925883105</v>
      </c>
      <c r="F4516">
        <v>0.61913237472127802</v>
      </c>
      <c r="G4516">
        <v>0.50948216550632197</v>
      </c>
      <c r="H4516">
        <v>0.555030720408067</v>
      </c>
      <c r="I4516">
        <v>0.62561611803874395</v>
      </c>
      <c r="J4516">
        <v>0.90112472777727104</v>
      </c>
      <c r="K4516">
        <v>0.33536439256121398</v>
      </c>
      <c r="L4516">
        <v>1074.82051219956</v>
      </c>
      <c r="M4516">
        <v>23.153860280988798</v>
      </c>
      <c r="O4516">
        <v>46.078679994444698</v>
      </c>
      <c r="P4516">
        <v>-5.2649232933939701E-2</v>
      </c>
      <c r="Q4516">
        <v>0.58089703324222997</v>
      </c>
      <c r="R4516">
        <v>0.59734293464479105</v>
      </c>
      <c r="S4516" t="s">
        <v>10099</v>
      </c>
      <c r="T4516" t="s">
        <v>11164</v>
      </c>
      <c r="U4516" t="s">
        <v>11164</v>
      </c>
      <c r="V4516" t="s">
        <v>11164</v>
      </c>
      <c r="W4516" t="s">
        <v>15636</v>
      </c>
      <c r="X4516">
        <v>31</v>
      </c>
      <c r="Y4516" t="s">
        <v>21107</v>
      </c>
      <c r="Z4516" t="s">
        <v>26666</v>
      </c>
      <c r="AA4516">
        <v>0.71658619704574666</v>
      </c>
      <c r="AB4516" t="str">
        <f>HYPERLINK("Melting_Curves/meltCurve_Q99832_CCT7.pdf", "Melting_Curves/meltCurve_Q99832_CCT7.pdf")</f>
        <v>Melting_Curves/meltCurve_Q99832_CCT7.pdf</v>
      </c>
    </row>
    <row r="4517" spans="1:28" x14ac:dyDescent="0.25">
      <c r="A4517" t="s">
        <v>4521</v>
      </c>
      <c r="B4517">
        <v>0.99796759195183404</v>
      </c>
      <c r="C4517">
        <v>0.91255485752162402</v>
      </c>
      <c r="D4517">
        <v>0.93891052601482095</v>
      </c>
      <c r="E4517">
        <v>0.93042063204842995</v>
      </c>
      <c r="F4517">
        <v>0.49590673139878499</v>
      </c>
      <c r="G4517">
        <v>0.28410096410147301</v>
      </c>
      <c r="H4517">
        <v>4.7185327321984799E-2</v>
      </c>
      <c r="I4517">
        <v>0</v>
      </c>
      <c r="J4517">
        <v>5.4061534693171702E-2</v>
      </c>
      <c r="K4517">
        <v>3.6842528817199897E-2</v>
      </c>
      <c r="L4517">
        <v>1126.50417856952</v>
      </c>
      <c r="M4517">
        <v>22.279214248182399</v>
      </c>
      <c r="N4517">
        <v>50.6485030624061</v>
      </c>
      <c r="O4517">
        <v>50.1609359053787</v>
      </c>
      <c r="P4517">
        <v>-0.108991377589417</v>
      </c>
      <c r="Q4517">
        <v>1.84585301390052E-2</v>
      </c>
      <c r="R4517">
        <v>0.98658410590946399</v>
      </c>
      <c r="S4517" t="s">
        <v>10100</v>
      </c>
      <c r="T4517" t="s">
        <v>11164</v>
      </c>
      <c r="U4517" t="s">
        <v>11164</v>
      </c>
      <c r="V4517" t="s">
        <v>11164</v>
      </c>
      <c r="W4517" t="s">
        <v>15637</v>
      </c>
      <c r="X4517">
        <v>3</v>
      </c>
      <c r="Y4517" t="s">
        <v>21108</v>
      </c>
      <c r="Z4517" t="s">
        <v>26667</v>
      </c>
      <c r="AA4517">
        <v>0.47288475148907749</v>
      </c>
      <c r="AB4517" t="str">
        <f>HYPERLINK("Melting_Curves/meltCurve_Q99856_ARID3A.pdf", "Melting_Curves/meltCurve_Q99856_ARID3A.pdf")</f>
        <v>Melting_Curves/meltCurve_Q99856_ARID3A.pdf</v>
      </c>
    </row>
    <row r="4518" spans="1:28" x14ac:dyDescent="0.25">
      <c r="A4518" t="s">
        <v>4522</v>
      </c>
      <c r="B4518">
        <v>0.99796759195183404</v>
      </c>
      <c r="C4518">
        <v>1.00457103169866</v>
      </c>
      <c r="D4518">
        <v>1.04259144191853</v>
      </c>
      <c r="E4518">
        <v>1.05246231121589</v>
      </c>
      <c r="F4518">
        <v>0.67627211691794298</v>
      </c>
      <c r="G4518">
        <v>0.40711142778614401</v>
      </c>
      <c r="H4518">
        <v>0.28656460646587201</v>
      </c>
      <c r="I4518">
        <v>0.247084645051216</v>
      </c>
      <c r="J4518">
        <v>0.28543213093454101</v>
      </c>
      <c r="K4518">
        <v>0.23750345223070801</v>
      </c>
      <c r="L4518">
        <v>1679.84813920483</v>
      </c>
      <c r="M4518">
        <v>33.020578608294002</v>
      </c>
      <c r="N4518">
        <v>52.060050033546297</v>
      </c>
      <c r="O4518">
        <v>50.687274234354199</v>
      </c>
      <c r="P4518">
        <v>-0.119781168952307</v>
      </c>
      <c r="Q4518">
        <v>0.26453699160567701</v>
      </c>
      <c r="R4518">
        <v>0.98862677655592202</v>
      </c>
      <c r="S4518" t="s">
        <v>10101</v>
      </c>
      <c r="T4518" t="s">
        <v>11164</v>
      </c>
      <c r="U4518" t="s">
        <v>11164</v>
      </c>
      <c r="V4518" t="s">
        <v>11164</v>
      </c>
      <c r="W4518" t="s">
        <v>15638</v>
      </c>
      <c r="X4518">
        <v>7</v>
      </c>
      <c r="Y4518" t="s">
        <v>21109</v>
      </c>
      <c r="Z4518" t="s">
        <v>26668</v>
      </c>
      <c r="AA4518">
        <v>0.60842079952682582</v>
      </c>
      <c r="AB4518" t="str">
        <f>HYPERLINK("Melting_Curves/meltCurve_Q99878_HIST1H2AJ.pdf", "Melting_Curves/meltCurve_Q99878_HIST1H2AJ.pdf")</f>
        <v>Melting_Curves/meltCurve_Q99878_HIST1H2AJ.pdf</v>
      </c>
    </row>
    <row r="4519" spans="1:28" x14ac:dyDescent="0.25">
      <c r="A4519" t="s">
        <v>4523</v>
      </c>
      <c r="B4519">
        <v>0.99796759195183404</v>
      </c>
      <c r="C4519">
        <v>1.0782015175808299</v>
      </c>
      <c r="D4519">
        <v>1.0586810313595101</v>
      </c>
      <c r="E4519">
        <v>1.0400306477643899</v>
      </c>
      <c r="F4519">
        <v>0.76193750631061796</v>
      </c>
      <c r="G4519">
        <v>0.64302387137294204</v>
      </c>
      <c r="H4519">
        <v>0.68307644593331596</v>
      </c>
      <c r="I4519">
        <v>0.68604138333227704</v>
      </c>
      <c r="J4519">
        <v>0.87946408712775703</v>
      </c>
      <c r="K4519">
        <v>0.89619266304725698</v>
      </c>
      <c r="L4519">
        <v>12349.411772814899</v>
      </c>
      <c r="M4519">
        <v>250</v>
      </c>
      <c r="O4519">
        <v>49.394489700807902</v>
      </c>
      <c r="P4519">
        <v>-0.306765580940139</v>
      </c>
      <c r="Q4519">
        <v>0.757559549323927</v>
      </c>
      <c r="R4519">
        <v>0.73133789787888603</v>
      </c>
      <c r="S4519" t="s">
        <v>10102</v>
      </c>
      <c r="T4519" t="s">
        <v>11164</v>
      </c>
      <c r="U4519" t="s">
        <v>11164</v>
      </c>
      <c r="V4519" t="s">
        <v>11164</v>
      </c>
      <c r="W4519" t="s">
        <v>15639</v>
      </c>
      <c r="X4519">
        <v>2</v>
      </c>
      <c r="Y4519" t="s">
        <v>21110</v>
      </c>
      <c r="Z4519" t="s">
        <v>26669</v>
      </c>
      <c r="AA4519">
        <v>0.85777027193376576</v>
      </c>
      <c r="AB4519" t="str">
        <f>HYPERLINK("Melting_Curves/meltCurve_Q99952_2_PTPN18.pdf", "Melting_Curves/meltCurve_Q99952_2_PTPN18.pdf")</f>
        <v>Melting_Curves/meltCurve_Q99952_2_PTPN18.pdf</v>
      </c>
    </row>
    <row r="4520" spans="1:28" x14ac:dyDescent="0.25">
      <c r="A4520" t="s">
        <v>4524</v>
      </c>
      <c r="B4520">
        <v>0.99796759195183404</v>
      </c>
      <c r="C4520">
        <v>0.99177730671497899</v>
      </c>
      <c r="D4520">
        <v>1.0801215437980101</v>
      </c>
      <c r="E4520">
        <v>0.91150981260094599</v>
      </c>
      <c r="F4520">
        <v>0.47222456114491901</v>
      </c>
      <c r="G4520">
        <v>0.331270948933371</v>
      </c>
      <c r="H4520">
        <v>0.34271053082981601</v>
      </c>
      <c r="I4520">
        <v>0.176483235342595</v>
      </c>
      <c r="J4520">
        <v>0.17070065025764999</v>
      </c>
      <c r="K4520">
        <v>0.13639014703854399</v>
      </c>
      <c r="L4520">
        <v>1391.6199018026</v>
      </c>
      <c r="M4520">
        <v>28.1397731471681</v>
      </c>
      <c r="N4520">
        <v>50.4070543803251</v>
      </c>
      <c r="O4520">
        <v>49.206110046072297</v>
      </c>
      <c r="P4520">
        <v>-0.11347192345250499</v>
      </c>
      <c r="Q4520">
        <v>0.206324087285846</v>
      </c>
      <c r="R4520">
        <v>0.97315714107037599</v>
      </c>
      <c r="S4520" t="s">
        <v>10103</v>
      </c>
      <c r="T4520" t="s">
        <v>11164</v>
      </c>
      <c r="U4520" t="s">
        <v>11164</v>
      </c>
      <c r="V4520" t="s">
        <v>11164</v>
      </c>
      <c r="W4520" t="s">
        <v>15640</v>
      </c>
      <c r="X4520">
        <v>2</v>
      </c>
      <c r="Y4520" t="s">
        <v>21111</v>
      </c>
      <c r="Z4520" t="s">
        <v>26670</v>
      </c>
      <c r="AA4520">
        <v>0.54127789681827521</v>
      </c>
      <c r="AB4520" t="str">
        <f>HYPERLINK("Melting_Curves/meltCurve_Q99956_DUSP9.pdf", "Melting_Curves/meltCurve_Q99956_DUSP9.pdf")</f>
        <v>Melting_Curves/meltCurve_Q99956_DUSP9.pdf</v>
      </c>
    </row>
    <row r="4521" spans="1:28" x14ac:dyDescent="0.25">
      <c r="A4521" t="s">
        <v>4525</v>
      </c>
      <c r="B4521">
        <v>0.99796759195183404</v>
      </c>
      <c r="C4521">
        <v>1.05184447441966</v>
      </c>
      <c r="D4521">
        <v>1.0416119541168101</v>
      </c>
      <c r="E4521">
        <v>1.00601572906841</v>
      </c>
      <c r="F4521">
        <v>0.824763642362626</v>
      </c>
      <c r="G4521">
        <v>0.24195470596999699</v>
      </c>
      <c r="H4521">
        <v>0.17265378973624401</v>
      </c>
      <c r="I4521">
        <v>0.13532499532557199</v>
      </c>
      <c r="J4521">
        <v>0.115320176208814</v>
      </c>
      <c r="K4521">
        <v>0.10048504567200101</v>
      </c>
      <c r="L4521">
        <v>2415.15299812078</v>
      </c>
      <c r="M4521">
        <v>46.736115325196899</v>
      </c>
      <c r="N4521">
        <v>52.004369977792201</v>
      </c>
      <c r="O4521">
        <v>51.5820297646451</v>
      </c>
      <c r="P4521">
        <v>-0.19759981127325699</v>
      </c>
      <c r="Q4521">
        <v>0.12764784464283399</v>
      </c>
      <c r="R4521">
        <v>0.99612247741267901</v>
      </c>
      <c r="S4521" t="s">
        <v>10104</v>
      </c>
      <c r="T4521" t="s">
        <v>11164</v>
      </c>
      <c r="U4521" t="s">
        <v>11164</v>
      </c>
      <c r="V4521" t="s">
        <v>11164</v>
      </c>
      <c r="W4521" t="s">
        <v>15641</v>
      </c>
      <c r="X4521">
        <v>24</v>
      </c>
      <c r="Y4521" t="s">
        <v>21112</v>
      </c>
      <c r="Z4521" t="s">
        <v>26671</v>
      </c>
      <c r="AA4521">
        <v>0.55668989721587459</v>
      </c>
      <c r="AB4521" t="str">
        <f>HYPERLINK("Melting_Curves/meltCurve_Q99961_SH3GL1.pdf", "Melting_Curves/meltCurve_Q99961_SH3GL1.pdf")</f>
        <v>Melting_Curves/meltCurve_Q99961_SH3GL1.pdf</v>
      </c>
    </row>
    <row r="4522" spans="1:28" x14ac:dyDescent="0.25">
      <c r="A4522" t="s">
        <v>4526</v>
      </c>
      <c r="B4522">
        <v>0.99796759195183404</v>
      </c>
      <c r="C4522">
        <v>0.98429593419677097</v>
      </c>
      <c r="D4522">
        <v>0.999236929436781</v>
      </c>
      <c r="E4522">
        <v>0.92067482568112702</v>
      </c>
      <c r="F4522">
        <v>0.44590791236731397</v>
      </c>
      <c r="G4522">
        <v>0.22863620665954301</v>
      </c>
      <c r="H4522">
        <v>0.182526278808883</v>
      </c>
      <c r="I4522">
        <v>0.17719475497477499</v>
      </c>
      <c r="J4522">
        <v>0.15169137387092499</v>
      </c>
      <c r="K4522">
        <v>0.102502403850491</v>
      </c>
      <c r="L4522">
        <v>1727.93399321948</v>
      </c>
      <c r="M4522">
        <v>35.002113977350902</v>
      </c>
      <c r="N4522">
        <v>49.9012641104339</v>
      </c>
      <c r="O4522">
        <v>49.206256137634</v>
      </c>
      <c r="P4522">
        <v>-0.15002555839687401</v>
      </c>
      <c r="Q4522">
        <v>0.15637439801467801</v>
      </c>
      <c r="R4522">
        <v>0.99650331730409702</v>
      </c>
      <c r="S4522" t="s">
        <v>10105</v>
      </c>
      <c r="T4522" t="s">
        <v>11164</v>
      </c>
      <c r="U4522" t="s">
        <v>11164</v>
      </c>
      <c r="V4522" t="s">
        <v>11164</v>
      </c>
      <c r="W4522" t="s">
        <v>15642</v>
      </c>
      <c r="X4522">
        <v>8</v>
      </c>
      <c r="Y4522" t="s">
        <v>21113</v>
      </c>
      <c r="Z4522" t="s">
        <v>26672</v>
      </c>
      <c r="AA4522">
        <v>0.50789584300556456</v>
      </c>
      <c r="AB4522" t="str">
        <f>HYPERLINK("Melting_Curves/meltCurve_Q99963_4_SH3GL3.pdf", "Melting_Curves/meltCurve_Q99963_4_SH3GL3.pdf")</f>
        <v>Melting_Curves/meltCurve_Q99963_4_SH3GL3.pdf</v>
      </c>
    </row>
    <row r="4523" spans="1:28" x14ac:dyDescent="0.25">
      <c r="A4523" t="s">
        <v>4527</v>
      </c>
      <c r="B4523">
        <v>0.99796759195183404</v>
      </c>
      <c r="C4523">
        <v>0.96041614508475603</v>
      </c>
      <c r="D4523">
        <v>0.84061704105274504</v>
      </c>
      <c r="E4523">
        <v>0.84307661382982901</v>
      </c>
      <c r="F4523">
        <v>0.64206402674136698</v>
      </c>
      <c r="G4523">
        <v>0.73128910320282303</v>
      </c>
      <c r="H4523">
        <v>0.40684057861219303</v>
      </c>
      <c r="I4523">
        <v>0.19194943088062899</v>
      </c>
      <c r="J4523">
        <v>0.17725750843708499</v>
      </c>
      <c r="K4523">
        <v>0.13279951399772599</v>
      </c>
      <c r="L4523">
        <v>538.60056381039897</v>
      </c>
      <c r="M4523">
        <v>9.7904379006975795</v>
      </c>
      <c r="N4523">
        <v>55.012917623446398</v>
      </c>
      <c r="O4523">
        <v>52.865082971157001</v>
      </c>
      <c r="P4523">
        <v>-4.6323594219786601E-2</v>
      </c>
      <c r="Q4523">
        <v>0</v>
      </c>
      <c r="R4523">
        <v>0.94626375866478196</v>
      </c>
      <c r="S4523" t="s">
        <v>10106</v>
      </c>
      <c r="T4523" t="s">
        <v>11164</v>
      </c>
      <c r="U4523" t="s">
        <v>11164</v>
      </c>
      <c r="V4523" t="s">
        <v>11164</v>
      </c>
      <c r="W4523" t="s">
        <v>15643</v>
      </c>
      <c r="X4523">
        <v>12</v>
      </c>
      <c r="Y4523" t="s">
        <v>21114</v>
      </c>
      <c r="Z4523" t="s">
        <v>26673</v>
      </c>
      <c r="AA4523">
        <v>0.61215135171800483</v>
      </c>
      <c r="AB4523" t="str">
        <f>HYPERLINK("Melting_Curves/meltCurve_Q9BPU6_DPYSL5.pdf", "Melting_Curves/meltCurve_Q9BPU6_DPYSL5.pdf")</f>
        <v>Melting_Curves/meltCurve_Q9BPU6_DPYSL5.pdf</v>
      </c>
    </row>
    <row r="4524" spans="1:28" x14ac:dyDescent="0.25">
      <c r="A4524" t="s">
        <v>4528</v>
      </c>
      <c r="B4524">
        <v>0.99796759195183404</v>
      </c>
      <c r="C4524">
        <v>1.01566709151764</v>
      </c>
      <c r="D4524">
        <v>1.00883476554089</v>
      </c>
      <c r="E4524">
        <v>0.97132484019463505</v>
      </c>
      <c r="F4524">
        <v>0.83157616895750097</v>
      </c>
      <c r="G4524">
        <v>1.0767273263324599</v>
      </c>
      <c r="H4524">
        <v>0.52175359959206602</v>
      </c>
      <c r="I4524">
        <v>0.262131533949297</v>
      </c>
      <c r="J4524">
        <v>0.165187453798286</v>
      </c>
      <c r="K4524">
        <v>0.114328510376293</v>
      </c>
      <c r="L4524">
        <v>5502.9331260270401</v>
      </c>
      <c r="M4524">
        <v>96.196831330313998</v>
      </c>
      <c r="N4524">
        <v>57.470706735841901</v>
      </c>
      <c r="O4524">
        <v>57.180222098830399</v>
      </c>
      <c r="P4524">
        <v>-0.34507219810211598</v>
      </c>
      <c r="Q4524">
        <v>0.179544547898841</v>
      </c>
      <c r="R4524">
        <v>0.96593412825907798</v>
      </c>
      <c r="S4524" t="s">
        <v>10107</v>
      </c>
      <c r="T4524" t="s">
        <v>11164</v>
      </c>
      <c r="U4524" t="s">
        <v>11164</v>
      </c>
      <c r="V4524" t="s">
        <v>11164</v>
      </c>
      <c r="W4524" t="s">
        <v>15644</v>
      </c>
      <c r="X4524">
        <v>12</v>
      </c>
      <c r="Y4524" t="s">
        <v>21115</v>
      </c>
      <c r="Z4524" t="s">
        <v>26674</v>
      </c>
      <c r="AA4524">
        <v>0.73267642235110875</v>
      </c>
      <c r="AB4524" t="str">
        <f>HYPERLINK("Melting_Curves/meltCurve_Q9BPW8_NIPSNAP1.pdf", "Melting_Curves/meltCurve_Q9BPW8_NIPSNAP1.pdf")</f>
        <v>Melting_Curves/meltCurve_Q9BPW8_NIPSNAP1.pdf</v>
      </c>
    </row>
    <row r="4525" spans="1:28" x14ac:dyDescent="0.25">
      <c r="A4525" t="s">
        <v>4529</v>
      </c>
      <c r="B4525">
        <v>0.99796759195183404</v>
      </c>
      <c r="C4525">
        <v>1.1311356719246799</v>
      </c>
      <c r="D4525">
        <v>1.0183729031823801</v>
      </c>
      <c r="E4525">
        <v>0.82182451512129195</v>
      </c>
      <c r="F4525">
        <v>0.75960778981173904</v>
      </c>
      <c r="G4525">
        <v>0.32242748462993098</v>
      </c>
      <c r="H4525">
        <v>0.28196231098892499</v>
      </c>
      <c r="I4525">
        <v>0.204722017328482</v>
      </c>
      <c r="J4525">
        <v>0.20069762528778301</v>
      </c>
      <c r="K4525">
        <v>0.106828496397796</v>
      </c>
      <c r="L4525">
        <v>1047.7193403789699</v>
      </c>
      <c r="M4525">
        <v>20.3679002605374</v>
      </c>
      <c r="N4525">
        <v>52.374558348869797</v>
      </c>
      <c r="O4525">
        <v>50.951590704342699</v>
      </c>
      <c r="P4525">
        <v>-8.4709737979960301E-2</v>
      </c>
      <c r="Q4525">
        <v>0.15239884901237</v>
      </c>
      <c r="R4525">
        <v>0.96891526137218997</v>
      </c>
      <c r="S4525" t="s">
        <v>10108</v>
      </c>
      <c r="T4525" t="s">
        <v>11164</v>
      </c>
      <c r="U4525" t="s">
        <v>11164</v>
      </c>
      <c r="V4525" t="s">
        <v>11164</v>
      </c>
      <c r="W4525" t="s">
        <v>15645</v>
      </c>
      <c r="X4525">
        <v>3</v>
      </c>
      <c r="Y4525" t="s">
        <v>21116</v>
      </c>
      <c r="Z4525" t="s">
        <v>26675</v>
      </c>
      <c r="AA4525">
        <v>0.57108912551638702</v>
      </c>
      <c r="AB4525" t="str">
        <f>HYPERLINK("Melting_Curves/meltCurve_Q9BPX3_NCAPG.pdf", "Melting_Curves/meltCurve_Q9BPX3_NCAPG.pdf")</f>
        <v>Melting_Curves/meltCurve_Q9BPX3_NCAPG.pdf</v>
      </c>
    </row>
    <row r="4526" spans="1:28" x14ac:dyDescent="0.25">
      <c r="A4526" t="s">
        <v>4530</v>
      </c>
      <c r="B4526">
        <v>0.99796759195183404</v>
      </c>
      <c r="C4526">
        <v>1.08135089621109</v>
      </c>
      <c r="D4526">
        <v>0.97410367588318303</v>
      </c>
      <c r="E4526">
        <v>0.99564210918410001</v>
      </c>
      <c r="F4526">
        <v>0.85224573731163999</v>
      </c>
      <c r="G4526">
        <v>0.829838855207783</v>
      </c>
      <c r="H4526">
        <v>0.70393746603588903</v>
      </c>
      <c r="I4526">
        <v>0.605994932266265</v>
      </c>
      <c r="J4526">
        <v>0.60770671611225602</v>
      </c>
      <c r="K4526">
        <v>0.62832629801777395</v>
      </c>
      <c r="L4526">
        <v>855.320703284655</v>
      </c>
      <c r="M4526">
        <v>15.890222912280599</v>
      </c>
      <c r="O4526">
        <v>52.995980962757301</v>
      </c>
      <c r="P4526">
        <v>-3.1076453398443098E-2</v>
      </c>
      <c r="Q4526">
        <v>0.58545704654639796</v>
      </c>
      <c r="R4526">
        <v>0.95410923647485901</v>
      </c>
      <c r="S4526" t="s">
        <v>10109</v>
      </c>
      <c r="T4526" t="s">
        <v>11164</v>
      </c>
      <c r="U4526" t="s">
        <v>11164</v>
      </c>
      <c r="V4526" t="s">
        <v>11164</v>
      </c>
      <c r="W4526" t="s">
        <v>15646</v>
      </c>
      <c r="X4526">
        <v>3</v>
      </c>
      <c r="Y4526" t="s">
        <v>21117</v>
      </c>
      <c r="Z4526" t="s">
        <v>26676</v>
      </c>
      <c r="AA4526">
        <v>0.82449855699429331</v>
      </c>
      <c r="AB4526" t="str">
        <f>HYPERLINK("Melting_Curves/meltCurve_Q9BPX5_ARPC5L.pdf", "Melting_Curves/meltCurve_Q9BPX5_ARPC5L.pdf")</f>
        <v>Melting_Curves/meltCurve_Q9BPX5_ARPC5L.pdf</v>
      </c>
    </row>
    <row r="4527" spans="1:28" x14ac:dyDescent="0.25">
      <c r="A4527" t="s">
        <v>4531</v>
      </c>
      <c r="B4527">
        <v>0.99796759195183404</v>
      </c>
      <c r="C4527">
        <v>1.0606681383182499</v>
      </c>
      <c r="D4527">
        <v>1.00885277138301</v>
      </c>
      <c r="E4527">
        <v>0.94213618973657698</v>
      </c>
      <c r="F4527">
        <v>0.68780309367078496</v>
      </c>
      <c r="G4527">
        <v>0.22991287690321</v>
      </c>
      <c r="H4527">
        <v>0.15242893656881201</v>
      </c>
      <c r="I4527">
        <v>0.13692465136180401</v>
      </c>
      <c r="J4527">
        <v>9.0176518306309406E-2</v>
      </c>
      <c r="K4527">
        <v>8.1264087531391804E-2</v>
      </c>
      <c r="L4527">
        <v>1681.6757327559501</v>
      </c>
      <c r="M4527">
        <v>32.925577399637099</v>
      </c>
      <c r="N4527">
        <v>51.4430677341592</v>
      </c>
      <c r="O4527">
        <v>50.887756570140098</v>
      </c>
      <c r="P4527">
        <v>-0.144783423946168</v>
      </c>
      <c r="Q4527">
        <v>0.10493047281775</v>
      </c>
      <c r="R4527">
        <v>0.99597577193514497</v>
      </c>
      <c r="S4527" t="s">
        <v>10110</v>
      </c>
      <c r="T4527" t="s">
        <v>11164</v>
      </c>
      <c r="U4527" t="s">
        <v>11164</v>
      </c>
      <c r="V4527" t="s">
        <v>11164</v>
      </c>
      <c r="W4527" t="s">
        <v>15647</v>
      </c>
      <c r="X4527">
        <v>1</v>
      </c>
      <c r="Y4527" t="s">
        <v>21118</v>
      </c>
      <c r="Z4527" t="s">
        <v>26677</v>
      </c>
      <c r="AA4527">
        <v>0.5295194908417058</v>
      </c>
      <c r="AB4527" t="str">
        <f>HYPERLINK("Melting_Curves/meltCurve_Q9BPX7_C7orf25.pdf", "Melting_Curves/meltCurve_Q9BPX7_C7orf25.pdf")</f>
        <v>Melting_Curves/meltCurve_Q9BPX7_C7orf25.pdf</v>
      </c>
    </row>
    <row r="4528" spans="1:28" x14ac:dyDescent="0.25">
      <c r="A4528" t="s">
        <v>4532</v>
      </c>
      <c r="B4528">
        <v>0.99796759195183404</v>
      </c>
      <c r="C4528">
        <v>1.0533295072255799</v>
      </c>
      <c r="D4528">
        <v>1.03832554488666</v>
      </c>
      <c r="E4528">
        <v>1.0477430399993699</v>
      </c>
      <c r="F4528">
        <v>0.881263072814639</v>
      </c>
      <c r="G4528">
        <v>0.42188136633539097</v>
      </c>
      <c r="H4528">
        <v>0.16919410474778601</v>
      </c>
      <c r="I4528">
        <v>0.109560549697023</v>
      </c>
      <c r="J4528">
        <v>8.1197307645968497E-2</v>
      </c>
      <c r="K4528">
        <v>8.3371485827926001E-2</v>
      </c>
      <c r="L4528">
        <v>1823.2636201494699</v>
      </c>
      <c r="M4528">
        <v>34.417147612546003</v>
      </c>
      <c r="N4528">
        <v>53.288177439301897</v>
      </c>
      <c r="O4528">
        <v>52.797555013369298</v>
      </c>
      <c r="P4528">
        <v>-0.148065547389892</v>
      </c>
      <c r="Q4528">
        <v>9.1444854346138596E-2</v>
      </c>
      <c r="R4528">
        <v>0.99554965667222795</v>
      </c>
      <c r="S4528" t="s">
        <v>10111</v>
      </c>
      <c r="T4528" t="s">
        <v>11164</v>
      </c>
      <c r="U4528" t="s">
        <v>11164</v>
      </c>
      <c r="V4528" t="s">
        <v>11164</v>
      </c>
      <c r="W4528" t="s">
        <v>15648</v>
      </c>
      <c r="X4528">
        <v>3</v>
      </c>
      <c r="Y4528" t="s">
        <v>21119</v>
      </c>
      <c r="Z4528" t="s">
        <v>26678</v>
      </c>
      <c r="AA4528">
        <v>0.57971315594081163</v>
      </c>
      <c r="AB4528" t="str">
        <f>HYPERLINK("Melting_Curves/meltCurve_Q9BPZ3_PAIP2.pdf", "Melting_Curves/meltCurve_Q9BPZ3_PAIP2.pdf")</f>
        <v>Melting_Curves/meltCurve_Q9BPZ3_PAIP2.pdf</v>
      </c>
    </row>
    <row r="4529" spans="1:28" x14ac:dyDescent="0.25">
      <c r="A4529" t="s">
        <v>4533</v>
      </c>
      <c r="B4529">
        <v>0.99796759195183404</v>
      </c>
      <c r="C4529">
        <v>1.0000368537689699</v>
      </c>
      <c r="D4529">
        <v>0.95432049044077605</v>
      </c>
      <c r="E4529">
        <v>0.91176290317150499</v>
      </c>
      <c r="F4529">
        <v>0.83244082756215199</v>
      </c>
      <c r="G4529">
        <v>0.87329269468909998</v>
      </c>
      <c r="H4529">
        <v>0.84188106632686199</v>
      </c>
      <c r="I4529">
        <v>0.79228306909814605</v>
      </c>
      <c r="J4529">
        <v>0.89031767038476395</v>
      </c>
      <c r="K4529">
        <v>0.57853852949086604</v>
      </c>
      <c r="L4529">
        <v>268.63157302376601</v>
      </c>
      <c r="M4529">
        <v>3.1294415946801899</v>
      </c>
      <c r="O4529">
        <v>64.367574848981903</v>
      </c>
      <c r="P4529">
        <v>-1.2486672947015E-2</v>
      </c>
      <c r="Q4529">
        <v>0</v>
      </c>
      <c r="R4529">
        <v>0.66939582520987695</v>
      </c>
      <c r="S4529" t="s">
        <v>10112</v>
      </c>
      <c r="T4529" t="s">
        <v>11164</v>
      </c>
      <c r="U4529" t="s">
        <v>11164</v>
      </c>
      <c r="V4529" t="s">
        <v>11164</v>
      </c>
      <c r="W4529" t="s">
        <v>15649</v>
      </c>
      <c r="X4529">
        <v>34</v>
      </c>
      <c r="Y4529" t="s">
        <v>21120</v>
      </c>
      <c r="Z4529" t="s">
        <v>26679</v>
      </c>
      <c r="AA4529">
        <v>0.87100220774643622</v>
      </c>
      <c r="AB4529" t="str">
        <f>HYPERLINK("Melting_Curves/meltCurve_Q9BQ52_ELAC2.pdf", "Melting_Curves/meltCurve_Q9BQ52_ELAC2.pdf")</f>
        <v>Melting_Curves/meltCurve_Q9BQ52_ELAC2.pdf</v>
      </c>
    </row>
    <row r="4530" spans="1:28" x14ac:dyDescent="0.25">
      <c r="A4530" t="s">
        <v>4534</v>
      </c>
      <c r="B4530">
        <v>0.99796759195183404</v>
      </c>
      <c r="C4530">
        <v>1.0393486765079101</v>
      </c>
      <c r="D4530">
        <v>1.0400080018795399</v>
      </c>
      <c r="E4530">
        <v>0.97258014229089196</v>
      </c>
      <c r="F4530">
        <v>0.90605169824660603</v>
      </c>
      <c r="G4530">
        <v>0.69083909560683798</v>
      </c>
      <c r="H4530">
        <v>0.73943726147331501</v>
      </c>
      <c r="I4530">
        <v>0.69457229958293298</v>
      </c>
      <c r="J4530">
        <v>0.87745229045974504</v>
      </c>
      <c r="K4530">
        <v>0.87238257808155295</v>
      </c>
      <c r="L4530">
        <v>12566.733148736999</v>
      </c>
      <c r="M4530">
        <v>250</v>
      </c>
      <c r="O4530">
        <v>50.263715854077802</v>
      </c>
      <c r="P4530">
        <v>-0.27985308519516799</v>
      </c>
      <c r="Q4530">
        <v>0.77493670502371503</v>
      </c>
      <c r="R4530">
        <v>0.76409581662622605</v>
      </c>
      <c r="S4530" t="s">
        <v>10113</v>
      </c>
      <c r="T4530" t="s">
        <v>11164</v>
      </c>
      <c r="U4530" t="s">
        <v>11164</v>
      </c>
      <c r="V4530" t="s">
        <v>11164</v>
      </c>
      <c r="W4530" t="s">
        <v>15650</v>
      </c>
      <c r="X4530">
        <v>12</v>
      </c>
      <c r="Y4530" t="s">
        <v>21121</v>
      </c>
      <c r="Z4530" t="s">
        <v>26680</v>
      </c>
      <c r="AA4530">
        <v>0.87448654505467904</v>
      </c>
      <c r="AB4530" t="str">
        <f>HYPERLINK("Melting_Curves/meltCurve_Q9BQ61_C19orf43.pdf", "Melting_Curves/meltCurve_Q9BQ61_C19orf43.pdf")</f>
        <v>Melting_Curves/meltCurve_Q9BQ61_C19orf43.pdf</v>
      </c>
    </row>
    <row r="4531" spans="1:28" x14ac:dyDescent="0.25">
      <c r="A4531" t="s">
        <v>4535</v>
      </c>
      <c r="B4531">
        <v>0.99796759195183404</v>
      </c>
      <c r="C4531">
        <v>1.0514123529552299</v>
      </c>
      <c r="D4531">
        <v>0.88704079096301403</v>
      </c>
      <c r="E4531">
        <v>0.92998401536240605</v>
      </c>
      <c r="F4531">
        <v>0.66952596666671904</v>
      </c>
      <c r="G4531">
        <v>0.576189383329892</v>
      </c>
      <c r="H4531">
        <v>0.60378599704541702</v>
      </c>
      <c r="I4531">
        <v>0.35411659091437597</v>
      </c>
      <c r="J4531">
        <v>0.256191036711168</v>
      </c>
      <c r="K4531">
        <v>0.20309431282416299</v>
      </c>
      <c r="L4531">
        <v>475.45527284259401</v>
      </c>
      <c r="M4531">
        <v>8.3496695305831192</v>
      </c>
      <c r="N4531">
        <v>56.943003429602101</v>
      </c>
      <c r="O4531">
        <v>53.957519627880203</v>
      </c>
      <c r="P4531">
        <v>-3.87235861843577E-2</v>
      </c>
      <c r="Q4531">
        <v>0</v>
      </c>
      <c r="R4531">
        <v>0.95633550469196005</v>
      </c>
      <c r="S4531" t="s">
        <v>10114</v>
      </c>
      <c r="T4531" t="s">
        <v>11164</v>
      </c>
      <c r="U4531" t="s">
        <v>11164</v>
      </c>
      <c r="V4531" t="s">
        <v>11164</v>
      </c>
      <c r="W4531" t="s">
        <v>15651</v>
      </c>
      <c r="X4531">
        <v>1</v>
      </c>
      <c r="Y4531" t="s">
        <v>21122</v>
      </c>
      <c r="Z4531" t="s">
        <v>26681</v>
      </c>
      <c r="AA4531">
        <v>0.65657608991069361</v>
      </c>
      <c r="AB4531" t="str">
        <f>HYPERLINK("Melting_Curves/meltCurve_Q9BQ67_GRWD1.pdf", "Melting_Curves/meltCurve_Q9BQ67_GRWD1.pdf")</f>
        <v>Melting_Curves/meltCurve_Q9BQ67_GRWD1.pdf</v>
      </c>
    </row>
    <row r="4532" spans="1:28" x14ac:dyDescent="0.25">
      <c r="A4532" t="s">
        <v>4536</v>
      </c>
      <c r="B4532">
        <v>0.99796759195183404</v>
      </c>
      <c r="C4532">
        <v>1.0158758745513199</v>
      </c>
      <c r="D4532">
        <v>1.01117592002239</v>
      </c>
      <c r="E4532">
        <v>0.98962192848798702</v>
      </c>
      <c r="F4532">
        <v>0.72383742153314401</v>
      </c>
      <c r="G4532">
        <v>0.263006765234159</v>
      </c>
      <c r="H4532">
        <v>0.20549258909693699</v>
      </c>
      <c r="I4532">
        <v>0.164801027261304</v>
      </c>
      <c r="J4532">
        <v>0.13055915692582101</v>
      </c>
      <c r="K4532">
        <v>0.11399529238858901</v>
      </c>
      <c r="L4532">
        <v>1870.5546433357299</v>
      </c>
      <c r="M4532">
        <v>36.525703656157503</v>
      </c>
      <c r="N4532">
        <v>51.703801242628799</v>
      </c>
      <c r="O4532">
        <v>51.059226178908602</v>
      </c>
      <c r="P4532">
        <v>-0.15259598573515201</v>
      </c>
      <c r="Q4532">
        <v>0.14674773476939501</v>
      </c>
      <c r="R4532">
        <v>0.99742443235126899</v>
      </c>
      <c r="S4532" t="s">
        <v>10115</v>
      </c>
      <c r="T4532" t="s">
        <v>11164</v>
      </c>
      <c r="U4532" t="s">
        <v>11164</v>
      </c>
      <c r="V4532" t="s">
        <v>11164</v>
      </c>
      <c r="W4532" t="s">
        <v>15652</v>
      </c>
      <c r="X4532">
        <v>16</v>
      </c>
      <c r="Y4532" t="s">
        <v>21123</v>
      </c>
      <c r="Z4532" t="s">
        <v>26682</v>
      </c>
      <c r="AA4532">
        <v>0.55457843231145765</v>
      </c>
      <c r="AB4532" t="str">
        <f>HYPERLINK("Melting_Curves/meltCurve_Q9BQ69_MACROD1.pdf", "Melting_Curves/meltCurve_Q9BQ69_MACROD1.pdf")</f>
        <v>Melting_Curves/meltCurve_Q9BQ69_MACROD1.pdf</v>
      </c>
    </row>
    <row r="4533" spans="1:28" x14ac:dyDescent="0.25">
      <c r="A4533" t="s">
        <v>4537</v>
      </c>
      <c r="B4533">
        <v>0.99796759195183404</v>
      </c>
      <c r="C4533">
        <v>1.01476562375278</v>
      </c>
      <c r="D4533">
        <v>1.04346365332819</v>
      </c>
      <c r="E4533">
        <v>0.91183992191364804</v>
      </c>
      <c r="F4533">
        <v>0.80589080961553405</v>
      </c>
      <c r="G4533">
        <v>0.555161330317823</v>
      </c>
      <c r="H4533">
        <v>0.23235364808933001</v>
      </c>
      <c r="I4533">
        <v>0.15527012766037099</v>
      </c>
      <c r="J4533">
        <v>0.1018568789225</v>
      </c>
      <c r="K4533">
        <v>8.3716191332170398E-2</v>
      </c>
      <c r="L4533">
        <v>1055.04691949014</v>
      </c>
      <c r="M4533">
        <v>19.639056331253499</v>
      </c>
      <c r="N4533">
        <v>54.085231211029097</v>
      </c>
      <c r="O4533">
        <v>53.174169708634103</v>
      </c>
      <c r="P4533">
        <v>-8.6630159730938794E-2</v>
      </c>
      <c r="Q4533">
        <v>6.1803048589777899E-2</v>
      </c>
      <c r="R4533">
        <v>0.99524460966818395</v>
      </c>
      <c r="S4533" t="s">
        <v>10116</v>
      </c>
      <c r="T4533" t="s">
        <v>11164</v>
      </c>
      <c r="U4533" t="s">
        <v>11164</v>
      </c>
      <c r="V4533" t="s">
        <v>11164</v>
      </c>
      <c r="W4533" t="s">
        <v>15653</v>
      </c>
      <c r="X4533">
        <v>5</v>
      </c>
      <c r="Y4533" t="s">
        <v>21124</v>
      </c>
      <c r="Z4533" t="s">
        <v>26683</v>
      </c>
      <c r="AA4533">
        <v>0.59652716027568209</v>
      </c>
      <c r="AB4533" t="str">
        <f>HYPERLINK("Melting_Curves/meltCurve_Q9BQ70_TCF25.pdf", "Melting_Curves/meltCurve_Q9BQ70_TCF25.pdf")</f>
        <v>Melting_Curves/meltCurve_Q9BQ70_TCF25.pdf</v>
      </c>
    </row>
    <row r="4534" spans="1:28" x14ac:dyDescent="0.25">
      <c r="A4534" t="s">
        <v>4538</v>
      </c>
      <c r="B4534">
        <v>0.99796759195183404</v>
      </c>
      <c r="C4534">
        <v>0.98029849147921699</v>
      </c>
      <c r="D4534">
        <v>0.87863287555186798</v>
      </c>
      <c r="E4534">
        <v>0.86174226001416299</v>
      </c>
      <c r="F4534">
        <v>1.03572607871997</v>
      </c>
      <c r="G4534">
        <v>1.0495775044361599</v>
      </c>
      <c r="H4534">
        <v>1.030232546328</v>
      </c>
      <c r="I4534">
        <v>0.66774527407956696</v>
      </c>
      <c r="J4534">
        <v>0.40518550553139798</v>
      </c>
      <c r="K4534">
        <v>0.15733167698516601</v>
      </c>
      <c r="L4534">
        <v>2058.1692219607498</v>
      </c>
      <c r="M4534">
        <v>32.927279198166197</v>
      </c>
      <c r="N4534">
        <v>62.861682904405399</v>
      </c>
      <c r="O4534">
        <v>62.277304961969399</v>
      </c>
      <c r="P4534">
        <v>-0.12096059438049001</v>
      </c>
      <c r="Q4534">
        <v>8.4884450293314706E-2</v>
      </c>
      <c r="R4534">
        <v>0.94170591292313399</v>
      </c>
      <c r="S4534" t="s">
        <v>10117</v>
      </c>
      <c r="T4534" t="s">
        <v>11164</v>
      </c>
      <c r="U4534" t="s">
        <v>11164</v>
      </c>
      <c r="V4534" t="s">
        <v>11164</v>
      </c>
      <c r="W4534" t="s">
        <v>15654</v>
      </c>
      <c r="X4534">
        <v>5</v>
      </c>
      <c r="Y4534" t="s">
        <v>21125</v>
      </c>
      <c r="Z4534" t="s">
        <v>26684</v>
      </c>
      <c r="AA4534">
        <v>0.86133994538807579</v>
      </c>
      <c r="AB4534" t="str">
        <f>HYPERLINK("Melting_Curves/meltCurve_Q9BQ95_ECSIT.pdf", "Melting_Curves/meltCurve_Q9BQ95_ECSIT.pdf")</f>
        <v>Melting_Curves/meltCurve_Q9BQ95_ECSIT.pdf</v>
      </c>
    </row>
    <row r="4535" spans="1:28" x14ac:dyDescent="0.25">
      <c r="A4535" t="s">
        <v>4539</v>
      </c>
      <c r="B4535">
        <v>0.99796759195183404</v>
      </c>
      <c r="C4535">
        <v>1.1221115815952201</v>
      </c>
      <c r="D4535">
        <v>1.14913717346305</v>
      </c>
      <c r="E4535">
        <v>1.19231841334111</v>
      </c>
      <c r="F4535">
        <v>1.0416085033790601</v>
      </c>
      <c r="G4535">
        <v>0.78739436402323804</v>
      </c>
      <c r="H4535">
        <v>0.49462518779981401</v>
      </c>
      <c r="I4535">
        <v>0.357546405298797</v>
      </c>
      <c r="J4535">
        <v>0.21355391409568</v>
      </c>
      <c r="K4535">
        <v>0.12343067205439701</v>
      </c>
      <c r="L4535">
        <v>1311.1882216859799</v>
      </c>
      <c r="M4535">
        <v>23.050064002043801</v>
      </c>
      <c r="N4535">
        <v>57.728678055808302</v>
      </c>
      <c r="O4535">
        <v>56.461394368815697</v>
      </c>
      <c r="P4535">
        <v>-8.7459011701205097E-2</v>
      </c>
      <c r="Q4535">
        <v>0.143088439232953</v>
      </c>
      <c r="R4535">
        <v>0.94080959244618501</v>
      </c>
      <c r="S4535" t="s">
        <v>10118</v>
      </c>
      <c r="T4535" t="s">
        <v>11164</v>
      </c>
      <c r="U4535" t="s">
        <v>11164</v>
      </c>
      <c r="V4535" t="s">
        <v>11164</v>
      </c>
      <c r="W4535" t="s">
        <v>15655</v>
      </c>
      <c r="X4535">
        <v>7</v>
      </c>
      <c r="Y4535" t="s">
        <v>21126</v>
      </c>
      <c r="Z4535" t="s">
        <v>26685</v>
      </c>
      <c r="AA4535">
        <v>0.71806716868009546</v>
      </c>
      <c r="AB4535" t="str">
        <f>HYPERLINK("Melting_Curves/meltCurve_Q9BQC3_DPH2.pdf", "Melting_Curves/meltCurve_Q9BQC3_DPH2.pdf")</f>
        <v>Melting_Curves/meltCurve_Q9BQC3_DPH2.pdf</v>
      </c>
    </row>
    <row r="4536" spans="1:28" x14ac:dyDescent="0.25">
      <c r="A4536" t="s">
        <v>4540</v>
      </c>
      <c r="B4536">
        <v>0.99796759195183404</v>
      </c>
      <c r="C4536">
        <v>1.00338608567456</v>
      </c>
      <c r="D4536">
        <v>1.0984527156666499</v>
      </c>
      <c r="E4536">
        <v>1.05868260135466</v>
      </c>
      <c r="F4536">
        <v>0.74286438360996498</v>
      </c>
      <c r="G4536">
        <v>0.20492690891458001</v>
      </c>
      <c r="H4536">
        <v>0.12242281126134801</v>
      </c>
      <c r="I4536">
        <v>9.3136076456671699E-2</v>
      </c>
      <c r="J4536">
        <v>6.4059271552564398E-2</v>
      </c>
      <c r="K4536">
        <v>6.0956120385484099E-2</v>
      </c>
      <c r="L4536">
        <v>2176.6113030421898</v>
      </c>
      <c r="M4536">
        <v>42.3681712796771</v>
      </c>
      <c r="N4536">
        <v>51.593576046434201</v>
      </c>
      <c r="O4536">
        <v>51.2596951462913</v>
      </c>
      <c r="P4536">
        <v>-0.189569510988332</v>
      </c>
      <c r="Q4536">
        <v>8.2588961864378793E-2</v>
      </c>
      <c r="R4536">
        <v>0.99166261736022598</v>
      </c>
      <c r="S4536" t="s">
        <v>10119</v>
      </c>
      <c r="T4536" t="s">
        <v>11164</v>
      </c>
      <c r="U4536" t="s">
        <v>11164</v>
      </c>
      <c r="V4536" t="s">
        <v>11164</v>
      </c>
      <c r="W4536" t="s">
        <v>15656</v>
      </c>
      <c r="X4536">
        <v>13</v>
      </c>
      <c r="Y4536" t="s">
        <v>21127</v>
      </c>
      <c r="Z4536" t="s">
        <v>26686</v>
      </c>
      <c r="AA4536">
        <v>0.5250415315892194</v>
      </c>
      <c r="AB4536" t="str">
        <f>HYPERLINK("Melting_Curves/meltCurve_Q9BQG0_MYBBP1A.pdf", "Melting_Curves/meltCurve_Q9BQG0_MYBBP1A.pdf")</f>
        <v>Melting_Curves/meltCurve_Q9BQG0_MYBBP1A.pdf</v>
      </c>
    </row>
    <row r="4537" spans="1:28" x14ac:dyDescent="0.25">
      <c r="A4537" t="s">
        <v>4541</v>
      </c>
      <c r="B4537">
        <v>0.99796759195183404</v>
      </c>
      <c r="C4537">
        <v>0.95055517635217401</v>
      </c>
      <c r="D4537">
        <v>0.92242540990314403</v>
      </c>
      <c r="E4537">
        <v>0.89722198394437203</v>
      </c>
      <c r="F4537">
        <v>0.74414805111808602</v>
      </c>
      <c r="G4537">
        <v>0.53920460568495399</v>
      </c>
      <c r="H4537">
        <v>0.42982469888160302</v>
      </c>
      <c r="I4537">
        <v>0.22186584514956001</v>
      </c>
      <c r="J4537">
        <v>7.1346416231059806E-2</v>
      </c>
      <c r="K4537">
        <v>5.1557290021280497E-2</v>
      </c>
      <c r="L4537">
        <v>687.96708737384199</v>
      </c>
      <c r="M4537">
        <v>12.5771707618548</v>
      </c>
      <c r="N4537">
        <v>54.699669796743898</v>
      </c>
      <c r="O4537">
        <v>53.372101910719103</v>
      </c>
      <c r="P4537">
        <v>-5.89245100760004E-2</v>
      </c>
      <c r="Q4537">
        <v>0</v>
      </c>
      <c r="R4537">
        <v>0.987772999778609</v>
      </c>
      <c r="S4537" t="s">
        <v>10120</v>
      </c>
      <c r="T4537" t="s">
        <v>11164</v>
      </c>
      <c r="U4537" t="s">
        <v>11164</v>
      </c>
      <c r="V4537" t="s">
        <v>11164</v>
      </c>
      <c r="W4537" t="s">
        <v>15657</v>
      </c>
      <c r="X4537">
        <v>6</v>
      </c>
      <c r="Y4537" t="s">
        <v>21128</v>
      </c>
      <c r="Z4537" t="s">
        <v>26687</v>
      </c>
      <c r="AA4537">
        <v>0.60543424104996513</v>
      </c>
      <c r="AB4537" t="str">
        <f>HYPERLINK("Melting_Curves/meltCurve_Q9BQP7_MGME1.pdf", "Melting_Curves/meltCurve_Q9BQP7_MGME1.pdf")</f>
        <v>Melting_Curves/meltCurve_Q9BQP7_MGME1.pdf</v>
      </c>
    </row>
    <row r="4538" spans="1:28" x14ac:dyDescent="0.25">
      <c r="A4538" t="s">
        <v>4542</v>
      </c>
      <c r="B4538">
        <v>0.99796759195183404</v>
      </c>
      <c r="C4538">
        <v>1.0073936622862101</v>
      </c>
      <c r="D4538">
        <v>1.0042477581843801</v>
      </c>
      <c r="E4538">
        <v>0.93659482607607503</v>
      </c>
      <c r="F4538">
        <v>0.81044754341457004</v>
      </c>
      <c r="G4538">
        <v>0.42253025309723202</v>
      </c>
      <c r="H4538">
        <v>0.26610880010556298</v>
      </c>
      <c r="I4538">
        <v>0.221822890510843</v>
      </c>
      <c r="J4538">
        <v>0.20470883086177599</v>
      </c>
      <c r="K4538">
        <v>0.17878049185170899</v>
      </c>
      <c r="L4538">
        <v>1425.7675648872801</v>
      </c>
      <c r="M4538">
        <v>27.343937998306501</v>
      </c>
      <c r="N4538">
        <v>53.103512050641498</v>
      </c>
      <c r="O4538">
        <v>51.865510549253301</v>
      </c>
      <c r="P4538">
        <v>-0.106069064571541</v>
      </c>
      <c r="Q4538">
        <v>0.19524768093374101</v>
      </c>
      <c r="R4538">
        <v>0.998134456318162</v>
      </c>
      <c r="S4538" t="s">
        <v>10121</v>
      </c>
      <c r="T4538" t="s">
        <v>11164</v>
      </c>
      <c r="U4538" t="s">
        <v>11164</v>
      </c>
      <c r="V4538" t="s">
        <v>11164</v>
      </c>
      <c r="W4538" t="s">
        <v>15658</v>
      </c>
      <c r="X4538">
        <v>11</v>
      </c>
      <c r="Y4538" t="s">
        <v>21129</v>
      </c>
      <c r="Z4538" t="s">
        <v>26688</v>
      </c>
      <c r="AA4538">
        <v>0.60748869421558915</v>
      </c>
      <c r="AB4538" t="str">
        <f>HYPERLINK("Melting_Curves/meltCurve_Q9BQS8_FYCO1.pdf", "Melting_Curves/meltCurve_Q9BQS8_FYCO1.pdf")</f>
        <v>Melting_Curves/meltCurve_Q9BQS8_FYCO1.pdf</v>
      </c>
    </row>
    <row r="4539" spans="1:28" x14ac:dyDescent="0.25">
      <c r="A4539" t="s">
        <v>4543</v>
      </c>
      <c r="B4539">
        <v>0.99796759195183404</v>
      </c>
      <c r="C4539">
        <v>1.14203980457389</v>
      </c>
      <c r="D4539">
        <v>0.88653233309838297</v>
      </c>
      <c r="E4539">
        <v>1.0517146291586501</v>
      </c>
      <c r="F4539">
        <v>0.81757756092391398</v>
      </c>
      <c r="G4539">
        <v>0.66108487501098701</v>
      </c>
      <c r="H4539">
        <v>0.58666082784857099</v>
      </c>
      <c r="I4539">
        <v>0.72120967877834197</v>
      </c>
      <c r="J4539">
        <v>0.488226705781238</v>
      </c>
      <c r="K4539">
        <v>0.41082583298890901</v>
      </c>
      <c r="L4539">
        <v>707.36933978227898</v>
      </c>
      <c r="M4539">
        <v>13.164138614198</v>
      </c>
      <c r="N4539">
        <v>65.476609070756496</v>
      </c>
      <c r="O4539">
        <v>52.539960448617997</v>
      </c>
      <c r="P4539">
        <v>-3.4280083113053299E-2</v>
      </c>
      <c r="Q4539">
        <v>0.45282519611447197</v>
      </c>
      <c r="R4539">
        <v>0.83951734623690299</v>
      </c>
      <c r="S4539" t="s">
        <v>10122</v>
      </c>
      <c r="T4539" t="s">
        <v>11164</v>
      </c>
      <c r="U4539" t="s">
        <v>11164</v>
      </c>
      <c r="V4539" t="s">
        <v>11164</v>
      </c>
      <c r="W4539" t="s">
        <v>15659</v>
      </c>
      <c r="X4539">
        <v>1</v>
      </c>
      <c r="Y4539" t="s">
        <v>21130</v>
      </c>
      <c r="Z4539" t="s">
        <v>26689</v>
      </c>
      <c r="AA4539">
        <v>0.76797762307095208</v>
      </c>
      <c r="AB4539" t="str">
        <f>HYPERLINK("Melting_Curves/meltCurve_Q9BQT8_2_SLC25A21.pdf", "Melting_Curves/meltCurve_Q9BQT8_2_SLC25A21.pdf")</f>
        <v>Melting_Curves/meltCurve_Q9BQT8_2_SLC25A21.pdf</v>
      </c>
    </row>
    <row r="4540" spans="1:28" x14ac:dyDescent="0.25">
      <c r="A4540" t="s">
        <v>4544</v>
      </c>
      <c r="B4540">
        <v>0.99796759195183404</v>
      </c>
      <c r="C4540">
        <v>1.0029036084865299</v>
      </c>
      <c r="D4540">
        <v>1.0124828542587601</v>
      </c>
      <c r="E4540">
        <v>0.95636930429834199</v>
      </c>
      <c r="F4540">
        <v>0.543448043302727</v>
      </c>
      <c r="G4540">
        <v>0.23060319855324701</v>
      </c>
      <c r="H4540">
        <v>0.190892894605106</v>
      </c>
      <c r="I4540">
        <v>0.15444078071492501</v>
      </c>
      <c r="J4540">
        <v>0.108206816019441</v>
      </c>
      <c r="K4540">
        <v>9.4827481032428496E-2</v>
      </c>
      <c r="L4540">
        <v>1620.20475962607</v>
      </c>
      <c r="M4540">
        <v>32.316216644938699</v>
      </c>
      <c r="N4540">
        <v>50.622531267936502</v>
      </c>
      <c r="O4540">
        <v>49.945145100403799</v>
      </c>
      <c r="P4540">
        <v>-0.14016393409538599</v>
      </c>
      <c r="Q4540">
        <v>0.13350310650646299</v>
      </c>
      <c r="R4540">
        <v>0.99641975420633799</v>
      </c>
      <c r="S4540" t="s">
        <v>10123</v>
      </c>
      <c r="T4540" t="s">
        <v>11164</v>
      </c>
      <c r="U4540" t="s">
        <v>11164</v>
      </c>
      <c r="V4540" t="s">
        <v>11164</v>
      </c>
      <c r="W4540" t="s">
        <v>15660</v>
      </c>
      <c r="X4540">
        <v>9</v>
      </c>
      <c r="Y4540" t="s">
        <v>21131</v>
      </c>
      <c r="Z4540" t="s">
        <v>26690</v>
      </c>
      <c r="AA4540">
        <v>0.51751081471109861</v>
      </c>
      <c r="AB4540" t="str">
        <f>HYPERLINK("Melting_Curves/meltCurve_Q9BR61_ACBD6.pdf", "Melting_Curves/meltCurve_Q9BR61_ACBD6.pdf")</f>
        <v>Melting_Curves/meltCurve_Q9BR61_ACBD6.pdf</v>
      </c>
    </row>
    <row r="4541" spans="1:28" x14ac:dyDescent="0.25">
      <c r="A4541" t="s">
        <v>4545</v>
      </c>
      <c r="B4541">
        <v>0.99796759195183404</v>
      </c>
      <c r="C4541">
        <v>1.0469594445414301</v>
      </c>
      <c r="D4541">
        <v>1.0016096135416099</v>
      </c>
      <c r="E4541">
        <v>0.94361390777624299</v>
      </c>
      <c r="F4541">
        <v>0.80455160678440796</v>
      </c>
      <c r="G4541">
        <v>0.58283258922990899</v>
      </c>
      <c r="H4541">
        <v>0.26091253786633001</v>
      </c>
      <c r="I4541">
        <v>0.209873295660712</v>
      </c>
      <c r="J4541">
        <v>0.156448199437212</v>
      </c>
      <c r="K4541">
        <v>0.11240927588128501</v>
      </c>
      <c r="L4541">
        <v>1049.59040537895</v>
      </c>
      <c r="M4541">
        <v>19.533030854589999</v>
      </c>
      <c r="N4541">
        <v>54.404761450846301</v>
      </c>
      <c r="O4541">
        <v>53.180438108050602</v>
      </c>
      <c r="P4541">
        <v>-8.20026669839716E-2</v>
      </c>
      <c r="Q4541">
        <v>0.106993286500523</v>
      </c>
      <c r="R4541">
        <v>0.99497119125120403</v>
      </c>
      <c r="S4541" t="s">
        <v>10124</v>
      </c>
      <c r="T4541" t="s">
        <v>11164</v>
      </c>
      <c r="U4541" t="s">
        <v>11164</v>
      </c>
      <c r="V4541" t="s">
        <v>11164</v>
      </c>
      <c r="W4541" t="s">
        <v>15661</v>
      </c>
      <c r="X4541">
        <v>15</v>
      </c>
      <c r="Y4541" t="s">
        <v>21132</v>
      </c>
      <c r="Z4541" t="s">
        <v>26691</v>
      </c>
      <c r="AA4541">
        <v>0.61639844762783469</v>
      </c>
      <c r="AB4541" t="str">
        <f>HYPERLINK("Melting_Curves/meltCurve_Q9BR76_CORO1B.pdf", "Melting_Curves/meltCurve_Q9BR76_CORO1B.pdf")</f>
        <v>Melting_Curves/meltCurve_Q9BR76_CORO1B.pdf</v>
      </c>
    </row>
    <row r="4542" spans="1:28" x14ac:dyDescent="0.25">
      <c r="A4542" t="s">
        <v>4546</v>
      </c>
      <c r="B4542">
        <v>0.99796759195183404</v>
      </c>
      <c r="C4542">
        <v>0.96864425784420305</v>
      </c>
      <c r="D4542">
        <v>0.97831253238793503</v>
      </c>
      <c r="E4542">
        <v>0.89749844907491505</v>
      </c>
      <c r="F4542">
        <v>0.75668275233073301</v>
      </c>
      <c r="G4542">
        <v>0.51986010779961001</v>
      </c>
      <c r="H4542">
        <v>0.33576347757996999</v>
      </c>
      <c r="I4542">
        <v>0.25124864223537902</v>
      </c>
      <c r="J4542">
        <v>0.21619152132845801</v>
      </c>
      <c r="K4542">
        <v>0.16688859042114901</v>
      </c>
      <c r="L4542">
        <v>812.90262841445895</v>
      </c>
      <c r="M4542">
        <v>15.3441973485326</v>
      </c>
      <c r="N4542">
        <v>54.194419950838999</v>
      </c>
      <c r="O4542">
        <v>52.102500177183899</v>
      </c>
      <c r="P4542">
        <v>-6.2904100784484496E-2</v>
      </c>
      <c r="Q4542">
        <v>0.14569474475734401</v>
      </c>
      <c r="R4542">
        <v>0.99868504522762702</v>
      </c>
      <c r="S4542" t="s">
        <v>10125</v>
      </c>
      <c r="T4542" t="s">
        <v>11164</v>
      </c>
      <c r="U4542" t="s">
        <v>11164</v>
      </c>
      <c r="V4542" t="s">
        <v>11164</v>
      </c>
      <c r="W4542" t="s">
        <v>15662</v>
      </c>
      <c r="X4542">
        <v>9</v>
      </c>
      <c r="Y4542" t="s">
        <v>21133</v>
      </c>
      <c r="Z4542" t="s">
        <v>26692</v>
      </c>
      <c r="AA4542">
        <v>0.61563067008322403</v>
      </c>
      <c r="AB4542" t="str">
        <f>HYPERLINK("Melting_Curves/meltCurve_Q9BRA2_TXNDC17.pdf", "Melting_Curves/meltCurve_Q9BRA2_TXNDC17.pdf")</f>
        <v>Melting_Curves/meltCurve_Q9BRA2_TXNDC17.pdf</v>
      </c>
    </row>
    <row r="4543" spans="1:28" x14ac:dyDescent="0.25">
      <c r="A4543" t="s">
        <v>4547</v>
      </c>
      <c r="B4543">
        <v>0.99796759195183404</v>
      </c>
      <c r="C4543">
        <v>0.82564965788144695</v>
      </c>
      <c r="D4543">
        <v>0.898831383898124</v>
      </c>
      <c r="E4543">
        <v>0.80140795198021997</v>
      </c>
      <c r="F4543">
        <v>0.83185323377587805</v>
      </c>
      <c r="G4543">
        <v>0.63153846799332003</v>
      </c>
      <c r="H4543">
        <v>0.65014451035882304</v>
      </c>
      <c r="I4543">
        <v>0.68172221285750001</v>
      </c>
      <c r="J4543">
        <v>0.32162586722520897</v>
      </c>
      <c r="K4543">
        <v>0.27405644767433801</v>
      </c>
      <c r="L4543">
        <v>348.27789445638899</v>
      </c>
      <c r="M4543">
        <v>5.7211960108188498</v>
      </c>
      <c r="N4543">
        <v>60.875015257948803</v>
      </c>
      <c r="O4543">
        <v>54.666300272687899</v>
      </c>
      <c r="P4543">
        <v>-2.6264502913020502E-2</v>
      </c>
      <c r="Q4543">
        <v>0</v>
      </c>
      <c r="R4543">
        <v>0.83144422191249401</v>
      </c>
      <c r="S4543" t="s">
        <v>10126</v>
      </c>
      <c r="T4543" t="s">
        <v>11164</v>
      </c>
      <c r="U4543" t="s">
        <v>11164</v>
      </c>
      <c r="V4543" t="s">
        <v>11164</v>
      </c>
      <c r="W4543" t="s">
        <v>15663</v>
      </c>
      <c r="X4543">
        <v>1</v>
      </c>
      <c r="Y4543" t="s">
        <v>21134</v>
      </c>
      <c r="Z4543" t="s">
        <v>26693</v>
      </c>
      <c r="AA4543">
        <v>0.70809036403379066</v>
      </c>
      <c r="AB4543" t="str">
        <f>HYPERLINK("Melting_Curves/meltCurve_Q9BRD0_2_BUD13.pdf", "Melting_Curves/meltCurve_Q9BRD0_2_BUD13.pdf")</f>
        <v>Melting_Curves/meltCurve_Q9BRD0_2_BUD13.pdf</v>
      </c>
    </row>
    <row r="4544" spans="1:28" x14ac:dyDescent="0.25">
      <c r="A4544" t="s">
        <v>4548</v>
      </c>
      <c r="B4544">
        <v>0.99796759195183404</v>
      </c>
      <c r="C4544">
        <v>0.98514496402836604</v>
      </c>
      <c r="D4544">
        <v>0.90396074321712205</v>
      </c>
      <c r="E4544">
        <v>0.90421995038767899</v>
      </c>
      <c r="F4544">
        <v>1.0879914199607601</v>
      </c>
      <c r="G4544">
        <v>0.62712650262602199</v>
      </c>
      <c r="H4544">
        <v>0.52122482773474599</v>
      </c>
      <c r="I4544">
        <v>0.48551445380300501</v>
      </c>
      <c r="J4544">
        <v>0.41442174138641003</v>
      </c>
      <c r="K4544">
        <v>0.39761118293943098</v>
      </c>
      <c r="L4544">
        <v>11709.029884465001</v>
      </c>
      <c r="M4544">
        <v>218.41118488027601</v>
      </c>
      <c r="N4544">
        <v>54.205947404938001</v>
      </c>
      <c r="O4544">
        <v>53.605534029330897</v>
      </c>
      <c r="P4544">
        <v>-0.55545181678248801</v>
      </c>
      <c r="Q4544">
        <v>0.45469292312640303</v>
      </c>
      <c r="R4544">
        <v>0.94362761625160896</v>
      </c>
      <c r="S4544" t="s">
        <v>10127</v>
      </c>
      <c r="T4544" t="s">
        <v>11164</v>
      </c>
      <c r="U4544" t="s">
        <v>11164</v>
      </c>
      <c r="V4544" t="s">
        <v>11164</v>
      </c>
      <c r="W4544" t="s">
        <v>15664</v>
      </c>
      <c r="X4544">
        <v>5</v>
      </c>
      <c r="Y4544" t="s">
        <v>21135</v>
      </c>
      <c r="Z4544" t="s">
        <v>26694</v>
      </c>
      <c r="AA4544">
        <v>0.75667901932598192</v>
      </c>
      <c r="AB4544" t="str">
        <f>HYPERLINK("Melting_Curves/meltCurve_Q9BRF8_CPPED1.pdf", "Melting_Curves/meltCurve_Q9BRF8_CPPED1.pdf")</f>
        <v>Melting_Curves/meltCurve_Q9BRF8_CPPED1.pdf</v>
      </c>
    </row>
    <row r="4545" spans="1:28" x14ac:dyDescent="0.25">
      <c r="A4545" t="s">
        <v>4549</v>
      </c>
      <c r="B4545">
        <v>0.99796759195183404</v>
      </c>
      <c r="C4545">
        <v>1.1354429977967699</v>
      </c>
      <c r="D4545">
        <v>1.25619811815219</v>
      </c>
      <c r="E4545">
        <v>0.99027769342348104</v>
      </c>
      <c r="F4545">
        <v>0.64900734829667495</v>
      </c>
      <c r="G4545">
        <v>0.59782760437786997</v>
      </c>
      <c r="H4545">
        <v>0.44031719500995498</v>
      </c>
      <c r="I4545">
        <v>0.41514673831029802</v>
      </c>
      <c r="J4545">
        <v>0.20545717062951399</v>
      </c>
      <c r="K4545">
        <v>0.25659069956458902</v>
      </c>
      <c r="L4545">
        <v>886.21948306144805</v>
      </c>
      <c r="M4545">
        <v>16.7807730044306</v>
      </c>
      <c r="N4545">
        <v>55.133499528393898</v>
      </c>
      <c r="O4545">
        <v>52.078710461208502</v>
      </c>
      <c r="P4545">
        <v>-6.0148890797494199E-2</v>
      </c>
      <c r="Q4545">
        <v>0.253366230060451</v>
      </c>
      <c r="R4545">
        <v>0.89651287509384303</v>
      </c>
      <c r="S4545" t="s">
        <v>10128</v>
      </c>
      <c r="T4545" t="s">
        <v>11164</v>
      </c>
      <c r="U4545" t="s">
        <v>11164</v>
      </c>
      <c r="V4545" t="s">
        <v>11164</v>
      </c>
      <c r="W4545" t="s">
        <v>15665</v>
      </c>
      <c r="X4545">
        <v>1</v>
      </c>
      <c r="Y4545" t="s">
        <v>21136</v>
      </c>
      <c r="Z4545" t="s">
        <v>26695</v>
      </c>
      <c r="AA4545">
        <v>0.65883931276144947</v>
      </c>
      <c r="AB4545" t="str">
        <f>HYPERLINK("Melting_Curves/meltCurve_Q9BRJ2_MRPL45.pdf", "Melting_Curves/meltCurve_Q9BRJ2_MRPL45.pdf")</f>
        <v>Melting_Curves/meltCurve_Q9BRJ2_MRPL45.pdf</v>
      </c>
    </row>
    <row r="4546" spans="1:28" x14ac:dyDescent="0.25">
      <c r="A4546" t="s">
        <v>4550</v>
      </c>
      <c r="B4546">
        <v>0.99796759195183404</v>
      </c>
      <c r="C4546">
        <v>1.2086613046158601</v>
      </c>
      <c r="D4546">
        <v>1.28527332565473</v>
      </c>
      <c r="E4546">
        <v>1.0762430249002499</v>
      </c>
      <c r="F4546">
        <v>0.91312121654087197</v>
      </c>
      <c r="G4546">
        <v>0.54905378026796303</v>
      </c>
      <c r="H4546">
        <v>0.17212407529760701</v>
      </c>
      <c r="I4546">
        <v>0.26149762450386399</v>
      </c>
      <c r="J4546">
        <v>0.119732411079523</v>
      </c>
      <c r="K4546">
        <v>0.184914737309853</v>
      </c>
      <c r="L4546">
        <v>2186.6064418236401</v>
      </c>
      <c r="M4546">
        <v>40.904693295271898</v>
      </c>
      <c r="N4546">
        <v>54.019346340189401</v>
      </c>
      <c r="O4546">
        <v>53.3288388363232</v>
      </c>
      <c r="P4546">
        <v>-0.15846938685794501</v>
      </c>
      <c r="Q4546">
        <v>0.17359386565604301</v>
      </c>
      <c r="R4546">
        <v>0.926460354380096</v>
      </c>
      <c r="S4546" t="s">
        <v>10129</v>
      </c>
      <c r="T4546" t="s">
        <v>11164</v>
      </c>
      <c r="U4546" t="s">
        <v>11164</v>
      </c>
      <c r="V4546" t="s">
        <v>11164</v>
      </c>
      <c r="W4546" t="s">
        <v>15666</v>
      </c>
      <c r="X4546">
        <v>1</v>
      </c>
      <c r="Y4546" t="s">
        <v>21137</v>
      </c>
      <c r="Z4546" t="s">
        <v>26696</v>
      </c>
      <c r="AA4546">
        <v>0.62981289846747834</v>
      </c>
      <c r="AB4546" t="str">
        <f>HYPERLINK("Melting_Curves/meltCurve_Q9BRK4_LZTS2.pdf", "Melting_Curves/meltCurve_Q9BRK4_LZTS2.pdf")</f>
        <v>Melting_Curves/meltCurve_Q9BRK4_LZTS2.pdf</v>
      </c>
    </row>
    <row r="4547" spans="1:28" x14ac:dyDescent="0.25">
      <c r="A4547" t="s">
        <v>4551</v>
      </c>
      <c r="B4547">
        <v>0.99796759195183404</v>
      </c>
      <c r="C4547">
        <v>1.0277991995987801</v>
      </c>
      <c r="D4547">
        <v>1.01549335889935</v>
      </c>
      <c r="E4547">
        <v>0.93007549424375802</v>
      </c>
      <c r="F4547">
        <v>0.78449160798020201</v>
      </c>
      <c r="G4547">
        <v>0.49637883983986397</v>
      </c>
      <c r="H4547">
        <v>0.35147498985838399</v>
      </c>
      <c r="I4547">
        <v>0.281523688406148</v>
      </c>
      <c r="J4547">
        <v>0.30418351689307299</v>
      </c>
      <c r="K4547">
        <v>0.25114878324200202</v>
      </c>
      <c r="L4547">
        <v>1160.72462541461</v>
      </c>
      <c r="M4547">
        <v>22.309032258301102</v>
      </c>
      <c r="N4547">
        <v>53.856006888551804</v>
      </c>
      <c r="O4547">
        <v>51.616704158423197</v>
      </c>
      <c r="P4547">
        <v>-7.93778743771167E-2</v>
      </c>
      <c r="Q4547">
        <v>0.26538486731736299</v>
      </c>
      <c r="R4547">
        <v>0.99693883728772104</v>
      </c>
      <c r="S4547" t="s">
        <v>10130</v>
      </c>
      <c r="T4547" t="s">
        <v>11164</v>
      </c>
      <c r="U4547" t="s">
        <v>11164</v>
      </c>
      <c r="V4547" t="s">
        <v>11164</v>
      </c>
      <c r="W4547" t="s">
        <v>15667</v>
      </c>
      <c r="X4547">
        <v>15</v>
      </c>
      <c r="Y4547" t="s">
        <v>21138</v>
      </c>
      <c r="Z4547" t="s">
        <v>26697</v>
      </c>
      <c r="AA4547">
        <v>0.64134916781848417</v>
      </c>
      <c r="AB4547" t="str">
        <f>HYPERLINK("Melting_Curves/meltCurve_Q9BRK5_SDF4.pdf", "Melting_Curves/meltCurve_Q9BRK5_SDF4.pdf")</f>
        <v>Melting_Curves/meltCurve_Q9BRK5_SDF4.pdf</v>
      </c>
    </row>
    <row r="4548" spans="1:28" x14ac:dyDescent="0.25">
      <c r="A4548" t="s">
        <v>4552</v>
      </c>
      <c r="B4548">
        <v>0.99796759195183404</v>
      </c>
      <c r="C4548">
        <v>0.97611870080002505</v>
      </c>
      <c r="D4548">
        <v>0.94680643690991695</v>
      </c>
      <c r="E4548">
        <v>0.90814299790214303</v>
      </c>
      <c r="F4548">
        <v>0.81386267947454405</v>
      </c>
      <c r="G4548">
        <v>0.36396028202012198</v>
      </c>
      <c r="H4548">
        <v>0.19900971322350899</v>
      </c>
      <c r="I4548">
        <v>0.15153839472521599</v>
      </c>
      <c r="J4548">
        <v>0.131476524218295</v>
      </c>
      <c r="K4548">
        <v>9.8217949280250696E-2</v>
      </c>
      <c r="L4548">
        <v>1448.71564644264</v>
      </c>
      <c r="M4548">
        <v>27.7527736813147</v>
      </c>
      <c r="N4548">
        <v>52.721359812388201</v>
      </c>
      <c r="O4548">
        <v>51.931966384182701</v>
      </c>
      <c r="P4548">
        <v>-0.117589599983297</v>
      </c>
      <c r="Q4548">
        <v>0.1198564265922</v>
      </c>
      <c r="R4548">
        <v>0.99328334119087502</v>
      </c>
      <c r="S4548" t="s">
        <v>10131</v>
      </c>
      <c r="T4548" t="s">
        <v>11164</v>
      </c>
      <c r="U4548" t="s">
        <v>11164</v>
      </c>
      <c r="V4548" t="s">
        <v>11164</v>
      </c>
      <c r="W4548" t="s">
        <v>15668</v>
      </c>
      <c r="X4548">
        <v>8</v>
      </c>
      <c r="Y4548" t="s">
        <v>21139</v>
      </c>
      <c r="Z4548" t="s">
        <v>26698</v>
      </c>
      <c r="AA4548">
        <v>0.57226307927206421</v>
      </c>
      <c r="AB4548" t="str">
        <f>HYPERLINK("Melting_Curves/meltCurve_Q9BRP1_PDCD2L.pdf", "Melting_Curves/meltCurve_Q9BRP1_PDCD2L.pdf")</f>
        <v>Melting_Curves/meltCurve_Q9BRP1_PDCD2L.pdf</v>
      </c>
    </row>
    <row r="4549" spans="1:28" x14ac:dyDescent="0.25">
      <c r="A4549" t="s">
        <v>4553</v>
      </c>
      <c r="B4549">
        <v>0.99796759195183404</v>
      </c>
      <c r="C4549">
        <v>0.94777617154319405</v>
      </c>
      <c r="D4549">
        <v>0.92674450052798296</v>
      </c>
      <c r="E4549">
        <v>0.81997075135714104</v>
      </c>
      <c r="F4549">
        <v>0.69476086485228705</v>
      </c>
      <c r="G4549">
        <v>0.70227420870734603</v>
      </c>
      <c r="H4549">
        <v>0.477269843837198</v>
      </c>
      <c r="I4549">
        <v>0.66107072586753401</v>
      </c>
      <c r="J4549">
        <v>0.58860711655100895</v>
      </c>
      <c r="K4549">
        <v>0.17080341487558601</v>
      </c>
      <c r="L4549">
        <v>328.16280548473799</v>
      </c>
      <c r="M4549">
        <v>5.3886963758292401</v>
      </c>
      <c r="N4549">
        <v>60.898366451609498</v>
      </c>
      <c r="O4549">
        <v>54.037614420706703</v>
      </c>
      <c r="P4549">
        <v>-2.5048249203613999E-2</v>
      </c>
      <c r="Q4549">
        <v>0</v>
      </c>
      <c r="R4549">
        <v>0.79955320241898298</v>
      </c>
      <c r="S4549" t="s">
        <v>10132</v>
      </c>
      <c r="T4549" t="s">
        <v>11164</v>
      </c>
      <c r="U4549" t="s">
        <v>11164</v>
      </c>
      <c r="V4549" t="s">
        <v>11164</v>
      </c>
      <c r="W4549" t="s">
        <v>15669</v>
      </c>
      <c r="X4549">
        <v>9</v>
      </c>
      <c r="Y4549" t="s">
        <v>21140</v>
      </c>
      <c r="Z4549" t="s">
        <v>26699</v>
      </c>
      <c r="AA4549">
        <v>0.70194722380225694</v>
      </c>
      <c r="AB4549" t="str">
        <f>HYPERLINK("Melting_Curves/meltCurve_Q9BRP4_PAAF1.pdf", "Melting_Curves/meltCurve_Q9BRP4_PAAF1.pdf")</f>
        <v>Melting_Curves/meltCurve_Q9BRP4_PAAF1.pdf</v>
      </c>
    </row>
    <row r="4550" spans="1:28" x14ac:dyDescent="0.25">
      <c r="A4550" t="s">
        <v>4554</v>
      </c>
      <c r="B4550">
        <v>0.99796759195183404</v>
      </c>
      <c r="C4550">
        <v>1.0506925235281801</v>
      </c>
      <c r="D4550">
        <v>1.07297497396033</v>
      </c>
      <c r="E4550">
        <v>1.04255301324762</v>
      </c>
      <c r="F4550">
        <v>0.87061565884291403</v>
      </c>
      <c r="G4550">
        <v>0.56342616949985003</v>
      </c>
      <c r="H4550">
        <v>0.67201266655468805</v>
      </c>
      <c r="I4550">
        <v>0.609181634554118</v>
      </c>
      <c r="J4550">
        <v>0.57062533712540497</v>
      </c>
      <c r="K4550">
        <v>0.467665882106576</v>
      </c>
      <c r="L4550">
        <v>12591.209465817999</v>
      </c>
      <c r="M4550">
        <v>250</v>
      </c>
      <c r="O4550">
        <v>50.361614987066702</v>
      </c>
      <c r="P4550">
        <v>-0.52547172211845194</v>
      </c>
      <c r="Q4550">
        <v>0.57658232877316995</v>
      </c>
      <c r="R4550">
        <v>0.93753629521195503</v>
      </c>
      <c r="S4550" t="s">
        <v>10133</v>
      </c>
      <c r="T4550" t="s">
        <v>11164</v>
      </c>
      <c r="U4550" t="s">
        <v>11164</v>
      </c>
      <c r="V4550" t="s">
        <v>11164</v>
      </c>
      <c r="W4550" t="s">
        <v>15670</v>
      </c>
      <c r="X4550">
        <v>9</v>
      </c>
      <c r="Y4550" t="s">
        <v>21141</v>
      </c>
      <c r="Z4550" t="s">
        <v>26700</v>
      </c>
      <c r="AA4550">
        <v>0.76525003859857299</v>
      </c>
      <c r="AB4550" t="str">
        <f>HYPERLINK("Melting_Curves/meltCurve_Q9BRP8_2_WIBG.pdf", "Melting_Curves/meltCurve_Q9BRP8_2_WIBG.pdf")</f>
        <v>Melting_Curves/meltCurve_Q9BRP8_2_WIBG.pdf</v>
      </c>
    </row>
    <row r="4551" spans="1:28" x14ac:dyDescent="0.25">
      <c r="A4551" t="s">
        <v>4555</v>
      </c>
      <c r="B4551">
        <v>0.99796759195183404</v>
      </c>
      <c r="C4551">
        <v>0.95386050400145195</v>
      </c>
      <c r="D4551">
        <v>0.91003117945072498</v>
      </c>
      <c r="E4551">
        <v>0.91187502416952604</v>
      </c>
      <c r="F4551">
        <v>0.80580806585081799</v>
      </c>
      <c r="G4551">
        <v>0.63342198505951097</v>
      </c>
      <c r="H4551">
        <v>0.65145419223606504</v>
      </c>
      <c r="I4551">
        <v>0.48982924590632798</v>
      </c>
      <c r="J4551">
        <v>0.37280721088386798</v>
      </c>
      <c r="K4551">
        <v>0.15327824573718499</v>
      </c>
      <c r="L4551">
        <v>498.12824835737302</v>
      </c>
      <c r="M4551">
        <v>8.4189417332431695</v>
      </c>
      <c r="N4551">
        <v>59.167552776371203</v>
      </c>
      <c r="O4551">
        <v>56.112022140850897</v>
      </c>
      <c r="P4551">
        <v>-3.7544565005437E-2</v>
      </c>
      <c r="Q4551">
        <v>0</v>
      </c>
      <c r="R4551">
        <v>0.95337332287523502</v>
      </c>
      <c r="S4551" t="s">
        <v>10134</v>
      </c>
      <c r="T4551" t="s">
        <v>11164</v>
      </c>
      <c r="U4551" t="s">
        <v>11164</v>
      </c>
      <c r="V4551" t="s">
        <v>11164</v>
      </c>
      <c r="W4551" t="s">
        <v>15671</v>
      </c>
      <c r="X4551">
        <v>5</v>
      </c>
      <c r="Y4551" t="s">
        <v>21142</v>
      </c>
      <c r="Z4551" t="s">
        <v>26701</v>
      </c>
      <c r="AA4551">
        <v>0.7090314641655715</v>
      </c>
      <c r="AB4551" t="str">
        <f>HYPERLINK("Melting_Curves/meltCurve_Q9BRR6_2_ADPGK.pdf", "Melting_Curves/meltCurve_Q9BRR6_2_ADPGK.pdf")</f>
        <v>Melting_Curves/meltCurve_Q9BRR6_2_ADPGK.pdf</v>
      </c>
    </row>
    <row r="4552" spans="1:28" x14ac:dyDescent="0.25">
      <c r="A4552" t="s">
        <v>4556</v>
      </c>
      <c r="B4552">
        <v>0.99796759195183404</v>
      </c>
      <c r="C4552">
        <v>1.14270149508422</v>
      </c>
      <c r="D4552">
        <v>1.11422375708333</v>
      </c>
      <c r="E4552">
        <v>1.07306165105215</v>
      </c>
      <c r="F4552">
        <v>1.0459603258058801</v>
      </c>
      <c r="G4552">
        <v>0.53622687566001304</v>
      </c>
      <c r="H4552">
        <v>0.323485125651297</v>
      </c>
      <c r="I4552">
        <v>0.27990931409287201</v>
      </c>
      <c r="J4552">
        <v>0.20663479066411999</v>
      </c>
      <c r="K4552">
        <v>7.2876968557127303E-2</v>
      </c>
      <c r="L4552">
        <v>2543.1889205012699</v>
      </c>
      <c r="M4552">
        <v>47.483641269322803</v>
      </c>
      <c r="N4552">
        <v>54.174509025948197</v>
      </c>
      <c r="O4552">
        <v>53.464526735826503</v>
      </c>
      <c r="P4552">
        <v>-0.17575976331115201</v>
      </c>
      <c r="Q4552">
        <v>0.208409254544029</v>
      </c>
      <c r="R4552">
        <v>0.95529241052144898</v>
      </c>
      <c r="S4552" t="s">
        <v>10135</v>
      </c>
      <c r="T4552" t="s">
        <v>11164</v>
      </c>
      <c r="U4552" t="s">
        <v>11164</v>
      </c>
      <c r="V4552" t="s">
        <v>11164</v>
      </c>
      <c r="W4552" t="s">
        <v>15672</v>
      </c>
      <c r="X4552">
        <v>8</v>
      </c>
      <c r="Y4552" t="s">
        <v>21143</v>
      </c>
      <c r="Z4552" t="s">
        <v>26702</v>
      </c>
      <c r="AA4552">
        <v>0.64741924804739726</v>
      </c>
      <c r="AB4552" t="str">
        <f>HYPERLINK("Melting_Curves/meltCurve_Q9BRS2_RIOK1.pdf", "Melting_Curves/meltCurve_Q9BRS2_RIOK1.pdf")</f>
        <v>Melting_Curves/meltCurve_Q9BRS2_RIOK1.pdf</v>
      </c>
    </row>
    <row r="4553" spans="1:28" x14ac:dyDescent="0.25">
      <c r="A4553" t="s">
        <v>4557</v>
      </c>
      <c r="B4553">
        <v>0.99796759195183404</v>
      </c>
      <c r="C4553">
        <v>1.02669088839182</v>
      </c>
      <c r="D4553">
        <v>1.00634097820098</v>
      </c>
      <c r="E4553">
        <v>0.93428023299410501</v>
      </c>
      <c r="F4553">
        <v>0.82053750465367303</v>
      </c>
      <c r="G4553">
        <v>0.76386452864921295</v>
      </c>
      <c r="H4553">
        <v>0.65780488790653602</v>
      </c>
      <c r="I4553">
        <v>0.492615225493514</v>
      </c>
      <c r="J4553">
        <v>0.37557315400240998</v>
      </c>
      <c r="K4553">
        <v>0.251997732898319</v>
      </c>
      <c r="L4553">
        <v>571.19893890438595</v>
      </c>
      <c r="M4553">
        <v>9.4435972026687907</v>
      </c>
      <c r="N4553">
        <v>60.4852894310729</v>
      </c>
      <c r="O4553">
        <v>57.959208910608602</v>
      </c>
      <c r="P4553">
        <v>-4.0758453422142502E-2</v>
      </c>
      <c r="Q4553">
        <v>0</v>
      </c>
      <c r="R4553">
        <v>0.98965661383193404</v>
      </c>
      <c r="S4553" t="s">
        <v>10136</v>
      </c>
      <c r="T4553" t="s">
        <v>11164</v>
      </c>
      <c r="U4553" t="s">
        <v>11164</v>
      </c>
      <c r="V4553" t="s">
        <v>11164</v>
      </c>
      <c r="W4553" t="s">
        <v>15673</v>
      </c>
      <c r="X4553">
        <v>7</v>
      </c>
      <c r="Y4553" t="s">
        <v>21144</v>
      </c>
      <c r="Z4553" t="s">
        <v>26703</v>
      </c>
      <c r="AA4553">
        <v>0.74677183979839767</v>
      </c>
      <c r="AB4553" t="str">
        <f>HYPERLINK("Melting_Curves/meltCurve_Q9BRT2_MNF1.pdf", "Melting_Curves/meltCurve_Q9BRT2_MNF1.pdf")</f>
        <v>Melting_Curves/meltCurve_Q9BRT2_MNF1.pdf</v>
      </c>
    </row>
    <row r="4554" spans="1:28" x14ac:dyDescent="0.25">
      <c r="A4554" t="s">
        <v>4558</v>
      </c>
      <c r="B4554">
        <v>0.99796759195183404</v>
      </c>
      <c r="C4554">
        <v>1.0475202063334901</v>
      </c>
      <c r="D4554">
        <v>1.0186878331092699</v>
      </c>
      <c r="E4554">
        <v>0.94982802455715998</v>
      </c>
      <c r="F4554">
        <v>0.76047467244165701</v>
      </c>
      <c r="G4554">
        <v>0.52082545451236795</v>
      </c>
      <c r="H4554">
        <v>0.219203374389939</v>
      </c>
      <c r="I4554">
        <v>0.169796036895562</v>
      </c>
      <c r="J4554">
        <v>0.14781884299980499</v>
      </c>
      <c r="K4554">
        <v>0.11064078928521</v>
      </c>
      <c r="L4554">
        <v>1090.5659759569901</v>
      </c>
      <c r="M4554">
        <v>20.578483119498099</v>
      </c>
      <c r="N4554">
        <v>53.614567884253397</v>
      </c>
      <c r="O4554">
        <v>52.502612583392803</v>
      </c>
      <c r="P4554">
        <v>-8.7628078449469904E-2</v>
      </c>
      <c r="Q4554">
        <v>0.10575153305442</v>
      </c>
      <c r="R4554">
        <v>0.99528850846535499</v>
      </c>
      <c r="S4554" t="s">
        <v>10137</v>
      </c>
      <c r="T4554" t="s">
        <v>11164</v>
      </c>
      <c r="U4554" t="s">
        <v>11164</v>
      </c>
      <c r="V4554" t="s">
        <v>11164</v>
      </c>
      <c r="W4554" t="s">
        <v>15674</v>
      </c>
      <c r="X4554">
        <v>8</v>
      </c>
      <c r="Y4554" t="s">
        <v>21145</v>
      </c>
      <c r="Z4554" t="s">
        <v>26704</v>
      </c>
      <c r="AA4554">
        <v>0.59335409695903196</v>
      </c>
      <c r="AB4554" t="str">
        <f>HYPERLINK("Melting_Curves/meltCurve_Q9BRT9_GINS4.pdf", "Melting_Curves/meltCurve_Q9BRT9_GINS4.pdf")</f>
        <v>Melting_Curves/meltCurve_Q9BRT9_GINS4.pdf</v>
      </c>
    </row>
    <row r="4555" spans="1:28" x14ac:dyDescent="0.25">
      <c r="A4555" t="s">
        <v>4559</v>
      </c>
      <c r="B4555">
        <v>0.99796759195183404</v>
      </c>
      <c r="C4555">
        <v>0.92674226634411005</v>
      </c>
      <c r="D4555">
        <v>0.975659317505297</v>
      </c>
      <c r="E4555">
        <v>0.89096255836337301</v>
      </c>
      <c r="F4555">
        <v>0.87045018817838504</v>
      </c>
      <c r="G4555">
        <v>0.62865383814924702</v>
      </c>
      <c r="H4555">
        <v>0.54727354913445303</v>
      </c>
      <c r="I4555">
        <v>0.43545365051266099</v>
      </c>
      <c r="J4555">
        <v>0.45391448169860399</v>
      </c>
      <c r="K4555">
        <v>0.33244897181281702</v>
      </c>
      <c r="L4555">
        <v>636.66678875764001</v>
      </c>
      <c r="M4555">
        <v>11.6909568163949</v>
      </c>
      <c r="N4555">
        <v>58.941499960233003</v>
      </c>
      <c r="O4555">
        <v>52.937916436722098</v>
      </c>
      <c r="P4555">
        <v>-3.89601447885181E-2</v>
      </c>
      <c r="Q4555">
        <v>0.29452515071849</v>
      </c>
      <c r="R4555">
        <v>0.97441591436591601</v>
      </c>
      <c r="S4555" t="s">
        <v>10138</v>
      </c>
      <c r="T4555" t="s">
        <v>11164</v>
      </c>
      <c r="U4555" t="s">
        <v>11164</v>
      </c>
      <c r="V4555" t="s">
        <v>11164</v>
      </c>
      <c r="W4555" t="s">
        <v>15675</v>
      </c>
      <c r="X4555">
        <v>8</v>
      </c>
      <c r="Y4555" t="s">
        <v>21146</v>
      </c>
      <c r="Z4555" t="s">
        <v>26705</v>
      </c>
      <c r="AA4555">
        <v>0.71652469094560112</v>
      </c>
      <c r="AB4555" t="str">
        <f>HYPERLINK("Melting_Curves/meltCurve_Q9BRV8_SIKE1.pdf", "Melting_Curves/meltCurve_Q9BRV8_SIKE1.pdf")</f>
        <v>Melting_Curves/meltCurve_Q9BRV8_SIKE1.pdf</v>
      </c>
    </row>
    <row r="4556" spans="1:28" x14ac:dyDescent="0.25">
      <c r="A4556" t="s">
        <v>4560</v>
      </c>
      <c r="B4556">
        <v>0.99796759195183404</v>
      </c>
      <c r="C4556">
        <v>0.99728524184404299</v>
      </c>
      <c r="D4556">
        <v>0.97187008169387001</v>
      </c>
      <c r="E4556">
        <v>0.89953038288745601</v>
      </c>
      <c r="F4556">
        <v>0.46171834283623803</v>
      </c>
      <c r="G4556">
        <v>0.215994183748523</v>
      </c>
      <c r="H4556">
        <v>0.16525380469294401</v>
      </c>
      <c r="I4556">
        <v>0.126726181930369</v>
      </c>
      <c r="J4556">
        <v>8.5943626013229399E-2</v>
      </c>
      <c r="K4556">
        <v>6.5372252251969298E-2</v>
      </c>
      <c r="L4556">
        <v>1365.91534560021</v>
      </c>
      <c r="M4556">
        <v>27.515073066401499</v>
      </c>
      <c r="N4556">
        <v>50.069293092134799</v>
      </c>
      <c r="O4556">
        <v>49.382443632665499</v>
      </c>
      <c r="P4556">
        <v>-0.12473453078126701</v>
      </c>
      <c r="Q4556">
        <v>0.10454330338267</v>
      </c>
      <c r="R4556">
        <v>0.99643833766261702</v>
      </c>
      <c r="S4556" t="s">
        <v>10139</v>
      </c>
      <c r="T4556" t="s">
        <v>11164</v>
      </c>
      <c r="U4556" t="s">
        <v>11164</v>
      </c>
      <c r="V4556" t="s">
        <v>11164</v>
      </c>
      <c r="W4556" t="s">
        <v>15676</v>
      </c>
      <c r="X4556">
        <v>14</v>
      </c>
      <c r="Y4556" t="s">
        <v>21147</v>
      </c>
      <c r="Z4556" t="s">
        <v>26706</v>
      </c>
      <c r="AA4556">
        <v>0.48837811556312699</v>
      </c>
      <c r="AB4556" t="str">
        <f>HYPERLINK("Melting_Curves/meltCurve_Q9BRX2_PELO.pdf", "Melting_Curves/meltCurve_Q9BRX2_PELO.pdf")</f>
        <v>Melting_Curves/meltCurve_Q9BRX2_PELO.pdf</v>
      </c>
    </row>
    <row r="4557" spans="1:28" x14ac:dyDescent="0.25">
      <c r="A4557" t="s">
        <v>4561</v>
      </c>
      <c r="B4557">
        <v>0.99796759195183404</v>
      </c>
      <c r="C4557">
        <v>0.99120751408857999</v>
      </c>
      <c r="D4557">
        <v>1.00583171570706</v>
      </c>
      <c r="E4557">
        <v>0.90419953925553798</v>
      </c>
      <c r="F4557">
        <v>0.76678456336143197</v>
      </c>
      <c r="G4557">
        <v>0.59252337678973099</v>
      </c>
      <c r="H4557">
        <v>0.31492169877498399</v>
      </c>
      <c r="I4557">
        <v>0.24078695361465899</v>
      </c>
      <c r="J4557">
        <v>0.22205612319312401</v>
      </c>
      <c r="K4557">
        <v>0.17186010579377001</v>
      </c>
      <c r="L4557">
        <v>867.76897208552498</v>
      </c>
      <c r="M4557">
        <v>16.235306371409699</v>
      </c>
      <c r="N4557">
        <v>54.601625717269997</v>
      </c>
      <c r="O4557">
        <v>52.658319693747103</v>
      </c>
      <c r="P4557">
        <v>-6.59047221829996E-2</v>
      </c>
      <c r="Q4557">
        <v>0.14503004460706401</v>
      </c>
      <c r="R4557">
        <v>0.99532067549626702</v>
      </c>
      <c r="S4557" t="s">
        <v>10140</v>
      </c>
      <c r="T4557" t="s">
        <v>11164</v>
      </c>
      <c r="U4557" t="s">
        <v>11164</v>
      </c>
      <c r="V4557" t="s">
        <v>11164</v>
      </c>
      <c r="W4557" t="s">
        <v>15677</v>
      </c>
      <c r="X4557">
        <v>11</v>
      </c>
      <c r="Y4557" t="s">
        <v>21148</v>
      </c>
      <c r="Z4557" t="s">
        <v>26707</v>
      </c>
      <c r="AA4557">
        <v>0.6274421592574676</v>
      </c>
      <c r="AB4557" t="str">
        <f>HYPERLINK("Melting_Curves/meltCurve_Q9BRX5_GINS3.pdf", "Melting_Curves/meltCurve_Q9BRX5_GINS3.pdf")</f>
        <v>Melting_Curves/meltCurve_Q9BRX5_GINS3.pdf</v>
      </c>
    </row>
    <row r="4558" spans="1:28" x14ac:dyDescent="0.25">
      <c r="A4558" t="s">
        <v>4562</v>
      </c>
      <c r="B4558">
        <v>0.99796759195183404</v>
      </c>
      <c r="C4558">
        <v>0.98888652683953604</v>
      </c>
      <c r="D4558">
        <v>0.99636256683457702</v>
      </c>
      <c r="E4558">
        <v>0.94458739210421705</v>
      </c>
      <c r="F4558">
        <v>0.84943427852336995</v>
      </c>
      <c r="G4558">
        <v>0.59860884973275297</v>
      </c>
      <c r="H4558">
        <v>0.35513028736700097</v>
      </c>
      <c r="I4558">
        <v>0.20210636089498701</v>
      </c>
      <c r="J4558">
        <v>0.126778665264038</v>
      </c>
      <c r="K4558">
        <v>0.1116810290353</v>
      </c>
      <c r="L4558">
        <v>960.62822065983698</v>
      </c>
      <c r="M4558">
        <v>17.561418968858199</v>
      </c>
      <c r="N4558">
        <v>55.173448338482302</v>
      </c>
      <c r="O4558">
        <v>54.006550013731697</v>
      </c>
      <c r="P4558">
        <v>-7.56228475709394E-2</v>
      </c>
      <c r="Q4558">
        <v>6.9800222888056901E-2</v>
      </c>
      <c r="R4558">
        <v>0.99960713533211798</v>
      </c>
      <c r="S4558" t="s">
        <v>10141</v>
      </c>
      <c r="T4558" t="s">
        <v>11164</v>
      </c>
      <c r="U4558" t="s">
        <v>11164</v>
      </c>
      <c r="V4558" t="s">
        <v>11164</v>
      </c>
      <c r="W4558" t="s">
        <v>15678</v>
      </c>
      <c r="X4558">
        <v>20</v>
      </c>
      <c r="Y4558" t="s">
        <v>21149</v>
      </c>
      <c r="Z4558" t="s">
        <v>26708</v>
      </c>
      <c r="AA4558">
        <v>0.63096983319673394</v>
      </c>
      <c r="AB4558" t="str">
        <f>HYPERLINK("Melting_Curves/meltCurve_Q9BS26_ERP44.pdf", "Melting_Curves/meltCurve_Q9BS26_ERP44.pdf")</f>
        <v>Melting_Curves/meltCurve_Q9BS26_ERP44.pdf</v>
      </c>
    </row>
    <row r="4559" spans="1:28" x14ac:dyDescent="0.25">
      <c r="A4559" t="s">
        <v>4563</v>
      </c>
      <c r="B4559">
        <v>0.99796759195183404</v>
      </c>
      <c r="C4559">
        <v>0.93565181694006905</v>
      </c>
      <c r="D4559">
        <v>0.98186736091540106</v>
      </c>
      <c r="E4559">
        <v>0.92734816114877205</v>
      </c>
      <c r="F4559">
        <v>0.76563348030873002</v>
      </c>
      <c r="G4559">
        <v>0.67788707714143104</v>
      </c>
      <c r="H4559">
        <v>0.33374746805858702</v>
      </c>
      <c r="I4559">
        <v>0.15667638199586001</v>
      </c>
      <c r="J4559">
        <v>0.11278319487594</v>
      </c>
      <c r="K4559">
        <v>9.6680736431395103E-2</v>
      </c>
      <c r="L4559">
        <v>829.02529993827795</v>
      </c>
      <c r="M4559">
        <v>15.017878390298099</v>
      </c>
      <c r="N4559">
        <v>55.217651160225401</v>
      </c>
      <c r="O4559">
        <v>54.251501860255097</v>
      </c>
      <c r="P4559">
        <v>-6.9070092406507994E-2</v>
      </c>
      <c r="Q4559">
        <v>2.0482364999919599E-3</v>
      </c>
      <c r="R4559">
        <v>0.98771170809298303</v>
      </c>
      <c r="S4559" t="s">
        <v>10142</v>
      </c>
      <c r="T4559" t="s">
        <v>11164</v>
      </c>
      <c r="U4559" t="s">
        <v>11164</v>
      </c>
      <c r="V4559" t="s">
        <v>11164</v>
      </c>
      <c r="W4559" t="s">
        <v>15679</v>
      </c>
      <c r="X4559">
        <v>6</v>
      </c>
      <c r="Y4559" t="s">
        <v>21150</v>
      </c>
      <c r="Z4559" t="s">
        <v>26709</v>
      </c>
      <c r="AA4559">
        <v>0.62113912034163088</v>
      </c>
      <c r="AB4559" t="str">
        <f>HYPERLINK("Melting_Curves/meltCurve_Q9BS40_LXN.pdf", "Melting_Curves/meltCurve_Q9BS40_LXN.pdf")</f>
        <v>Melting_Curves/meltCurve_Q9BS40_LXN.pdf</v>
      </c>
    </row>
    <row r="4560" spans="1:28" x14ac:dyDescent="0.25">
      <c r="A4560" t="s">
        <v>4564</v>
      </c>
      <c r="B4560">
        <v>0.99796759195183404</v>
      </c>
      <c r="C4560">
        <v>0.70697881306718102</v>
      </c>
      <c r="D4560">
        <v>0.68683409624091696</v>
      </c>
      <c r="E4560">
        <v>0.60781154044993702</v>
      </c>
      <c r="F4560">
        <v>0.59263950476447502</v>
      </c>
      <c r="G4560">
        <v>0.338137869253475</v>
      </c>
      <c r="H4560">
        <v>0.35790446844900498</v>
      </c>
      <c r="I4560">
        <v>0.28099405295297297</v>
      </c>
      <c r="J4560">
        <v>0.45054173624593102</v>
      </c>
      <c r="K4560">
        <v>0.33212321729055899</v>
      </c>
      <c r="L4560">
        <v>394.37095568505299</v>
      </c>
      <c r="M4560">
        <v>8.8874824577773399</v>
      </c>
      <c r="N4560">
        <v>49.592153610951897</v>
      </c>
      <c r="O4560">
        <v>42.299568512014197</v>
      </c>
      <c r="P4560">
        <v>-3.6600029549207901E-2</v>
      </c>
      <c r="Q4560">
        <v>0.30374551569205399</v>
      </c>
      <c r="R4560">
        <v>0.87198172426250997</v>
      </c>
      <c r="S4560" t="s">
        <v>10143</v>
      </c>
      <c r="T4560" t="s">
        <v>11164</v>
      </c>
      <c r="U4560" t="s">
        <v>11164</v>
      </c>
      <c r="V4560" t="s">
        <v>11164</v>
      </c>
      <c r="W4560" t="s">
        <v>15680</v>
      </c>
      <c r="X4560">
        <v>3</v>
      </c>
      <c r="Y4560" t="s">
        <v>21151</v>
      </c>
      <c r="Z4560" t="s">
        <v>26710</v>
      </c>
      <c r="AA4560">
        <v>0.51832367413109082</v>
      </c>
      <c r="AB4560" t="str">
        <f>HYPERLINK("Melting_Curves/meltCurve_Q9BSB4_ATG101.pdf", "Melting_Curves/meltCurve_Q9BSB4_ATG101.pdf")</f>
        <v>Melting_Curves/meltCurve_Q9BSB4_ATG101.pdf</v>
      </c>
    </row>
    <row r="4561" spans="1:28" x14ac:dyDescent="0.25">
      <c r="A4561" t="s">
        <v>4565</v>
      </c>
      <c r="B4561">
        <v>0.99796759195183404</v>
      </c>
      <c r="C4561">
        <v>1.0111965640570499</v>
      </c>
      <c r="D4561">
        <v>0.98579292148666497</v>
      </c>
      <c r="E4561">
        <v>0.91024709068074505</v>
      </c>
      <c r="F4561">
        <v>0.73820458692819002</v>
      </c>
      <c r="G4561">
        <v>0.51161415255623599</v>
      </c>
      <c r="H4561">
        <v>0.25797987762400498</v>
      </c>
      <c r="I4561">
        <v>0.137000106814362</v>
      </c>
      <c r="J4561">
        <v>9.3127635373276896E-2</v>
      </c>
      <c r="K4561">
        <v>7.5631279853261693E-2</v>
      </c>
      <c r="L4561">
        <v>865.138551631111</v>
      </c>
      <c r="M4561">
        <v>16.185618083357799</v>
      </c>
      <c r="N4561">
        <v>53.663162574970997</v>
      </c>
      <c r="O4561">
        <v>52.655124351307997</v>
      </c>
      <c r="P4561">
        <v>-7.4471857763869401E-2</v>
      </c>
      <c r="Q4561">
        <v>3.0984046420061799E-2</v>
      </c>
      <c r="R4561">
        <v>0.99917083556104702</v>
      </c>
      <c r="S4561" t="s">
        <v>10144</v>
      </c>
      <c r="T4561" t="s">
        <v>11164</v>
      </c>
      <c r="U4561" t="s">
        <v>11164</v>
      </c>
      <c r="V4561" t="s">
        <v>11164</v>
      </c>
      <c r="W4561" t="s">
        <v>15681</v>
      </c>
      <c r="X4561">
        <v>17</v>
      </c>
      <c r="Y4561" t="s">
        <v>21152</v>
      </c>
      <c r="Z4561" t="s">
        <v>26711</v>
      </c>
      <c r="AA4561">
        <v>0.57784273242955619</v>
      </c>
      <c r="AB4561" t="str">
        <f>HYPERLINK("Melting_Curves/meltCurve_Q9BSD7_NTPCR.pdf", "Melting_Curves/meltCurve_Q9BSD7_NTPCR.pdf")</f>
        <v>Melting_Curves/meltCurve_Q9BSD7_NTPCR.pdf</v>
      </c>
    </row>
    <row r="4562" spans="1:28" x14ac:dyDescent="0.25">
      <c r="A4562" t="s">
        <v>4566</v>
      </c>
      <c r="B4562">
        <v>0.99796759195183404</v>
      </c>
      <c r="C4562">
        <v>1.0883234213089099</v>
      </c>
      <c r="D4562">
        <v>0.90063765943247398</v>
      </c>
      <c r="E4562">
        <v>1.04183582574857</v>
      </c>
      <c r="F4562">
        <v>0.80651979164756704</v>
      </c>
      <c r="G4562">
        <v>0.98711528007557103</v>
      </c>
      <c r="H4562">
        <v>0.69068363986696601</v>
      </c>
      <c r="I4562">
        <v>0.34507448330854501</v>
      </c>
      <c r="J4562">
        <v>0.223577567392651</v>
      </c>
      <c r="K4562">
        <v>0.16269818424381399</v>
      </c>
      <c r="L4562">
        <v>1712.7828422974601</v>
      </c>
      <c r="M4562">
        <v>29.248898147616199</v>
      </c>
      <c r="N4562">
        <v>59.274779823319697</v>
      </c>
      <c r="O4562">
        <v>58.287183457314804</v>
      </c>
      <c r="P4562">
        <v>-0.106785520367879</v>
      </c>
      <c r="Q4562">
        <v>0.148797473765443</v>
      </c>
      <c r="R4562">
        <v>0.94951096262096202</v>
      </c>
      <c r="S4562" t="s">
        <v>10145</v>
      </c>
      <c r="T4562" t="s">
        <v>11164</v>
      </c>
      <c r="U4562" t="s">
        <v>11164</v>
      </c>
      <c r="V4562" t="s">
        <v>11164</v>
      </c>
      <c r="W4562" t="s">
        <v>15682</v>
      </c>
      <c r="X4562">
        <v>5</v>
      </c>
      <c r="Y4562" t="s">
        <v>21153</v>
      </c>
      <c r="Z4562" t="s">
        <v>26712</v>
      </c>
      <c r="AA4562">
        <v>0.76498451628318409</v>
      </c>
      <c r="AB4562" t="str">
        <f>HYPERLINK("Melting_Curves/meltCurve_Q9BSF4_C19orf52.pdf", "Melting_Curves/meltCurve_Q9BSF4_C19orf52.pdf")</f>
        <v>Melting_Curves/meltCurve_Q9BSF4_C19orf52.pdf</v>
      </c>
    </row>
    <row r="4563" spans="1:28" x14ac:dyDescent="0.25">
      <c r="A4563" t="s">
        <v>4567</v>
      </c>
      <c r="B4563">
        <v>0.99796759195183404</v>
      </c>
      <c r="C4563">
        <v>0.95450006634499795</v>
      </c>
      <c r="D4563">
        <v>1.00513908355118</v>
      </c>
      <c r="E4563">
        <v>0.90876989955301102</v>
      </c>
      <c r="F4563">
        <v>0.61788651481903001</v>
      </c>
      <c r="G4563">
        <v>0.213943504621919</v>
      </c>
      <c r="H4563">
        <v>0.180910769568808</v>
      </c>
      <c r="I4563">
        <v>0.15187086098775501</v>
      </c>
      <c r="J4563">
        <v>0.111967339341461</v>
      </c>
      <c r="K4563">
        <v>7.2666547636828796E-2</v>
      </c>
      <c r="L4563">
        <v>1449.4731522187301</v>
      </c>
      <c r="M4563">
        <v>28.676563429251999</v>
      </c>
      <c r="N4563">
        <v>51.006835104829499</v>
      </c>
      <c r="O4563">
        <v>50.301682729943202</v>
      </c>
      <c r="P4563">
        <v>-0.12624551692094699</v>
      </c>
      <c r="Q4563">
        <v>0.11421572834233799</v>
      </c>
      <c r="R4563">
        <v>0.99461244341561506</v>
      </c>
      <c r="S4563" t="s">
        <v>10146</v>
      </c>
      <c r="T4563" t="s">
        <v>11164</v>
      </c>
      <c r="U4563" t="s">
        <v>11164</v>
      </c>
      <c r="V4563" t="s">
        <v>11164</v>
      </c>
      <c r="W4563" t="s">
        <v>15683</v>
      </c>
      <c r="X4563">
        <v>12</v>
      </c>
      <c r="Y4563" t="s">
        <v>21154</v>
      </c>
      <c r="Z4563" t="s">
        <v>26713</v>
      </c>
      <c r="AA4563">
        <v>0.52015123623421133</v>
      </c>
      <c r="AB4563" t="str">
        <f>HYPERLINK("Melting_Curves/meltCurve_Q9BSH4_TACO1.pdf", "Melting_Curves/meltCurve_Q9BSH4_TACO1.pdf")</f>
        <v>Melting_Curves/meltCurve_Q9BSH4_TACO1.pdf</v>
      </c>
    </row>
    <row r="4564" spans="1:28" x14ac:dyDescent="0.25">
      <c r="A4564" t="s">
        <v>4568</v>
      </c>
      <c r="B4564">
        <v>0.99796759195183404</v>
      </c>
      <c r="C4564">
        <v>0.93196836414540696</v>
      </c>
      <c r="D4564">
        <v>0.95280886633252804</v>
      </c>
      <c r="E4564">
        <v>0.92710950319195196</v>
      </c>
      <c r="F4564">
        <v>0.76898075571832802</v>
      </c>
      <c r="G4564">
        <v>0.53817963767411503</v>
      </c>
      <c r="H4564">
        <v>0.57504240277333096</v>
      </c>
      <c r="I4564">
        <v>0.476993368515784</v>
      </c>
      <c r="J4564">
        <v>0.53673231356614903</v>
      </c>
      <c r="K4564">
        <v>0.33251025588802702</v>
      </c>
      <c r="L4564">
        <v>700.46756300401</v>
      </c>
      <c r="M4564">
        <v>13.5970367738901</v>
      </c>
      <c r="N4564">
        <v>58.723091674855503</v>
      </c>
      <c r="O4564">
        <v>50.440195160552399</v>
      </c>
      <c r="P4564">
        <v>-4.0053166685612901E-2</v>
      </c>
      <c r="Q4564">
        <v>0.40575582966905999</v>
      </c>
      <c r="R4564">
        <v>0.93676039841250702</v>
      </c>
      <c r="S4564" t="s">
        <v>10147</v>
      </c>
      <c r="T4564" t="s">
        <v>11164</v>
      </c>
      <c r="U4564" t="s">
        <v>11164</v>
      </c>
      <c r="V4564" t="s">
        <v>11164</v>
      </c>
      <c r="W4564" t="s">
        <v>15684</v>
      </c>
      <c r="X4564">
        <v>10</v>
      </c>
      <c r="Y4564" t="s">
        <v>21155</v>
      </c>
      <c r="Z4564" t="s">
        <v>26714</v>
      </c>
      <c r="AA4564">
        <v>0.70637663442006327</v>
      </c>
      <c r="AB4564" t="str">
        <f>HYPERLINK("Melting_Curves/meltCurve_Q9BSH5_HDHD3.pdf", "Melting_Curves/meltCurve_Q9BSH5_HDHD3.pdf")</f>
        <v>Melting_Curves/meltCurve_Q9BSH5_HDHD3.pdf</v>
      </c>
    </row>
    <row r="4565" spans="1:28" x14ac:dyDescent="0.25">
      <c r="A4565" t="s">
        <v>4569</v>
      </c>
      <c r="B4565">
        <v>0.99796759195183404</v>
      </c>
      <c r="C4565">
        <v>0.97595424035920697</v>
      </c>
      <c r="D4565">
        <v>0.94957671937765298</v>
      </c>
      <c r="E4565">
        <v>0.88830183600246304</v>
      </c>
      <c r="F4565">
        <v>0.72328538218247496</v>
      </c>
      <c r="G4565">
        <v>0.34277881390654302</v>
      </c>
      <c r="H4565">
        <v>0.25065555457644001</v>
      </c>
      <c r="I4565">
        <v>0.20556708562126599</v>
      </c>
      <c r="J4565">
        <v>0.19078181288868501</v>
      </c>
      <c r="K4565">
        <v>0.11295839301018799</v>
      </c>
      <c r="L4565">
        <v>1091.02566702475</v>
      </c>
      <c r="M4565">
        <v>21.226811593349101</v>
      </c>
      <c r="N4565">
        <v>52.288420744001797</v>
      </c>
      <c r="O4565">
        <v>50.948827839769201</v>
      </c>
      <c r="P4565">
        <v>-8.8368840236653007E-2</v>
      </c>
      <c r="Q4565">
        <v>0.151606486847572</v>
      </c>
      <c r="R4565">
        <v>0.99201605759604095</v>
      </c>
      <c r="S4565" t="s">
        <v>10148</v>
      </c>
      <c r="T4565" t="s">
        <v>11164</v>
      </c>
      <c r="U4565" t="s">
        <v>11164</v>
      </c>
      <c r="V4565" t="s">
        <v>11164</v>
      </c>
      <c r="W4565" t="s">
        <v>15685</v>
      </c>
      <c r="X4565">
        <v>8</v>
      </c>
      <c r="Y4565" t="s">
        <v>21156</v>
      </c>
      <c r="Z4565" t="s">
        <v>26715</v>
      </c>
      <c r="AA4565">
        <v>0.56881061789637599</v>
      </c>
      <c r="AB4565" t="str">
        <f>HYPERLINK("Melting_Curves/meltCurve_Q9BSJ2_TUBGCP2.pdf", "Melting_Curves/meltCurve_Q9BSJ2_TUBGCP2.pdf")</f>
        <v>Melting_Curves/meltCurve_Q9BSJ2_TUBGCP2.pdf</v>
      </c>
    </row>
    <row r="4566" spans="1:28" x14ac:dyDescent="0.25">
      <c r="A4566" t="s">
        <v>4570</v>
      </c>
      <c r="B4566">
        <v>0.99796759195183404</v>
      </c>
      <c r="C4566">
        <v>0.86353629215421002</v>
      </c>
      <c r="D4566">
        <v>0.87593549190457198</v>
      </c>
      <c r="E4566">
        <v>0.81435468976213199</v>
      </c>
      <c r="F4566">
        <v>0.664814573748716</v>
      </c>
      <c r="G4566">
        <v>0.40766664885760601</v>
      </c>
      <c r="H4566">
        <v>0.27577500266712701</v>
      </c>
      <c r="I4566">
        <v>0.19228421605532001</v>
      </c>
      <c r="J4566">
        <v>0.14301550383238901</v>
      </c>
      <c r="K4566">
        <v>0.11934194109535599</v>
      </c>
      <c r="L4566">
        <v>527.09503006186003</v>
      </c>
      <c r="M4566">
        <v>10.037065740344</v>
      </c>
      <c r="N4566">
        <v>52.514852812890602</v>
      </c>
      <c r="O4566">
        <v>50.558001178755298</v>
      </c>
      <c r="P4566">
        <v>-4.96552440275317E-2</v>
      </c>
      <c r="Q4566">
        <v>0</v>
      </c>
      <c r="R4566">
        <v>0.98516999369130198</v>
      </c>
      <c r="S4566" t="s">
        <v>10149</v>
      </c>
      <c r="T4566" t="s">
        <v>11164</v>
      </c>
      <c r="U4566" t="s">
        <v>11164</v>
      </c>
      <c r="V4566" t="s">
        <v>11164</v>
      </c>
      <c r="W4566" t="s">
        <v>15686</v>
      </c>
      <c r="X4566">
        <v>2</v>
      </c>
      <c r="Y4566" t="s">
        <v>21157</v>
      </c>
      <c r="Z4566" t="s">
        <v>26716</v>
      </c>
      <c r="AA4566">
        <v>0.54165761536104617</v>
      </c>
      <c r="AB4566" t="str">
        <f>HYPERLINK("Melting_Curves/meltCurve_Q9BSJ5_3_C17orf80.pdf", "Melting_Curves/meltCurve_Q9BSJ5_3_C17orf80.pdf")</f>
        <v>Melting_Curves/meltCurve_Q9BSJ5_3_C17orf80.pdf</v>
      </c>
    </row>
    <row r="4567" spans="1:28" x14ac:dyDescent="0.25">
      <c r="A4567" t="s">
        <v>4571</v>
      </c>
      <c r="B4567">
        <v>0.99796759195183404</v>
      </c>
      <c r="C4567">
        <v>1.06586416571842</v>
      </c>
      <c r="D4567">
        <v>1.03232575245535</v>
      </c>
      <c r="E4567">
        <v>0.91171553343259004</v>
      </c>
      <c r="F4567">
        <v>0.50696131073793604</v>
      </c>
      <c r="G4567">
        <v>0.20705280269964299</v>
      </c>
      <c r="H4567">
        <v>0.15108124678999699</v>
      </c>
      <c r="I4567">
        <v>0.12594764803457001</v>
      </c>
      <c r="J4567">
        <v>0.10261774144413199</v>
      </c>
      <c r="K4567">
        <v>7.8502818093435803E-2</v>
      </c>
      <c r="L4567">
        <v>1502.05989752496</v>
      </c>
      <c r="M4567">
        <v>30.099605638602899</v>
      </c>
      <c r="N4567">
        <v>50.316321285555802</v>
      </c>
      <c r="O4567">
        <v>49.684258173701203</v>
      </c>
      <c r="P4567">
        <v>-0.13486609219908399</v>
      </c>
      <c r="Q4567">
        <v>0.109532698595769</v>
      </c>
      <c r="R4567">
        <v>0.99534390856730603</v>
      </c>
      <c r="S4567" t="s">
        <v>10150</v>
      </c>
      <c r="T4567" t="s">
        <v>11164</v>
      </c>
      <c r="U4567" t="s">
        <v>11164</v>
      </c>
      <c r="V4567" t="s">
        <v>11164</v>
      </c>
      <c r="W4567" t="s">
        <v>15687</v>
      </c>
      <c r="X4567">
        <v>24</v>
      </c>
      <c r="Y4567" t="s">
        <v>21158</v>
      </c>
      <c r="Z4567" t="s">
        <v>26717</v>
      </c>
      <c r="AA4567">
        <v>0.49794128191910819</v>
      </c>
      <c r="AB4567" t="str">
        <f>HYPERLINK("Melting_Curves/meltCurve_Q9BSJ8_ESYT1.pdf", "Melting_Curves/meltCurve_Q9BSJ8_ESYT1.pdf")</f>
        <v>Melting_Curves/meltCurve_Q9BSJ8_ESYT1.pdf</v>
      </c>
    </row>
    <row r="4568" spans="1:28" x14ac:dyDescent="0.25">
      <c r="A4568" t="s">
        <v>4572</v>
      </c>
      <c r="B4568">
        <v>0.99796759195183404</v>
      </c>
      <c r="C4568">
        <v>0.83683008142833004</v>
      </c>
      <c r="D4568">
        <v>0.78730385073015896</v>
      </c>
      <c r="E4568">
        <v>0.61777498521420005</v>
      </c>
      <c r="F4568">
        <v>0.60781160675343204</v>
      </c>
      <c r="G4568">
        <v>0.482094186510375</v>
      </c>
      <c r="H4568">
        <v>0.30193922235605802</v>
      </c>
      <c r="I4568">
        <v>0.249440459962603</v>
      </c>
      <c r="J4568">
        <v>0.178201706189376</v>
      </c>
      <c r="K4568">
        <v>6.9669635034644503E-2</v>
      </c>
      <c r="L4568">
        <v>377.66556878085402</v>
      </c>
      <c r="M4568">
        <v>7.3541096825813499</v>
      </c>
      <c r="N4568">
        <v>51.354356154884798</v>
      </c>
      <c r="O4568">
        <v>47.966592410993201</v>
      </c>
      <c r="P4568">
        <v>-3.8388593022187299E-2</v>
      </c>
      <c r="Q4568">
        <v>0</v>
      </c>
      <c r="R4568">
        <v>0.97008085818325995</v>
      </c>
      <c r="S4568" t="s">
        <v>10151</v>
      </c>
      <c r="T4568" t="s">
        <v>11164</v>
      </c>
      <c r="U4568" t="s">
        <v>11164</v>
      </c>
      <c r="V4568" t="s">
        <v>11164</v>
      </c>
      <c r="W4568" t="s">
        <v>15688</v>
      </c>
      <c r="X4568">
        <v>2</v>
      </c>
      <c r="Y4568" t="s">
        <v>21159</v>
      </c>
      <c r="Z4568" t="s">
        <v>26718</v>
      </c>
      <c r="AA4568">
        <v>0.51200032853707889</v>
      </c>
      <c r="AB4568" t="str">
        <f>HYPERLINK("Melting_Curves/meltCurve_Q9BSK4_FEM1A.pdf", "Melting_Curves/meltCurve_Q9BSK4_FEM1A.pdf")</f>
        <v>Melting_Curves/meltCurve_Q9BSK4_FEM1A.pdf</v>
      </c>
    </row>
    <row r="4569" spans="1:28" x14ac:dyDescent="0.25">
      <c r="A4569" t="s">
        <v>4573</v>
      </c>
      <c r="B4569">
        <v>0.99796759195183404</v>
      </c>
      <c r="C4569">
        <v>0.85600083079730904</v>
      </c>
      <c r="D4569">
        <v>0.85995519875958903</v>
      </c>
      <c r="E4569">
        <v>0.70435941511679701</v>
      </c>
      <c r="F4569">
        <v>0.67702817873224397</v>
      </c>
      <c r="G4569">
        <v>0.458923746983457</v>
      </c>
      <c r="H4569">
        <v>0.28075327151215901</v>
      </c>
      <c r="I4569">
        <v>0.23222149603356099</v>
      </c>
      <c r="J4569">
        <v>0.17915333462637201</v>
      </c>
      <c r="K4569">
        <v>0.11217933173686601</v>
      </c>
      <c r="L4569">
        <v>443.56861299231201</v>
      </c>
      <c r="M4569">
        <v>8.4632871228872304</v>
      </c>
      <c r="N4569">
        <v>52.410913919547298</v>
      </c>
      <c r="O4569">
        <v>49.730243467024202</v>
      </c>
      <c r="P4569">
        <v>-4.2584942249739799E-2</v>
      </c>
      <c r="Q4569">
        <v>0</v>
      </c>
      <c r="R4569">
        <v>0.98071438216766205</v>
      </c>
      <c r="S4569" t="s">
        <v>10152</v>
      </c>
      <c r="T4569" t="s">
        <v>11164</v>
      </c>
      <c r="U4569" t="s">
        <v>11164</v>
      </c>
      <c r="V4569" t="s">
        <v>11164</v>
      </c>
      <c r="W4569" t="s">
        <v>15689</v>
      </c>
      <c r="X4569">
        <v>8</v>
      </c>
      <c r="Y4569" t="s">
        <v>21160</v>
      </c>
      <c r="Z4569" t="s">
        <v>26719</v>
      </c>
      <c r="AA4569">
        <v>0.5395359679524121</v>
      </c>
      <c r="AB4569" t="str">
        <f>HYPERLINK("Melting_Curves/meltCurve_Q9BSL1_UBAC1.pdf", "Melting_Curves/meltCurve_Q9BSL1_UBAC1.pdf")</f>
        <v>Melting_Curves/meltCurve_Q9BSL1_UBAC1.pdf</v>
      </c>
    </row>
    <row r="4570" spans="1:28" x14ac:dyDescent="0.25">
      <c r="A4570" t="s">
        <v>4574</v>
      </c>
      <c r="B4570">
        <v>0.99796759195183404</v>
      </c>
      <c r="C4570">
        <v>1.0189335975818099</v>
      </c>
      <c r="D4570">
        <v>1.07666991207702</v>
      </c>
      <c r="E4570">
        <v>1.0106117427555401</v>
      </c>
      <c r="F4570">
        <v>0.91309101235183299</v>
      </c>
      <c r="G4570">
        <v>0.60675411801128398</v>
      </c>
      <c r="H4570">
        <v>0.531990734338602</v>
      </c>
      <c r="I4570">
        <v>0.47036395119035601</v>
      </c>
      <c r="J4570">
        <v>0.44101732798037702</v>
      </c>
      <c r="K4570">
        <v>0.37974084909834999</v>
      </c>
      <c r="L4570">
        <v>1552.87667259864</v>
      </c>
      <c r="M4570">
        <v>29.441674432859699</v>
      </c>
      <c r="N4570">
        <v>56.672838442610903</v>
      </c>
      <c r="O4570">
        <v>52.5026386289234</v>
      </c>
      <c r="P4570">
        <v>-7.9202043288901902E-2</v>
      </c>
      <c r="Q4570">
        <v>0.43504755395292499</v>
      </c>
      <c r="R4570">
        <v>0.97987555789247205</v>
      </c>
      <c r="S4570" t="s">
        <v>10153</v>
      </c>
      <c r="T4570" t="s">
        <v>11164</v>
      </c>
      <c r="U4570" t="s">
        <v>11164</v>
      </c>
      <c r="V4570" t="s">
        <v>11164</v>
      </c>
      <c r="W4570" t="s">
        <v>15690</v>
      </c>
      <c r="X4570">
        <v>2</v>
      </c>
      <c r="Y4570" t="s">
        <v>21161</v>
      </c>
      <c r="Z4570" t="s">
        <v>26720</v>
      </c>
      <c r="AA4570">
        <v>0.73525623050288358</v>
      </c>
      <c r="AB4570" t="str">
        <f>HYPERLINK("Melting_Curves/meltCurve_Q9BSR8_YIPF4.pdf", "Melting_Curves/meltCurve_Q9BSR8_YIPF4.pdf")</f>
        <v>Melting_Curves/meltCurve_Q9BSR8_YIPF4.pdf</v>
      </c>
    </row>
    <row r="4571" spans="1:28" x14ac:dyDescent="0.25">
      <c r="A4571" t="s">
        <v>4575</v>
      </c>
      <c r="B4571">
        <v>0.99796759195183404</v>
      </c>
      <c r="C4571">
        <v>1.05046246736867</v>
      </c>
      <c r="D4571">
        <v>1.0150624942594699</v>
      </c>
      <c r="E4571">
        <v>0.83317716553739596</v>
      </c>
      <c r="F4571">
        <v>0.56084849067791098</v>
      </c>
      <c r="G4571">
        <v>0.16716359755867799</v>
      </c>
      <c r="H4571">
        <v>0.133859656297768</v>
      </c>
      <c r="I4571">
        <v>0.124309701467925</v>
      </c>
      <c r="J4571">
        <v>0.103119057837135</v>
      </c>
      <c r="K4571">
        <v>0.11916764406736</v>
      </c>
      <c r="L4571">
        <v>1324.75599739837</v>
      </c>
      <c r="M4571">
        <v>26.5413402868198</v>
      </c>
      <c r="N4571">
        <v>50.353736333677801</v>
      </c>
      <c r="O4571">
        <v>49.632177438217703</v>
      </c>
      <c r="P4571">
        <v>-0.1198324802096</v>
      </c>
      <c r="Q4571">
        <v>0.10366514040448201</v>
      </c>
      <c r="R4571">
        <v>0.99338788038115799</v>
      </c>
      <c r="S4571" t="s">
        <v>10154</v>
      </c>
      <c r="T4571" t="s">
        <v>11164</v>
      </c>
      <c r="U4571" t="s">
        <v>11164</v>
      </c>
      <c r="V4571" t="s">
        <v>11164</v>
      </c>
      <c r="W4571" t="s">
        <v>15691</v>
      </c>
      <c r="X4571">
        <v>3</v>
      </c>
      <c r="Y4571" t="s">
        <v>21162</v>
      </c>
      <c r="Z4571" t="s">
        <v>26721</v>
      </c>
      <c r="AA4571">
        <v>0.49645565793958502</v>
      </c>
      <c r="AB4571" t="str">
        <f>HYPERLINK("Melting_Curves/meltCurve_Q9BST9_2_RTKN.pdf", "Melting_Curves/meltCurve_Q9BST9_2_RTKN.pdf")</f>
        <v>Melting_Curves/meltCurve_Q9BST9_2_RTKN.pdf</v>
      </c>
    </row>
    <row r="4572" spans="1:28" x14ac:dyDescent="0.25">
      <c r="A4572" t="s">
        <v>4576</v>
      </c>
      <c r="B4572">
        <v>0.99796759195183404</v>
      </c>
      <c r="C4572">
        <v>1.06292887664166</v>
      </c>
      <c r="D4572">
        <v>0.94100544911752704</v>
      </c>
      <c r="E4572">
        <v>0.84109859805833997</v>
      </c>
      <c r="F4572">
        <v>0.88730462642424401</v>
      </c>
      <c r="G4572">
        <v>0.73675894428603295</v>
      </c>
      <c r="H4572">
        <v>0.37016303874733197</v>
      </c>
      <c r="I4572">
        <v>0.23613074457479599</v>
      </c>
      <c r="J4572">
        <v>0.136336013087478</v>
      </c>
      <c r="K4572">
        <v>0.173449095444277</v>
      </c>
      <c r="L4572">
        <v>1059.92650336976</v>
      </c>
      <c r="M4572">
        <v>19.123933581245801</v>
      </c>
      <c r="N4572">
        <v>56.104491385473402</v>
      </c>
      <c r="O4572">
        <v>54.828723614952999</v>
      </c>
      <c r="P4572">
        <v>-7.8176883316794399E-2</v>
      </c>
      <c r="Q4572">
        <v>0.10349569405216399</v>
      </c>
      <c r="R4572">
        <v>0.97296213497544404</v>
      </c>
      <c r="S4572" t="s">
        <v>10155</v>
      </c>
      <c r="T4572" t="s">
        <v>11164</v>
      </c>
      <c r="U4572" t="s">
        <v>11164</v>
      </c>
      <c r="V4572" t="s">
        <v>11164</v>
      </c>
      <c r="W4572" t="s">
        <v>15692</v>
      </c>
      <c r="X4572">
        <v>3</v>
      </c>
      <c r="Y4572" t="s">
        <v>21163</v>
      </c>
      <c r="Z4572" t="s">
        <v>26722</v>
      </c>
      <c r="AA4572">
        <v>0.66429174560347326</v>
      </c>
      <c r="AB4572" t="str">
        <f>HYPERLINK("Melting_Curves/meltCurve_Q9BSU1_C16orf70.pdf", "Melting_Curves/meltCurve_Q9BSU1_C16orf70.pdf")</f>
        <v>Melting_Curves/meltCurve_Q9BSU1_C16orf70.pdf</v>
      </c>
    </row>
    <row r="4573" spans="1:28" x14ac:dyDescent="0.25">
      <c r="A4573" t="s">
        <v>4577</v>
      </c>
      <c r="B4573">
        <v>0.99796759195183404</v>
      </c>
      <c r="C4573">
        <v>0.96234932926724404</v>
      </c>
      <c r="D4573">
        <v>0.94844232463810696</v>
      </c>
      <c r="E4573">
        <v>0.75034990190030704</v>
      </c>
      <c r="F4573">
        <v>0.55121433547762999</v>
      </c>
      <c r="G4573">
        <v>0.31448059874807599</v>
      </c>
      <c r="H4573">
        <v>0.14014621608689201</v>
      </c>
      <c r="I4573">
        <v>7.6555489015412703E-2</v>
      </c>
      <c r="J4573">
        <v>0.101789589592055</v>
      </c>
      <c r="K4573">
        <v>0.10170075894889</v>
      </c>
      <c r="L4573">
        <v>779.247617851977</v>
      </c>
      <c r="M4573">
        <v>15.5289136735938</v>
      </c>
      <c r="N4573">
        <v>50.555680302680301</v>
      </c>
      <c r="O4573">
        <v>49.370395852287899</v>
      </c>
      <c r="P4573">
        <v>-7.4360936378747702E-2</v>
      </c>
      <c r="Q4573">
        <v>5.4433929654499703E-2</v>
      </c>
      <c r="R4573">
        <v>0.99595692823087301</v>
      </c>
      <c r="S4573" t="s">
        <v>10156</v>
      </c>
      <c r="T4573" t="s">
        <v>11164</v>
      </c>
      <c r="U4573" t="s">
        <v>11164</v>
      </c>
      <c r="V4573" t="s">
        <v>11164</v>
      </c>
      <c r="W4573" t="s">
        <v>15693</v>
      </c>
      <c r="X4573">
        <v>4</v>
      </c>
      <c r="Y4573" t="s">
        <v>21164</v>
      </c>
      <c r="Z4573" t="s">
        <v>26723</v>
      </c>
      <c r="AA4573">
        <v>0.48855398449850801</v>
      </c>
      <c r="AB4573" t="str">
        <f>HYPERLINK("Melting_Curves/meltCurve_Q9BSV6_TSEN34.pdf", "Melting_Curves/meltCurve_Q9BSV6_TSEN34.pdf")</f>
        <v>Melting_Curves/meltCurve_Q9BSV6_TSEN34.pdf</v>
      </c>
    </row>
    <row r="4574" spans="1:28" x14ac:dyDescent="0.25">
      <c r="A4574" t="s">
        <v>4578</v>
      </c>
      <c r="B4574">
        <v>0.99796759195183404</v>
      </c>
      <c r="C4574">
        <v>0.98525033900954395</v>
      </c>
      <c r="D4574">
        <v>0.96414090294473598</v>
      </c>
      <c r="E4574">
        <v>0.902665019373872</v>
      </c>
      <c r="F4574">
        <v>0.91456771540735005</v>
      </c>
      <c r="G4574">
        <v>0.474330787833942</v>
      </c>
      <c r="H4574">
        <v>0.49474043059756101</v>
      </c>
      <c r="I4574">
        <v>0.44845816480455403</v>
      </c>
      <c r="J4574">
        <v>0.49051323749973902</v>
      </c>
      <c r="K4574">
        <v>0.46818481147080199</v>
      </c>
      <c r="L4574">
        <v>12632.202957411901</v>
      </c>
      <c r="M4574">
        <v>250</v>
      </c>
      <c r="N4574">
        <v>51.143680866275098</v>
      </c>
      <c r="O4574">
        <v>50.525578257328299</v>
      </c>
      <c r="P4574">
        <v>-0.64911990837909905</v>
      </c>
      <c r="Q4574">
        <v>0.47524546028826697</v>
      </c>
      <c r="R4574">
        <v>0.97864780244951</v>
      </c>
      <c r="S4574" t="s">
        <v>10157</v>
      </c>
      <c r="T4574" t="s">
        <v>11164</v>
      </c>
      <c r="U4574" t="s">
        <v>11164</v>
      </c>
      <c r="V4574" t="s">
        <v>11164</v>
      </c>
      <c r="W4574" t="s">
        <v>15694</v>
      </c>
      <c r="X4574">
        <v>6</v>
      </c>
      <c r="Y4574" t="s">
        <v>21165</v>
      </c>
      <c r="Z4574" t="s">
        <v>26724</v>
      </c>
      <c r="AA4574">
        <v>0.71193550824310092</v>
      </c>
      <c r="AB4574" t="str">
        <f>HYPERLINK("Melting_Curves/meltCurve_Q9BSY4_CHCHD5.pdf", "Melting_Curves/meltCurve_Q9BSY4_CHCHD5.pdf")</f>
        <v>Melting_Curves/meltCurve_Q9BSY4_CHCHD5.pdf</v>
      </c>
    </row>
    <row r="4575" spans="1:28" x14ac:dyDescent="0.25">
      <c r="A4575" t="s">
        <v>4579</v>
      </c>
      <c r="B4575">
        <v>0.99796759195183404</v>
      </c>
      <c r="C4575">
        <v>0.98525761055537497</v>
      </c>
      <c r="D4575">
        <v>0.99535733227408496</v>
      </c>
      <c r="E4575">
        <v>0.93859507126058195</v>
      </c>
      <c r="F4575">
        <v>0.82622392465032402</v>
      </c>
      <c r="G4575">
        <v>0.62495368940740703</v>
      </c>
      <c r="H4575">
        <v>0.61304712787116999</v>
      </c>
      <c r="I4575">
        <v>0.55219513126637099</v>
      </c>
      <c r="J4575">
        <v>0.69667000830885295</v>
      </c>
      <c r="K4575">
        <v>0.62141358008820302</v>
      </c>
      <c r="L4575">
        <v>1710.6442595521801</v>
      </c>
      <c r="M4575">
        <v>34.074637103657601</v>
      </c>
      <c r="O4575">
        <v>50.030895154060197</v>
      </c>
      <c r="P4575">
        <v>-6.5538959793819102E-2</v>
      </c>
      <c r="Q4575">
        <v>0.61508497426600806</v>
      </c>
      <c r="R4575">
        <v>0.95552262168801305</v>
      </c>
      <c r="S4575" t="s">
        <v>10158</v>
      </c>
      <c r="T4575" t="s">
        <v>11164</v>
      </c>
      <c r="U4575" t="s">
        <v>11164</v>
      </c>
      <c r="V4575" t="s">
        <v>11164</v>
      </c>
      <c r="W4575" t="s">
        <v>15695</v>
      </c>
      <c r="X4575">
        <v>11</v>
      </c>
      <c r="Y4575" t="s">
        <v>21166</v>
      </c>
      <c r="Z4575" t="s">
        <v>26725</v>
      </c>
      <c r="AA4575">
        <v>0.78632463132680608</v>
      </c>
      <c r="AB4575" t="str">
        <f>HYPERLINK("Melting_Curves/meltCurve_Q9BT09_CNPY3.pdf", "Melting_Curves/meltCurve_Q9BT09_CNPY3.pdf")</f>
        <v>Melting_Curves/meltCurve_Q9BT09_CNPY3.pdf</v>
      </c>
    </row>
    <row r="4576" spans="1:28" x14ac:dyDescent="0.25">
      <c r="A4576" t="s">
        <v>4580</v>
      </c>
      <c r="B4576">
        <v>0.99796759195183404</v>
      </c>
      <c r="C4576">
        <v>1.0297217641673599</v>
      </c>
      <c r="D4576">
        <v>0.98934096718295095</v>
      </c>
      <c r="E4576">
        <v>0.96559082970249099</v>
      </c>
      <c r="F4576">
        <v>0.77203614036742196</v>
      </c>
      <c r="G4576">
        <v>0.45390109424388397</v>
      </c>
      <c r="H4576">
        <v>0.24196867172703301</v>
      </c>
      <c r="I4576">
        <v>0.20410765613856699</v>
      </c>
      <c r="J4576">
        <v>0.13734570437863899</v>
      </c>
      <c r="K4576">
        <v>0.104699868195404</v>
      </c>
      <c r="L4576">
        <v>1143.0391794920899</v>
      </c>
      <c r="M4576">
        <v>21.7166327526907</v>
      </c>
      <c r="N4576">
        <v>53.326881614483298</v>
      </c>
      <c r="O4576">
        <v>52.194065309736999</v>
      </c>
      <c r="P4576">
        <v>-9.1238675374076497E-2</v>
      </c>
      <c r="Q4576">
        <v>0.122883314973181</v>
      </c>
      <c r="R4576">
        <v>0.997564111369874</v>
      </c>
      <c r="S4576" t="s">
        <v>10159</v>
      </c>
      <c r="T4576" t="s">
        <v>11164</v>
      </c>
      <c r="U4576" t="s">
        <v>11164</v>
      </c>
      <c r="V4576" t="s">
        <v>11164</v>
      </c>
      <c r="W4576" t="s">
        <v>15696</v>
      </c>
      <c r="X4576">
        <v>6</v>
      </c>
      <c r="Y4576" t="s">
        <v>21167</v>
      </c>
      <c r="Z4576" t="s">
        <v>26726</v>
      </c>
      <c r="AA4576">
        <v>0.58981923132242109</v>
      </c>
      <c r="AB4576" t="str">
        <f>HYPERLINK("Melting_Curves/meltCurve_Q9BT17_MTG1.pdf", "Melting_Curves/meltCurve_Q9BT17_MTG1.pdf")</f>
        <v>Melting_Curves/meltCurve_Q9BT17_MTG1.pdf</v>
      </c>
    </row>
    <row r="4577" spans="1:28" x14ac:dyDescent="0.25">
      <c r="A4577" t="s">
        <v>4581</v>
      </c>
      <c r="B4577">
        <v>0.99796759195183404</v>
      </c>
      <c r="C4577">
        <v>1.02588265428151</v>
      </c>
      <c r="D4577">
        <v>0.99103666432486404</v>
      </c>
      <c r="E4577">
        <v>0.99665356995653598</v>
      </c>
      <c r="F4577">
        <v>0.89900863964023503</v>
      </c>
      <c r="G4577">
        <v>0.57789972808607304</v>
      </c>
      <c r="H4577">
        <v>0.36510967247493997</v>
      </c>
      <c r="I4577">
        <v>0.160900523774618</v>
      </c>
      <c r="J4577">
        <v>0.11977731822872401</v>
      </c>
      <c r="K4577">
        <v>8.8667110489802803E-2</v>
      </c>
      <c r="L4577">
        <v>1123.1000910042401</v>
      </c>
      <c r="M4577">
        <v>20.5254296066202</v>
      </c>
      <c r="N4577">
        <v>55.142214034744597</v>
      </c>
      <c r="O4577">
        <v>54.206053045305303</v>
      </c>
      <c r="P4577">
        <v>-8.7745144099519598E-2</v>
      </c>
      <c r="Q4577">
        <v>7.3115057530673003E-2</v>
      </c>
      <c r="R4577">
        <v>0.99675394706352105</v>
      </c>
      <c r="S4577" t="s">
        <v>10160</v>
      </c>
      <c r="T4577" t="s">
        <v>11164</v>
      </c>
      <c r="U4577" t="s">
        <v>11164</v>
      </c>
      <c r="V4577" t="s">
        <v>11164</v>
      </c>
      <c r="W4577" t="s">
        <v>15697</v>
      </c>
      <c r="X4577">
        <v>8</v>
      </c>
      <c r="Y4577" t="s">
        <v>21168</v>
      </c>
      <c r="Z4577" t="s">
        <v>26727</v>
      </c>
      <c r="AA4577">
        <v>0.63093416862884</v>
      </c>
      <c r="AB4577" t="str">
        <f>HYPERLINK("Melting_Curves/meltCurve_Q9BT22_ALG1.pdf", "Melting_Curves/meltCurve_Q9BT22_ALG1.pdf")</f>
        <v>Melting_Curves/meltCurve_Q9BT22_ALG1.pdf</v>
      </c>
    </row>
    <row r="4578" spans="1:28" x14ac:dyDescent="0.25">
      <c r="A4578" t="s">
        <v>4582</v>
      </c>
      <c r="B4578">
        <v>0.99796759195183404</v>
      </c>
      <c r="C4578">
        <v>1.2144653532612399</v>
      </c>
      <c r="D4578">
        <v>1.1483142370903801</v>
      </c>
      <c r="E4578">
        <v>1.09976077819258</v>
      </c>
      <c r="F4578">
        <v>0.932886723310835</v>
      </c>
      <c r="G4578">
        <v>0.72794595210569701</v>
      </c>
      <c r="H4578">
        <v>0.71198650064158397</v>
      </c>
      <c r="I4578">
        <v>0.52592427620609505</v>
      </c>
      <c r="J4578">
        <v>0.56594118304029695</v>
      </c>
      <c r="K4578">
        <v>0.44021410733138</v>
      </c>
      <c r="L4578">
        <v>1039.9089528072</v>
      </c>
      <c r="M4578">
        <v>18.825117946829199</v>
      </c>
      <c r="N4578">
        <v>65.552932944750594</v>
      </c>
      <c r="O4578">
        <v>54.628477534616898</v>
      </c>
      <c r="P4578">
        <v>-4.5306055543542299E-2</v>
      </c>
      <c r="Q4578">
        <v>0.474128478392631</v>
      </c>
      <c r="R4578">
        <v>0.85939736957364898</v>
      </c>
      <c r="S4578" t="s">
        <v>10161</v>
      </c>
      <c r="T4578" t="s">
        <v>11164</v>
      </c>
      <c r="U4578" t="s">
        <v>11164</v>
      </c>
      <c r="V4578" t="s">
        <v>11164</v>
      </c>
      <c r="W4578" t="s">
        <v>15698</v>
      </c>
      <c r="X4578">
        <v>5</v>
      </c>
      <c r="Y4578" t="s">
        <v>21169</v>
      </c>
      <c r="Z4578" t="s">
        <v>26728</v>
      </c>
      <c r="AA4578">
        <v>0.80006512712664701</v>
      </c>
      <c r="AB4578" t="str">
        <f>HYPERLINK("Melting_Curves/meltCurve_Q9BT23_LIMD2.pdf", "Melting_Curves/meltCurve_Q9BT23_LIMD2.pdf")</f>
        <v>Melting_Curves/meltCurve_Q9BT23_LIMD2.pdf</v>
      </c>
    </row>
    <row r="4579" spans="1:28" x14ac:dyDescent="0.25">
      <c r="A4579" t="s">
        <v>4583</v>
      </c>
      <c r="B4579">
        <v>0.99796759195183404</v>
      </c>
      <c r="C4579">
        <v>0.91236076697284496</v>
      </c>
      <c r="D4579">
        <v>0.64776795289439304</v>
      </c>
      <c r="E4579">
        <v>0.79273972912096602</v>
      </c>
      <c r="F4579">
        <v>0.68678192946726202</v>
      </c>
      <c r="G4579">
        <v>0.73814678356206798</v>
      </c>
      <c r="H4579">
        <v>0.61550818930388096</v>
      </c>
      <c r="I4579">
        <v>0.39712967652766101</v>
      </c>
      <c r="J4579">
        <v>0.56165835125459296</v>
      </c>
      <c r="K4579">
        <v>0.23264953132528901</v>
      </c>
      <c r="L4579">
        <v>255.263986139065</v>
      </c>
      <c r="M4579">
        <v>4.2580459398750197</v>
      </c>
      <c r="N4579">
        <v>59.948624315786397</v>
      </c>
      <c r="O4579">
        <v>50.162101894137102</v>
      </c>
      <c r="P4579">
        <v>-2.1444180245955E-2</v>
      </c>
      <c r="Q4579">
        <v>0</v>
      </c>
      <c r="R4579">
        <v>0.76267301967467205</v>
      </c>
      <c r="S4579" t="s">
        <v>10162</v>
      </c>
      <c r="T4579" t="s">
        <v>11164</v>
      </c>
      <c r="U4579" t="s">
        <v>11164</v>
      </c>
      <c r="V4579" t="s">
        <v>11164</v>
      </c>
      <c r="W4579" t="s">
        <v>15699</v>
      </c>
      <c r="X4579">
        <v>1</v>
      </c>
      <c r="Y4579" t="s">
        <v>21170</v>
      </c>
      <c r="Z4579" t="s">
        <v>26729</v>
      </c>
      <c r="AA4579">
        <v>0.66059299369095248</v>
      </c>
      <c r="AB4579" t="str">
        <f>HYPERLINK("Melting_Curves/meltCurve_Q9BT25_2_HAUS8.pdf", "Melting_Curves/meltCurve_Q9BT25_2_HAUS8.pdf")</f>
        <v>Melting_Curves/meltCurve_Q9BT25_2_HAUS8.pdf</v>
      </c>
    </row>
    <row r="4580" spans="1:28" x14ac:dyDescent="0.25">
      <c r="A4580" t="s">
        <v>4584</v>
      </c>
      <c r="B4580">
        <v>0.99796759195183404</v>
      </c>
      <c r="C4580">
        <v>0.81539154321027796</v>
      </c>
      <c r="D4580">
        <v>0.967951320992532</v>
      </c>
      <c r="E4580">
        <v>0.816810411986438</v>
      </c>
      <c r="F4580">
        <v>0.76773231072987003</v>
      </c>
      <c r="G4580">
        <v>0.72740060369452397</v>
      </c>
      <c r="H4580">
        <v>0.399307958080164</v>
      </c>
      <c r="I4580">
        <v>0.37155005135960301</v>
      </c>
      <c r="J4580">
        <v>0.33543197481193099</v>
      </c>
      <c r="K4580">
        <v>0.30058504130431202</v>
      </c>
      <c r="L4580">
        <v>416.52496619835102</v>
      </c>
      <c r="M4580">
        <v>7.2804434321244704</v>
      </c>
      <c r="N4580">
        <v>57.523194025701997</v>
      </c>
      <c r="O4580">
        <v>53.368879215260002</v>
      </c>
      <c r="P4580">
        <v>-3.3498373974306099E-2</v>
      </c>
      <c r="Q4580">
        <v>1.9341859308307601E-2</v>
      </c>
      <c r="R4580">
        <v>0.92540409667018797</v>
      </c>
      <c r="S4580" t="s">
        <v>10163</v>
      </c>
      <c r="T4580" t="s">
        <v>11164</v>
      </c>
      <c r="U4580" t="s">
        <v>11164</v>
      </c>
      <c r="V4580" t="s">
        <v>11164</v>
      </c>
      <c r="W4580" t="s">
        <v>15700</v>
      </c>
      <c r="X4580">
        <v>1</v>
      </c>
      <c r="Y4580" t="s">
        <v>21171</v>
      </c>
      <c r="Z4580" t="s">
        <v>26730</v>
      </c>
      <c r="AA4580">
        <v>0.66189644899604083</v>
      </c>
      <c r="AB4580" t="str">
        <f>HYPERLINK("Melting_Curves/meltCurve_Q9BT30_ALKBH7.pdf", "Melting_Curves/meltCurve_Q9BT30_ALKBH7.pdf")</f>
        <v>Melting_Curves/meltCurve_Q9BT30_ALKBH7.pdf</v>
      </c>
    </row>
    <row r="4581" spans="1:28" x14ac:dyDescent="0.25">
      <c r="A4581" t="s">
        <v>4585</v>
      </c>
      <c r="B4581">
        <v>0.99796759195183404</v>
      </c>
      <c r="C4581">
        <v>0.94809081035811804</v>
      </c>
      <c r="D4581">
        <v>0.88856737311455203</v>
      </c>
      <c r="E4581">
        <v>0.86361303366429498</v>
      </c>
      <c r="F4581">
        <v>0.93664570049089702</v>
      </c>
      <c r="G4581">
        <v>0.90143656441587705</v>
      </c>
      <c r="H4581">
        <v>0.81600466576874897</v>
      </c>
      <c r="I4581">
        <v>0.73869882018275501</v>
      </c>
      <c r="J4581">
        <v>0.70927676740040202</v>
      </c>
      <c r="K4581">
        <v>0.63576573278535498</v>
      </c>
      <c r="L4581">
        <v>278.62305491196997</v>
      </c>
      <c r="M4581">
        <v>3.4762624320850102</v>
      </c>
      <c r="O4581">
        <v>62.676500469304997</v>
      </c>
      <c r="P4581">
        <v>-1.41425177266863E-2</v>
      </c>
      <c r="Q4581">
        <v>0</v>
      </c>
      <c r="R4581">
        <v>0.875594166374285</v>
      </c>
      <c r="S4581" t="s">
        <v>10164</v>
      </c>
      <c r="T4581" t="s">
        <v>11164</v>
      </c>
      <c r="U4581" t="s">
        <v>11164</v>
      </c>
      <c r="V4581" t="s">
        <v>11164</v>
      </c>
      <c r="W4581" t="s">
        <v>15701</v>
      </c>
      <c r="X4581">
        <v>2</v>
      </c>
      <c r="Y4581" t="s">
        <v>21172</v>
      </c>
      <c r="Z4581" t="s">
        <v>26731</v>
      </c>
      <c r="AA4581">
        <v>0.85237706044081241</v>
      </c>
      <c r="AB4581" t="str">
        <f>HYPERLINK("Melting_Curves/meltCurve_Q9BT73_PSMG3.pdf", "Melting_Curves/meltCurve_Q9BT73_PSMG3.pdf")</f>
        <v>Melting_Curves/meltCurve_Q9BT73_PSMG3.pdf</v>
      </c>
    </row>
    <row r="4582" spans="1:28" x14ac:dyDescent="0.25">
      <c r="A4582" t="s">
        <v>4586</v>
      </c>
      <c r="B4582">
        <v>0.99796759195183404</v>
      </c>
      <c r="C4582">
        <v>1.00756320732703</v>
      </c>
      <c r="D4582">
        <v>0.960628100248756</v>
      </c>
      <c r="E4582">
        <v>0.97909599221135901</v>
      </c>
      <c r="F4582">
        <v>0.84180644949003702</v>
      </c>
      <c r="G4582">
        <v>1.8976040368340601</v>
      </c>
      <c r="H4582">
        <v>1.7134407472300599</v>
      </c>
      <c r="I4582">
        <v>0.68744492516812605</v>
      </c>
      <c r="J4582">
        <v>0.23562284641506301</v>
      </c>
      <c r="K4582">
        <v>0.152792971579881</v>
      </c>
      <c r="L4582">
        <v>9358.1770267738702</v>
      </c>
      <c r="M4582">
        <v>152.95411747524699</v>
      </c>
      <c r="N4582">
        <v>61.379640037360502</v>
      </c>
      <c r="O4582">
        <v>61.172449623002201</v>
      </c>
      <c r="P4582">
        <v>-0.50397310833125297</v>
      </c>
      <c r="Q4582">
        <v>0.19376430459764499</v>
      </c>
      <c r="R4582">
        <v>0.50432155009990698</v>
      </c>
      <c r="S4582" t="s">
        <v>10165</v>
      </c>
      <c r="T4582" t="s">
        <v>11164</v>
      </c>
      <c r="U4582" t="s">
        <v>11164</v>
      </c>
      <c r="V4582" t="s">
        <v>11164</v>
      </c>
      <c r="W4582" t="s">
        <v>15702</v>
      </c>
      <c r="X4582">
        <v>7</v>
      </c>
      <c r="Y4582" t="s">
        <v>21173</v>
      </c>
      <c r="Z4582" t="s">
        <v>26732</v>
      </c>
      <c r="AA4582">
        <v>0.84389964356867653</v>
      </c>
      <c r="AB4582" t="str">
        <f>HYPERLINK("Melting_Curves/meltCurve_Q9BT78_COPS4.pdf", "Melting_Curves/meltCurve_Q9BT78_COPS4.pdf")</f>
        <v>Melting_Curves/meltCurve_Q9BT78_COPS4.pdf</v>
      </c>
    </row>
    <row r="4583" spans="1:28" x14ac:dyDescent="0.25">
      <c r="A4583" t="s">
        <v>4587</v>
      </c>
      <c r="B4583">
        <v>0.99796759195183404</v>
      </c>
      <c r="C4583">
        <v>0.91987600724427698</v>
      </c>
      <c r="D4583">
        <v>0.88271527237431702</v>
      </c>
      <c r="E4583">
        <v>0.77935337031202701</v>
      </c>
      <c r="F4583">
        <v>0.59973080956841496</v>
      </c>
      <c r="G4583">
        <v>0.44919872886096202</v>
      </c>
      <c r="H4583">
        <v>0.43053804856211098</v>
      </c>
      <c r="I4583">
        <v>0.28261702951989898</v>
      </c>
      <c r="J4583">
        <v>0.21016825938897599</v>
      </c>
      <c r="K4583">
        <v>0.17934220941738699</v>
      </c>
      <c r="L4583">
        <v>431.25808435325001</v>
      </c>
      <c r="M4583">
        <v>8.1469741912917897</v>
      </c>
      <c r="N4583">
        <v>53.438262953032698</v>
      </c>
      <c r="O4583">
        <v>50.032056716886402</v>
      </c>
      <c r="P4583">
        <v>-3.9246213021358202E-2</v>
      </c>
      <c r="Q4583">
        <v>3.6945199087681999E-2</v>
      </c>
      <c r="R4583">
        <v>0.99148025014060504</v>
      </c>
      <c r="S4583" t="s">
        <v>10166</v>
      </c>
      <c r="T4583" t="s">
        <v>11164</v>
      </c>
      <c r="U4583" t="s">
        <v>11164</v>
      </c>
      <c r="V4583" t="s">
        <v>11164</v>
      </c>
      <c r="W4583" t="s">
        <v>15703</v>
      </c>
      <c r="X4583">
        <v>2</v>
      </c>
      <c r="Y4583" t="s">
        <v>21174</v>
      </c>
      <c r="Z4583" t="s">
        <v>26733</v>
      </c>
      <c r="AA4583">
        <v>0.57006773400584565</v>
      </c>
      <c r="AB4583" t="str">
        <f>HYPERLINK("Melting_Curves/meltCurve_Q9BT92_TCHP.pdf", "Melting_Curves/meltCurve_Q9BT92_TCHP.pdf")</f>
        <v>Melting_Curves/meltCurve_Q9BT92_TCHP.pdf</v>
      </c>
    </row>
    <row r="4584" spans="1:28" x14ac:dyDescent="0.25">
      <c r="A4584" t="s">
        <v>4588</v>
      </c>
      <c r="B4584">
        <v>0.99796759195183404</v>
      </c>
      <c r="C4584">
        <v>1.0661046320844301</v>
      </c>
      <c r="D4584">
        <v>1.03341185641404</v>
      </c>
      <c r="E4584">
        <v>0.93706958041972199</v>
      </c>
      <c r="F4584">
        <v>0.86593329546241304</v>
      </c>
      <c r="G4584">
        <v>0.44018595321356002</v>
      </c>
      <c r="H4584">
        <v>0.339294756799565</v>
      </c>
      <c r="I4584">
        <v>0.20929789570899601</v>
      </c>
      <c r="J4584">
        <v>0.16076085196041301</v>
      </c>
      <c r="K4584">
        <v>8.2930835819049795E-2</v>
      </c>
      <c r="L4584">
        <v>1117.89394431291</v>
      </c>
      <c r="M4584">
        <v>20.992852654778702</v>
      </c>
      <c r="N4584">
        <v>53.991650297981899</v>
      </c>
      <c r="O4584">
        <v>52.775010480492298</v>
      </c>
      <c r="P4584">
        <v>-8.7008257625934796E-2</v>
      </c>
      <c r="Q4584">
        <v>0.12508519931104001</v>
      </c>
      <c r="R4584">
        <v>0.98455350321488999</v>
      </c>
      <c r="S4584" t="s">
        <v>10167</v>
      </c>
      <c r="T4584" t="s">
        <v>11164</v>
      </c>
      <c r="U4584" t="s">
        <v>11164</v>
      </c>
      <c r="V4584" t="s">
        <v>11164</v>
      </c>
      <c r="W4584" t="s">
        <v>15704</v>
      </c>
      <c r="X4584">
        <v>2</v>
      </c>
      <c r="Y4584" t="s">
        <v>21175</v>
      </c>
      <c r="Z4584" t="s">
        <v>26734</v>
      </c>
      <c r="AA4584">
        <v>0.60922117328963976</v>
      </c>
      <c r="AB4584" t="str">
        <f>HYPERLINK("Melting_Curves/meltCurve_Q9BTA9_5_WAC.pdf", "Melting_Curves/meltCurve_Q9BTA9_5_WAC.pdf")</f>
        <v>Melting_Curves/meltCurve_Q9BTA9_5_WAC.pdf</v>
      </c>
    </row>
    <row r="4585" spans="1:28" x14ac:dyDescent="0.25">
      <c r="A4585" t="s">
        <v>4589</v>
      </c>
      <c r="B4585">
        <v>0.99796759195183404</v>
      </c>
      <c r="C4585">
        <v>0.97159904838764499</v>
      </c>
      <c r="D4585">
        <v>0.90005554280268496</v>
      </c>
      <c r="E4585">
        <v>0.85241600675711904</v>
      </c>
      <c r="F4585">
        <v>0.72525793140207395</v>
      </c>
      <c r="G4585">
        <v>0.49099991772007301</v>
      </c>
      <c r="H4585">
        <v>0.39575575347317199</v>
      </c>
      <c r="I4585">
        <v>0.31765500518543599</v>
      </c>
      <c r="J4585">
        <v>0.20768528964745001</v>
      </c>
      <c r="K4585">
        <v>0.17181374990020201</v>
      </c>
      <c r="L4585">
        <v>533.19387502259997</v>
      </c>
      <c r="M4585">
        <v>9.8804739928963201</v>
      </c>
      <c r="N4585">
        <v>54.629022929231802</v>
      </c>
      <c r="O4585">
        <v>51.893321696941797</v>
      </c>
      <c r="P4585">
        <v>-4.4927211596355897E-2</v>
      </c>
      <c r="Q4585">
        <v>5.6630060177808202E-2</v>
      </c>
      <c r="R4585">
        <v>0.99433993316612301</v>
      </c>
      <c r="S4585" t="s">
        <v>10168</v>
      </c>
      <c r="T4585" t="s">
        <v>11164</v>
      </c>
      <c r="U4585" t="s">
        <v>11164</v>
      </c>
      <c r="V4585" t="s">
        <v>11164</v>
      </c>
      <c r="W4585" t="s">
        <v>15705</v>
      </c>
      <c r="X4585">
        <v>17</v>
      </c>
      <c r="Y4585" t="s">
        <v>21176</v>
      </c>
      <c r="Z4585" t="s">
        <v>26735</v>
      </c>
      <c r="AA4585">
        <v>0.60677378931709425</v>
      </c>
      <c r="AB4585" t="str">
        <f>HYPERLINK("Melting_Curves/meltCurve_Q9BTC0_DIDO1.pdf", "Melting_Curves/meltCurve_Q9BTC0_DIDO1.pdf")</f>
        <v>Melting_Curves/meltCurve_Q9BTC0_DIDO1.pdf</v>
      </c>
    </row>
    <row r="4586" spans="1:28" x14ac:dyDescent="0.25">
      <c r="A4586" t="s">
        <v>4590</v>
      </c>
      <c r="B4586">
        <v>0.99796759195183404</v>
      </c>
      <c r="C4586">
        <v>1.1402773624617799</v>
      </c>
      <c r="D4586">
        <v>1.0942251163541501</v>
      </c>
      <c r="E4586">
        <v>0.99137368770691103</v>
      </c>
      <c r="F4586">
        <v>0.78335157806894595</v>
      </c>
      <c r="G4586">
        <v>0.29449568464169301</v>
      </c>
      <c r="H4586">
        <v>0.160436939619299</v>
      </c>
      <c r="I4586">
        <v>0.139109539353513</v>
      </c>
      <c r="J4586">
        <v>0.112416985881586</v>
      </c>
      <c r="K4586">
        <v>9.2420555974495097E-2</v>
      </c>
      <c r="L4586">
        <v>1855.6679070186201</v>
      </c>
      <c r="M4586">
        <v>35.842364967978597</v>
      </c>
      <c r="N4586">
        <v>52.162679660053698</v>
      </c>
      <c r="O4586">
        <v>51.612661968656802</v>
      </c>
      <c r="P4586">
        <v>-0.15322192327280401</v>
      </c>
      <c r="Q4586">
        <v>0.117450434502542</v>
      </c>
      <c r="R4586">
        <v>0.98394634346388998</v>
      </c>
      <c r="S4586" t="s">
        <v>10169</v>
      </c>
      <c r="T4586" t="s">
        <v>11164</v>
      </c>
      <c r="U4586" t="s">
        <v>11164</v>
      </c>
      <c r="V4586" t="s">
        <v>11164</v>
      </c>
      <c r="W4586" t="s">
        <v>15706</v>
      </c>
      <c r="X4586">
        <v>22</v>
      </c>
      <c r="Y4586" t="s">
        <v>21177</v>
      </c>
      <c r="Z4586" t="s">
        <v>26736</v>
      </c>
      <c r="AA4586">
        <v>0.55596929718643073</v>
      </c>
      <c r="AB4586" t="str">
        <f>HYPERLINK("Melting_Curves/meltCurve_Q9BTE3_2_MCMBP.pdf", "Melting_Curves/meltCurve_Q9BTE3_2_MCMBP.pdf")</f>
        <v>Melting_Curves/meltCurve_Q9BTE3_2_MCMBP.pdf</v>
      </c>
    </row>
    <row r="4587" spans="1:28" x14ac:dyDescent="0.25">
      <c r="A4587" t="s">
        <v>4591</v>
      </c>
      <c r="B4587">
        <v>0.99796759195183404</v>
      </c>
      <c r="C4587">
        <v>0.94651748349886999</v>
      </c>
      <c r="D4587">
        <v>0.91160041950510795</v>
      </c>
      <c r="E4587">
        <v>0.91746710861439096</v>
      </c>
      <c r="F4587">
        <v>0.715045220856797</v>
      </c>
      <c r="G4587">
        <v>0.354326759509283</v>
      </c>
      <c r="H4587">
        <v>0.2165583503803</v>
      </c>
      <c r="I4587">
        <v>0.16570368573452501</v>
      </c>
      <c r="J4587">
        <v>0.130471530745634</v>
      </c>
      <c r="K4587">
        <v>9.0237903745054998E-2</v>
      </c>
      <c r="L4587">
        <v>1062.4835126171699</v>
      </c>
      <c r="M4587">
        <v>20.5383858397959</v>
      </c>
      <c r="N4587">
        <v>52.335102557033601</v>
      </c>
      <c r="O4587">
        <v>51.248662032411701</v>
      </c>
      <c r="P4587">
        <v>-8.9627994415285794E-2</v>
      </c>
      <c r="Q4587">
        <v>0.105444756156125</v>
      </c>
      <c r="R4587">
        <v>0.99171929987282403</v>
      </c>
      <c r="S4587" t="s">
        <v>10170</v>
      </c>
      <c r="T4587" t="s">
        <v>11164</v>
      </c>
      <c r="U4587" t="s">
        <v>11164</v>
      </c>
      <c r="V4587" t="s">
        <v>11164</v>
      </c>
      <c r="W4587" t="s">
        <v>15707</v>
      </c>
      <c r="X4587">
        <v>15</v>
      </c>
      <c r="Y4587" t="s">
        <v>21178</v>
      </c>
      <c r="Z4587" t="s">
        <v>26737</v>
      </c>
      <c r="AA4587">
        <v>0.55583927641756081</v>
      </c>
      <c r="AB4587" t="str">
        <f>HYPERLINK("Melting_Curves/meltCurve_Q9BTE6_AARSD1.pdf", "Melting_Curves/meltCurve_Q9BTE6_AARSD1.pdf")</f>
        <v>Melting_Curves/meltCurve_Q9BTE6_AARSD1.pdf</v>
      </c>
    </row>
    <row r="4588" spans="1:28" x14ac:dyDescent="0.25">
      <c r="A4588" t="s">
        <v>4592</v>
      </c>
      <c r="B4588">
        <v>0.99796759195183404</v>
      </c>
      <c r="C4588">
        <v>0.913140195673802</v>
      </c>
      <c r="D4588">
        <v>0.92411299382937695</v>
      </c>
      <c r="E4588">
        <v>0.87884093041753997</v>
      </c>
      <c r="F4588">
        <v>0.37241181581556898</v>
      </c>
      <c r="G4588">
        <v>0.206080615981586</v>
      </c>
      <c r="H4588">
        <v>0.15869991459867899</v>
      </c>
      <c r="I4588">
        <v>0.13624137625280899</v>
      </c>
      <c r="J4588">
        <v>0.11119136654853901</v>
      </c>
      <c r="K4588">
        <v>8.6633767054226596E-2</v>
      </c>
      <c r="L4588">
        <v>1560.1650184533501</v>
      </c>
      <c r="M4588">
        <v>31.887981524029701</v>
      </c>
      <c r="N4588">
        <v>49.374890132913002</v>
      </c>
      <c r="O4588">
        <v>48.735217103431303</v>
      </c>
      <c r="P4588">
        <v>-0.14301163091324501</v>
      </c>
      <c r="Q4588">
        <v>0.12573116586548</v>
      </c>
      <c r="R4588">
        <v>0.98825544820161504</v>
      </c>
      <c r="S4588" t="s">
        <v>10171</v>
      </c>
      <c r="T4588" t="s">
        <v>11164</v>
      </c>
      <c r="U4588" t="s">
        <v>11164</v>
      </c>
      <c r="V4588" t="s">
        <v>11164</v>
      </c>
      <c r="W4588" t="s">
        <v>15708</v>
      </c>
      <c r="X4588">
        <v>8</v>
      </c>
      <c r="Y4588" t="s">
        <v>21179</v>
      </c>
      <c r="Z4588" t="s">
        <v>26738</v>
      </c>
      <c r="AA4588">
        <v>0.47795634754932081</v>
      </c>
      <c r="AB4588" t="str">
        <f>HYPERLINK("Melting_Curves/meltCurve_Q9BTE7_DCUN1D5.pdf", "Melting_Curves/meltCurve_Q9BTE7_DCUN1D5.pdf")</f>
        <v>Melting_Curves/meltCurve_Q9BTE7_DCUN1D5.pdf</v>
      </c>
    </row>
    <row r="4589" spans="1:28" x14ac:dyDescent="0.25">
      <c r="A4589" t="s">
        <v>4593</v>
      </c>
      <c r="B4589">
        <v>0.99796759195183404</v>
      </c>
      <c r="C4589">
        <v>1.0553773092126599</v>
      </c>
      <c r="D4589">
        <v>0.99218024736454502</v>
      </c>
      <c r="E4589">
        <v>1.09346674395286</v>
      </c>
      <c r="F4589">
        <v>0.85494162599275603</v>
      </c>
      <c r="G4589">
        <v>0.59074464840579499</v>
      </c>
      <c r="H4589">
        <v>0.57603920956872201</v>
      </c>
      <c r="I4589">
        <v>0.49240988245121797</v>
      </c>
      <c r="J4589">
        <v>0.43168288152348999</v>
      </c>
      <c r="K4589">
        <v>0.27137609601796597</v>
      </c>
      <c r="L4589">
        <v>913.98213596344499</v>
      </c>
      <c r="M4589">
        <v>16.9087885560979</v>
      </c>
      <c r="N4589">
        <v>58.098549809923703</v>
      </c>
      <c r="O4589">
        <v>53.3146049443178</v>
      </c>
      <c r="P4589">
        <v>-5.1862978214407301E-2</v>
      </c>
      <c r="Q4589">
        <v>0.34593073796197499</v>
      </c>
      <c r="R4589">
        <v>0.93855844591780901</v>
      </c>
      <c r="S4589" t="s">
        <v>10172</v>
      </c>
      <c r="T4589" t="s">
        <v>11164</v>
      </c>
      <c r="U4589" t="s">
        <v>11164</v>
      </c>
      <c r="V4589" t="s">
        <v>11164</v>
      </c>
      <c r="W4589" t="s">
        <v>15709</v>
      </c>
      <c r="X4589">
        <v>5</v>
      </c>
      <c r="Y4589" t="s">
        <v>21180</v>
      </c>
      <c r="Z4589" t="s">
        <v>26739</v>
      </c>
      <c r="AA4589">
        <v>0.72726655755291791</v>
      </c>
      <c r="AB4589" t="str">
        <f>HYPERLINK("Melting_Curves/meltCurve_Q9BTF0_2_THUMPD2.pdf", "Melting_Curves/meltCurve_Q9BTF0_2_THUMPD2.pdf")</f>
        <v>Melting_Curves/meltCurve_Q9BTF0_2_THUMPD2.pdf</v>
      </c>
    </row>
    <row r="4590" spans="1:28" x14ac:dyDescent="0.25">
      <c r="A4590" t="s">
        <v>4594</v>
      </c>
      <c r="B4590">
        <v>0.99796759195183404</v>
      </c>
      <c r="C4590">
        <v>1.0039671075354</v>
      </c>
      <c r="D4590">
        <v>1.06694930147611</v>
      </c>
      <c r="E4590">
        <v>1.02583474919712</v>
      </c>
      <c r="F4590">
        <v>0.91554880375243297</v>
      </c>
      <c r="G4590">
        <v>0.890993221260587</v>
      </c>
      <c r="H4590">
        <v>0.70824483892323797</v>
      </c>
      <c r="I4590">
        <v>0.44882737885090801</v>
      </c>
      <c r="J4590">
        <v>0.375966906211392</v>
      </c>
      <c r="K4590">
        <v>0.38015667395844999</v>
      </c>
      <c r="L4590">
        <v>1349.01437768548</v>
      </c>
      <c r="M4590">
        <v>23.414275242767999</v>
      </c>
      <c r="N4590">
        <v>60.437970509847098</v>
      </c>
      <c r="O4590">
        <v>57.199719993935702</v>
      </c>
      <c r="P4590">
        <v>-6.8310249840333098E-2</v>
      </c>
      <c r="Q4590">
        <v>0.33249983016055401</v>
      </c>
      <c r="R4590">
        <v>0.98356387678905799</v>
      </c>
      <c r="S4590" t="s">
        <v>10173</v>
      </c>
      <c r="T4590" t="s">
        <v>11164</v>
      </c>
      <c r="U4590" t="s">
        <v>11164</v>
      </c>
      <c r="V4590" t="s">
        <v>11164</v>
      </c>
      <c r="W4590" t="s">
        <v>15710</v>
      </c>
      <c r="X4590">
        <v>3</v>
      </c>
      <c r="Y4590" t="s">
        <v>21181</v>
      </c>
      <c r="Z4590" t="s">
        <v>26740</v>
      </c>
      <c r="AA4590">
        <v>0.7960216630422442</v>
      </c>
      <c r="AB4590" t="str">
        <f>HYPERLINK("Melting_Curves/meltCurve_Q9BTL3_FAM103A1.pdf", "Melting_Curves/meltCurve_Q9BTL3_FAM103A1.pdf")</f>
        <v>Melting_Curves/meltCurve_Q9BTL3_FAM103A1.pdf</v>
      </c>
    </row>
    <row r="4591" spans="1:28" x14ac:dyDescent="0.25">
      <c r="A4591" t="s">
        <v>4595</v>
      </c>
      <c r="B4591">
        <v>0.99796759195183404</v>
      </c>
      <c r="C4591">
        <v>1.03454853891885</v>
      </c>
      <c r="D4591">
        <v>1.0396618669562301</v>
      </c>
      <c r="E4591">
        <v>0.92889056935344005</v>
      </c>
      <c r="F4591">
        <v>0.42827589610212202</v>
      </c>
      <c r="G4591">
        <v>0.19612502549968999</v>
      </c>
      <c r="H4591">
        <v>0.16518364187939399</v>
      </c>
      <c r="I4591">
        <v>0.157489984307634</v>
      </c>
      <c r="J4591">
        <v>0.192800772336639</v>
      </c>
      <c r="K4591">
        <v>0.19486603796694699</v>
      </c>
      <c r="L4591">
        <v>2109.36117261655</v>
      </c>
      <c r="M4591">
        <v>42.8479077280249</v>
      </c>
      <c r="N4591">
        <v>49.7355623939971</v>
      </c>
      <c r="O4591">
        <v>49.122167706845801</v>
      </c>
      <c r="P4591">
        <v>-0.17951088969872001</v>
      </c>
      <c r="Q4591">
        <v>0.17681394132248701</v>
      </c>
      <c r="R4591">
        <v>0.99730888791104599</v>
      </c>
      <c r="S4591" t="s">
        <v>10174</v>
      </c>
      <c r="T4591" t="s">
        <v>11164</v>
      </c>
      <c r="U4591" t="s">
        <v>11164</v>
      </c>
      <c r="V4591" t="s">
        <v>11164</v>
      </c>
      <c r="W4591" t="s">
        <v>15711</v>
      </c>
      <c r="X4591">
        <v>8</v>
      </c>
      <c r="Y4591" t="s">
        <v>21182</v>
      </c>
      <c r="Z4591" t="s">
        <v>26741</v>
      </c>
      <c r="AA4591">
        <v>0.51481138653206238</v>
      </c>
      <c r="AB4591" t="str">
        <f>HYPERLINK("Melting_Curves/meltCurve_Q9BTT0_ANP32E.pdf", "Melting_Curves/meltCurve_Q9BTT0_ANP32E.pdf")</f>
        <v>Melting_Curves/meltCurve_Q9BTT0_ANP32E.pdf</v>
      </c>
    </row>
    <row r="4592" spans="1:28" x14ac:dyDescent="0.25">
      <c r="A4592" t="s">
        <v>4596</v>
      </c>
      <c r="B4592">
        <v>0.99796759195183404</v>
      </c>
      <c r="C4592">
        <v>1.01475396000632</v>
      </c>
      <c r="D4592">
        <v>0.96416814592411204</v>
      </c>
      <c r="E4592">
        <v>0.90342134187285605</v>
      </c>
      <c r="F4592">
        <v>0.80159918945841602</v>
      </c>
      <c r="G4592">
        <v>0.60537255932768197</v>
      </c>
      <c r="H4592">
        <v>0.27409366827793202</v>
      </c>
      <c r="I4592">
        <v>0.19824620665234599</v>
      </c>
      <c r="J4592">
        <v>0.15256968949088401</v>
      </c>
      <c r="K4592">
        <v>0.139027598130647</v>
      </c>
      <c r="L4592">
        <v>955.14083673143205</v>
      </c>
      <c r="M4592">
        <v>17.726495980108702</v>
      </c>
      <c r="N4592">
        <v>54.550793409699402</v>
      </c>
      <c r="O4592">
        <v>53.210408269641498</v>
      </c>
      <c r="P4592">
        <v>-7.5155783890360206E-2</v>
      </c>
      <c r="Q4592">
        <v>9.7653494641488994E-2</v>
      </c>
      <c r="R4592">
        <v>0.99354252305674096</v>
      </c>
      <c r="S4592" t="s">
        <v>10175</v>
      </c>
      <c r="T4592" t="s">
        <v>11164</v>
      </c>
      <c r="U4592" t="s">
        <v>11164</v>
      </c>
      <c r="V4592" t="s">
        <v>11164</v>
      </c>
      <c r="W4592" t="s">
        <v>15712</v>
      </c>
      <c r="X4592">
        <v>10</v>
      </c>
      <c r="Y4592" t="s">
        <v>21183</v>
      </c>
      <c r="Z4592" t="s">
        <v>26742</v>
      </c>
      <c r="AA4592">
        <v>0.61812625908519281</v>
      </c>
      <c r="AB4592" t="str">
        <f>HYPERLINK("Melting_Curves/meltCurve_Q9BTT6_LRRC1.pdf", "Melting_Curves/meltCurve_Q9BTT6_LRRC1.pdf")</f>
        <v>Melting_Curves/meltCurve_Q9BTT6_LRRC1.pdf</v>
      </c>
    </row>
    <row r="4593" spans="1:28" x14ac:dyDescent="0.25">
      <c r="A4593" t="s">
        <v>4597</v>
      </c>
      <c r="B4593">
        <v>0.99796759195183404</v>
      </c>
      <c r="C4593">
        <v>0.90498359106919901</v>
      </c>
      <c r="D4593">
        <v>0.89579823586562801</v>
      </c>
      <c r="E4593">
        <v>0.88081987880453405</v>
      </c>
      <c r="F4593">
        <v>0.76562861044510599</v>
      </c>
      <c r="G4593">
        <v>0.55470802670166397</v>
      </c>
      <c r="H4593">
        <v>0.48568310611801702</v>
      </c>
      <c r="I4593">
        <v>0.19996488049091801</v>
      </c>
      <c r="J4593">
        <v>0.13610818492539201</v>
      </c>
      <c r="K4593">
        <v>8.8967687322098601E-2</v>
      </c>
      <c r="L4593">
        <v>629.944884562428</v>
      </c>
      <c r="M4593">
        <v>11.425366139760699</v>
      </c>
      <c r="N4593">
        <v>55.1356523333518</v>
      </c>
      <c r="O4593">
        <v>53.527669990437403</v>
      </c>
      <c r="P4593">
        <v>-5.3377515551091902E-2</v>
      </c>
      <c r="Q4593">
        <v>0</v>
      </c>
      <c r="R4593">
        <v>0.97697590801110001</v>
      </c>
      <c r="S4593" t="s">
        <v>10176</v>
      </c>
      <c r="T4593" t="s">
        <v>11164</v>
      </c>
      <c r="U4593" t="s">
        <v>11164</v>
      </c>
      <c r="V4593" t="s">
        <v>11164</v>
      </c>
      <c r="W4593" t="s">
        <v>15713</v>
      </c>
      <c r="X4593">
        <v>11</v>
      </c>
      <c r="Y4593" t="s">
        <v>21184</v>
      </c>
      <c r="Z4593" t="s">
        <v>26743</v>
      </c>
      <c r="AA4593">
        <v>0.61775267213189766</v>
      </c>
      <c r="AB4593" t="str">
        <f>HYPERLINK("Melting_Curves/meltCurve_Q9BTU6_PI4K2A.pdf", "Melting_Curves/meltCurve_Q9BTU6_PI4K2A.pdf")</f>
        <v>Melting_Curves/meltCurve_Q9BTU6_PI4K2A.pdf</v>
      </c>
    </row>
    <row r="4594" spans="1:28" x14ac:dyDescent="0.25">
      <c r="A4594" t="s">
        <v>4598</v>
      </c>
      <c r="B4594">
        <v>0.99796759195183404</v>
      </c>
      <c r="C4594">
        <v>0.99612118579813602</v>
      </c>
      <c r="D4594">
        <v>0.98462320274721804</v>
      </c>
      <c r="E4594">
        <v>0.92978432303733805</v>
      </c>
      <c r="F4594">
        <v>0.804935634398246</v>
      </c>
      <c r="G4594">
        <v>0.39250938535687702</v>
      </c>
      <c r="H4594">
        <v>0.21525716427128999</v>
      </c>
      <c r="I4594">
        <v>0.15372154527666099</v>
      </c>
      <c r="J4594">
        <v>0.120169147608889</v>
      </c>
      <c r="K4594">
        <v>8.9167026916923894E-2</v>
      </c>
      <c r="L4594">
        <v>1313.0332869363399</v>
      </c>
      <c r="M4594">
        <v>25.0481886069322</v>
      </c>
      <c r="N4594">
        <v>52.9403707150271</v>
      </c>
      <c r="O4594">
        <v>52.089596977417301</v>
      </c>
      <c r="P4594">
        <v>-0.10710670299822</v>
      </c>
      <c r="Q4594">
        <v>0.10906602709131601</v>
      </c>
      <c r="R4594">
        <v>0.99755238866808005</v>
      </c>
      <c r="S4594" t="s">
        <v>10177</v>
      </c>
      <c r="T4594" t="s">
        <v>11164</v>
      </c>
      <c r="U4594" t="s">
        <v>11164</v>
      </c>
      <c r="V4594" t="s">
        <v>11164</v>
      </c>
      <c r="W4594" t="s">
        <v>15714</v>
      </c>
      <c r="X4594">
        <v>12</v>
      </c>
      <c r="Y4594" t="s">
        <v>21185</v>
      </c>
      <c r="Z4594" t="s">
        <v>26744</v>
      </c>
      <c r="AA4594">
        <v>0.57488005680185372</v>
      </c>
      <c r="AB4594" t="str">
        <f>HYPERLINK("Melting_Curves/meltCurve_Q9BTV5_FSD1.pdf", "Melting_Curves/meltCurve_Q9BTV5_FSD1.pdf")</f>
        <v>Melting_Curves/meltCurve_Q9BTV5_FSD1.pdf</v>
      </c>
    </row>
    <row r="4595" spans="1:28" x14ac:dyDescent="0.25">
      <c r="A4595" t="s">
        <v>4599</v>
      </c>
      <c r="B4595">
        <v>0.99796759195183404</v>
      </c>
      <c r="C4595">
        <v>0.96516341954511997</v>
      </c>
      <c r="D4595">
        <v>0.95755358826717196</v>
      </c>
      <c r="E4595">
        <v>0.84063863185346499</v>
      </c>
      <c r="F4595">
        <v>0.82391470956850499</v>
      </c>
      <c r="G4595">
        <v>0.47851998925561101</v>
      </c>
      <c r="H4595">
        <v>0.50622823952791096</v>
      </c>
      <c r="I4595">
        <v>0.40947076335424798</v>
      </c>
      <c r="J4595">
        <v>0.32946412094980498</v>
      </c>
      <c r="K4595">
        <v>0.18423738903134099</v>
      </c>
      <c r="L4595">
        <v>482.66379681149101</v>
      </c>
      <c r="M4595">
        <v>8.6250322302721596</v>
      </c>
      <c r="N4595">
        <v>56.704204030326402</v>
      </c>
      <c r="O4595">
        <v>53.196384256175897</v>
      </c>
      <c r="P4595">
        <v>-3.8399787060320101E-2</v>
      </c>
      <c r="Q4595">
        <v>5.3457868473267701E-2</v>
      </c>
      <c r="R4595">
        <v>0.96118830222368201</v>
      </c>
      <c r="S4595" t="s">
        <v>10178</v>
      </c>
      <c r="T4595" t="s">
        <v>11164</v>
      </c>
      <c r="U4595" t="s">
        <v>11164</v>
      </c>
      <c r="V4595" t="s">
        <v>11164</v>
      </c>
      <c r="W4595" t="s">
        <v>15715</v>
      </c>
      <c r="X4595">
        <v>2</v>
      </c>
      <c r="Y4595" t="s">
        <v>21186</v>
      </c>
      <c r="Z4595" t="s">
        <v>26745</v>
      </c>
      <c r="AA4595">
        <v>0.65321720999007438</v>
      </c>
      <c r="AB4595" t="str">
        <f>HYPERLINK("Melting_Curves/meltCurve_Q9BTV6_WDR85.pdf", "Melting_Curves/meltCurve_Q9BTV6_WDR85.pdf")</f>
        <v>Melting_Curves/meltCurve_Q9BTV6_WDR85.pdf</v>
      </c>
    </row>
    <row r="4596" spans="1:28" x14ac:dyDescent="0.25">
      <c r="A4596" t="s">
        <v>4600</v>
      </c>
      <c r="B4596">
        <v>0.99796759195183404</v>
      </c>
      <c r="C4596">
        <v>1.0891273277468001</v>
      </c>
      <c r="D4596">
        <v>1.0814419438741201</v>
      </c>
      <c r="E4596">
        <v>0.86146961181794901</v>
      </c>
      <c r="F4596">
        <v>0.97115179880632496</v>
      </c>
      <c r="G4596">
        <v>0.87807587222509897</v>
      </c>
      <c r="H4596">
        <v>0.64366241365401899</v>
      </c>
      <c r="I4596">
        <v>0.49058136957815202</v>
      </c>
      <c r="J4596">
        <v>0.33545364506285402</v>
      </c>
      <c r="K4596">
        <v>0.129121836109619</v>
      </c>
      <c r="L4596">
        <v>894.13246733137805</v>
      </c>
      <c r="M4596">
        <v>14.8127669226809</v>
      </c>
      <c r="N4596">
        <v>60.362285658155102</v>
      </c>
      <c r="O4596">
        <v>59.294185436979198</v>
      </c>
      <c r="P4596">
        <v>-6.2461179663825202E-2</v>
      </c>
      <c r="Q4596">
        <v>0</v>
      </c>
      <c r="R4596">
        <v>0.96105223794072603</v>
      </c>
      <c r="S4596" t="s">
        <v>10179</v>
      </c>
      <c r="T4596" t="s">
        <v>11164</v>
      </c>
      <c r="U4596" t="s">
        <v>11164</v>
      </c>
      <c r="V4596" t="s">
        <v>11164</v>
      </c>
      <c r="W4596" t="s">
        <v>15716</v>
      </c>
      <c r="X4596">
        <v>2</v>
      </c>
      <c r="Y4596" t="s">
        <v>21187</v>
      </c>
      <c r="Z4596" t="s">
        <v>26746</v>
      </c>
      <c r="AA4596">
        <v>0.76906357033083206</v>
      </c>
      <c r="AB4596" t="str">
        <f>HYPERLINK("Melting_Curves/meltCurve_Q9BTY2_FUCA2.pdf", "Melting_Curves/meltCurve_Q9BTY2_FUCA2.pdf")</f>
        <v>Melting_Curves/meltCurve_Q9BTY2_FUCA2.pdf</v>
      </c>
    </row>
    <row r="4597" spans="1:28" x14ac:dyDescent="0.25">
      <c r="A4597" t="s">
        <v>4601</v>
      </c>
      <c r="B4597">
        <v>0.99796759195183404</v>
      </c>
      <c r="C4597">
        <v>1.1260990413816001</v>
      </c>
      <c r="D4597">
        <v>1.0793304625342599</v>
      </c>
      <c r="E4597">
        <v>1.0501055771966199</v>
      </c>
      <c r="F4597">
        <v>0.69661554957627403</v>
      </c>
      <c r="G4597">
        <v>0.32690869185914401</v>
      </c>
      <c r="H4597">
        <v>0.225334496766947</v>
      </c>
      <c r="I4597">
        <v>0.19683489153205899</v>
      </c>
      <c r="J4597">
        <v>0.187688755643975</v>
      </c>
      <c r="K4597">
        <v>0.17840612160479499</v>
      </c>
      <c r="L4597">
        <v>1835.79451649007</v>
      </c>
      <c r="M4597">
        <v>35.949933351233803</v>
      </c>
      <c r="N4597">
        <v>51.779615941455603</v>
      </c>
      <c r="O4597">
        <v>50.9080763415474</v>
      </c>
      <c r="P4597">
        <v>-0.14202979260610701</v>
      </c>
      <c r="Q4597">
        <v>0.19549891284427601</v>
      </c>
      <c r="R4597">
        <v>0.98161312126548605</v>
      </c>
      <c r="S4597" t="s">
        <v>10180</v>
      </c>
      <c r="T4597" t="s">
        <v>11164</v>
      </c>
      <c r="U4597" t="s">
        <v>11164</v>
      </c>
      <c r="V4597" t="s">
        <v>11164</v>
      </c>
      <c r="W4597" t="s">
        <v>15717</v>
      </c>
      <c r="X4597">
        <v>7</v>
      </c>
      <c r="Y4597" t="s">
        <v>21188</v>
      </c>
      <c r="Z4597" t="s">
        <v>26747</v>
      </c>
      <c r="AA4597">
        <v>0.57619455906815331</v>
      </c>
      <c r="AB4597" t="str">
        <f>HYPERLINK("Melting_Curves/meltCurve_Q9BTY7_FAM203A.pdf", "Melting_Curves/meltCurve_Q9BTY7_FAM203A.pdf")</f>
        <v>Melting_Curves/meltCurve_Q9BTY7_FAM203A.pdf</v>
      </c>
    </row>
    <row r="4598" spans="1:28" x14ac:dyDescent="0.25">
      <c r="A4598" t="s">
        <v>4602</v>
      </c>
      <c r="B4598">
        <v>0.99796759195183404</v>
      </c>
      <c r="C4598">
        <v>0.950084242999928</v>
      </c>
      <c r="D4598">
        <v>0.92020056565018604</v>
      </c>
      <c r="E4598">
        <v>0.94397750844725203</v>
      </c>
      <c r="F4598">
        <v>0.86948192793990997</v>
      </c>
      <c r="G4598">
        <v>0.66130197606538399</v>
      </c>
      <c r="H4598">
        <v>0.46153720016223398</v>
      </c>
      <c r="I4598">
        <v>0.24821258539833099</v>
      </c>
      <c r="J4598">
        <v>0.235697834374966</v>
      </c>
      <c r="K4598">
        <v>0.13221382784864699</v>
      </c>
      <c r="L4598">
        <v>787.45054363358895</v>
      </c>
      <c r="M4598">
        <v>14.044195862617901</v>
      </c>
      <c r="N4598">
        <v>56.562669157035003</v>
      </c>
      <c r="O4598">
        <v>54.969377405814598</v>
      </c>
      <c r="P4598">
        <v>-6.0199742855431101E-2</v>
      </c>
      <c r="Q4598">
        <v>5.7629244056202698E-2</v>
      </c>
      <c r="R4598">
        <v>0.990082535248623</v>
      </c>
      <c r="S4598" t="s">
        <v>10181</v>
      </c>
      <c r="T4598" t="s">
        <v>11164</v>
      </c>
      <c r="U4598" t="s">
        <v>11164</v>
      </c>
      <c r="V4598" t="s">
        <v>11164</v>
      </c>
      <c r="W4598" t="s">
        <v>15718</v>
      </c>
      <c r="X4598">
        <v>6</v>
      </c>
      <c r="Y4598" t="s">
        <v>21189</v>
      </c>
      <c r="Z4598" t="s">
        <v>26748</v>
      </c>
      <c r="AA4598">
        <v>0.66703720948701462</v>
      </c>
      <c r="AB4598" t="str">
        <f>HYPERLINK("Melting_Curves/meltCurve_Q9BTZ2_8_DHRS4.pdf", "Melting_Curves/meltCurve_Q9BTZ2_8_DHRS4.pdf")</f>
        <v>Melting_Curves/meltCurve_Q9BTZ2_8_DHRS4.pdf</v>
      </c>
    </row>
    <row r="4599" spans="1:28" x14ac:dyDescent="0.25">
      <c r="A4599" t="s">
        <v>4603</v>
      </c>
      <c r="B4599">
        <v>0.99796759195183404</v>
      </c>
      <c r="C4599">
        <v>1.0734524468076001</v>
      </c>
      <c r="D4599">
        <v>1.0114419271041899</v>
      </c>
      <c r="E4599">
        <v>1.0047199916373999</v>
      </c>
      <c r="F4599">
        <v>0.85289908092525002</v>
      </c>
      <c r="G4599">
        <v>0.55821065446863105</v>
      </c>
      <c r="H4599">
        <v>0.369098400139866</v>
      </c>
      <c r="I4599">
        <v>0.227551907562449</v>
      </c>
      <c r="J4599">
        <v>0.188184434096477</v>
      </c>
      <c r="K4599">
        <v>0.16010305472957101</v>
      </c>
      <c r="L4599">
        <v>1125.0811073412301</v>
      </c>
      <c r="M4599">
        <v>20.8884982818929</v>
      </c>
      <c r="N4599">
        <v>54.8673313641698</v>
      </c>
      <c r="O4599">
        <v>53.374912251149297</v>
      </c>
      <c r="P4599">
        <v>-8.2274651831184306E-2</v>
      </c>
      <c r="Q4599">
        <v>0.159100378649981</v>
      </c>
      <c r="R4599">
        <v>0.99340375196582098</v>
      </c>
      <c r="S4599" t="s">
        <v>10182</v>
      </c>
      <c r="T4599" t="s">
        <v>11164</v>
      </c>
      <c r="U4599" t="s">
        <v>11164</v>
      </c>
      <c r="V4599" t="s">
        <v>11164</v>
      </c>
      <c r="W4599" t="s">
        <v>15719</v>
      </c>
      <c r="X4599">
        <v>9</v>
      </c>
      <c r="Y4599" t="s">
        <v>21190</v>
      </c>
      <c r="Z4599" t="s">
        <v>26749</v>
      </c>
      <c r="AA4599">
        <v>0.641378431213805</v>
      </c>
      <c r="AB4599" t="str">
        <f>HYPERLINK("Melting_Curves/meltCurve_Q9BU02_THTPA.pdf", "Melting_Curves/meltCurve_Q9BU02_THTPA.pdf")</f>
        <v>Melting_Curves/meltCurve_Q9BU02_THTPA.pdf</v>
      </c>
    </row>
    <row r="4600" spans="1:28" x14ac:dyDescent="0.25">
      <c r="A4600" t="s">
        <v>4604</v>
      </c>
      <c r="B4600">
        <v>0.99796759195183404</v>
      </c>
      <c r="C4600">
        <v>0.95072376646915902</v>
      </c>
      <c r="D4600">
        <v>1.01494669595911</v>
      </c>
      <c r="E4600">
        <v>0.98516290591093703</v>
      </c>
      <c r="F4600">
        <v>0.79409276026868503</v>
      </c>
      <c r="G4600">
        <v>0.41767334146339702</v>
      </c>
      <c r="H4600">
        <v>0.187742304932112</v>
      </c>
      <c r="I4600">
        <v>0.143169921798529</v>
      </c>
      <c r="J4600">
        <v>0.109362995280768</v>
      </c>
      <c r="K4600">
        <v>8.0329517697869099E-2</v>
      </c>
      <c r="L4600">
        <v>1373.52654911014</v>
      </c>
      <c r="M4600">
        <v>26.122862415863999</v>
      </c>
      <c r="N4600">
        <v>53.023885436696098</v>
      </c>
      <c r="O4600">
        <v>52.274272860810797</v>
      </c>
      <c r="P4600">
        <v>-0.11265033052637401</v>
      </c>
      <c r="Q4600">
        <v>9.8315379346362294E-2</v>
      </c>
      <c r="R4600">
        <v>0.997499393815788</v>
      </c>
      <c r="S4600" t="s">
        <v>10183</v>
      </c>
      <c r="T4600" t="s">
        <v>11164</v>
      </c>
      <c r="U4600" t="s">
        <v>11164</v>
      </c>
      <c r="V4600" t="s">
        <v>11164</v>
      </c>
      <c r="W4600" t="s">
        <v>15720</v>
      </c>
      <c r="X4600">
        <v>4</v>
      </c>
      <c r="Y4600" t="s">
        <v>21191</v>
      </c>
      <c r="Z4600" t="s">
        <v>26750</v>
      </c>
      <c r="AA4600">
        <v>0.57396038400207416</v>
      </c>
      <c r="AB4600" t="str">
        <f>HYPERLINK("Melting_Curves/meltCurve_Q9BU23_3_LMF2.pdf", "Melting_Curves/meltCurve_Q9BU23_3_LMF2.pdf")</f>
        <v>Melting_Curves/meltCurve_Q9BU23_3_LMF2.pdf</v>
      </c>
    </row>
    <row r="4601" spans="1:28" x14ac:dyDescent="0.25">
      <c r="A4601" t="s">
        <v>4605</v>
      </c>
      <c r="B4601">
        <v>0.99796759195183404</v>
      </c>
      <c r="C4601">
        <v>1.0366423967332701</v>
      </c>
      <c r="D4601">
        <v>1.02928747537429</v>
      </c>
      <c r="E4601">
        <v>0.957332820572104</v>
      </c>
      <c r="F4601">
        <v>0.88728812881791397</v>
      </c>
      <c r="G4601">
        <v>1.03822000159651</v>
      </c>
      <c r="H4601">
        <v>0.88688898069774202</v>
      </c>
      <c r="I4601">
        <v>0.51690955318192999</v>
      </c>
      <c r="J4601">
        <v>0.15460611888718701</v>
      </c>
      <c r="K4601">
        <v>8.5830862232789601E-2</v>
      </c>
      <c r="L4601">
        <v>2237.56557853189</v>
      </c>
      <c r="M4601">
        <v>36.753763057319901</v>
      </c>
      <c r="N4601">
        <v>61.027245731211501</v>
      </c>
      <c r="O4601">
        <v>60.700516274899698</v>
      </c>
      <c r="P4601">
        <v>-0.144946204262977</v>
      </c>
      <c r="Q4601">
        <v>4.24617079525971E-2</v>
      </c>
      <c r="R4601">
        <v>0.98398814573229298</v>
      </c>
      <c r="S4601" t="s">
        <v>10184</v>
      </c>
      <c r="T4601" t="s">
        <v>11164</v>
      </c>
      <c r="U4601" t="s">
        <v>11164</v>
      </c>
      <c r="V4601" t="s">
        <v>11164</v>
      </c>
      <c r="W4601" t="s">
        <v>15721</v>
      </c>
      <c r="X4601">
        <v>5</v>
      </c>
      <c r="Y4601" t="s">
        <v>21192</v>
      </c>
      <c r="Z4601" t="s">
        <v>26751</v>
      </c>
      <c r="AA4601">
        <v>0.80710270603654621</v>
      </c>
      <c r="AB4601" t="str">
        <f>HYPERLINK("Melting_Curves/meltCurve_Q9BU61_NDUFAF3.pdf", "Melting_Curves/meltCurve_Q9BU61_NDUFAF3.pdf")</f>
        <v>Melting_Curves/meltCurve_Q9BU61_NDUFAF3.pdf</v>
      </c>
    </row>
    <row r="4602" spans="1:28" x14ac:dyDescent="0.25">
      <c r="A4602" t="s">
        <v>4606</v>
      </c>
      <c r="B4602">
        <v>0.99796759195183404</v>
      </c>
      <c r="C4602">
        <v>1.0153380276855799</v>
      </c>
      <c r="D4602">
        <v>1.0085566291574</v>
      </c>
      <c r="E4602">
        <v>0.90386331327941405</v>
      </c>
      <c r="F4602">
        <v>0.58616579947723801</v>
      </c>
      <c r="G4602">
        <v>0.37530427077214901</v>
      </c>
      <c r="H4602">
        <v>0.29709941687195002</v>
      </c>
      <c r="I4602">
        <v>0.26348749166776297</v>
      </c>
      <c r="J4602">
        <v>0.22324000674400399</v>
      </c>
      <c r="K4602">
        <v>0.14878636259026701</v>
      </c>
      <c r="L4602">
        <v>1069.7726596714399</v>
      </c>
      <c r="M4602">
        <v>21.251044995788</v>
      </c>
      <c r="N4602">
        <v>51.661648765635803</v>
      </c>
      <c r="O4602">
        <v>49.900370162271102</v>
      </c>
      <c r="P4602">
        <v>-8.4141362229822603E-2</v>
      </c>
      <c r="Q4602">
        <v>0.20971842190106099</v>
      </c>
      <c r="R4602">
        <v>0.99212330376374003</v>
      </c>
      <c r="S4602" t="s">
        <v>10185</v>
      </c>
      <c r="T4602" t="s">
        <v>11164</v>
      </c>
      <c r="U4602" t="s">
        <v>11164</v>
      </c>
      <c r="V4602" t="s">
        <v>11164</v>
      </c>
      <c r="W4602" t="s">
        <v>15722</v>
      </c>
      <c r="X4602">
        <v>12</v>
      </c>
      <c r="Y4602" t="s">
        <v>21193</v>
      </c>
      <c r="Z4602" t="s">
        <v>26752</v>
      </c>
      <c r="AA4602">
        <v>0.5704711345220761</v>
      </c>
      <c r="AB4602" t="str">
        <f>HYPERLINK("Melting_Curves/meltCurve_Q9BU89_DOHH.pdf", "Melting_Curves/meltCurve_Q9BU89_DOHH.pdf")</f>
        <v>Melting_Curves/meltCurve_Q9BU89_DOHH.pdf</v>
      </c>
    </row>
    <row r="4603" spans="1:28" x14ac:dyDescent="0.25">
      <c r="A4603" t="s">
        <v>4607</v>
      </c>
      <c r="B4603">
        <v>0.99796759195183404</v>
      </c>
      <c r="C4603">
        <v>1.0108264583840001</v>
      </c>
      <c r="D4603">
        <v>1.0605106850320001</v>
      </c>
      <c r="E4603">
        <v>0.98527875153539601</v>
      </c>
      <c r="F4603">
        <v>0.83504135880314501</v>
      </c>
      <c r="G4603">
        <v>0.59933837677725199</v>
      </c>
      <c r="H4603">
        <v>0.60737712520760601</v>
      </c>
      <c r="I4603">
        <v>0.58116366377825301</v>
      </c>
      <c r="J4603">
        <v>0.70373508487835901</v>
      </c>
      <c r="K4603">
        <v>0.70292036129263802</v>
      </c>
      <c r="L4603">
        <v>12558.6898935347</v>
      </c>
      <c r="M4603">
        <v>250</v>
      </c>
      <c r="O4603">
        <v>50.231544895207101</v>
      </c>
      <c r="P4603">
        <v>-0.44928575515636299</v>
      </c>
      <c r="Q4603">
        <v>0.63890691921835197</v>
      </c>
      <c r="R4603">
        <v>0.94491678663024303</v>
      </c>
      <c r="S4603" t="s">
        <v>10186</v>
      </c>
      <c r="T4603" t="s">
        <v>11164</v>
      </c>
      <c r="U4603" t="s">
        <v>11164</v>
      </c>
      <c r="V4603" t="s">
        <v>11164</v>
      </c>
      <c r="W4603" t="s">
        <v>15723</v>
      </c>
      <c r="X4603">
        <v>4</v>
      </c>
      <c r="Y4603" t="s">
        <v>21194</v>
      </c>
      <c r="Z4603" t="s">
        <v>26753</v>
      </c>
      <c r="AA4603">
        <v>0.79823809055967054</v>
      </c>
      <c r="AB4603" t="str">
        <f>HYPERLINK("Melting_Curves/meltCurve_Q9BUA3_C11orf84.pdf", "Melting_Curves/meltCurve_Q9BUA3_C11orf84.pdf")</f>
        <v>Melting_Curves/meltCurve_Q9BUA3_C11orf84.pdf</v>
      </c>
    </row>
    <row r="4604" spans="1:28" x14ac:dyDescent="0.25">
      <c r="A4604" t="s">
        <v>4608</v>
      </c>
      <c r="B4604">
        <v>0.99796759195183404</v>
      </c>
      <c r="C4604">
        <v>0.95590457424761899</v>
      </c>
      <c r="D4604">
        <v>0.87104955826172303</v>
      </c>
      <c r="E4604">
        <v>0.96679069695401998</v>
      </c>
      <c r="F4604">
        <v>0.83038427716355501</v>
      </c>
      <c r="G4604">
        <v>0.468347349517515</v>
      </c>
      <c r="H4604">
        <v>0.379247098199542</v>
      </c>
      <c r="I4604">
        <v>0.27653546060466599</v>
      </c>
      <c r="J4604">
        <v>0.18465878669590199</v>
      </c>
      <c r="K4604">
        <v>0.188789751680811</v>
      </c>
      <c r="L4604">
        <v>992.64770330256397</v>
      </c>
      <c r="M4604">
        <v>18.734128946369101</v>
      </c>
      <c r="N4604">
        <v>54.296306799760103</v>
      </c>
      <c r="O4604">
        <v>52.393400391424201</v>
      </c>
      <c r="P4604">
        <v>-7.3138944765426706E-2</v>
      </c>
      <c r="Q4604">
        <v>0.18184899685763101</v>
      </c>
      <c r="R4604">
        <v>0.975326257114703</v>
      </c>
      <c r="S4604" t="s">
        <v>10187</v>
      </c>
      <c r="T4604" t="s">
        <v>11164</v>
      </c>
      <c r="U4604" t="s">
        <v>11164</v>
      </c>
      <c r="V4604" t="s">
        <v>11164</v>
      </c>
      <c r="W4604" t="s">
        <v>15724</v>
      </c>
      <c r="X4604">
        <v>1</v>
      </c>
      <c r="Y4604" t="s">
        <v>21195</v>
      </c>
      <c r="Z4604" t="s">
        <v>26754</v>
      </c>
      <c r="AA4604">
        <v>0.62911149359570462</v>
      </c>
      <c r="AB4604" t="str">
        <f>HYPERLINK("Melting_Curves/meltCurve_Q9BUB7_2_TMEM70.pdf", "Melting_Curves/meltCurve_Q9BUB7_2_TMEM70.pdf")</f>
        <v>Melting_Curves/meltCurve_Q9BUB7_2_TMEM70.pdf</v>
      </c>
    </row>
    <row r="4605" spans="1:28" x14ac:dyDescent="0.25">
      <c r="A4605" t="s">
        <v>4609</v>
      </c>
      <c r="B4605">
        <v>0.99796759195183404</v>
      </c>
      <c r="C4605">
        <v>1.0616770707718099</v>
      </c>
      <c r="D4605">
        <v>0.94458372799806001</v>
      </c>
      <c r="E4605">
        <v>0.94371905136576895</v>
      </c>
      <c r="F4605">
        <v>0.766220788805274</v>
      </c>
      <c r="G4605">
        <v>0.50430874334500997</v>
      </c>
      <c r="H4605">
        <v>0.46055454457483302</v>
      </c>
      <c r="I4605">
        <v>0.32852340435399502</v>
      </c>
      <c r="J4605">
        <v>0.22746840321018999</v>
      </c>
      <c r="K4605">
        <v>0.16472980681793001</v>
      </c>
      <c r="L4605">
        <v>681.77317855919796</v>
      </c>
      <c r="M4605">
        <v>12.5878001036199</v>
      </c>
      <c r="N4605">
        <v>55.393399185613298</v>
      </c>
      <c r="O4605">
        <v>52.849042958137701</v>
      </c>
      <c r="P4605">
        <v>-5.2286390322418497E-2</v>
      </c>
      <c r="Q4605">
        <v>0.122092086184964</v>
      </c>
      <c r="R4605">
        <v>0.98308581072557</v>
      </c>
      <c r="S4605" t="s">
        <v>10188</v>
      </c>
      <c r="T4605" t="s">
        <v>11164</v>
      </c>
      <c r="U4605" t="s">
        <v>11164</v>
      </c>
      <c r="V4605" t="s">
        <v>11164</v>
      </c>
      <c r="W4605" t="s">
        <v>15725</v>
      </c>
      <c r="X4605">
        <v>3</v>
      </c>
      <c r="Y4605" t="s">
        <v>21196</v>
      </c>
      <c r="Z4605" t="s">
        <v>26755</v>
      </c>
      <c r="AA4605">
        <v>0.63941416131521023</v>
      </c>
      <c r="AB4605" t="str">
        <f>HYPERLINK("Melting_Curves/meltCurve_Q9BUE0_MED18.pdf", "Melting_Curves/meltCurve_Q9BUE0_MED18.pdf")</f>
        <v>Melting_Curves/meltCurve_Q9BUE0_MED18.pdf</v>
      </c>
    </row>
    <row r="4606" spans="1:28" x14ac:dyDescent="0.25">
      <c r="A4606" t="s">
        <v>4610</v>
      </c>
      <c r="B4606">
        <v>0.99796759195183404</v>
      </c>
      <c r="C4606">
        <v>1.1519225385966501</v>
      </c>
      <c r="D4606">
        <v>1.0567234550208999</v>
      </c>
      <c r="E4606">
        <v>1.0500260751274899</v>
      </c>
      <c r="F4606">
        <v>0.84169564583774503</v>
      </c>
      <c r="G4606">
        <v>0.38795658356048701</v>
      </c>
      <c r="H4606">
        <v>0.297040316780324</v>
      </c>
      <c r="I4606">
        <v>0.25077717998444299</v>
      </c>
      <c r="J4606">
        <v>0.19216146443853199</v>
      </c>
      <c r="K4606">
        <v>0.127212936035972</v>
      </c>
      <c r="L4606">
        <v>1833.3057852486299</v>
      </c>
      <c r="M4606">
        <v>35.140038004420099</v>
      </c>
      <c r="N4606">
        <v>52.958381891912303</v>
      </c>
      <c r="O4606">
        <v>52.003344908399797</v>
      </c>
      <c r="P4606">
        <v>-0.13457366415105501</v>
      </c>
      <c r="Q4606">
        <v>0.20338683067013599</v>
      </c>
      <c r="R4606">
        <v>0.97304131821300099</v>
      </c>
      <c r="S4606" t="s">
        <v>10189</v>
      </c>
      <c r="T4606" t="s">
        <v>11164</v>
      </c>
      <c r="U4606" t="s">
        <v>11164</v>
      </c>
      <c r="V4606" t="s">
        <v>11164</v>
      </c>
      <c r="W4606" t="s">
        <v>15726</v>
      </c>
      <c r="X4606">
        <v>2</v>
      </c>
      <c r="Y4606" t="s">
        <v>21197</v>
      </c>
      <c r="Z4606" t="s">
        <v>26756</v>
      </c>
      <c r="AA4606">
        <v>0.60994915699141317</v>
      </c>
      <c r="AB4606" t="str">
        <f>HYPERLINK("Melting_Curves/meltCurve_Q9BUE6_ISCA1.pdf", "Melting_Curves/meltCurve_Q9BUE6_ISCA1.pdf")</f>
        <v>Melting_Curves/meltCurve_Q9BUE6_ISCA1.pdf</v>
      </c>
    </row>
    <row r="4607" spans="1:28" x14ac:dyDescent="0.25">
      <c r="A4607" t="s">
        <v>4611</v>
      </c>
      <c r="B4607">
        <v>0.99796759195183404</v>
      </c>
      <c r="C4607">
        <v>1.04816986827083</v>
      </c>
      <c r="D4607">
        <v>1.0347466343495</v>
      </c>
      <c r="E4607">
        <v>1.0250284089102299</v>
      </c>
      <c r="F4607">
        <v>0.85618095713697795</v>
      </c>
      <c r="G4607">
        <v>0.93306262799903406</v>
      </c>
      <c r="H4607">
        <v>0.72534955906270804</v>
      </c>
      <c r="I4607">
        <v>0.43573659118212799</v>
      </c>
      <c r="J4607">
        <v>0.16710058216175</v>
      </c>
      <c r="K4607">
        <v>0.103207044050033</v>
      </c>
      <c r="L4607">
        <v>1275.4474227616899</v>
      </c>
      <c r="M4607">
        <v>21.2638087344443</v>
      </c>
      <c r="N4607">
        <v>59.9820848736789</v>
      </c>
      <c r="O4607">
        <v>59.459132919496703</v>
      </c>
      <c r="P4607">
        <v>-8.9407427115868701E-2</v>
      </c>
      <c r="Q4607">
        <v>0</v>
      </c>
      <c r="R4607">
        <v>0.98110008174410002</v>
      </c>
      <c r="S4607" t="s">
        <v>10190</v>
      </c>
      <c r="T4607" t="s">
        <v>11164</v>
      </c>
      <c r="U4607" t="s">
        <v>11164</v>
      </c>
      <c r="V4607" t="s">
        <v>11164</v>
      </c>
      <c r="W4607" t="s">
        <v>15727</v>
      </c>
      <c r="X4607">
        <v>24</v>
      </c>
      <c r="Y4607" t="s">
        <v>21198</v>
      </c>
      <c r="Z4607" t="s">
        <v>26757</v>
      </c>
      <c r="AA4607">
        <v>0.76752164815622936</v>
      </c>
      <c r="AB4607" t="str">
        <f>HYPERLINK("Melting_Curves/meltCurve_Q9BUF5_TUBB6.pdf", "Melting_Curves/meltCurve_Q9BUF5_TUBB6.pdf")</f>
        <v>Melting_Curves/meltCurve_Q9BUF5_TUBB6.pdf</v>
      </c>
    </row>
    <row r="4608" spans="1:28" x14ac:dyDescent="0.25">
      <c r="A4608" t="s">
        <v>4612</v>
      </c>
      <c r="B4608">
        <v>0.99796759195183404</v>
      </c>
      <c r="C4608">
        <v>1.02888267454717</v>
      </c>
      <c r="D4608">
        <v>0.98570066712133897</v>
      </c>
      <c r="E4608">
        <v>0.96044891905497698</v>
      </c>
      <c r="F4608">
        <v>0.89686173565412897</v>
      </c>
      <c r="G4608">
        <v>0.723335008969622</v>
      </c>
      <c r="H4608">
        <v>0.68657283552841697</v>
      </c>
      <c r="I4608">
        <v>0.63960890534216597</v>
      </c>
      <c r="J4608">
        <v>0.80002738784746397</v>
      </c>
      <c r="K4608">
        <v>0.59100821552002003</v>
      </c>
      <c r="L4608">
        <v>1627.2738116232599</v>
      </c>
      <c r="M4608">
        <v>31.792790128583398</v>
      </c>
      <c r="O4608">
        <v>50.982513826332401</v>
      </c>
      <c r="P4608">
        <v>-5.0675011212645803E-2</v>
      </c>
      <c r="Q4608">
        <v>0.67495448011547499</v>
      </c>
      <c r="R4608">
        <v>0.89212990025265704</v>
      </c>
      <c r="S4608" t="s">
        <v>10191</v>
      </c>
      <c r="T4608" t="s">
        <v>11164</v>
      </c>
      <c r="U4608" t="s">
        <v>11164</v>
      </c>
      <c r="V4608" t="s">
        <v>11164</v>
      </c>
      <c r="W4608" t="s">
        <v>15728</v>
      </c>
      <c r="X4608">
        <v>12</v>
      </c>
      <c r="Y4608" t="s">
        <v>21199</v>
      </c>
      <c r="Z4608" t="s">
        <v>26758</v>
      </c>
      <c r="AA4608">
        <v>0.83044567817731407</v>
      </c>
      <c r="AB4608" t="str">
        <f>HYPERLINK("Melting_Curves/meltCurve_Q9BUH6_C9orf142.pdf", "Melting_Curves/meltCurve_Q9BUH6_C9orf142.pdf")</f>
        <v>Melting_Curves/meltCurve_Q9BUH6_C9orf142.pdf</v>
      </c>
    </row>
    <row r="4609" spans="1:28" x14ac:dyDescent="0.25">
      <c r="A4609" t="s">
        <v>4613</v>
      </c>
      <c r="B4609">
        <v>0.99796759195183404</v>
      </c>
      <c r="C4609">
        <v>0.99242801741654496</v>
      </c>
      <c r="D4609">
        <v>0.96776341448083503</v>
      </c>
      <c r="E4609">
        <v>0.94355630866478801</v>
      </c>
      <c r="F4609">
        <v>0.81437042598963905</v>
      </c>
      <c r="G4609">
        <v>0.94065507987679298</v>
      </c>
      <c r="H4609">
        <v>0.816596254533837</v>
      </c>
      <c r="I4609">
        <v>0.405396101834955</v>
      </c>
      <c r="J4609">
        <v>0.18976853250995501</v>
      </c>
      <c r="K4609">
        <v>0.118379965521418</v>
      </c>
      <c r="L4609">
        <v>1696.77852897599</v>
      </c>
      <c r="M4609">
        <v>28.324150838635902</v>
      </c>
      <c r="N4609">
        <v>60.2124534145727</v>
      </c>
      <c r="O4609">
        <v>59.6094884315971</v>
      </c>
      <c r="P4609">
        <v>-0.110810787647212</v>
      </c>
      <c r="Q4609">
        <v>6.7181879040700193E-2</v>
      </c>
      <c r="R4609">
        <v>0.96385429458319505</v>
      </c>
      <c r="S4609" t="s">
        <v>10192</v>
      </c>
      <c r="T4609" t="s">
        <v>11164</v>
      </c>
      <c r="U4609" t="s">
        <v>11164</v>
      </c>
      <c r="V4609" t="s">
        <v>11164</v>
      </c>
      <c r="W4609" t="s">
        <v>15729</v>
      </c>
      <c r="X4609">
        <v>4</v>
      </c>
      <c r="Y4609" t="s">
        <v>21200</v>
      </c>
      <c r="Z4609" t="s">
        <v>26759</v>
      </c>
      <c r="AA4609">
        <v>0.78282041451859674</v>
      </c>
      <c r="AB4609" t="str">
        <f>HYPERLINK("Melting_Curves/meltCurve_Q9BUI4_POLR3C.pdf", "Melting_Curves/meltCurve_Q9BUI4_POLR3C.pdf")</f>
        <v>Melting_Curves/meltCurve_Q9BUI4_POLR3C.pdf</v>
      </c>
    </row>
    <row r="4610" spans="1:28" x14ac:dyDescent="0.25">
      <c r="A4610" t="s">
        <v>4614</v>
      </c>
      <c r="B4610">
        <v>0.99796759195183404</v>
      </c>
      <c r="C4610">
        <v>1.00768965409161</v>
      </c>
      <c r="D4610">
        <v>0.99779532158802797</v>
      </c>
      <c r="E4610">
        <v>0.90266218266557396</v>
      </c>
      <c r="F4610">
        <v>0.67382678792172901</v>
      </c>
      <c r="G4610">
        <v>0.33548866702276298</v>
      </c>
      <c r="H4610">
        <v>0.28054874782113698</v>
      </c>
      <c r="I4610">
        <v>0.206856263528503</v>
      </c>
      <c r="J4610">
        <v>0.18721439393931799</v>
      </c>
      <c r="K4610">
        <v>0.14041468939201199</v>
      </c>
      <c r="L4610">
        <v>1133.0277107997799</v>
      </c>
      <c r="M4610">
        <v>22.216811800933101</v>
      </c>
      <c r="N4610">
        <v>51.992817503526297</v>
      </c>
      <c r="O4610">
        <v>50.590870296765999</v>
      </c>
      <c r="P4610">
        <v>-9.0789992095975505E-2</v>
      </c>
      <c r="Q4610">
        <v>0.17305037454514699</v>
      </c>
      <c r="R4610">
        <v>0.995969055077635</v>
      </c>
      <c r="S4610" t="s">
        <v>10193</v>
      </c>
      <c r="T4610" t="s">
        <v>11164</v>
      </c>
      <c r="U4610" t="s">
        <v>11164</v>
      </c>
      <c r="V4610" t="s">
        <v>11164</v>
      </c>
      <c r="W4610" t="s">
        <v>15730</v>
      </c>
      <c r="X4610">
        <v>21</v>
      </c>
      <c r="Y4610" t="s">
        <v>21201</v>
      </c>
      <c r="Z4610" t="s">
        <v>26760</v>
      </c>
      <c r="AA4610">
        <v>0.56796153814577399</v>
      </c>
      <c r="AB4610" t="str">
        <f>HYPERLINK("Melting_Curves/meltCurve_Q9BUJ2_2_HNRNPUL1.pdf", "Melting_Curves/meltCurve_Q9BUJ2_2_HNRNPUL1.pdf")</f>
        <v>Melting_Curves/meltCurve_Q9BUJ2_2_HNRNPUL1.pdf</v>
      </c>
    </row>
    <row r="4611" spans="1:28" x14ac:dyDescent="0.25">
      <c r="A4611" t="s">
        <v>4615</v>
      </c>
      <c r="B4611">
        <v>0.99796759195183404</v>
      </c>
      <c r="C4611">
        <v>1.0525816117825</v>
      </c>
      <c r="D4611">
        <v>1.0503864726143901</v>
      </c>
      <c r="E4611">
        <v>1.0417568890581701</v>
      </c>
      <c r="F4611">
        <v>0.80608099486289997</v>
      </c>
      <c r="G4611">
        <v>0.49761535338826501</v>
      </c>
      <c r="H4611">
        <v>0.20156719952427199</v>
      </c>
      <c r="I4611">
        <v>0.125437620174988</v>
      </c>
      <c r="J4611">
        <v>0.13630311137697901</v>
      </c>
      <c r="K4611">
        <v>0.13059876094321199</v>
      </c>
      <c r="L4611">
        <v>1432.6513836239899</v>
      </c>
      <c r="M4611">
        <v>27.016032531542901</v>
      </c>
      <c r="N4611">
        <v>53.558802815813998</v>
      </c>
      <c r="O4611">
        <v>52.7416748704564</v>
      </c>
      <c r="P4611">
        <v>-0.113060439602426</v>
      </c>
      <c r="Q4611">
        <v>0.117126044663395</v>
      </c>
      <c r="R4611">
        <v>0.99266705372660202</v>
      </c>
      <c r="S4611" t="s">
        <v>10194</v>
      </c>
      <c r="T4611" t="s">
        <v>11164</v>
      </c>
      <c r="U4611" t="s">
        <v>11164</v>
      </c>
      <c r="V4611" t="s">
        <v>11164</v>
      </c>
      <c r="W4611" t="s">
        <v>15731</v>
      </c>
      <c r="X4611">
        <v>7</v>
      </c>
      <c r="Y4611" t="s">
        <v>21202</v>
      </c>
      <c r="Z4611" t="s">
        <v>26761</v>
      </c>
      <c r="AA4611">
        <v>0.59567399102091856</v>
      </c>
      <c r="AB4611" t="str">
        <f>HYPERLINK("Melting_Curves/meltCurve_Q9BUK6_3_MSTO1.pdf", "Melting_Curves/meltCurve_Q9BUK6_3_MSTO1.pdf")</f>
        <v>Melting_Curves/meltCurve_Q9BUK6_3_MSTO1.pdf</v>
      </c>
    </row>
    <row r="4612" spans="1:28" x14ac:dyDescent="0.25">
      <c r="A4612" t="s">
        <v>4616</v>
      </c>
      <c r="B4612">
        <v>0.99796759195183404</v>
      </c>
      <c r="C4612">
        <v>1.0273916065226201</v>
      </c>
      <c r="D4612">
        <v>1.0238253317968999</v>
      </c>
      <c r="E4612">
        <v>1.02063489822938</v>
      </c>
      <c r="F4612">
        <v>0.95341422089759797</v>
      </c>
      <c r="G4612">
        <v>0.72730071517292305</v>
      </c>
      <c r="H4612">
        <v>0.51599620783354805</v>
      </c>
      <c r="I4612">
        <v>0.47627108093853499</v>
      </c>
      <c r="J4612">
        <v>0.28168443961286699</v>
      </c>
      <c r="K4612">
        <v>0.165012598149575</v>
      </c>
      <c r="L4612">
        <v>789.63681945961298</v>
      </c>
      <c r="M4612">
        <v>13.568706383134201</v>
      </c>
      <c r="N4612">
        <v>58.809291580775302</v>
      </c>
      <c r="O4612">
        <v>56.975034508305697</v>
      </c>
      <c r="P4612">
        <v>-5.5615036544466298E-2</v>
      </c>
      <c r="Q4612">
        <v>6.6028982536491906E-2</v>
      </c>
      <c r="R4612">
        <v>0.97941306173611997</v>
      </c>
      <c r="S4612" t="s">
        <v>10195</v>
      </c>
      <c r="T4612" t="s">
        <v>11164</v>
      </c>
      <c r="U4612" t="s">
        <v>11164</v>
      </c>
      <c r="V4612" t="s">
        <v>11164</v>
      </c>
      <c r="W4612" t="s">
        <v>15732</v>
      </c>
      <c r="X4612">
        <v>3</v>
      </c>
      <c r="Y4612" t="s">
        <v>21203</v>
      </c>
      <c r="Z4612" t="s">
        <v>26762</v>
      </c>
      <c r="AA4612">
        <v>0.72687659264665438</v>
      </c>
      <c r="AB4612" t="str">
        <f>HYPERLINK("Melting_Curves/meltCurve_Q9BUN5_CCDC28B.pdf", "Melting_Curves/meltCurve_Q9BUN5_CCDC28B.pdf")</f>
        <v>Melting_Curves/meltCurve_Q9BUN5_CCDC28B.pdf</v>
      </c>
    </row>
    <row r="4613" spans="1:28" x14ac:dyDescent="0.25">
      <c r="A4613" t="s">
        <v>4617</v>
      </c>
      <c r="B4613">
        <v>0.99796759195183404</v>
      </c>
      <c r="C4613">
        <v>0.95569553882506297</v>
      </c>
      <c r="D4613">
        <v>0.91430048937408903</v>
      </c>
      <c r="E4613">
        <v>0.90532924659036096</v>
      </c>
      <c r="F4613">
        <v>0.73919941564233005</v>
      </c>
      <c r="G4613">
        <v>0.41905493500950097</v>
      </c>
      <c r="H4613">
        <v>0.261136605257271</v>
      </c>
      <c r="I4613">
        <v>0.21319439462088499</v>
      </c>
      <c r="J4613">
        <v>0.15357677146940099</v>
      </c>
      <c r="K4613">
        <v>0.118279889018132</v>
      </c>
      <c r="L4613">
        <v>903.62164103854695</v>
      </c>
      <c r="M4613">
        <v>17.304110773651399</v>
      </c>
      <c r="N4613">
        <v>53.026447827167502</v>
      </c>
      <c r="O4613">
        <v>51.537622624360999</v>
      </c>
      <c r="P4613">
        <v>-7.4232949235882306E-2</v>
      </c>
      <c r="Q4613">
        <v>0.115685622210619</v>
      </c>
      <c r="R4613">
        <v>0.99261776599770002</v>
      </c>
      <c r="S4613" t="s">
        <v>10196</v>
      </c>
      <c r="T4613" t="s">
        <v>11164</v>
      </c>
      <c r="U4613" t="s">
        <v>11164</v>
      </c>
      <c r="V4613" t="s">
        <v>11164</v>
      </c>
      <c r="W4613" t="s">
        <v>15733</v>
      </c>
      <c r="X4613">
        <v>3</v>
      </c>
      <c r="Y4613" t="s">
        <v>21204</v>
      </c>
      <c r="Z4613" t="s">
        <v>26763</v>
      </c>
      <c r="AA4613">
        <v>0.57833944623103395</v>
      </c>
      <c r="AB4613" t="str">
        <f>HYPERLINK("Melting_Curves/meltCurve_Q9BUP3_3_HTATIP2.pdf", "Melting_Curves/meltCurve_Q9BUP3_3_HTATIP2.pdf")</f>
        <v>Melting_Curves/meltCurve_Q9BUP3_3_HTATIP2.pdf</v>
      </c>
    </row>
    <row r="4614" spans="1:28" x14ac:dyDescent="0.25">
      <c r="A4614" t="s">
        <v>4618</v>
      </c>
      <c r="B4614">
        <v>0.99796759195183404</v>
      </c>
      <c r="C4614">
        <v>0.95340743046412302</v>
      </c>
      <c r="D4614">
        <v>0.91298506430022197</v>
      </c>
      <c r="E4614">
        <v>0.789083760165319</v>
      </c>
      <c r="F4614">
        <v>0.77490905883132</v>
      </c>
      <c r="G4614">
        <v>0.60847121094112</v>
      </c>
      <c r="H4614">
        <v>0.46424030759738799</v>
      </c>
      <c r="I4614">
        <v>0.33975186060891999</v>
      </c>
      <c r="J4614">
        <v>0.27386157559605001</v>
      </c>
      <c r="K4614">
        <v>0.12101870617536099</v>
      </c>
      <c r="L4614">
        <v>488.68358684070603</v>
      </c>
      <c r="M4614">
        <v>8.7136552735160802</v>
      </c>
      <c r="N4614">
        <v>56.082500930818</v>
      </c>
      <c r="O4614">
        <v>53.363716826290002</v>
      </c>
      <c r="P4614">
        <v>-4.0855506892933199E-2</v>
      </c>
      <c r="Q4614">
        <v>0</v>
      </c>
      <c r="R4614">
        <v>0.98467255034758305</v>
      </c>
      <c r="S4614" t="s">
        <v>10197</v>
      </c>
      <c r="T4614" t="s">
        <v>11164</v>
      </c>
      <c r="U4614" t="s">
        <v>11164</v>
      </c>
      <c r="V4614" t="s">
        <v>11164</v>
      </c>
      <c r="W4614" t="s">
        <v>15734</v>
      </c>
      <c r="X4614">
        <v>5</v>
      </c>
      <c r="Y4614" t="s">
        <v>21205</v>
      </c>
      <c r="Z4614" t="s">
        <v>26764</v>
      </c>
      <c r="AA4614">
        <v>0.63709771409301774</v>
      </c>
      <c r="AB4614" t="str">
        <f>HYPERLINK("Melting_Curves/meltCurve_Q9BUR4_WRAP53.pdf", "Melting_Curves/meltCurve_Q9BUR4_WRAP53.pdf")</f>
        <v>Melting_Curves/meltCurve_Q9BUR4_WRAP53.pdf</v>
      </c>
    </row>
    <row r="4615" spans="1:28" x14ac:dyDescent="0.25">
      <c r="A4615" t="s">
        <v>4619</v>
      </c>
      <c r="B4615">
        <v>0.99796759195183404</v>
      </c>
      <c r="C4615">
        <v>1.0152242608528299</v>
      </c>
      <c r="D4615">
        <v>1.02463619981857</v>
      </c>
      <c r="E4615">
        <v>1.0325226939080701</v>
      </c>
      <c r="F4615">
        <v>0.90767520979420202</v>
      </c>
      <c r="G4615">
        <v>0.53822760006638004</v>
      </c>
      <c r="H4615">
        <v>0.19597435313079101</v>
      </c>
      <c r="I4615">
        <v>0.128090892480823</v>
      </c>
      <c r="J4615">
        <v>0.110067480274045</v>
      </c>
      <c r="K4615">
        <v>0.107595086267921</v>
      </c>
      <c r="L4615">
        <v>1773.0075698667399</v>
      </c>
      <c r="M4615">
        <v>33.039438323747603</v>
      </c>
      <c r="N4615">
        <v>54.057705485094502</v>
      </c>
      <c r="O4615">
        <v>53.467924762956798</v>
      </c>
      <c r="P4615">
        <v>-0.137940433698824</v>
      </c>
      <c r="Q4615">
        <v>0.10708463713003601</v>
      </c>
      <c r="R4615">
        <v>0.99851371509826004</v>
      </c>
      <c r="S4615" t="s">
        <v>10198</v>
      </c>
      <c r="T4615" t="s">
        <v>11164</v>
      </c>
      <c r="U4615" t="s">
        <v>11164</v>
      </c>
      <c r="V4615" t="s">
        <v>11164</v>
      </c>
      <c r="W4615" t="s">
        <v>15735</v>
      </c>
      <c r="X4615">
        <v>8</v>
      </c>
      <c r="Y4615" t="s">
        <v>21206</v>
      </c>
      <c r="Z4615" t="s">
        <v>26765</v>
      </c>
      <c r="AA4615">
        <v>0.60781320820429807</v>
      </c>
      <c r="AB4615" t="str">
        <f>HYPERLINK("Melting_Curves/meltCurve_Q9BUT1_BDH2.pdf", "Melting_Curves/meltCurve_Q9BUT1_BDH2.pdf")</f>
        <v>Melting_Curves/meltCurve_Q9BUT1_BDH2.pdf</v>
      </c>
    </row>
    <row r="4616" spans="1:28" x14ac:dyDescent="0.25">
      <c r="A4616" t="s">
        <v>4620</v>
      </c>
      <c r="B4616">
        <v>0.99796759195183404</v>
      </c>
      <c r="C4616">
        <v>1.03423872182884</v>
      </c>
      <c r="D4616">
        <v>1.10664834287805</v>
      </c>
      <c r="E4616">
        <v>0.86773655268664496</v>
      </c>
      <c r="F4616">
        <v>0.742774607637254</v>
      </c>
      <c r="G4616">
        <v>0.55628375003981501</v>
      </c>
      <c r="H4616">
        <v>0.47805025120190597</v>
      </c>
      <c r="I4616">
        <v>0.34206356959614198</v>
      </c>
      <c r="J4616">
        <v>0.38978848021284301</v>
      </c>
      <c r="K4616">
        <v>0.22142877314819501</v>
      </c>
      <c r="L4616">
        <v>759.42708604966197</v>
      </c>
      <c r="M4616">
        <v>14.4085425018576</v>
      </c>
      <c r="N4616">
        <v>55.597329252310203</v>
      </c>
      <c r="O4616">
        <v>51.722660673963098</v>
      </c>
      <c r="P4616">
        <v>-5.1290744329527599E-2</v>
      </c>
      <c r="Q4616">
        <v>0.26360905105774302</v>
      </c>
      <c r="R4616">
        <v>0.96217555442248004</v>
      </c>
      <c r="S4616" t="s">
        <v>10199</v>
      </c>
      <c r="T4616" t="s">
        <v>11164</v>
      </c>
      <c r="U4616" t="s">
        <v>11164</v>
      </c>
      <c r="V4616" t="s">
        <v>11164</v>
      </c>
      <c r="W4616" t="s">
        <v>15736</v>
      </c>
      <c r="X4616">
        <v>2</v>
      </c>
      <c r="Y4616" t="s">
        <v>21207</v>
      </c>
      <c r="Z4616" t="s">
        <v>26766</v>
      </c>
      <c r="AA4616">
        <v>0.66314215303442103</v>
      </c>
      <c r="AB4616" t="str">
        <f>HYPERLINK("Melting_Curves/meltCurve_Q9BUT9_FAM195A.pdf", "Melting_Curves/meltCurve_Q9BUT9_FAM195A.pdf")</f>
        <v>Melting_Curves/meltCurve_Q9BUT9_FAM195A.pdf</v>
      </c>
    </row>
    <row r="4617" spans="1:28" x14ac:dyDescent="0.25">
      <c r="A4617" t="s">
        <v>4621</v>
      </c>
      <c r="B4617">
        <v>0.99796759195183404</v>
      </c>
      <c r="C4617">
        <v>1.1023644410650499</v>
      </c>
      <c r="D4617">
        <v>0.98629045669003901</v>
      </c>
      <c r="E4617">
        <v>1.00510526477564</v>
      </c>
      <c r="F4617">
        <v>0.91502929296986601</v>
      </c>
      <c r="G4617">
        <v>0.60190366116713201</v>
      </c>
      <c r="H4617">
        <v>0.66406088099703098</v>
      </c>
      <c r="I4617">
        <v>0.71165129036789898</v>
      </c>
      <c r="J4617">
        <v>0.81686649265563904</v>
      </c>
      <c r="K4617">
        <v>0.75350361125972298</v>
      </c>
      <c r="L4617">
        <v>12594.316962872401</v>
      </c>
      <c r="M4617">
        <v>250</v>
      </c>
      <c r="O4617">
        <v>50.374040566955401</v>
      </c>
      <c r="P4617">
        <v>-0.36030809557064197</v>
      </c>
      <c r="Q4617">
        <v>0.70959718632795099</v>
      </c>
      <c r="R4617">
        <v>0.85335920227770201</v>
      </c>
      <c r="S4617" t="s">
        <v>10200</v>
      </c>
      <c r="T4617" t="s">
        <v>11164</v>
      </c>
      <c r="U4617" t="s">
        <v>11164</v>
      </c>
      <c r="V4617" t="s">
        <v>11164</v>
      </c>
      <c r="W4617" t="s">
        <v>15737</v>
      </c>
      <c r="X4617">
        <v>4</v>
      </c>
      <c r="Y4617" t="s">
        <v>21208</v>
      </c>
      <c r="Z4617" t="s">
        <v>26767</v>
      </c>
      <c r="AA4617">
        <v>0.83911606866824684</v>
      </c>
      <c r="AB4617" t="str">
        <f>HYPERLINK("Melting_Curves/meltCurve_Q9BUW7_C9orf16.pdf", "Melting_Curves/meltCurve_Q9BUW7_C9orf16.pdf")</f>
        <v>Melting_Curves/meltCurve_Q9BUW7_C9orf16.pdf</v>
      </c>
    </row>
    <row r="4618" spans="1:28" x14ac:dyDescent="0.25">
      <c r="A4618" t="s">
        <v>4622</v>
      </c>
      <c r="B4618">
        <v>0.99796759195183404</v>
      </c>
      <c r="C4618">
        <v>0.85556384476997904</v>
      </c>
      <c r="D4618">
        <v>0.85607881215377002</v>
      </c>
      <c r="E4618">
        <v>0.70031710555045101</v>
      </c>
      <c r="F4618">
        <v>0.74668589299003996</v>
      </c>
      <c r="G4618">
        <v>0.64776678957415301</v>
      </c>
      <c r="H4618">
        <v>0.550540780975599</v>
      </c>
      <c r="I4618">
        <v>0.40194525275763798</v>
      </c>
      <c r="J4618">
        <v>0.33704184090226902</v>
      </c>
      <c r="K4618">
        <v>0.102731840108106</v>
      </c>
      <c r="L4618">
        <v>369.85131120937302</v>
      </c>
      <c r="M4618">
        <v>6.5419535854907602</v>
      </c>
      <c r="N4618">
        <v>56.535302280233601</v>
      </c>
      <c r="O4618">
        <v>51.950322435973099</v>
      </c>
      <c r="P4618">
        <v>-3.1556473084980802E-2</v>
      </c>
      <c r="Q4618">
        <v>0</v>
      </c>
      <c r="R4618">
        <v>0.91367746651075299</v>
      </c>
      <c r="S4618" t="s">
        <v>10201</v>
      </c>
      <c r="T4618" t="s">
        <v>11164</v>
      </c>
      <c r="U4618" t="s">
        <v>11164</v>
      </c>
      <c r="V4618" t="s">
        <v>11164</v>
      </c>
      <c r="W4618" t="s">
        <v>15738</v>
      </c>
      <c r="X4618">
        <v>1</v>
      </c>
      <c r="Y4618" t="s">
        <v>21209</v>
      </c>
      <c r="Z4618" t="s">
        <v>26768</v>
      </c>
      <c r="AA4618">
        <v>0.6336480061746893</v>
      </c>
      <c r="AB4618" t="str">
        <f>HYPERLINK("Melting_Curves/meltCurve_Q9BV10_ALG12.pdf", "Melting_Curves/meltCurve_Q9BV10_ALG12.pdf")</f>
        <v>Melting_Curves/meltCurve_Q9BV10_ALG12.pdf</v>
      </c>
    </row>
    <row r="4619" spans="1:28" x14ac:dyDescent="0.25">
      <c r="A4619" t="s">
        <v>4623</v>
      </c>
      <c r="B4619">
        <v>0.99796759195183404</v>
      </c>
      <c r="C4619">
        <v>1.05865575071093</v>
      </c>
      <c r="D4619">
        <v>0.92120696960850101</v>
      </c>
      <c r="E4619">
        <v>0.74928297685010403</v>
      </c>
      <c r="F4619">
        <v>0.66517504154045803</v>
      </c>
      <c r="G4619">
        <v>0.70107862041432101</v>
      </c>
      <c r="H4619">
        <v>0.54176785737655198</v>
      </c>
      <c r="I4619">
        <v>0.37867479089793199</v>
      </c>
      <c r="J4619">
        <v>0.29500581471654902</v>
      </c>
      <c r="K4619">
        <v>0.31438629163380399</v>
      </c>
      <c r="L4619">
        <v>399.14759739065698</v>
      </c>
      <c r="M4619">
        <v>7.0102174878686396</v>
      </c>
      <c r="N4619">
        <v>57.566159119149198</v>
      </c>
      <c r="O4619">
        <v>52.847955546427102</v>
      </c>
      <c r="P4619">
        <v>-3.1999977222291399E-2</v>
      </c>
      <c r="Q4619">
        <v>3.6822625526333801E-2</v>
      </c>
      <c r="R4619">
        <v>0.95014598107891002</v>
      </c>
      <c r="S4619" t="s">
        <v>10202</v>
      </c>
      <c r="T4619" t="s">
        <v>11164</v>
      </c>
      <c r="U4619" t="s">
        <v>11164</v>
      </c>
      <c r="V4619" t="s">
        <v>11164</v>
      </c>
      <c r="W4619" t="s">
        <v>15739</v>
      </c>
      <c r="X4619">
        <v>1</v>
      </c>
      <c r="Y4619" t="s">
        <v>21210</v>
      </c>
      <c r="Z4619" t="s">
        <v>26769</v>
      </c>
      <c r="AA4619">
        <v>0.65976551353240664</v>
      </c>
      <c r="AB4619" t="str">
        <f>HYPERLINK("Melting_Curves/meltCurve_Q9BV19_C1orf50.pdf", "Melting_Curves/meltCurve_Q9BV19_C1orf50.pdf")</f>
        <v>Melting_Curves/meltCurve_Q9BV19_C1orf50.pdf</v>
      </c>
    </row>
    <row r="4620" spans="1:28" x14ac:dyDescent="0.25">
      <c r="A4620" t="s">
        <v>4624</v>
      </c>
      <c r="B4620">
        <v>0.99796759195183404</v>
      </c>
      <c r="C4620">
        <v>0.98189807603227497</v>
      </c>
      <c r="D4620">
        <v>1.01209127005421</v>
      </c>
      <c r="E4620">
        <v>0.96960614613820695</v>
      </c>
      <c r="F4620">
        <v>0.87495630932477897</v>
      </c>
      <c r="G4620">
        <v>0.63049553148641502</v>
      </c>
      <c r="H4620">
        <v>0.44697588861059301</v>
      </c>
      <c r="I4620">
        <v>0.23728932687704701</v>
      </c>
      <c r="J4620">
        <v>0.159329527603258</v>
      </c>
      <c r="K4620">
        <v>0.113032615287828</v>
      </c>
      <c r="L4620">
        <v>886.23733290517305</v>
      </c>
      <c r="M4620">
        <v>15.8893816451159</v>
      </c>
      <c r="N4620">
        <v>56.165527071478799</v>
      </c>
      <c r="O4620">
        <v>54.914423593417197</v>
      </c>
      <c r="P4620">
        <v>-6.8563528696413301E-2</v>
      </c>
      <c r="Q4620">
        <v>5.2241731326372401E-2</v>
      </c>
      <c r="R4620">
        <v>0.99793357815490802</v>
      </c>
      <c r="S4620" t="s">
        <v>10203</v>
      </c>
      <c r="T4620" t="s">
        <v>11164</v>
      </c>
      <c r="U4620" t="s">
        <v>11164</v>
      </c>
      <c r="V4620" t="s">
        <v>11164</v>
      </c>
      <c r="W4620" t="s">
        <v>15740</v>
      </c>
      <c r="X4620">
        <v>17</v>
      </c>
      <c r="Y4620" t="s">
        <v>21211</v>
      </c>
      <c r="Z4620" t="s">
        <v>26770</v>
      </c>
      <c r="AA4620">
        <v>0.65679282541352013</v>
      </c>
      <c r="AB4620" t="str">
        <f>HYPERLINK("Melting_Curves/meltCurve_Q9BV20_MRI1.pdf", "Melting_Curves/meltCurve_Q9BV20_MRI1.pdf")</f>
        <v>Melting_Curves/meltCurve_Q9BV20_MRI1.pdf</v>
      </c>
    </row>
    <row r="4621" spans="1:28" x14ac:dyDescent="0.25">
      <c r="A4621" t="s">
        <v>4625</v>
      </c>
      <c r="B4621">
        <v>0.99796759195183404</v>
      </c>
      <c r="C4621">
        <v>0.98221664958088395</v>
      </c>
      <c r="D4621">
        <v>0.91244321729321698</v>
      </c>
      <c r="E4621">
        <v>0.83834756121917797</v>
      </c>
      <c r="F4621">
        <v>0.654645963042497</v>
      </c>
      <c r="G4621">
        <v>0.27486207890199099</v>
      </c>
      <c r="H4621">
        <v>0.24570729340056599</v>
      </c>
      <c r="I4621">
        <v>0.29177826849979999</v>
      </c>
      <c r="J4621">
        <v>0.178559298998857</v>
      </c>
      <c r="K4621">
        <v>8.7017322637947106E-2</v>
      </c>
      <c r="L4621">
        <v>900.42550549360396</v>
      </c>
      <c r="M4621">
        <v>17.843655815295801</v>
      </c>
      <c r="N4621">
        <v>51.500083122831398</v>
      </c>
      <c r="O4621">
        <v>49.840936233161997</v>
      </c>
      <c r="P4621">
        <v>-7.5987069781331407E-2</v>
      </c>
      <c r="Q4621">
        <v>0.15105414466108899</v>
      </c>
      <c r="R4621">
        <v>0.97485938256414995</v>
      </c>
      <c r="S4621" t="s">
        <v>10204</v>
      </c>
      <c r="T4621" t="s">
        <v>11164</v>
      </c>
      <c r="U4621" t="s">
        <v>11164</v>
      </c>
      <c r="V4621" t="s">
        <v>11164</v>
      </c>
      <c r="W4621" t="s">
        <v>15741</v>
      </c>
      <c r="X4621">
        <v>3</v>
      </c>
      <c r="Y4621" t="s">
        <v>21212</v>
      </c>
      <c r="Z4621" t="s">
        <v>26771</v>
      </c>
      <c r="AA4621">
        <v>0.54548077867826439</v>
      </c>
      <c r="AB4621" t="str">
        <f>HYPERLINK("Melting_Curves/meltCurve_Q9BV23_ABHD6.pdf", "Melting_Curves/meltCurve_Q9BV23_ABHD6.pdf")</f>
        <v>Melting_Curves/meltCurve_Q9BV23_ABHD6.pdf</v>
      </c>
    </row>
    <row r="4622" spans="1:28" x14ac:dyDescent="0.25">
      <c r="A4622" t="s">
        <v>4626</v>
      </c>
      <c r="B4622">
        <v>0.99796759195183404</v>
      </c>
      <c r="C4622">
        <v>0.98300990372060204</v>
      </c>
      <c r="D4622">
        <v>0.95763957549034695</v>
      </c>
      <c r="E4622">
        <v>0.868400852164812</v>
      </c>
      <c r="F4622">
        <v>0.70258560531028003</v>
      </c>
      <c r="G4622">
        <v>0.76601065132684198</v>
      </c>
      <c r="H4622">
        <v>0.63954343782033496</v>
      </c>
      <c r="I4622">
        <v>0.33750016722042903</v>
      </c>
      <c r="J4622">
        <v>0.22396377201593101</v>
      </c>
      <c r="K4622">
        <v>0.12199202157118801</v>
      </c>
      <c r="L4622">
        <v>614.54242223951496</v>
      </c>
      <c r="M4622">
        <v>10.628025214052499</v>
      </c>
      <c r="N4622">
        <v>57.822823169118401</v>
      </c>
      <c r="O4622">
        <v>55.8883722865639</v>
      </c>
      <c r="P4622">
        <v>-4.7559616959393501E-2</v>
      </c>
      <c r="Q4622">
        <v>0</v>
      </c>
      <c r="R4622">
        <v>0.94914061598521704</v>
      </c>
      <c r="S4622" t="s">
        <v>10205</v>
      </c>
      <c r="T4622" t="s">
        <v>11164</v>
      </c>
      <c r="U4622" t="s">
        <v>11164</v>
      </c>
      <c r="V4622" t="s">
        <v>11164</v>
      </c>
      <c r="W4622" t="s">
        <v>15742</v>
      </c>
      <c r="X4622">
        <v>13</v>
      </c>
      <c r="Y4622" t="s">
        <v>21213</v>
      </c>
      <c r="Z4622" t="s">
        <v>26772</v>
      </c>
      <c r="AA4622">
        <v>0.68955245091029826</v>
      </c>
      <c r="AB4622" t="str">
        <f>HYPERLINK("Melting_Curves/meltCurve_Q9BV38_WDR18.pdf", "Melting_Curves/meltCurve_Q9BV38_WDR18.pdf")</f>
        <v>Melting_Curves/meltCurve_Q9BV38_WDR18.pdf</v>
      </c>
    </row>
    <row r="4623" spans="1:28" x14ac:dyDescent="0.25">
      <c r="A4623" t="s">
        <v>4627</v>
      </c>
      <c r="B4623">
        <v>0.99796759195183404</v>
      </c>
      <c r="C4623">
        <v>1.0848940543296199</v>
      </c>
      <c r="D4623">
        <v>1.0999786311903399</v>
      </c>
      <c r="E4623">
        <v>1.0344481278000299</v>
      </c>
      <c r="F4623">
        <v>0.93239200836329605</v>
      </c>
      <c r="G4623">
        <v>0.55636094620461995</v>
      </c>
      <c r="H4623">
        <v>0.61120342061655497</v>
      </c>
      <c r="I4623">
        <v>0.53618423897302203</v>
      </c>
      <c r="J4623">
        <v>0.56079350021619501</v>
      </c>
      <c r="K4623">
        <v>0.492231952731084</v>
      </c>
      <c r="L4623">
        <v>4477.42051029718</v>
      </c>
      <c r="M4623">
        <v>87.457825239592793</v>
      </c>
      <c r="O4623">
        <v>51.168439137002501</v>
      </c>
      <c r="P4623">
        <v>-0.19226053051047201</v>
      </c>
      <c r="Q4623">
        <v>0.55006099068396597</v>
      </c>
      <c r="R4623">
        <v>0.95691737500004403</v>
      </c>
      <c r="S4623" t="s">
        <v>10206</v>
      </c>
      <c r="T4623" t="s">
        <v>11164</v>
      </c>
      <c r="U4623" t="s">
        <v>11164</v>
      </c>
      <c r="V4623" t="s">
        <v>11164</v>
      </c>
      <c r="W4623" t="s">
        <v>15743</v>
      </c>
      <c r="X4623">
        <v>5</v>
      </c>
      <c r="Y4623" t="s">
        <v>21214</v>
      </c>
      <c r="Z4623" t="s">
        <v>26773</v>
      </c>
      <c r="AA4623">
        <v>0.76329092141864563</v>
      </c>
      <c r="AB4623" t="str">
        <f>HYPERLINK("Melting_Curves/meltCurve_Q9BV40_VAMP8.pdf", "Melting_Curves/meltCurve_Q9BV40_VAMP8.pdf")</f>
        <v>Melting_Curves/meltCurve_Q9BV40_VAMP8.pdf</v>
      </c>
    </row>
    <row r="4624" spans="1:28" x14ac:dyDescent="0.25">
      <c r="A4624" t="s">
        <v>4628</v>
      </c>
      <c r="B4624">
        <v>0.99796759195183404</v>
      </c>
      <c r="C4624">
        <v>1.05479462163966</v>
      </c>
      <c r="D4624">
        <v>1.02027008260748</v>
      </c>
      <c r="E4624">
        <v>0.95429710963862302</v>
      </c>
      <c r="F4624">
        <v>0.88409446434845296</v>
      </c>
      <c r="G4624">
        <v>0.96238829392807901</v>
      </c>
      <c r="H4624">
        <v>0.60871338269813602</v>
      </c>
      <c r="I4624">
        <v>0.24701996981697699</v>
      </c>
      <c r="J4624">
        <v>0.117252446148279</v>
      </c>
      <c r="K4624">
        <v>6.66723960959789E-2</v>
      </c>
      <c r="L4624">
        <v>1744.6332867992401</v>
      </c>
      <c r="M4624">
        <v>29.997424904166301</v>
      </c>
      <c r="N4624">
        <v>58.389616400850599</v>
      </c>
      <c r="O4624">
        <v>57.902820003976203</v>
      </c>
      <c r="P4624">
        <v>-0.122293867564743</v>
      </c>
      <c r="Q4624">
        <v>5.57707324728728E-2</v>
      </c>
      <c r="R4624">
        <v>0.98690744175183598</v>
      </c>
      <c r="S4624" t="s">
        <v>10207</v>
      </c>
      <c r="T4624" t="s">
        <v>11164</v>
      </c>
      <c r="U4624" t="s">
        <v>11164</v>
      </c>
      <c r="V4624" t="s">
        <v>11164</v>
      </c>
      <c r="W4624" t="s">
        <v>15744</v>
      </c>
      <c r="X4624">
        <v>9</v>
      </c>
      <c r="Y4624" t="s">
        <v>21215</v>
      </c>
      <c r="Z4624" t="s">
        <v>26774</v>
      </c>
      <c r="AA4624">
        <v>0.72688173242650211</v>
      </c>
      <c r="AB4624" t="str">
        <f>HYPERLINK("Melting_Curves/meltCurve_Q9BV44_THUMPD3.pdf", "Melting_Curves/meltCurve_Q9BV44_THUMPD3.pdf")</f>
        <v>Melting_Curves/meltCurve_Q9BV44_THUMPD3.pdf</v>
      </c>
    </row>
    <row r="4625" spans="1:28" x14ac:dyDescent="0.25">
      <c r="A4625" t="s">
        <v>4629</v>
      </c>
      <c r="B4625">
        <v>0.99796759195183404</v>
      </c>
      <c r="C4625">
        <v>1.01383966785324</v>
      </c>
      <c r="D4625">
        <v>1.04769783571301</v>
      </c>
      <c r="E4625">
        <v>0.97098435100453095</v>
      </c>
      <c r="F4625">
        <v>0.72430862087945203</v>
      </c>
      <c r="G4625">
        <v>0.44837855414190098</v>
      </c>
      <c r="H4625">
        <v>0.25284462126132501</v>
      </c>
      <c r="I4625">
        <v>0.155121248078853</v>
      </c>
      <c r="J4625">
        <v>0.114271534872147</v>
      </c>
      <c r="K4625">
        <v>8.15978248119682E-2</v>
      </c>
      <c r="L4625">
        <v>1044.6090807888099</v>
      </c>
      <c r="M4625">
        <v>19.834127542370599</v>
      </c>
      <c r="N4625">
        <v>53.185485417488799</v>
      </c>
      <c r="O4625">
        <v>52.140637020056701</v>
      </c>
      <c r="P4625">
        <v>-8.6746098450213097E-2</v>
      </c>
      <c r="Q4625">
        <v>8.7866125131307704E-2</v>
      </c>
      <c r="R4625">
        <v>0.99589609037761995</v>
      </c>
      <c r="S4625" t="s">
        <v>10208</v>
      </c>
      <c r="T4625" t="s">
        <v>11164</v>
      </c>
      <c r="U4625" t="s">
        <v>11164</v>
      </c>
      <c r="V4625" t="s">
        <v>11164</v>
      </c>
      <c r="W4625" t="s">
        <v>15745</v>
      </c>
      <c r="X4625">
        <v>11</v>
      </c>
      <c r="Y4625" t="s">
        <v>21216</v>
      </c>
      <c r="Z4625" t="s">
        <v>26775</v>
      </c>
      <c r="AA4625">
        <v>0.57596721366250436</v>
      </c>
      <c r="AB4625" t="str">
        <f>HYPERLINK("Melting_Curves/meltCurve_Q9BV57_ADI1.pdf", "Melting_Curves/meltCurve_Q9BV57_ADI1.pdf")</f>
        <v>Melting_Curves/meltCurve_Q9BV57_ADI1.pdf</v>
      </c>
    </row>
    <row r="4626" spans="1:28" x14ac:dyDescent="0.25">
      <c r="A4626" t="s">
        <v>4630</v>
      </c>
      <c r="B4626">
        <v>0.99796759195183404</v>
      </c>
      <c r="C4626">
        <v>0.86841096858724398</v>
      </c>
      <c r="D4626">
        <v>0.86253892788392506</v>
      </c>
      <c r="E4626">
        <v>0.79202267043536201</v>
      </c>
      <c r="F4626">
        <v>0.68147491244654101</v>
      </c>
      <c r="G4626">
        <v>0.457044487488239</v>
      </c>
      <c r="H4626">
        <v>0.38425582401124703</v>
      </c>
      <c r="I4626">
        <v>0.31980051733814502</v>
      </c>
      <c r="J4626">
        <v>0.38222707301723202</v>
      </c>
      <c r="K4626">
        <v>0.27561880123968302</v>
      </c>
      <c r="L4626">
        <v>475.394260692834</v>
      </c>
      <c r="M4626">
        <v>9.3842758139722307</v>
      </c>
      <c r="N4626">
        <v>53.946824741291202</v>
      </c>
      <c r="O4626">
        <v>48.5179134981354</v>
      </c>
      <c r="P4626">
        <v>-3.7846380991916097E-2</v>
      </c>
      <c r="Q4626">
        <v>0.21780209538091</v>
      </c>
      <c r="R4626">
        <v>0.97018649476855501</v>
      </c>
      <c r="S4626" t="s">
        <v>10209</v>
      </c>
      <c r="T4626" t="s">
        <v>11164</v>
      </c>
      <c r="U4626" t="s">
        <v>11164</v>
      </c>
      <c r="V4626" t="s">
        <v>11164</v>
      </c>
      <c r="W4626" t="s">
        <v>15746</v>
      </c>
      <c r="X4626">
        <v>5</v>
      </c>
      <c r="Y4626" t="s">
        <v>21217</v>
      </c>
      <c r="Z4626" t="s">
        <v>26776</v>
      </c>
      <c r="AA4626">
        <v>0.59996878232862239</v>
      </c>
      <c r="AB4626" t="str">
        <f>HYPERLINK("Melting_Curves/meltCurve_Q9BV68_2_RNF126.pdf", "Melting_Curves/meltCurve_Q9BV68_2_RNF126.pdf")</f>
        <v>Melting_Curves/meltCurve_Q9BV68_2_RNF126.pdf</v>
      </c>
    </row>
    <row r="4627" spans="1:28" x14ac:dyDescent="0.25">
      <c r="A4627" t="s">
        <v>4631</v>
      </c>
      <c r="B4627">
        <v>0.99796759195183404</v>
      </c>
      <c r="C4627">
        <v>0.88793942722236696</v>
      </c>
      <c r="D4627">
        <v>0.92715513355255696</v>
      </c>
      <c r="E4627">
        <v>0.83616978895028804</v>
      </c>
      <c r="F4627">
        <v>0.69174795863210004</v>
      </c>
      <c r="G4627">
        <v>0.37374527992987899</v>
      </c>
      <c r="H4627">
        <v>0.55038953551426495</v>
      </c>
      <c r="I4627">
        <v>0.69154716244911096</v>
      </c>
      <c r="J4627">
        <v>0.32089659442518298</v>
      </c>
      <c r="K4627">
        <v>0.215069770463479</v>
      </c>
      <c r="L4627">
        <v>323.00684926929102</v>
      </c>
      <c r="M4627">
        <v>5.5937684686628897</v>
      </c>
      <c r="N4627">
        <v>57.744053441268797</v>
      </c>
      <c r="O4627">
        <v>51.628737600915699</v>
      </c>
      <c r="P4627">
        <v>-2.7198953192790601E-2</v>
      </c>
      <c r="Q4627">
        <v>0</v>
      </c>
      <c r="R4627">
        <v>0.78703439776460105</v>
      </c>
      <c r="S4627" t="s">
        <v>10210</v>
      </c>
      <c r="T4627" t="s">
        <v>11164</v>
      </c>
      <c r="U4627" t="s">
        <v>11164</v>
      </c>
      <c r="V4627" t="s">
        <v>11164</v>
      </c>
      <c r="W4627" t="s">
        <v>15747</v>
      </c>
      <c r="X4627">
        <v>2</v>
      </c>
      <c r="Y4627" t="s">
        <v>21218</v>
      </c>
      <c r="Z4627" t="s">
        <v>26777</v>
      </c>
      <c r="AA4627">
        <v>0.64761235068665457</v>
      </c>
      <c r="AB4627" t="str">
        <f>HYPERLINK("Melting_Curves/meltCurve_Q9BV73_2_CEP250.pdf", "Melting_Curves/meltCurve_Q9BV73_2_CEP250.pdf")</f>
        <v>Melting_Curves/meltCurve_Q9BV73_2_CEP250.pdf</v>
      </c>
    </row>
    <row r="4628" spans="1:28" x14ac:dyDescent="0.25">
      <c r="A4628" t="s">
        <v>4632</v>
      </c>
      <c r="B4628">
        <v>0.99796759195183404</v>
      </c>
      <c r="C4628">
        <v>0.96552401333456805</v>
      </c>
      <c r="D4628">
        <v>0.95079429689251005</v>
      </c>
      <c r="E4628">
        <v>0.95106534820772903</v>
      </c>
      <c r="F4628">
        <v>0.82560186878474795</v>
      </c>
      <c r="G4628">
        <v>0.69849288362619699</v>
      </c>
      <c r="H4628">
        <v>0.60654560775709998</v>
      </c>
      <c r="I4628">
        <v>0.19497928884343299</v>
      </c>
      <c r="J4628">
        <v>8.8734598721233598E-2</v>
      </c>
      <c r="K4628">
        <v>8.5414634603100795E-2</v>
      </c>
      <c r="L4628">
        <v>911.79672664042198</v>
      </c>
      <c r="M4628">
        <v>15.9840232180958</v>
      </c>
      <c r="N4628">
        <v>57.044256976045197</v>
      </c>
      <c r="O4628">
        <v>56.173781920490903</v>
      </c>
      <c r="P4628">
        <v>-7.11420919878894E-2</v>
      </c>
      <c r="Q4628">
        <v>0</v>
      </c>
      <c r="R4628">
        <v>0.97292288204926702</v>
      </c>
      <c r="S4628" t="s">
        <v>10211</v>
      </c>
      <c r="T4628" t="s">
        <v>11164</v>
      </c>
      <c r="U4628" t="s">
        <v>11164</v>
      </c>
      <c r="V4628" t="s">
        <v>11164</v>
      </c>
      <c r="W4628" t="s">
        <v>15748</v>
      </c>
      <c r="X4628">
        <v>9</v>
      </c>
      <c r="Y4628" t="s">
        <v>21219</v>
      </c>
      <c r="Z4628" t="s">
        <v>26778</v>
      </c>
      <c r="AA4628">
        <v>0.67665041125198089</v>
      </c>
      <c r="AB4628" t="str">
        <f>HYPERLINK("Melting_Curves/meltCurve_Q9BV79_MECR.pdf", "Melting_Curves/meltCurve_Q9BV79_MECR.pdf")</f>
        <v>Melting_Curves/meltCurve_Q9BV79_MECR.pdf</v>
      </c>
    </row>
    <row r="4629" spans="1:28" x14ac:dyDescent="0.25">
      <c r="A4629" t="s">
        <v>4633</v>
      </c>
      <c r="B4629">
        <v>0.99796759195183404</v>
      </c>
      <c r="C4629">
        <v>1.0399288938537601</v>
      </c>
      <c r="D4629">
        <v>1.01707848470208</v>
      </c>
      <c r="E4629">
        <v>0.91505769569080198</v>
      </c>
      <c r="F4629">
        <v>0.72397172802118004</v>
      </c>
      <c r="G4629">
        <v>0.21923107026763</v>
      </c>
      <c r="H4629">
        <v>9.4376845555831507E-2</v>
      </c>
      <c r="I4629">
        <v>7.9861623545201696E-2</v>
      </c>
      <c r="J4629">
        <v>6.7208340480067102E-2</v>
      </c>
      <c r="K4629">
        <v>5.3926572748907498E-2</v>
      </c>
      <c r="L4629">
        <v>1714.0645715974699</v>
      </c>
      <c r="M4629">
        <v>33.359214831645602</v>
      </c>
      <c r="N4629">
        <v>51.590924079905598</v>
      </c>
      <c r="O4629">
        <v>51.198452171426197</v>
      </c>
      <c r="P4629">
        <v>-0.15260232477910099</v>
      </c>
      <c r="Q4629">
        <v>6.3171059270145602E-2</v>
      </c>
      <c r="R4629">
        <v>0.99683910150001398</v>
      </c>
      <c r="S4629" t="s">
        <v>10212</v>
      </c>
      <c r="T4629" t="s">
        <v>11164</v>
      </c>
      <c r="U4629" t="s">
        <v>11164</v>
      </c>
      <c r="V4629" t="s">
        <v>11164</v>
      </c>
      <c r="W4629" t="s">
        <v>15749</v>
      </c>
      <c r="X4629">
        <v>10</v>
      </c>
      <c r="Y4629" t="s">
        <v>21220</v>
      </c>
      <c r="Z4629" t="s">
        <v>26779</v>
      </c>
      <c r="AA4629">
        <v>0.51705496892423164</v>
      </c>
      <c r="AB4629" t="str">
        <f>HYPERLINK("Melting_Curves/meltCurve_Q9BV86_NTMT1.pdf", "Melting_Curves/meltCurve_Q9BV86_NTMT1.pdf")</f>
        <v>Melting_Curves/meltCurve_Q9BV86_NTMT1.pdf</v>
      </c>
    </row>
    <row r="4630" spans="1:28" x14ac:dyDescent="0.25">
      <c r="A4630" t="s">
        <v>4634</v>
      </c>
      <c r="B4630">
        <v>0.99796759195183404</v>
      </c>
      <c r="C4630">
        <v>1.13667048017447</v>
      </c>
      <c r="D4630">
        <v>1.0162053813529801</v>
      </c>
      <c r="E4630">
        <v>0.94113080046374498</v>
      </c>
      <c r="F4630">
        <v>0.77909271607919695</v>
      </c>
      <c r="G4630">
        <v>0.55426643489986605</v>
      </c>
      <c r="H4630">
        <v>0.487708141511212</v>
      </c>
      <c r="I4630">
        <v>0.36436927647040701</v>
      </c>
      <c r="J4630">
        <v>0.31728694092132198</v>
      </c>
      <c r="K4630">
        <v>0.10464160690959699</v>
      </c>
      <c r="L4630">
        <v>627.96179523028798</v>
      </c>
      <c r="M4630">
        <v>11.2401455308704</v>
      </c>
      <c r="N4630">
        <v>56.565272195015403</v>
      </c>
      <c r="O4630">
        <v>54.186953498047203</v>
      </c>
      <c r="P4630">
        <v>-4.8517400994335998E-2</v>
      </c>
      <c r="Q4630">
        <v>6.4711279394199406E-2</v>
      </c>
      <c r="R4630">
        <v>0.95881453167791697</v>
      </c>
      <c r="S4630" t="s">
        <v>10213</v>
      </c>
      <c r="T4630" t="s">
        <v>11164</v>
      </c>
      <c r="U4630" t="s">
        <v>11164</v>
      </c>
      <c r="V4630" t="s">
        <v>11164</v>
      </c>
      <c r="W4630" t="s">
        <v>15750</v>
      </c>
      <c r="X4630">
        <v>8</v>
      </c>
      <c r="Y4630" t="s">
        <v>21221</v>
      </c>
      <c r="Z4630" t="s">
        <v>26780</v>
      </c>
      <c r="AA4630">
        <v>0.66174617218195664</v>
      </c>
      <c r="AB4630" t="str">
        <f>HYPERLINK("Melting_Curves/meltCurve_Q9BVA0_KATNB1.pdf", "Melting_Curves/meltCurve_Q9BVA0_KATNB1.pdf")</f>
        <v>Melting_Curves/meltCurve_Q9BVA0_KATNB1.pdf</v>
      </c>
    </row>
    <row r="4631" spans="1:28" x14ac:dyDescent="0.25">
      <c r="A4631" t="s">
        <v>4635</v>
      </c>
      <c r="B4631">
        <v>0.99796759195183404</v>
      </c>
      <c r="C4631">
        <v>1.0450142810743801</v>
      </c>
      <c r="D4631">
        <v>1.0275244168837401</v>
      </c>
      <c r="E4631">
        <v>0.97680722707503798</v>
      </c>
      <c r="F4631">
        <v>0.84470599596290896</v>
      </c>
      <c r="G4631">
        <v>0.93545393921736697</v>
      </c>
      <c r="H4631">
        <v>0.76715353489620597</v>
      </c>
      <c r="I4631">
        <v>0.54913847957136097</v>
      </c>
      <c r="J4631">
        <v>0.27237667165857399</v>
      </c>
      <c r="K4631">
        <v>0.103418317304369</v>
      </c>
      <c r="L4631">
        <v>1213.6677821436899</v>
      </c>
      <c r="M4631">
        <v>19.8775107325554</v>
      </c>
      <c r="N4631">
        <v>61.057332804770397</v>
      </c>
      <c r="O4631">
        <v>60.449422670198899</v>
      </c>
      <c r="P4631">
        <v>-8.2209914060690906E-2</v>
      </c>
      <c r="Q4631">
        <v>0</v>
      </c>
      <c r="R4631">
        <v>0.97275595324683695</v>
      </c>
      <c r="S4631" t="s">
        <v>10214</v>
      </c>
      <c r="T4631" t="s">
        <v>11164</v>
      </c>
      <c r="U4631" t="s">
        <v>11164</v>
      </c>
      <c r="V4631" t="s">
        <v>11164</v>
      </c>
      <c r="W4631" t="s">
        <v>15751</v>
      </c>
      <c r="X4631">
        <v>36</v>
      </c>
      <c r="Y4631" t="s">
        <v>21222</v>
      </c>
      <c r="Z4631" t="s">
        <v>26781</v>
      </c>
      <c r="AA4631">
        <v>0.79724689670796778</v>
      </c>
      <c r="AB4631" t="str">
        <f>HYPERLINK("Melting_Curves/meltCurve_Q9BVA1_TUBB2B.pdf", "Melting_Curves/meltCurve_Q9BVA1_TUBB2B.pdf")</f>
        <v>Melting_Curves/meltCurve_Q9BVA1_TUBB2B.pdf</v>
      </c>
    </row>
    <row r="4632" spans="1:28" x14ac:dyDescent="0.25">
      <c r="A4632" t="s">
        <v>4636</v>
      </c>
      <c r="B4632">
        <v>0.99796759195183404</v>
      </c>
      <c r="C4632">
        <v>0.82490471106899099</v>
      </c>
      <c r="D4632">
        <v>0.88965072602765305</v>
      </c>
      <c r="E4632">
        <v>0.832580201273178</v>
      </c>
      <c r="F4632">
        <v>0.73681221056678003</v>
      </c>
      <c r="G4632">
        <v>0.22177236668487299</v>
      </c>
      <c r="H4632">
        <v>0.160730019228779</v>
      </c>
      <c r="I4632">
        <v>0.15654941832970901</v>
      </c>
      <c r="J4632">
        <v>9.5860606006849897E-2</v>
      </c>
      <c r="K4632">
        <v>9.1380385448660298E-2</v>
      </c>
      <c r="L4632">
        <v>1270.3225271930301</v>
      </c>
      <c r="M4632">
        <v>24.8479515198139</v>
      </c>
      <c r="N4632">
        <v>51.570547349490802</v>
      </c>
      <c r="O4632">
        <v>50.796174109975603</v>
      </c>
      <c r="P4632">
        <v>-0.11045300298217101</v>
      </c>
      <c r="Q4632">
        <v>9.6825229764372203E-2</v>
      </c>
      <c r="R4632">
        <v>0.95027789855419598</v>
      </c>
      <c r="S4632" t="s">
        <v>10215</v>
      </c>
      <c r="T4632" t="s">
        <v>11164</v>
      </c>
      <c r="U4632" t="s">
        <v>11164</v>
      </c>
      <c r="V4632" t="s">
        <v>11164</v>
      </c>
      <c r="W4632" t="s">
        <v>15752</v>
      </c>
      <c r="X4632">
        <v>1</v>
      </c>
      <c r="Y4632" t="s">
        <v>21223</v>
      </c>
      <c r="Z4632" t="s">
        <v>26782</v>
      </c>
      <c r="AA4632">
        <v>0.53010008337140102</v>
      </c>
      <c r="AB4632" t="str">
        <f>HYPERLINK("Melting_Curves/meltCurve_Q9BVC3_DSCC1.pdf", "Melting_Curves/meltCurve_Q9BVC3_DSCC1.pdf")</f>
        <v>Melting_Curves/meltCurve_Q9BVC3_DSCC1.pdf</v>
      </c>
    </row>
    <row r="4633" spans="1:28" x14ac:dyDescent="0.25">
      <c r="A4633" t="s">
        <v>4637</v>
      </c>
      <c r="B4633">
        <v>0.99796759195183404</v>
      </c>
      <c r="C4633">
        <v>0.97412198721127796</v>
      </c>
      <c r="D4633">
        <v>0.956316666325562</v>
      </c>
      <c r="E4633">
        <v>0.78720144567329597</v>
      </c>
      <c r="F4633">
        <v>0.78245955919182797</v>
      </c>
      <c r="G4633">
        <v>0.48332256131052997</v>
      </c>
      <c r="H4633">
        <v>0.18112758345542901</v>
      </c>
      <c r="I4633">
        <v>0.16573278361968999</v>
      </c>
      <c r="J4633">
        <v>7.7311594843665496E-2</v>
      </c>
      <c r="K4633">
        <v>0.10257993502476299</v>
      </c>
      <c r="L4633">
        <v>795.22175093275905</v>
      </c>
      <c r="M4633">
        <v>15.0133871794361</v>
      </c>
      <c r="N4633">
        <v>53.170683432316302</v>
      </c>
      <c r="O4633">
        <v>52.054416472662098</v>
      </c>
      <c r="P4633">
        <v>-7.0101293095488598E-2</v>
      </c>
      <c r="Q4633">
        <v>2.78767553544731E-2</v>
      </c>
      <c r="R4633">
        <v>0.98110568959661104</v>
      </c>
      <c r="S4633" t="s">
        <v>10216</v>
      </c>
      <c r="T4633" t="s">
        <v>11164</v>
      </c>
      <c r="U4633" t="s">
        <v>11164</v>
      </c>
      <c r="V4633" t="s">
        <v>11164</v>
      </c>
      <c r="W4633" t="s">
        <v>15753</v>
      </c>
      <c r="X4633">
        <v>2</v>
      </c>
      <c r="Y4633" t="s">
        <v>21224</v>
      </c>
      <c r="Z4633" t="s">
        <v>26783</v>
      </c>
      <c r="AA4633">
        <v>0.56267108268231314</v>
      </c>
      <c r="AB4633" t="str">
        <f>HYPERLINK("Melting_Curves/meltCurve_Q9BVC4_MLST8.pdf", "Melting_Curves/meltCurve_Q9BVC4_MLST8.pdf")</f>
        <v>Melting_Curves/meltCurve_Q9BVC4_MLST8.pdf</v>
      </c>
    </row>
    <row r="4634" spans="1:28" x14ac:dyDescent="0.25">
      <c r="A4634" t="s">
        <v>4638</v>
      </c>
      <c r="B4634">
        <v>0.99796759195183404</v>
      </c>
      <c r="C4634">
        <v>1.1446347717387599</v>
      </c>
      <c r="D4634">
        <v>1.12127858363129</v>
      </c>
      <c r="E4634">
        <v>1.09847347040759</v>
      </c>
      <c r="F4634">
        <v>1.0735473453647899</v>
      </c>
      <c r="G4634">
        <v>0.77832775660764897</v>
      </c>
      <c r="H4634">
        <v>0.82932126692767305</v>
      </c>
      <c r="I4634">
        <v>0.72773803049155705</v>
      </c>
      <c r="J4634">
        <v>0.77668052718416403</v>
      </c>
      <c r="K4634">
        <v>0.79470780989813405</v>
      </c>
      <c r="L4634">
        <v>13067.899537666101</v>
      </c>
      <c r="M4634">
        <v>250</v>
      </c>
      <c r="O4634">
        <v>52.268255865478402</v>
      </c>
      <c r="P4634">
        <v>-0.26148746722149901</v>
      </c>
      <c r="Q4634">
        <v>0.78132011027640502</v>
      </c>
      <c r="R4634">
        <v>0.77723145044541198</v>
      </c>
      <c r="S4634" t="s">
        <v>10217</v>
      </c>
      <c r="T4634" t="s">
        <v>11164</v>
      </c>
      <c r="U4634" t="s">
        <v>11164</v>
      </c>
      <c r="V4634" t="s">
        <v>11164</v>
      </c>
      <c r="W4634" t="s">
        <v>15754</v>
      </c>
      <c r="X4634">
        <v>8</v>
      </c>
      <c r="Y4634" t="s">
        <v>21225</v>
      </c>
      <c r="Z4634" t="s">
        <v>26784</v>
      </c>
      <c r="AA4634">
        <v>0.8926598843763941</v>
      </c>
      <c r="AB4634" t="str">
        <f>HYPERLINK("Melting_Curves/meltCurve_Q9BVC6_TMEM109.pdf", "Melting_Curves/meltCurve_Q9BVC6_TMEM109.pdf")</f>
        <v>Melting_Curves/meltCurve_Q9BVC6_TMEM109.pdf</v>
      </c>
    </row>
    <row r="4635" spans="1:28" x14ac:dyDescent="0.25">
      <c r="A4635" t="s">
        <v>4639</v>
      </c>
      <c r="B4635">
        <v>0.99796759195183404</v>
      </c>
      <c r="C4635">
        <v>0.93153825583947802</v>
      </c>
      <c r="D4635">
        <v>0.93551829972963696</v>
      </c>
      <c r="E4635">
        <v>0.86528635734744697</v>
      </c>
      <c r="F4635">
        <v>0.70762202916502603</v>
      </c>
      <c r="G4635">
        <v>0.46938655755203701</v>
      </c>
      <c r="H4635">
        <v>0.28839515156759299</v>
      </c>
      <c r="I4635">
        <v>0.20677604682510001</v>
      </c>
      <c r="J4635">
        <v>0.194073319805776</v>
      </c>
      <c r="K4635">
        <v>0.136908719966475</v>
      </c>
      <c r="L4635">
        <v>724.20879640147803</v>
      </c>
      <c r="M4635">
        <v>13.813655363295601</v>
      </c>
      <c r="N4635">
        <v>53.2983948334142</v>
      </c>
      <c r="O4635">
        <v>51.364934513755699</v>
      </c>
      <c r="P4635">
        <v>-6.0445653607242598E-2</v>
      </c>
      <c r="Q4635">
        <v>0.101076695634435</v>
      </c>
      <c r="R4635">
        <v>0.99498506273723497</v>
      </c>
      <c r="S4635" t="s">
        <v>10218</v>
      </c>
      <c r="T4635" t="s">
        <v>11164</v>
      </c>
      <c r="U4635" t="s">
        <v>11164</v>
      </c>
      <c r="V4635" t="s">
        <v>11164</v>
      </c>
      <c r="W4635" t="s">
        <v>15755</v>
      </c>
      <c r="X4635">
        <v>7</v>
      </c>
      <c r="Y4635" t="s">
        <v>21226</v>
      </c>
      <c r="Z4635" t="s">
        <v>26785</v>
      </c>
      <c r="AA4635">
        <v>0.58152055228161204</v>
      </c>
      <c r="AB4635" t="str">
        <f>HYPERLINK("Melting_Curves/meltCurve_Q9BVG4_PBDC1.pdf", "Melting_Curves/meltCurve_Q9BVG4_PBDC1.pdf")</f>
        <v>Melting_Curves/meltCurve_Q9BVG4_PBDC1.pdf</v>
      </c>
    </row>
    <row r="4636" spans="1:28" x14ac:dyDescent="0.25">
      <c r="A4636" t="s">
        <v>4640</v>
      </c>
      <c r="B4636">
        <v>0.99796759195183404</v>
      </c>
      <c r="C4636">
        <v>1.06095318241671</v>
      </c>
      <c r="D4636">
        <v>1.0472735651495999</v>
      </c>
      <c r="E4636">
        <v>0.96898294768882998</v>
      </c>
      <c r="F4636">
        <v>0.97407419001897699</v>
      </c>
      <c r="G4636">
        <v>0.86411760432254903</v>
      </c>
      <c r="H4636">
        <v>0.68517600482965002</v>
      </c>
      <c r="I4636">
        <v>0.39803612078178502</v>
      </c>
      <c r="J4636">
        <v>0.27300738025482102</v>
      </c>
      <c r="K4636">
        <v>0.13008666764700699</v>
      </c>
      <c r="L4636">
        <v>1018.29884233195</v>
      </c>
      <c r="M4636">
        <v>17.020652763301801</v>
      </c>
      <c r="N4636">
        <v>59.851431343279799</v>
      </c>
      <c r="O4636">
        <v>59.019719094045797</v>
      </c>
      <c r="P4636">
        <v>-7.1854693953574703E-2</v>
      </c>
      <c r="Q4636">
        <v>3.4264760856649598E-3</v>
      </c>
      <c r="R4636">
        <v>0.99239934515456596</v>
      </c>
      <c r="S4636" t="s">
        <v>10219</v>
      </c>
      <c r="T4636" t="s">
        <v>11164</v>
      </c>
      <c r="U4636" t="s">
        <v>11164</v>
      </c>
      <c r="V4636" t="s">
        <v>11164</v>
      </c>
      <c r="W4636" t="s">
        <v>15756</v>
      </c>
      <c r="X4636">
        <v>4</v>
      </c>
      <c r="Y4636" t="s">
        <v>21227</v>
      </c>
      <c r="Z4636" t="s">
        <v>26786</v>
      </c>
      <c r="AA4636">
        <v>0.75972067365910689</v>
      </c>
      <c r="AB4636" t="str">
        <f>HYPERLINK("Melting_Curves/meltCurve_Q9BVG9_PTDSS2.pdf", "Melting_Curves/meltCurve_Q9BVG9_PTDSS2.pdf")</f>
        <v>Melting_Curves/meltCurve_Q9BVG9_PTDSS2.pdf</v>
      </c>
    </row>
    <row r="4637" spans="1:28" x14ac:dyDescent="0.25">
      <c r="A4637" t="s">
        <v>4641</v>
      </c>
      <c r="B4637">
        <v>0.99796759195183404</v>
      </c>
      <c r="C4637">
        <v>0.90290388393324905</v>
      </c>
      <c r="D4637">
        <v>0.92318693924479001</v>
      </c>
      <c r="E4637">
        <v>0.93391512608710003</v>
      </c>
      <c r="F4637">
        <v>0.87421655036555201</v>
      </c>
      <c r="G4637">
        <v>0.74089940795448395</v>
      </c>
      <c r="H4637">
        <v>0.458201999644962</v>
      </c>
      <c r="I4637">
        <v>0.32974097587651602</v>
      </c>
      <c r="J4637">
        <v>0.23634902469277599</v>
      </c>
      <c r="K4637">
        <v>5.3646903343314303E-2</v>
      </c>
      <c r="L4637">
        <v>776.37378923386598</v>
      </c>
      <c r="M4637">
        <v>13.5447980543575</v>
      </c>
      <c r="N4637">
        <v>57.318963992140397</v>
      </c>
      <c r="O4637">
        <v>56.112834249207197</v>
      </c>
      <c r="P4637">
        <v>-6.0355341340150997E-2</v>
      </c>
      <c r="Q4637">
        <v>0</v>
      </c>
      <c r="R4637">
        <v>0.97778797239544701</v>
      </c>
      <c r="S4637" t="s">
        <v>10220</v>
      </c>
      <c r="T4637" t="s">
        <v>11164</v>
      </c>
      <c r="U4637" t="s">
        <v>11164</v>
      </c>
      <c r="V4637" t="s">
        <v>11164</v>
      </c>
      <c r="W4637" t="s">
        <v>15757</v>
      </c>
      <c r="X4637">
        <v>3</v>
      </c>
      <c r="Y4637" t="s">
        <v>21228</v>
      </c>
      <c r="Z4637" t="s">
        <v>26787</v>
      </c>
      <c r="AA4637">
        <v>0.68280038800822518</v>
      </c>
      <c r="AB4637" t="str">
        <f>HYPERLINK("Melting_Curves/meltCurve_Q9BVJ6_3_UTP14A.pdf", "Melting_Curves/meltCurve_Q9BVJ6_3_UTP14A.pdf")</f>
        <v>Melting_Curves/meltCurve_Q9BVJ6_3_UTP14A.pdf</v>
      </c>
    </row>
    <row r="4638" spans="1:28" x14ac:dyDescent="0.25">
      <c r="A4638" t="s">
        <v>4642</v>
      </c>
      <c r="B4638">
        <v>0.99796759195183404</v>
      </c>
      <c r="C4638">
        <v>1.0062176511977099</v>
      </c>
      <c r="D4638">
        <v>1.0470933666601701</v>
      </c>
      <c r="E4638">
        <v>0.97770825333195899</v>
      </c>
      <c r="F4638">
        <v>0.84645663830934703</v>
      </c>
      <c r="G4638">
        <v>0.77152317705807305</v>
      </c>
      <c r="H4638">
        <v>0.63293429141457802</v>
      </c>
      <c r="I4638">
        <v>0.41363025636016398</v>
      </c>
      <c r="J4638">
        <v>0.14882349510738299</v>
      </c>
      <c r="K4638">
        <v>9.97535643006109E-2</v>
      </c>
      <c r="L4638">
        <v>888.07081113872505</v>
      </c>
      <c r="M4638">
        <v>15.137600755589199</v>
      </c>
      <c r="N4638">
        <v>58.666550023978203</v>
      </c>
      <c r="O4638">
        <v>57.671312915215701</v>
      </c>
      <c r="P4638">
        <v>-6.5626567740262098E-2</v>
      </c>
      <c r="Q4638">
        <v>0</v>
      </c>
      <c r="R4638">
        <v>0.98173624393780401</v>
      </c>
      <c r="S4638" t="s">
        <v>10221</v>
      </c>
      <c r="T4638" t="s">
        <v>11164</v>
      </c>
      <c r="U4638" t="s">
        <v>11164</v>
      </c>
      <c r="V4638" t="s">
        <v>11164</v>
      </c>
      <c r="W4638" t="s">
        <v>15758</v>
      </c>
      <c r="X4638">
        <v>9</v>
      </c>
      <c r="Y4638" t="s">
        <v>21229</v>
      </c>
      <c r="Z4638" t="s">
        <v>26788</v>
      </c>
      <c r="AA4638">
        <v>0.72339578438709251</v>
      </c>
      <c r="AB4638" t="str">
        <f>HYPERLINK("Melting_Curves/meltCurve_Q9BVK6_TMED9.pdf", "Melting_Curves/meltCurve_Q9BVK6_TMED9.pdf")</f>
        <v>Melting_Curves/meltCurve_Q9BVK6_TMED9.pdf</v>
      </c>
    </row>
    <row r="4639" spans="1:28" x14ac:dyDescent="0.25">
      <c r="A4639" t="s">
        <v>4643</v>
      </c>
      <c r="B4639">
        <v>0.99796759195183404</v>
      </c>
      <c r="C4639">
        <v>0.99197741900352499</v>
      </c>
      <c r="D4639">
        <v>0.98086273942298996</v>
      </c>
      <c r="E4639">
        <v>0.86588867164542305</v>
      </c>
      <c r="F4639">
        <v>0.42030721067355697</v>
      </c>
      <c r="G4639">
        <v>0.27171744276628002</v>
      </c>
      <c r="H4639">
        <v>0.212295530773287</v>
      </c>
      <c r="I4639">
        <v>0.185725298109779</v>
      </c>
      <c r="J4639">
        <v>0.145926888904852</v>
      </c>
      <c r="K4639">
        <v>0.109133228198104</v>
      </c>
      <c r="L4639">
        <v>1359.4200124146701</v>
      </c>
      <c r="M4639">
        <v>27.718234545032601</v>
      </c>
      <c r="N4639">
        <v>49.755504838938798</v>
      </c>
      <c r="O4639">
        <v>48.791119903871497</v>
      </c>
      <c r="P4639">
        <v>-0.11879438035831801</v>
      </c>
      <c r="Q4639">
        <v>0.163574825667194</v>
      </c>
      <c r="R4639">
        <v>0.99392736523800995</v>
      </c>
      <c r="S4639" t="s">
        <v>10222</v>
      </c>
      <c r="T4639" t="s">
        <v>11164</v>
      </c>
      <c r="U4639" t="s">
        <v>11164</v>
      </c>
      <c r="V4639" t="s">
        <v>11164</v>
      </c>
      <c r="W4639" t="s">
        <v>15759</v>
      </c>
      <c r="X4639">
        <v>13</v>
      </c>
      <c r="Y4639" t="s">
        <v>21230</v>
      </c>
      <c r="Z4639" t="s">
        <v>26789</v>
      </c>
      <c r="AA4639">
        <v>0.50528587494945876</v>
      </c>
      <c r="AB4639" t="str">
        <f>HYPERLINK("Melting_Curves/meltCurve_Q9BVL4_SELO.pdf", "Melting_Curves/meltCurve_Q9BVL4_SELO.pdf")</f>
        <v>Melting_Curves/meltCurve_Q9BVL4_SELO.pdf</v>
      </c>
    </row>
    <row r="4640" spans="1:28" x14ac:dyDescent="0.25">
      <c r="A4640" t="s">
        <v>4644</v>
      </c>
      <c r="B4640">
        <v>0.99796759195183404</v>
      </c>
      <c r="C4640">
        <v>1.01374982387063</v>
      </c>
      <c r="D4640">
        <v>0.86702728083954395</v>
      </c>
      <c r="E4640">
        <v>0.72573961606770598</v>
      </c>
      <c r="F4640">
        <v>0.58459110015695204</v>
      </c>
      <c r="G4640">
        <v>0.363102522414541</v>
      </c>
      <c r="H4640">
        <v>0.58827491618081695</v>
      </c>
      <c r="I4640">
        <v>0.84470661231135502</v>
      </c>
      <c r="J4640">
        <v>0.392568470530471</v>
      </c>
      <c r="K4640">
        <v>5.26273227141471E-2</v>
      </c>
      <c r="L4640">
        <v>294.99936177220502</v>
      </c>
      <c r="M4640">
        <v>5.1288479145655304</v>
      </c>
      <c r="N4640">
        <v>57.5176756145339</v>
      </c>
      <c r="O4640">
        <v>50.493647128870698</v>
      </c>
      <c r="P4640">
        <v>-2.5536124213905099E-2</v>
      </c>
      <c r="Q4640">
        <v>0</v>
      </c>
      <c r="R4640">
        <v>0.61190498876146804</v>
      </c>
      <c r="S4640" t="s">
        <v>10223</v>
      </c>
      <c r="T4640" t="s">
        <v>11164</v>
      </c>
      <c r="U4640" t="s">
        <v>11164</v>
      </c>
      <c r="V4640" t="s">
        <v>11164</v>
      </c>
      <c r="W4640" t="s">
        <v>15760</v>
      </c>
      <c r="X4640">
        <v>1</v>
      </c>
      <c r="Y4640" t="s">
        <v>21231</v>
      </c>
      <c r="Z4640" t="s">
        <v>26790</v>
      </c>
      <c r="AA4640">
        <v>0.63635245073913904</v>
      </c>
      <c r="AB4640" t="str">
        <f>HYPERLINK("Melting_Curves/meltCurve_Q9BVM2_DPCD.pdf", "Melting_Curves/meltCurve_Q9BVM2_DPCD.pdf")</f>
        <v>Melting_Curves/meltCurve_Q9BVM2_DPCD.pdf</v>
      </c>
    </row>
    <row r="4641" spans="1:28" x14ac:dyDescent="0.25">
      <c r="A4641" t="s">
        <v>4645</v>
      </c>
      <c r="B4641">
        <v>0.99796759195183404</v>
      </c>
      <c r="C4641">
        <v>0.95997166065823403</v>
      </c>
      <c r="D4641">
        <v>1.01516915688179</v>
      </c>
      <c r="E4641">
        <v>0.91931275868069595</v>
      </c>
      <c r="F4641">
        <v>0.79160242559897698</v>
      </c>
      <c r="G4641">
        <v>0.59114206121026502</v>
      </c>
      <c r="H4641">
        <v>0.35195484420700801</v>
      </c>
      <c r="I4641">
        <v>0.27077817181298602</v>
      </c>
      <c r="J4641">
        <v>0.24913626693121599</v>
      </c>
      <c r="K4641">
        <v>0.192810858971556</v>
      </c>
      <c r="L4641">
        <v>896.70397548197695</v>
      </c>
      <c r="M4641">
        <v>16.759960534178099</v>
      </c>
      <c r="N4641">
        <v>54.942878125308802</v>
      </c>
      <c r="O4641">
        <v>52.758465499797502</v>
      </c>
      <c r="P4641">
        <v>-6.5305473954348298E-2</v>
      </c>
      <c r="Q4641">
        <v>0.17775667178860299</v>
      </c>
      <c r="R4641">
        <v>0.99589330252535602</v>
      </c>
      <c r="S4641" t="s">
        <v>10224</v>
      </c>
      <c r="T4641" t="s">
        <v>11164</v>
      </c>
      <c r="U4641" t="s">
        <v>11164</v>
      </c>
      <c r="V4641" t="s">
        <v>11164</v>
      </c>
      <c r="W4641" t="s">
        <v>15761</v>
      </c>
      <c r="X4641">
        <v>2</v>
      </c>
      <c r="Y4641" t="s">
        <v>21232</v>
      </c>
      <c r="Z4641" t="s">
        <v>26791</v>
      </c>
      <c r="AA4641">
        <v>0.64268636564180526</v>
      </c>
      <c r="AB4641" t="str">
        <f>HYPERLINK("Melting_Curves/meltCurve_Q9BVM4_GGACT.pdf", "Melting_Curves/meltCurve_Q9BVM4_GGACT.pdf")</f>
        <v>Melting_Curves/meltCurve_Q9BVM4_GGACT.pdf</v>
      </c>
    </row>
    <row r="4642" spans="1:28" x14ac:dyDescent="0.25">
      <c r="A4642" t="s">
        <v>4646</v>
      </c>
      <c r="B4642">
        <v>0.99796759195183404</v>
      </c>
      <c r="C4642">
        <v>0.95782693581830902</v>
      </c>
      <c r="D4642">
        <v>0.97347662578805405</v>
      </c>
      <c r="E4642">
        <v>0.875296989229571</v>
      </c>
      <c r="F4642">
        <v>0.65210695731975998</v>
      </c>
      <c r="G4642">
        <v>0.35167984678609898</v>
      </c>
      <c r="H4642">
        <v>0.33203049285046599</v>
      </c>
      <c r="I4642">
        <v>0.22899505271593901</v>
      </c>
      <c r="J4642">
        <v>0.17124438757458599</v>
      </c>
      <c r="K4642">
        <v>8.8146850185963702E-2</v>
      </c>
      <c r="L4642">
        <v>786.78221460843099</v>
      </c>
      <c r="M4642">
        <v>15.279080087988699</v>
      </c>
      <c r="N4642">
        <v>52.429418960857603</v>
      </c>
      <c r="O4642">
        <v>50.636164690924403</v>
      </c>
      <c r="P4642">
        <v>-6.6442932320812303E-2</v>
      </c>
      <c r="Q4642">
        <v>0.11929276536752199</v>
      </c>
      <c r="R4642">
        <v>0.98777612750743304</v>
      </c>
      <c r="S4642" t="s">
        <v>10225</v>
      </c>
      <c r="T4642" t="s">
        <v>11164</v>
      </c>
      <c r="U4642" t="s">
        <v>11164</v>
      </c>
      <c r="V4642" t="s">
        <v>11164</v>
      </c>
      <c r="W4642" t="s">
        <v>15762</v>
      </c>
      <c r="X4642">
        <v>1</v>
      </c>
      <c r="Y4642" t="s">
        <v>21233</v>
      </c>
      <c r="Z4642" t="s">
        <v>26792</v>
      </c>
      <c r="AA4642">
        <v>0.56172505980953202</v>
      </c>
      <c r="AB4642" t="str">
        <f>HYPERLINK("Melting_Curves/meltCurve_Q9BVR6_TUBGCP4.pdf", "Melting_Curves/meltCurve_Q9BVR6_TUBGCP4.pdf")</f>
        <v>Melting_Curves/meltCurve_Q9BVR6_TUBGCP4.pdf</v>
      </c>
    </row>
    <row r="4643" spans="1:28" x14ac:dyDescent="0.25">
      <c r="A4643" t="s">
        <v>4647</v>
      </c>
      <c r="B4643">
        <v>0.99796759195183404</v>
      </c>
      <c r="C4643">
        <v>1.05276319619912</v>
      </c>
      <c r="D4643">
        <v>1.1451014313016601</v>
      </c>
      <c r="E4643">
        <v>1.83241772881154</v>
      </c>
      <c r="F4643">
        <v>1.85378037957013</v>
      </c>
      <c r="G4643">
        <v>2.1382729172307302</v>
      </c>
      <c r="H4643">
        <v>1.6123029871910499</v>
      </c>
      <c r="I4643">
        <v>2.2540743486135399</v>
      </c>
      <c r="J4643">
        <v>1.6775781281461599</v>
      </c>
      <c r="K4643">
        <v>0.379011695861729</v>
      </c>
      <c r="L4643">
        <v>10788.459151102399</v>
      </c>
      <c r="M4643">
        <v>250</v>
      </c>
      <c r="O4643">
        <v>43.151082943308602</v>
      </c>
      <c r="P4643">
        <v>0.72419980238364501</v>
      </c>
      <c r="Q4643">
        <v>1.5</v>
      </c>
      <c r="R4643">
        <v>0.186043970420017</v>
      </c>
      <c r="S4643" t="s">
        <v>10226</v>
      </c>
      <c r="T4643" t="s">
        <v>11164</v>
      </c>
      <c r="U4643" t="s">
        <v>11164</v>
      </c>
      <c r="V4643" t="s">
        <v>11164</v>
      </c>
      <c r="W4643" t="s">
        <v>15763</v>
      </c>
      <c r="X4643">
        <v>1</v>
      </c>
      <c r="Y4643" t="s">
        <v>21234</v>
      </c>
      <c r="Z4643" t="s">
        <v>26793</v>
      </c>
      <c r="AA4643">
        <v>1.3973981894373639</v>
      </c>
      <c r="AB4643" t="str">
        <f>HYPERLINK("Melting_Curves/meltCurve_Q9BVS5_TRMT61B.pdf", "Melting_Curves/meltCurve_Q9BVS5_TRMT61B.pdf")</f>
        <v>Melting_Curves/meltCurve_Q9BVS5_TRMT61B.pdf</v>
      </c>
    </row>
    <row r="4644" spans="1:28" x14ac:dyDescent="0.25">
      <c r="A4644" t="s">
        <v>4648</v>
      </c>
      <c r="B4644">
        <v>0.99796759195183404</v>
      </c>
      <c r="C4644">
        <v>1.0709296388245699</v>
      </c>
      <c r="D4644">
        <v>1.0482320961610101</v>
      </c>
      <c r="E4644">
        <v>0.94882478189096497</v>
      </c>
      <c r="F4644">
        <v>0.76439772957075403</v>
      </c>
      <c r="G4644">
        <v>0.53269690454953</v>
      </c>
      <c r="H4644">
        <v>0.37788271032242299</v>
      </c>
      <c r="I4644">
        <v>0.26125382608143899</v>
      </c>
      <c r="J4644">
        <v>0.27595424653746597</v>
      </c>
      <c r="K4644">
        <v>0.108340022223279</v>
      </c>
      <c r="L4644">
        <v>865.63248124419397</v>
      </c>
      <c r="M4644">
        <v>16.193491464562101</v>
      </c>
      <c r="N4644">
        <v>54.682611104769599</v>
      </c>
      <c r="O4644">
        <v>52.6603232222568</v>
      </c>
      <c r="P4644">
        <v>-6.5170925031245205E-2</v>
      </c>
      <c r="Q4644">
        <v>0.15233475955196801</v>
      </c>
      <c r="R4644">
        <v>0.98243342105425902</v>
      </c>
      <c r="S4644" t="s">
        <v>10227</v>
      </c>
      <c r="T4644" t="s">
        <v>11164</v>
      </c>
      <c r="U4644" t="s">
        <v>11164</v>
      </c>
      <c r="V4644" t="s">
        <v>11164</v>
      </c>
      <c r="W4644" t="s">
        <v>15764</v>
      </c>
      <c r="X4644">
        <v>4</v>
      </c>
      <c r="Y4644" t="s">
        <v>21235</v>
      </c>
      <c r="Z4644" t="s">
        <v>26794</v>
      </c>
      <c r="AA4644">
        <v>0.63082598793832467</v>
      </c>
      <c r="AB4644" t="str">
        <f>HYPERLINK("Melting_Curves/meltCurve_Q9BVV7_TIMM21.pdf", "Melting_Curves/meltCurve_Q9BVV7_TIMM21.pdf")</f>
        <v>Melting_Curves/meltCurve_Q9BVV7_TIMM21.pdf</v>
      </c>
    </row>
    <row r="4645" spans="1:28" x14ac:dyDescent="0.25">
      <c r="A4645" t="s">
        <v>4649</v>
      </c>
      <c r="B4645">
        <v>0.99796759195183404</v>
      </c>
      <c r="C4645">
        <v>1.2234638753152101</v>
      </c>
      <c r="D4645">
        <v>1.13493316144644</v>
      </c>
      <c r="E4645">
        <v>1.2291855248433601</v>
      </c>
      <c r="F4645">
        <v>1.1114056614046399</v>
      </c>
      <c r="G4645">
        <v>0.66365442050946299</v>
      </c>
      <c r="H4645">
        <v>0.642803664498659</v>
      </c>
      <c r="I4645">
        <v>0.54150532818423203</v>
      </c>
      <c r="J4645">
        <v>0.68122360940952398</v>
      </c>
      <c r="K4645">
        <v>0.716186222763466</v>
      </c>
      <c r="L4645">
        <v>13293.157102232401</v>
      </c>
      <c r="M4645">
        <v>250</v>
      </c>
      <c r="O4645">
        <v>53.1692258634815</v>
      </c>
      <c r="P4645">
        <v>-0.41679479371633099</v>
      </c>
      <c r="Q4645">
        <v>0.64542949700320495</v>
      </c>
      <c r="R4645">
        <v>0.77048076067330196</v>
      </c>
      <c r="S4645" t="s">
        <v>10228</v>
      </c>
      <c r="T4645" t="s">
        <v>11164</v>
      </c>
      <c r="U4645" t="s">
        <v>11164</v>
      </c>
      <c r="V4645" t="s">
        <v>11164</v>
      </c>
      <c r="W4645" t="s">
        <v>15765</v>
      </c>
      <c r="X4645">
        <v>6</v>
      </c>
      <c r="Y4645" t="s">
        <v>21236</v>
      </c>
      <c r="Z4645" t="s">
        <v>26795</v>
      </c>
      <c r="AA4645">
        <v>0.83660715083129067</v>
      </c>
      <c r="AB4645" t="str">
        <f>HYPERLINK("Melting_Curves/meltCurve_Q9BVW5_TIPIN.pdf", "Melting_Curves/meltCurve_Q9BVW5_TIPIN.pdf")</f>
        <v>Melting_Curves/meltCurve_Q9BVW5_TIPIN.pdf</v>
      </c>
    </row>
    <row r="4646" spans="1:28" x14ac:dyDescent="0.25">
      <c r="A4646" t="s">
        <v>4650</v>
      </c>
      <c r="B4646">
        <v>0.99796759195183404</v>
      </c>
      <c r="C4646">
        <v>1.0360416924418701</v>
      </c>
      <c r="D4646">
        <v>1.0218034111865999</v>
      </c>
      <c r="E4646">
        <v>0.95752586869623801</v>
      </c>
      <c r="F4646">
        <v>0.62876534221104097</v>
      </c>
      <c r="G4646">
        <v>0.173571316692614</v>
      </c>
      <c r="H4646">
        <v>0.17415286787042</v>
      </c>
      <c r="I4646">
        <v>0.129940203978648</v>
      </c>
      <c r="J4646">
        <v>0.139645553202673</v>
      </c>
      <c r="K4646">
        <v>5.8857875275316197E-2</v>
      </c>
      <c r="L4646">
        <v>2059.51774461581</v>
      </c>
      <c r="M4646">
        <v>40.7356443526226</v>
      </c>
      <c r="N4646">
        <v>50.901985794562698</v>
      </c>
      <c r="O4646">
        <v>50.436749050444298</v>
      </c>
      <c r="P4646">
        <v>-0.17762754560879301</v>
      </c>
      <c r="Q4646">
        <v>0.12028522823492099</v>
      </c>
      <c r="R4646">
        <v>0.99482282533822097</v>
      </c>
      <c r="S4646" t="s">
        <v>10229</v>
      </c>
      <c r="T4646" t="s">
        <v>11164</v>
      </c>
      <c r="U4646" t="s">
        <v>11164</v>
      </c>
      <c r="V4646" t="s">
        <v>11164</v>
      </c>
      <c r="W4646" t="s">
        <v>15766</v>
      </c>
      <c r="X4646">
        <v>2</v>
      </c>
      <c r="Y4646" t="s">
        <v>21237</v>
      </c>
      <c r="Z4646" t="s">
        <v>26796</v>
      </c>
      <c r="AA4646">
        <v>0.52082239882055581</v>
      </c>
      <c r="AB4646" t="str">
        <f>HYPERLINK("Melting_Curves/meltCurve_Q9BW19_KIFC1.pdf", "Melting_Curves/meltCurve_Q9BW19_KIFC1.pdf")</f>
        <v>Melting_Curves/meltCurve_Q9BW19_KIFC1.pdf</v>
      </c>
    </row>
    <row r="4647" spans="1:28" x14ac:dyDescent="0.25">
      <c r="A4647" t="s">
        <v>4651</v>
      </c>
      <c r="B4647">
        <v>0.99796759195183404</v>
      </c>
      <c r="C4647">
        <v>0.97515145435848405</v>
      </c>
      <c r="D4647">
        <v>0.90506766126524496</v>
      </c>
      <c r="E4647">
        <v>0.92012237455416401</v>
      </c>
      <c r="F4647">
        <v>0.850223376520435</v>
      </c>
      <c r="G4647">
        <v>0.83903521840179496</v>
      </c>
      <c r="H4647">
        <v>0.986560634566782</v>
      </c>
      <c r="I4647">
        <v>0.485641274884413</v>
      </c>
      <c r="J4647">
        <v>0.17499440256759499</v>
      </c>
      <c r="K4647">
        <v>0.14715073773396001</v>
      </c>
      <c r="L4647">
        <v>4050.7319041969899</v>
      </c>
      <c r="M4647">
        <v>66.825638154135902</v>
      </c>
      <c r="N4647">
        <v>60.939422909648002</v>
      </c>
      <c r="O4647">
        <v>60.562230409487903</v>
      </c>
      <c r="P4647">
        <v>-0.23471762699198101</v>
      </c>
      <c r="Q4647">
        <v>0.14912796429408201</v>
      </c>
      <c r="R4647">
        <v>0.93552416567719898</v>
      </c>
      <c r="S4647" t="s">
        <v>10230</v>
      </c>
      <c r="T4647" t="s">
        <v>11164</v>
      </c>
      <c r="U4647" t="s">
        <v>11164</v>
      </c>
      <c r="V4647" t="s">
        <v>11164</v>
      </c>
      <c r="W4647" t="s">
        <v>15767</v>
      </c>
      <c r="X4647">
        <v>6</v>
      </c>
      <c r="Y4647" t="s">
        <v>21238</v>
      </c>
      <c r="Z4647" t="s">
        <v>26797</v>
      </c>
      <c r="AA4647">
        <v>0.82016144189141627</v>
      </c>
      <c r="AB4647" t="str">
        <f>HYPERLINK("Melting_Curves/meltCurve_Q9BW27_NUP85.pdf", "Melting_Curves/meltCurve_Q9BW27_NUP85.pdf")</f>
        <v>Melting_Curves/meltCurve_Q9BW27_NUP85.pdf</v>
      </c>
    </row>
    <row r="4648" spans="1:28" x14ac:dyDescent="0.25">
      <c r="A4648" t="s">
        <v>4652</v>
      </c>
      <c r="B4648">
        <v>0.99796759195183404</v>
      </c>
      <c r="C4648">
        <v>1.08738954192184</v>
      </c>
      <c r="D4648">
        <v>1.0296839508203099</v>
      </c>
      <c r="E4648">
        <v>0.97769494528627898</v>
      </c>
      <c r="F4648">
        <v>0.89530923957730901</v>
      </c>
      <c r="G4648">
        <v>0.60806520013686705</v>
      </c>
      <c r="H4648">
        <v>0.62452295129252799</v>
      </c>
      <c r="I4648">
        <v>0.50795557552982795</v>
      </c>
      <c r="J4648">
        <v>0.58318280666302402</v>
      </c>
      <c r="K4648">
        <v>0.53904796229655105</v>
      </c>
      <c r="L4648">
        <v>2222.0553217950501</v>
      </c>
      <c r="M4648">
        <v>43.157882159318703</v>
      </c>
      <c r="O4648">
        <v>51.376493017731804</v>
      </c>
      <c r="P4648">
        <v>-9.2427770304325405E-2</v>
      </c>
      <c r="Q4648">
        <v>0.559885083297749</v>
      </c>
      <c r="R4648">
        <v>0.96620075433819896</v>
      </c>
      <c r="S4648" t="s">
        <v>10231</v>
      </c>
      <c r="T4648" t="s">
        <v>11164</v>
      </c>
      <c r="U4648" t="s">
        <v>11164</v>
      </c>
      <c r="V4648" t="s">
        <v>11164</v>
      </c>
      <c r="W4648" t="s">
        <v>15768</v>
      </c>
      <c r="X4648">
        <v>4</v>
      </c>
      <c r="Y4648" t="s">
        <v>21239</v>
      </c>
      <c r="Z4648" t="s">
        <v>26798</v>
      </c>
      <c r="AA4648">
        <v>0.77375438060850099</v>
      </c>
      <c r="AB4648" t="str">
        <f>HYPERLINK("Melting_Curves/meltCurve_Q9BW30_TPPP3.pdf", "Melting_Curves/meltCurve_Q9BW30_TPPP3.pdf")</f>
        <v>Melting_Curves/meltCurve_Q9BW30_TPPP3.pdf</v>
      </c>
    </row>
    <row r="4649" spans="1:28" x14ac:dyDescent="0.25">
      <c r="A4649" t="s">
        <v>4653</v>
      </c>
      <c r="B4649">
        <v>0.99796759195183404</v>
      </c>
      <c r="C4649">
        <v>1.12687571445984</v>
      </c>
      <c r="D4649">
        <v>1.2009238270037901</v>
      </c>
      <c r="E4649">
        <v>1.2733244856996599</v>
      </c>
      <c r="F4649">
        <v>1.0613412543677401</v>
      </c>
      <c r="G4649">
        <v>0.58024215254009404</v>
      </c>
      <c r="H4649">
        <v>0.28081837506117002</v>
      </c>
      <c r="I4649">
        <v>0.134000927886465</v>
      </c>
      <c r="J4649">
        <v>8.7727183463088401E-2</v>
      </c>
      <c r="K4649">
        <v>6.8407823763337594E-2</v>
      </c>
      <c r="L4649">
        <v>1958.6167709838601</v>
      </c>
      <c r="M4649">
        <v>36.036973734161499</v>
      </c>
      <c r="N4649">
        <v>54.697989422087801</v>
      </c>
      <c r="O4649">
        <v>54.183650646246299</v>
      </c>
      <c r="P4649">
        <v>-0.149248279675951</v>
      </c>
      <c r="Q4649">
        <v>0.102389505190406</v>
      </c>
      <c r="R4649">
        <v>0.93282591294996697</v>
      </c>
      <c r="S4649" t="s">
        <v>10232</v>
      </c>
      <c r="T4649" t="s">
        <v>11164</v>
      </c>
      <c r="U4649" t="s">
        <v>11164</v>
      </c>
      <c r="V4649" t="s">
        <v>11164</v>
      </c>
      <c r="W4649" t="s">
        <v>15769</v>
      </c>
      <c r="X4649">
        <v>2</v>
      </c>
      <c r="Y4649" t="s">
        <v>21240</v>
      </c>
      <c r="Z4649" t="s">
        <v>26799</v>
      </c>
      <c r="AA4649">
        <v>0.62559621154735001</v>
      </c>
      <c r="AB4649" t="str">
        <f>HYPERLINK("Melting_Curves/meltCurve_Q9BW60_ELOVL1.pdf", "Melting_Curves/meltCurve_Q9BW60_ELOVL1.pdf")</f>
        <v>Melting_Curves/meltCurve_Q9BW60_ELOVL1.pdf</v>
      </c>
    </row>
    <row r="4650" spans="1:28" x14ac:dyDescent="0.25">
      <c r="A4650" t="s">
        <v>4654</v>
      </c>
      <c r="B4650">
        <v>0.99796759195183404</v>
      </c>
      <c r="C4650">
        <v>1.02041955112973</v>
      </c>
      <c r="D4650">
        <v>0.91940332436804695</v>
      </c>
      <c r="E4650">
        <v>0.93015268635628201</v>
      </c>
      <c r="F4650">
        <v>0.96435843315615699</v>
      </c>
      <c r="G4650">
        <v>1.0182060353625999</v>
      </c>
      <c r="H4650">
        <v>0.71667031014511795</v>
      </c>
      <c r="I4650">
        <v>0.52715666468283895</v>
      </c>
      <c r="J4650">
        <v>0.50824566825898498</v>
      </c>
      <c r="K4650">
        <v>0.31317929311413101</v>
      </c>
      <c r="L4650">
        <v>1392.8825557979701</v>
      </c>
      <c r="M4650">
        <v>23.6805508426514</v>
      </c>
      <c r="N4650">
        <v>61.794368483518497</v>
      </c>
      <c r="O4650">
        <v>58.4050417362822</v>
      </c>
      <c r="P4650">
        <v>-6.6892759686555794E-2</v>
      </c>
      <c r="Q4650">
        <v>0.340081354997748</v>
      </c>
      <c r="R4650">
        <v>0.94513578031656897</v>
      </c>
      <c r="S4650" t="s">
        <v>10233</v>
      </c>
      <c r="T4650" t="s">
        <v>11164</v>
      </c>
      <c r="U4650" t="s">
        <v>11164</v>
      </c>
      <c r="V4650" t="s">
        <v>11164</v>
      </c>
      <c r="W4650" t="s">
        <v>15770</v>
      </c>
      <c r="X4650">
        <v>6</v>
      </c>
      <c r="Y4650" t="s">
        <v>21241</v>
      </c>
      <c r="Z4650" t="s">
        <v>26800</v>
      </c>
      <c r="AA4650">
        <v>0.82357327394503055</v>
      </c>
      <c r="AB4650" t="str">
        <f>HYPERLINK("Melting_Curves/meltCurve_Q9BW61_DDA1.pdf", "Melting_Curves/meltCurve_Q9BW61_DDA1.pdf")</f>
        <v>Melting_Curves/meltCurve_Q9BW61_DDA1.pdf</v>
      </c>
    </row>
    <row r="4651" spans="1:28" x14ac:dyDescent="0.25">
      <c r="A4651" t="s">
        <v>4655</v>
      </c>
      <c r="B4651">
        <v>0.99796759195183404</v>
      </c>
      <c r="C4651">
        <v>0.98327358213348703</v>
      </c>
      <c r="D4651">
        <v>0.96583156404319703</v>
      </c>
      <c r="E4651">
        <v>0.91505574341766005</v>
      </c>
      <c r="F4651">
        <v>0.80505748957971202</v>
      </c>
      <c r="G4651">
        <v>0.56727304349372198</v>
      </c>
      <c r="H4651">
        <v>0.38921490254573798</v>
      </c>
      <c r="I4651">
        <v>0.26414393744276699</v>
      </c>
      <c r="J4651">
        <v>0.24293952159780399</v>
      </c>
      <c r="K4651">
        <v>0.207583661824913</v>
      </c>
      <c r="L4651">
        <v>848.53650343448601</v>
      </c>
      <c r="M4651">
        <v>15.841896938936801</v>
      </c>
      <c r="N4651">
        <v>55.052571402662601</v>
      </c>
      <c r="O4651">
        <v>52.731120812885997</v>
      </c>
      <c r="P4651">
        <v>-6.2019384090862002E-2</v>
      </c>
      <c r="Q4651">
        <v>0.174320054019034</v>
      </c>
      <c r="R4651">
        <v>0.99863672758387501</v>
      </c>
      <c r="S4651" t="s">
        <v>10234</v>
      </c>
      <c r="T4651" t="s">
        <v>11164</v>
      </c>
      <c r="U4651" t="s">
        <v>11164</v>
      </c>
      <c r="V4651" t="s">
        <v>11164</v>
      </c>
      <c r="W4651" t="s">
        <v>15771</v>
      </c>
      <c r="X4651">
        <v>15</v>
      </c>
      <c r="Y4651" t="s">
        <v>21242</v>
      </c>
      <c r="Z4651" t="s">
        <v>26801</v>
      </c>
      <c r="AA4651">
        <v>0.64352009398370857</v>
      </c>
      <c r="AB4651" t="str">
        <f>HYPERLINK("Melting_Curves/meltCurve_Q9BW71_HIRIP3.pdf", "Melting_Curves/meltCurve_Q9BW71_HIRIP3.pdf")</f>
        <v>Melting_Curves/meltCurve_Q9BW71_HIRIP3.pdf</v>
      </c>
    </row>
    <row r="4652" spans="1:28" x14ac:dyDescent="0.25">
      <c r="A4652" t="s">
        <v>4656</v>
      </c>
      <c r="B4652">
        <v>0.99796759195183404</v>
      </c>
      <c r="C4652">
        <v>1.09720746591101</v>
      </c>
      <c r="D4652">
        <v>0.97796118577038105</v>
      </c>
      <c r="E4652">
        <v>1.0549567758321501</v>
      </c>
      <c r="F4652">
        <v>0.862631745362053</v>
      </c>
      <c r="G4652">
        <v>0.66898946956871597</v>
      </c>
      <c r="H4652">
        <v>0.47104188024138</v>
      </c>
      <c r="I4652">
        <v>0.22245813377906101</v>
      </c>
      <c r="J4652">
        <v>0.14630354730730299</v>
      </c>
      <c r="K4652">
        <v>0.100601668075833</v>
      </c>
      <c r="L4652">
        <v>949.13651850325402</v>
      </c>
      <c r="M4652">
        <v>16.883267592949402</v>
      </c>
      <c r="N4652">
        <v>56.487363711261899</v>
      </c>
      <c r="O4652">
        <v>55.446656636152603</v>
      </c>
      <c r="P4652">
        <v>-7.3180021149466104E-2</v>
      </c>
      <c r="Q4652">
        <v>3.8733498627760002E-2</v>
      </c>
      <c r="R4652">
        <v>0.98603269180563402</v>
      </c>
      <c r="S4652" t="s">
        <v>10235</v>
      </c>
      <c r="T4652" t="s">
        <v>11164</v>
      </c>
      <c r="U4652" t="s">
        <v>11164</v>
      </c>
      <c r="V4652" t="s">
        <v>11164</v>
      </c>
      <c r="W4652" t="s">
        <v>15772</v>
      </c>
      <c r="X4652">
        <v>10</v>
      </c>
      <c r="Y4652" t="s">
        <v>21243</v>
      </c>
      <c r="Z4652" t="s">
        <v>26802</v>
      </c>
      <c r="AA4652">
        <v>0.66493099508775133</v>
      </c>
      <c r="AB4652" t="str">
        <f>HYPERLINK("Melting_Curves/meltCurve_Q9BW83_IFT27.pdf", "Melting_Curves/meltCurve_Q9BW83_IFT27.pdf")</f>
        <v>Melting_Curves/meltCurve_Q9BW83_IFT27.pdf</v>
      </c>
    </row>
    <row r="4653" spans="1:28" x14ac:dyDescent="0.25">
      <c r="A4653" t="s">
        <v>4657</v>
      </c>
      <c r="B4653">
        <v>0.99796759195183404</v>
      </c>
      <c r="C4653">
        <v>1.0304097969345301</v>
      </c>
      <c r="D4653">
        <v>1.0130934926539501</v>
      </c>
      <c r="E4653">
        <v>1.0226629100425699</v>
      </c>
      <c r="F4653">
        <v>0.84075926296546799</v>
      </c>
      <c r="G4653">
        <v>0.54030056593645803</v>
      </c>
      <c r="H4653">
        <v>0.38842546707228398</v>
      </c>
      <c r="I4653">
        <v>0.28725618974272199</v>
      </c>
      <c r="J4653">
        <v>0.217520829903389</v>
      </c>
      <c r="K4653">
        <v>0.157734879349475</v>
      </c>
      <c r="L4653">
        <v>1074.03963915076</v>
      </c>
      <c r="M4653">
        <v>20.012088768442901</v>
      </c>
      <c r="N4653">
        <v>54.931890049159101</v>
      </c>
      <c r="O4653">
        <v>53.142249999592401</v>
      </c>
      <c r="P4653">
        <v>-7.6793765946967102E-2</v>
      </c>
      <c r="Q4653">
        <v>0.184320822973807</v>
      </c>
      <c r="R4653">
        <v>0.99129473022300796</v>
      </c>
      <c r="S4653" t="s">
        <v>10236</v>
      </c>
      <c r="T4653" t="s">
        <v>11164</v>
      </c>
      <c r="U4653" t="s">
        <v>11164</v>
      </c>
      <c r="V4653" t="s">
        <v>11164</v>
      </c>
      <c r="W4653" t="s">
        <v>15773</v>
      </c>
      <c r="X4653">
        <v>16</v>
      </c>
      <c r="Y4653" t="s">
        <v>21244</v>
      </c>
      <c r="Z4653" t="s">
        <v>26803</v>
      </c>
      <c r="AA4653">
        <v>0.64756522603589006</v>
      </c>
      <c r="AB4653" t="str">
        <f>HYPERLINK("Melting_Curves/meltCurve_Q9BW85_CCDC94.pdf", "Melting_Curves/meltCurve_Q9BW85_CCDC94.pdf")</f>
        <v>Melting_Curves/meltCurve_Q9BW85_CCDC94.pdf</v>
      </c>
    </row>
    <row r="4654" spans="1:28" x14ac:dyDescent="0.25">
      <c r="A4654" t="s">
        <v>4658</v>
      </c>
      <c r="B4654">
        <v>0.99796759195183404</v>
      </c>
      <c r="C4654">
        <v>1.15213567024257</v>
      </c>
      <c r="D4654">
        <v>1.0627973678934099</v>
      </c>
      <c r="E4654">
        <v>1.0265591246805399</v>
      </c>
      <c r="F4654">
        <v>0.82089157548234504</v>
      </c>
      <c r="G4654">
        <v>0.449837737635916</v>
      </c>
      <c r="H4654">
        <v>0.27112734543320199</v>
      </c>
      <c r="I4654">
        <v>0.173042587334654</v>
      </c>
      <c r="J4654">
        <v>0.12562305314420699</v>
      </c>
      <c r="K4654">
        <v>0.105164095560303</v>
      </c>
      <c r="L4654">
        <v>1343.2037404318301</v>
      </c>
      <c r="M4654">
        <v>25.3823364569967</v>
      </c>
      <c r="N4654">
        <v>53.535832383038198</v>
      </c>
      <c r="O4654">
        <v>52.593647139928102</v>
      </c>
      <c r="P4654">
        <v>-0.10535405765993</v>
      </c>
      <c r="Q4654">
        <v>0.126812684319315</v>
      </c>
      <c r="R4654">
        <v>0.980138410554245</v>
      </c>
      <c r="S4654" t="s">
        <v>10237</v>
      </c>
      <c r="T4654" t="s">
        <v>11164</v>
      </c>
      <c r="U4654" t="s">
        <v>11164</v>
      </c>
      <c r="V4654" t="s">
        <v>11164</v>
      </c>
      <c r="W4654" t="s">
        <v>15774</v>
      </c>
      <c r="X4654">
        <v>12</v>
      </c>
      <c r="Y4654" t="s">
        <v>21245</v>
      </c>
      <c r="Z4654" t="s">
        <v>26804</v>
      </c>
      <c r="AA4654">
        <v>0.59767010714850188</v>
      </c>
      <c r="AB4654" t="str">
        <f>HYPERLINK("Melting_Curves/meltCurve_Q9BW91_2_NUDT9.pdf", "Melting_Curves/meltCurve_Q9BW91_2_NUDT9.pdf")</f>
        <v>Melting_Curves/meltCurve_Q9BW91_2_NUDT9.pdf</v>
      </c>
    </row>
    <row r="4655" spans="1:28" x14ac:dyDescent="0.25">
      <c r="A4655" t="s">
        <v>4659</v>
      </c>
      <c r="B4655">
        <v>0.99796759195183404</v>
      </c>
      <c r="C4655">
        <v>0.98062475469751698</v>
      </c>
      <c r="D4655">
        <v>0.93726150929312901</v>
      </c>
      <c r="E4655">
        <v>0.84300681661344801</v>
      </c>
      <c r="F4655">
        <v>0.74654751046976497</v>
      </c>
      <c r="G4655">
        <v>0.80590454273163803</v>
      </c>
      <c r="H4655">
        <v>0.36931007534611299</v>
      </c>
      <c r="I4655">
        <v>0.24628687191527801</v>
      </c>
      <c r="J4655">
        <v>0.15985592314170799</v>
      </c>
      <c r="K4655">
        <v>0.11110243320666199</v>
      </c>
      <c r="L4655">
        <v>709.67425694868996</v>
      </c>
      <c r="M4655">
        <v>12.634798950231099</v>
      </c>
      <c r="N4655">
        <v>56.168227259151102</v>
      </c>
      <c r="O4655">
        <v>54.816923346132597</v>
      </c>
      <c r="P4655">
        <v>-5.7634084280530899E-2</v>
      </c>
      <c r="Q4655">
        <v>0</v>
      </c>
      <c r="R4655">
        <v>0.95777212664281797</v>
      </c>
      <c r="S4655" t="s">
        <v>10238</v>
      </c>
      <c r="T4655" t="s">
        <v>11164</v>
      </c>
      <c r="U4655" t="s">
        <v>11164</v>
      </c>
      <c r="V4655" t="s">
        <v>11164</v>
      </c>
      <c r="W4655" t="s">
        <v>15775</v>
      </c>
      <c r="X4655">
        <v>17</v>
      </c>
      <c r="Y4655" t="s">
        <v>21246</v>
      </c>
      <c r="Z4655" t="s">
        <v>26805</v>
      </c>
      <c r="AA4655">
        <v>0.64864945465723889</v>
      </c>
      <c r="AB4655" t="str">
        <f>HYPERLINK("Melting_Curves/meltCurve_Q9BW92_TARS2.pdf", "Melting_Curves/meltCurve_Q9BW92_TARS2.pdf")</f>
        <v>Melting_Curves/meltCurve_Q9BW92_TARS2.pdf</v>
      </c>
    </row>
    <row r="4656" spans="1:28" x14ac:dyDescent="0.25">
      <c r="A4656" t="s">
        <v>4660</v>
      </c>
      <c r="B4656">
        <v>0.99796759195183404</v>
      </c>
      <c r="C4656">
        <v>0.94897469312722105</v>
      </c>
      <c r="D4656">
        <v>0.96932688779516696</v>
      </c>
      <c r="E4656">
        <v>0.96944541074208801</v>
      </c>
      <c r="F4656">
        <v>0.83064887530184806</v>
      </c>
      <c r="G4656">
        <v>0.78790128879282995</v>
      </c>
      <c r="H4656">
        <v>0.83967324538382004</v>
      </c>
      <c r="I4656">
        <v>0.90742331046083402</v>
      </c>
      <c r="J4656">
        <v>1.04306928939493</v>
      </c>
      <c r="K4656">
        <v>0.31995684652010598</v>
      </c>
      <c r="L4656">
        <v>15000</v>
      </c>
      <c r="M4656">
        <v>224.63448983382</v>
      </c>
      <c r="N4656">
        <v>66.775142209345006</v>
      </c>
      <c r="O4656">
        <v>66.769847213574707</v>
      </c>
      <c r="P4656">
        <v>-0.84107756527286004</v>
      </c>
      <c r="Q4656">
        <v>0</v>
      </c>
      <c r="R4656">
        <v>0.70295810474507703</v>
      </c>
      <c r="S4656" t="s">
        <v>10239</v>
      </c>
      <c r="T4656" t="s">
        <v>11164</v>
      </c>
      <c r="U4656" t="s">
        <v>11164</v>
      </c>
      <c r="V4656" t="s">
        <v>11164</v>
      </c>
      <c r="W4656" t="s">
        <v>15776</v>
      </c>
      <c r="X4656">
        <v>16</v>
      </c>
      <c r="Y4656" t="s">
        <v>21247</v>
      </c>
      <c r="Z4656" t="s">
        <v>26806</v>
      </c>
      <c r="AA4656">
        <v>0.98876472334018795</v>
      </c>
      <c r="AB4656" t="str">
        <f>HYPERLINK("Melting_Curves/meltCurve_Q9BWD1_ACAT2.pdf", "Melting_Curves/meltCurve_Q9BWD1_ACAT2.pdf")</f>
        <v>Melting_Curves/meltCurve_Q9BWD1_ACAT2.pdf</v>
      </c>
    </row>
    <row r="4657" spans="1:28" x14ac:dyDescent="0.25">
      <c r="A4657" t="s">
        <v>4661</v>
      </c>
      <c r="B4657">
        <v>0.99796759195183404</v>
      </c>
      <c r="C4657">
        <v>0.96013023100683903</v>
      </c>
      <c r="D4657">
        <v>1.00903776428325</v>
      </c>
      <c r="E4657">
        <v>0.91216756792184195</v>
      </c>
      <c r="F4657">
        <v>0.60721583437366999</v>
      </c>
      <c r="G4657">
        <v>0.32661231076657099</v>
      </c>
      <c r="H4657">
        <v>0.235323636497935</v>
      </c>
      <c r="I4657">
        <v>0.19540894812436099</v>
      </c>
      <c r="J4657">
        <v>0.117669427179319</v>
      </c>
      <c r="K4657">
        <v>6.1394881219152701E-2</v>
      </c>
      <c r="L4657">
        <v>1014.74433944183</v>
      </c>
      <c r="M4657">
        <v>19.890000351545201</v>
      </c>
      <c r="N4657">
        <v>51.669827799695497</v>
      </c>
      <c r="O4657">
        <v>50.510502439224098</v>
      </c>
      <c r="P4657">
        <v>-8.7522229018224706E-2</v>
      </c>
      <c r="Q4657">
        <v>0.110981436069192</v>
      </c>
      <c r="R4657">
        <v>0.99210537079962302</v>
      </c>
      <c r="S4657" t="s">
        <v>10240</v>
      </c>
      <c r="T4657" t="s">
        <v>11164</v>
      </c>
      <c r="U4657" t="s">
        <v>11164</v>
      </c>
      <c r="V4657" t="s">
        <v>11164</v>
      </c>
      <c r="W4657" t="s">
        <v>15777</v>
      </c>
      <c r="X4657">
        <v>3</v>
      </c>
      <c r="Y4657" t="s">
        <v>21248</v>
      </c>
      <c r="Z4657" t="s">
        <v>26807</v>
      </c>
      <c r="AA4657">
        <v>0.53812946523650973</v>
      </c>
      <c r="AB4657" t="str">
        <f>HYPERLINK("Melting_Curves/meltCurve_Q9BWD3_FAM127B.pdf", "Melting_Curves/meltCurve_Q9BWD3_FAM127B.pdf")</f>
        <v>Melting_Curves/meltCurve_Q9BWD3_FAM127B.pdf</v>
      </c>
    </row>
    <row r="4658" spans="1:28" x14ac:dyDescent="0.25">
      <c r="A4658" t="s">
        <v>4662</v>
      </c>
      <c r="B4658">
        <v>0.99796759195183404</v>
      </c>
      <c r="C4658">
        <v>1.0244223788886599</v>
      </c>
      <c r="D4658">
        <v>1.02612854992376</v>
      </c>
      <c r="E4658">
        <v>0.89869481038590704</v>
      </c>
      <c r="F4658">
        <v>0.535529012356039</v>
      </c>
      <c r="G4658">
        <v>0.25805078403053</v>
      </c>
      <c r="H4658">
        <v>0.195439268348921</v>
      </c>
      <c r="I4658">
        <v>0.16751131506358</v>
      </c>
      <c r="J4658">
        <v>0.13794897627767</v>
      </c>
      <c r="K4658">
        <v>0.109464101507757</v>
      </c>
      <c r="L4658">
        <v>1341.2255248527399</v>
      </c>
      <c r="M4658">
        <v>26.8400179401686</v>
      </c>
      <c r="N4658">
        <v>50.608290438574599</v>
      </c>
      <c r="O4658">
        <v>49.696183687143197</v>
      </c>
      <c r="P4658">
        <v>-0.115662954538163</v>
      </c>
      <c r="Q4658">
        <v>0.14337625882910701</v>
      </c>
      <c r="R4658">
        <v>0.99702118745606805</v>
      </c>
      <c r="S4658" t="s">
        <v>10241</v>
      </c>
      <c r="T4658" t="s">
        <v>11164</v>
      </c>
      <c r="U4658" t="s">
        <v>11164</v>
      </c>
      <c r="V4658" t="s">
        <v>11164</v>
      </c>
      <c r="W4658" t="s">
        <v>15778</v>
      </c>
      <c r="X4658">
        <v>19</v>
      </c>
      <c r="Y4658" t="s">
        <v>21249</v>
      </c>
      <c r="Z4658" t="s">
        <v>26808</v>
      </c>
      <c r="AA4658">
        <v>0.52028795950746554</v>
      </c>
      <c r="AB4658" t="str">
        <f>HYPERLINK("Melting_Curves/meltCurve_Q9BWF3_RBM4.pdf", "Melting_Curves/meltCurve_Q9BWF3_RBM4.pdf")</f>
        <v>Melting_Curves/meltCurve_Q9BWF3_RBM4.pdf</v>
      </c>
    </row>
    <row r="4659" spans="1:28" x14ac:dyDescent="0.25">
      <c r="A4659" t="s">
        <v>4663</v>
      </c>
      <c r="B4659">
        <v>0.99796759195183404</v>
      </c>
      <c r="C4659">
        <v>0.97555985268581902</v>
      </c>
      <c r="D4659">
        <v>0.92511537745275896</v>
      </c>
      <c r="E4659">
        <v>0.95594312412850402</v>
      </c>
      <c r="F4659">
        <v>0.82663545588624698</v>
      </c>
      <c r="G4659">
        <v>0.49664082832646</v>
      </c>
      <c r="H4659">
        <v>0.47043258951229699</v>
      </c>
      <c r="I4659">
        <v>0.45138984560469902</v>
      </c>
      <c r="J4659">
        <v>0.468241943110841</v>
      </c>
      <c r="K4659">
        <v>0.39510406470304898</v>
      </c>
      <c r="L4659">
        <v>2023.09483420783</v>
      </c>
      <c r="M4659">
        <v>39.572756370104798</v>
      </c>
      <c r="N4659">
        <v>54.058381093691203</v>
      </c>
      <c r="O4659">
        <v>50.9933938546124</v>
      </c>
      <c r="P4659">
        <v>-0.108321338214395</v>
      </c>
      <c r="Q4659">
        <v>0.44167034794780802</v>
      </c>
      <c r="R4659">
        <v>0.98186914495875199</v>
      </c>
      <c r="S4659" t="s">
        <v>10242</v>
      </c>
      <c r="T4659" t="s">
        <v>11164</v>
      </c>
      <c r="U4659" t="s">
        <v>11164</v>
      </c>
      <c r="V4659" t="s">
        <v>11164</v>
      </c>
      <c r="W4659" t="s">
        <v>15779</v>
      </c>
      <c r="X4659">
        <v>2</v>
      </c>
      <c r="Y4659" t="s">
        <v>21250</v>
      </c>
      <c r="Z4659" t="s">
        <v>26809</v>
      </c>
      <c r="AA4659">
        <v>0.70653432263695748</v>
      </c>
      <c r="AB4659" t="str">
        <f>HYPERLINK("Melting_Curves/meltCurve_Q9BWG6_2_SCNM1.pdf", "Melting_Curves/meltCurve_Q9BWG6_2_SCNM1.pdf")</f>
        <v>Melting_Curves/meltCurve_Q9BWG6_2_SCNM1.pdf</v>
      </c>
    </row>
    <row r="4660" spans="1:28" x14ac:dyDescent="0.25">
      <c r="A4660" t="s">
        <v>4664</v>
      </c>
      <c r="B4660">
        <v>0.99796759195183404</v>
      </c>
      <c r="C4660">
        <v>1.0418109926805399</v>
      </c>
      <c r="D4660">
        <v>0.97854798524448805</v>
      </c>
      <c r="E4660">
        <v>1.04640323360695</v>
      </c>
      <c r="F4660">
        <v>0.98056867609767595</v>
      </c>
      <c r="G4660">
        <v>0.67336749746805302</v>
      </c>
      <c r="H4660">
        <v>0.81950488065759897</v>
      </c>
      <c r="I4660">
        <v>0.73487515626184297</v>
      </c>
      <c r="J4660">
        <v>0.81228630589241002</v>
      </c>
      <c r="K4660">
        <v>0.77502343780636995</v>
      </c>
      <c r="L4660">
        <v>12671.2602743506</v>
      </c>
      <c r="M4660">
        <v>250</v>
      </c>
      <c r="O4660">
        <v>50.681818139480697</v>
      </c>
      <c r="P4660">
        <v>-0.292250572606852</v>
      </c>
      <c r="Q4660">
        <v>0.76301144980234803</v>
      </c>
      <c r="R4660">
        <v>0.88866601186546301</v>
      </c>
      <c r="S4660" t="s">
        <v>10243</v>
      </c>
      <c r="T4660" t="s">
        <v>11164</v>
      </c>
      <c r="U4660" t="s">
        <v>11164</v>
      </c>
      <c r="V4660" t="s">
        <v>11164</v>
      </c>
      <c r="W4660" t="s">
        <v>15780</v>
      </c>
      <c r="X4660">
        <v>2</v>
      </c>
      <c r="Y4660" t="s">
        <v>21251</v>
      </c>
      <c r="Z4660" t="s">
        <v>26810</v>
      </c>
      <c r="AA4660">
        <v>0.87113913191510917</v>
      </c>
      <c r="AB4660" t="str">
        <f>HYPERLINK("Melting_Curves/meltCurve_Q9BWH2_FUNDC2.pdf", "Melting_Curves/meltCurve_Q9BWH2_FUNDC2.pdf")</f>
        <v>Melting_Curves/meltCurve_Q9BWH2_FUNDC2.pdf</v>
      </c>
    </row>
    <row r="4661" spans="1:28" x14ac:dyDescent="0.25">
      <c r="A4661" t="s">
        <v>4665</v>
      </c>
      <c r="B4661">
        <v>0.99796759195183404</v>
      </c>
      <c r="C4661">
        <v>1.10099098839419</v>
      </c>
      <c r="D4661">
        <v>1.05326931431476</v>
      </c>
      <c r="E4661">
        <v>0.99367392465517601</v>
      </c>
      <c r="F4661">
        <v>0.97691028029734395</v>
      </c>
      <c r="G4661">
        <v>1.0702009537860599</v>
      </c>
      <c r="H4661">
        <v>0.52959472342050296</v>
      </c>
      <c r="I4661">
        <v>0.29206225306817402</v>
      </c>
      <c r="J4661">
        <v>0.16924932090464201</v>
      </c>
      <c r="K4661">
        <v>0.13554399487853799</v>
      </c>
      <c r="L4661">
        <v>4436.7033467145902</v>
      </c>
      <c r="M4661">
        <v>77.611396425550296</v>
      </c>
      <c r="N4661">
        <v>57.5340779156084</v>
      </c>
      <c r="O4661">
        <v>57.127696986480103</v>
      </c>
      <c r="P4661">
        <v>-0.27312340755189002</v>
      </c>
      <c r="Q4661">
        <v>0.19584443752070399</v>
      </c>
      <c r="R4661">
        <v>0.97810843359424005</v>
      </c>
      <c r="S4661" t="s">
        <v>10244</v>
      </c>
      <c r="T4661" t="s">
        <v>11164</v>
      </c>
      <c r="U4661" t="s">
        <v>11164</v>
      </c>
      <c r="V4661" t="s">
        <v>11164</v>
      </c>
      <c r="W4661" t="s">
        <v>15781</v>
      </c>
      <c r="X4661">
        <v>6</v>
      </c>
      <c r="Y4661" t="s">
        <v>21252</v>
      </c>
      <c r="Z4661" t="s">
        <v>26811</v>
      </c>
      <c r="AA4661">
        <v>0.73722606343534447</v>
      </c>
      <c r="AB4661" t="str">
        <f>HYPERLINK("Melting_Curves/meltCurve_Q9BWH6_2_RPAP1.pdf", "Melting_Curves/meltCurve_Q9BWH6_2_RPAP1.pdf")</f>
        <v>Melting_Curves/meltCurve_Q9BWH6_2_RPAP1.pdf</v>
      </c>
    </row>
    <row r="4662" spans="1:28" x14ac:dyDescent="0.25">
      <c r="A4662" t="s">
        <v>4666</v>
      </c>
      <c r="B4662">
        <v>0.99796759195183404</v>
      </c>
      <c r="C4662">
        <v>1.19722115223416</v>
      </c>
      <c r="D4662">
        <v>1.0973225016216399</v>
      </c>
      <c r="E4662">
        <v>1.12976900760271</v>
      </c>
      <c r="F4662">
        <v>1.12854568519164</v>
      </c>
      <c r="G4662">
        <v>1.5702048628621099</v>
      </c>
      <c r="H4662">
        <v>1.85082617490934</v>
      </c>
      <c r="I4662">
        <v>0.92536092043958196</v>
      </c>
      <c r="J4662">
        <v>1.09166323574552</v>
      </c>
      <c r="K4662">
        <v>0.97666315472445497</v>
      </c>
      <c r="L4662">
        <v>624.12606869010995</v>
      </c>
      <c r="M4662">
        <v>15.227201316328999</v>
      </c>
      <c r="O4662">
        <v>40.300169973009197</v>
      </c>
      <c r="P4662">
        <v>2.3288453641052202E-2</v>
      </c>
      <c r="Q4662">
        <v>1.2465165421598401</v>
      </c>
      <c r="R4662">
        <v>6.4500221191322593E-2</v>
      </c>
      <c r="S4662" t="s">
        <v>10245</v>
      </c>
      <c r="T4662" t="s">
        <v>11164</v>
      </c>
      <c r="U4662" t="s">
        <v>11164</v>
      </c>
      <c r="V4662" t="s">
        <v>11164</v>
      </c>
      <c r="W4662" t="s">
        <v>15782</v>
      </c>
      <c r="X4662">
        <v>2</v>
      </c>
      <c r="Y4662" t="s">
        <v>21253</v>
      </c>
      <c r="Z4662" t="s">
        <v>26812</v>
      </c>
      <c r="AA4662">
        <v>1.205992684297144</v>
      </c>
      <c r="AB4662" t="str">
        <f>HYPERLINK("Melting_Curves/meltCurve_Q9BWJ5_SF3B5.pdf", "Melting_Curves/meltCurve_Q9BWJ5_SF3B5.pdf")</f>
        <v>Melting_Curves/meltCurve_Q9BWJ5_SF3B5.pdf</v>
      </c>
    </row>
    <row r="4663" spans="1:28" x14ac:dyDescent="0.25">
      <c r="A4663" t="s">
        <v>4667</v>
      </c>
      <c r="B4663">
        <v>0.99796759195183404</v>
      </c>
      <c r="C4663">
        <v>1.0108438238294299</v>
      </c>
      <c r="D4663">
        <v>0.95318314284016903</v>
      </c>
      <c r="E4663">
        <v>0.90412462603560795</v>
      </c>
      <c r="F4663">
        <v>0.80409747964534894</v>
      </c>
      <c r="G4663">
        <v>0.73481416204762995</v>
      </c>
      <c r="H4663">
        <v>0.56757420159106697</v>
      </c>
      <c r="I4663">
        <v>0.29201440179066002</v>
      </c>
      <c r="J4663">
        <v>0.195291080413795</v>
      </c>
      <c r="K4663">
        <v>0.13405025420754099</v>
      </c>
      <c r="L4663">
        <v>713.52025891734002</v>
      </c>
      <c r="M4663">
        <v>12.410407408017299</v>
      </c>
      <c r="N4663">
        <v>57.493701627107498</v>
      </c>
      <c r="O4663">
        <v>56.062107442973698</v>
      </c>
      <c r="P4663">
        <v>-5.5353937332733298E-2</v>
      </c>
      <c r="Q4663">
        <v>0</v>
      </c>
      <c r="R4663">
        <v>0.98738875068887899</v>
      </c>
      <c r="S4663" t="s">
        <v>10246</v>
      </c>
      <c r="T4663" t="s">
        <v>11164</v>
      </c>
      <c r="U4663" t="s">
        <v>11164</v>
      </c>
      <c r="V4663" t="s">
        <v>11164</v>
      </c>
      <c r="W4663" t="s">
        <v>15783</v>
      </c>
      <c r="X4663">
        <v>10</v>
      </c>
      <c r="Y4663" t="s">
        <v>21254</v>
      </c>
      <c r="Z4663" t="s">
        <v>26813</v>
      </c>
      <c r="AA4663">
        <v>0.68582399996850885</v>
      </c>
      <c r="AB4663" t="str">
        <f>HYPERLINK("Melting_Curves/meltCurve_Q9BWM7_SFXN3.pdf", "Melting_Curves/meltCurve_Q9BWM7_SFXN3.pdf")</f>
        <v>Melting_Curves/meltCurve_Q9BWM7_SFXN3.pdf</v>
      </c>
    </row>
    <row r="4664" spans="1:28" x14ac:dyDescent="0.25">
      <c r="A4664" t="s">
        <v>4668</v>
      </c>
      <c r="B4664">
        <v>0.99796759195183404</v>
      </c>
      <c r="C4664">
        <v>0.87826187450861903</v>
      </c>
      <c r="D4664">
        <v>0.89878780485977405</v>
      </c>
      <c r="E4664">
        <v>0.70051180902485199</v>
      </c>
      <c r="F4664">
        <v>0.42452188733497898</v>
      </c>
      <c r="G4664">
        <v>0.31293831419694801</v>
      </c>
      <c r="H4664">
        <v>0.235876734034935</v>
      </c>
      <c r="I4664">
        <v>0.18354326449508901</v>
      </c>
      <c r="J4664">
        <v>0.15864094361460199</v>
      </c>
      <c r="K4664">
        <v>6.0918799580993603E-2</v>
      </c>
      <c r="L4664">
        <v>591.74930924271405</v>
      </c>
      <c r="M4664">
        <v>12.083826977743501</v>
      </c>
      <c r="N4664">
        <v>49.693425105017198</v>
      </c>
      <c r="O4664">
        <v>47.687072517294403</v>
      </c>
      <c r="P4664">
        <v>-5.82561221654826E-2</v>
      </c>
      <c r="Q4664">
        <v>8.0618350076468795E-2</v>
      </c>
      <c r="R4664">
        <v>0.987162322972432</v>
      </c>
      <c r="S4664" t="s">
        <v>10247</v>
      </c>
      <c r="T4664" t="s">
        <v>11164</v>
      </c>
      <c r="U4664" t="s">
        <v>11164</v>
      </c>
      <c r="V4664" t="s">
        <v>11164</v>
      </c>
      <c r="W4664" t="s">
        <v>15784</v>
      </c>
      <c r="X4664">
        <v>3</v>
      </c>
      <c r="Y4664" t="s">
        <v>21255</v>
      </c>
      <c r="Z4664" t="s">
        <v>26814</v>
      </c>
      <c r="AA4664">
        <v>0.47457823782661718</v>
      </c>
      <c r="AB4664" t="str">
        <f>HYPERLINK("Melting_Curves/meltCurve_Q9BWT3_PAPOLG.pdf", "Melting_Curves/meltCurve_Q9BWT3_PAPOLG.pdf")</f>
        <v>Melting_Curves/meltCurve_Q9BWT3_PAPOLG.pdf</v>
      </c>
    </row>
    <row r="4665" spans="1:28" x14ac:dyDescent="0.25">
      <c r="A4665" t="s">
        <v>4669</v>
      </c>
      <c r="B4665">
        <v>0.99796759195183404</v>
      </c>
      <c r="C4665">
        <v>1.2312470830864899</v>
      </c>
      <c r="D4665">
        <v>0.78961310183698896</v>
      </c>
      <c r="E4665">
        <v>0.61761295199315802</v>
      </c>
      <c r="F4665">
        <v>1.03700074744031</v>
      </c>
      <c r="G4665">
        <v>0.57514281473192497</v>
      </c>
      <c r="H4665">
        <v>0.565746465271735</v>
      </c>
      <c r="I4665">
        <v>1.0698311385502099</v>
      </c>
      <c r="J4665">
        <v>0.94252329424218195</v>
      </c>
      <c r="K4665">
        <v>1.0327217664714701</v>
      </c>
      <c r="L4665">
        <v>10386.243192031099</v>
      </c>
      <c r="M4665">
        <v>250</v>
      </c>
      <c r="O4665">
        <v>41.542314691478602</v>
      </c>
      <c r="P4665">
        <v>-0.25761157532373702</v>
      </c>
      <c r="Q4665">
        <v>0.82877150428429103</v>
      </c>
      <c r="R4665">
        <v>0.21161484732124999</v>
      </c>
      <c r="S4665" t="s">
        <v>10248</v>
      </c>
      <c r="T4665" t="s">
        <v>11164</v>
      </c>
      <c r="U4665" t="s">
        <v>11164</v>
      </c>
      <c r="V4665" t="s">
        <v>11164</v>
      </c>
      <c r="W4665" t="s">
        <v>15785</v>
      </c>
      <c r="X4665">
        <v>1</v>
      </c>
      <c r="Y4665" t="s">
        <v>21256</v>
      </c>
      <c r="Z4665" t="s">
        <v>26815</v>
      </c>
      <c r="AA4665">
        <v>0.85472495035940577</v>
      </c>
      <c r="AB4665" t="str">
        <f>HYPERLINK("Melting_Curves/meltCurve_Q9BWT7_CARD10.pdf", "Melting_Curves/meltCurve_Q9BWT7_CARD10.pdf")</f>
        <v>Melting_Curves/meltCurve_Q9BWT7_CARD10.pdf</v>
      </c>
    </row>
    <row r="4666" spans="1:28" x14ac:dyDescent="0.25">
      <c r="A4666" t="s">
        <v>4670</v>
      </c>
      <c r="B4666">
        <v>0.99796759195183404</v>
      </c>
      <c r="C4666">
        <v>1.01887225449772</v>
      </c>
      <c r="D4666">
        <v>1.0106381460279401</v>
      </c>
      <c r="E4666">
        <v>0.94649310683514598</v>
      </c>
      <c r="F4666">
        <v>0.75554247704205801</v>
      </c>
      <c r="G4666">
        <v>0.39958575457483297</v>
      </c>
      <c r="H4666">
        <v>0.28040924371985099</v>
      </c>
      <c r="I4666">
        <v>0.18759772152882601</v>
      </c>
      <c r="J4666">
        <v>0.12107493571985301</v>
      </c>
      <c r="K4666">
        <v>9.8021676677882197E-2</v>
      </c>
      <c r="L4666">
        <v>1081.8557286476</v>
      </c>
      <c r="M4666">
        <v>20.6584261023729</v>
      </c>
      <c r="N4666">
        <v>53.042143486929298</v>
      </c>
      <c r="O4666">
        <v>51.885431298534598</v>
      </c>
      <c r="P4666">
        <v>-8.8059582943652598E-2</v>
      </c>
      <c r="Q4666">
        <v>0.115348128859323</v>
      </c>
      <c r="R4666">
        <v>0.99584830955653703</v>
      </c>
      <c r="S4666" t="s">
        <v>10249</v>
      </c>
      <c r="T4666" t="s">
        <v>11164</v>
      </c>
      <c r="U4666" t="s">
        <v>11164</v>
      </c>
      <c r="V4666" t="s">
        <v>11164</v>
      </c>
      <c r="W4666" t="s">
        <v>15786</v>
      </c>
      <c r="X4666">
        <v>19</v>
      </c>
      <c r="Y4666" t="s">
        <v>21257</v>
      </c>
      <c r="Z4666" t="s">
        <v>26816</v>
      </c>
      <c r="AA4666">
        <v>0.57933184075601063</v>
      </c>
      <c r="AB4666" t="str">
        <f>HYPERLINK("Melting_Curves/meltCurve_Q9BWU0_SLC4A1AP.pdf", "Melting_Curves/meltCurve_Q9BWU0_SLC4A1AP.pdf")</f>
        <v>Melting_Curves/meltCurve_Q9BWU0_SLC4A1AP.pdf</v>
      </c>
    </row>
    <row r="4667" spans="1:28" x14ac:dyDescent="0.25">
      <c r="A4667" t="s">
        <v>4671</v>
      </c>
      <c r="B4667">
        <v>0.99796759195183404</v>
      </c>
      <c r="C4667">
        <v>0.98242047926586196</v>
      </c>
      <c r="D4667">
        <v>1.00014405765755</v>
      </c>
      <c r="E4667">
        <v>0.92259525918751795</v>
      </c>
      <c r="F4667">
        <v>0.79185958704866699</v>
      </c>
      <c r="G4667">
        <v>0.44253142621830999</v>
      </c>
      <c r="H4667">
        <v>0.24533128453282599</v>
      </c>
      <c r="I4667">
        <v>0.174823819995201</v>
      </c>
      <c r="J4667">
        <v>0.13588291088910601</v>
      </c>
      <c r="K4667">
        <v>9.2974296361336597E-2</v>
      </c>
      <c r="L4667">
        <v>1103.68782643759</v>
      </c>
      <c r="M4667">
        <v>20.932222499889999</v>
      </c>
      <c r="N4667">
        <v>53.331599523842797</v>
      </c>
      <c r="O4667">
        <v>52.252597965546897</v>
      </c>
      <c r="P4667">
        <v>-8.9569558230778598E-2</v>
      </c>
      <c r="Q4667">
        <v>0.105663253216793</v>
      </c>
      <c r="R4667">
        <v>0.99802857765041497</v>
      </c>
      <c r="S4667" t="s">
        <v>10250</v>
      </c>
      <c r="T4667" t="s">
        <v>11164</v>
      </c>
      <c r="U4667" t="s">
        <v>11164</v>
      </c>
      <c r="V4667" t="s">
        <v>11164</v>
      </c>
      <c r="W4667" t="s">
        <v>15787</v>
      </c>
      <c r="X4667">
        <v>7</v>
      </c>
      <c r="Y4667" t="s">
        <v>21258</v>
      </c>
      <c r="Z4667" t="s">
        <v>26817</v>
      </c>
      <c r="AA4667">
        <v>0.58509947901756065</v>
      </c>
      <c r="AB4667" t="str">
        <f>HYPERLINK("Melting_Curves/meltCurve_Q9BX40_LSM14B.pdf", "Melting_Curves/meltCurve_Q9BX40_LSM14B.pdf")</f>
        <v>Melting_Curves/meltCurve_Q9BX40_LSM14B.pdf</v>
      </c>
    </row>
    <row r="4668" spans="1:28" x14ac:dyDescent="0.25">
      <c r="A4668" t="s">
        <v>4672</v>
      </c>
      <c r="B4668">
        <v>0.99796759195183404</v>
      </c>
      <c r="C4668">
        <v>0.99997036761217994</v>
      </c>
      <c r="D4668">
        <v>0.94543035397043196</v>
      </c>
      <c r="E4668">
        <v>0.84322563426160502</v>
      </c>
      <c r="F4668">
        <v>0.67568334052451295</v>
      </c>
      <c r="G4668">
        <v>0.46586390506241798</v>
      </c>
      <c r="H4668">
        <v>0.242271310222238</v>
      </c>
      <c r="I4668">
        <v>0.24930046926727001</v>
      </c>
      <c r="J4668">
        <v>0.184710173998547</v>
      </c>
      <c r="K4668">
        <v>0.208039989035991</v>
      </c>
      <c r="L4668">
        <v>811.44863732056206</v>
      </c>
      <c r="M4668">
        <v>15.7888529164511</v>
      </c>
      <c r="N4668">
        <v>52.724368595116204</v>
      </c>
      <c r="O4668">
        <v>50.590513952314197</v>
      </c>
      <c r="P4668">
        <v>-6.5207159024191302E-2</v>
      </c>
      <c r="Q4668">
        <v>0.164324061350066</v>
      </c>
      <c r="R4668">
        <v>0.99448597985672904</v>
      </c>
      <c r="S4668" t="s">
        <v>10251</v>
      </c>
      <c r="T4668" t="s">
        <v>11164</v>
      </c>
      <c r="U4668" t="s">
        <v>11164</v>
      </c>
      <c r="V4668" t="s">
        <v>11164</v>
      </c>
      <c r="W4668" t="s">
        <v>15788</v>
      </c>
      <c r="X4668">
        <v>4</v>
      </c>
      <c r="Y4668" t="s">
        <v>21259</v>
      </c>
      <c r="Z4668" t="s">
        <v>26818</v>
      </c>
      <c r="AA4668">
        <v>0.58074116628321193</v>
      </c>
      <c r="AB4668" t="str">
        <f>HYPERLINK("Melting_Curves/meltCurve_Q9BX63_BRIP1.pdf", "Melting_Curves/meltCurve_Q9BX63_BRIP1.pdf")</f>
        <v>Melting_Curves/meltCurve_Q9BX63_BRIP1.pdf</v>
      </c>
    </row>
    <row r="4669" spans="1:28" x14ac:dyDescent="0.25">
      <c r="A4669" t="s">
        <v>4673</v>
      </c>
      <c r="B4669">
        <v>0.99796759195183404</v>
      </c>
      <c r="C4669">
        <v>1.0267339831401101</v>
      </c>
      <c r="D4669">
        <v>0.95471139043592701</v>
      </c>
      <c r="E4669">
        <v>0.90909765239177098</v>
      </c>
      <c r="F4669">
        <v>0.83539857594677502</v>
      </c>
      <c r="G4669">
        <v>0.59883297051867301</v>
      </c>
      <c r="H4669">
        <v>0.42569028778912299</v>
      </c>
      <c r="I4669">
        <v>0.308951872342345</v>
      </c>
      <c r="J4669">
        <v>0.229235881970588</v>
      </c>
      <c r="K4669">
        <v>0.20370735730762199</v>
      </c>
      <c r="L4669">
        <v>771.58716993939299</v>
      </c>
      <c r="M4669">
        <v>14.1446921770657</v>
      </c>
      <c r="N4669">
        <v>55.8861152804987</v>
      </c>
      <c r="O4669">
        <v>53.493993331716602</v>
      </c>
      <c r="P4669">
        <v>-5.6625406335489799E-2</v>
      </c>
      <c r="Q4669">
        <v>0.143499467212021</v>
      </c>
      <c r="R4669">
        <v>0.99664818977082703</v>
      </c>
      <c r="S4669" t="s">
        <v>10252</v>
      </c>
      <c r="T4669" t="s">
        <v>11164</v>
      </c>
      <c r="U4669" t="s">
        <v>11164</v>
      </c>
      <c r="V4669" t="s">
        <v>11164</v>
      </c>
      <c r="W4669" t="s">
        <v>15789</v>
      </c>
      <c r="X4669">
        <v>6</v>
      </c>
      <c r="Y4669" t="s">
        <v>21260</v>
      </c>
      <c r="Z4669" t="s">
        <v>26819</v>
      </c>
      <c r="AA4669">
        <v>0.65784500540914403</v>
      </c>
      <c r="AB4669" t="str">
        <f>HYPERLINK("Melting_Curves/meltCurve_Q9BX66_9_SORBS1.pdf", "Melting_Curves/meltCurve_Q9BX66_9_SORBS1.pdf")</f>
        <v>Melting_Curves/meltCurve_Q9BX66_9_SORBS1.pdf</v>
      </c>
    </row>
    <row r="4670" spans="1:28" x14ac:dyDescent="0.25">
      <c r="A4670" t="s">
        <v>4674</v>
      </c>
      <c r="B4670">
        <v>0.99796759195183404</v>
      </c>
      <c r="C4670">
        <v>1.1457058386171399</v>
      </c>
      <c r="D4670">
        <v>1.0501574988072999</v>
      </c>
      <c r="E4670">
        <v>1.0403246373211801</v>
      </c>
      <c r="F4670">
        <v>0.94651378872843195</v>
      </c>
      <c r="G4670">
        <v>0.69441003283632996</v>
      </c>
      <c r="H4670">
        <v>0.63392858133290397</v>
      </c>
      <c r="I4670">
        <v>0.55623326360259895</v>
      </c>
      <c r="J4670">
        <v>0.60860886669762104</v>
      </c>
      <c r="K4670">
        <v>0.392098728687372</v>
      </c>
      <c r="L4670">
        <v>1244.1280758043599</v>
      </c>
      <c r="M4670">
        <v>23.172625182279599</v>
      </c>
      <c r="O4670">
        <v>53.294525620265901</v>
      </c>
      <c r="P4670">
        <v>-5.3638598492269401E-2</v>
      </c>
      <c r="Q4670">
        <v>0.50655724394242496</v>
      </c>
      <c r="R4670">
        <v>0.90874488281972798</v>
      </c>
      <c r="S4670" t="s">
        <v>10253</v>
      </c>
      <c r="T4670" t="s">
        <v>11164</v>
      </c>
      <c r="U4670" t="s">
        <v>11164</v>
      </c>
      <c r="V4670" t="s">
        <v>11164</v>
      </c>
      <c r="W4670" t="s">
        <v>15790</v>
      </c>
      <c r="X4670">
        <v>8</v>
      </c>
      <c r="Y4670" t="s">
        <v>21261</v>
      </c>
      <c r="Z4670" t="s">
        <v>26820</v>
      </c>
      <c r="AA4670">
        <v>0.78595915928071447</v>
      </c>
      <c r="AB4670" t="str">
        <f>HYPERLINK("Melting_Curves/meltCurve_Q9BX67_JAM3.pdf", "Melting_Curves/meltCurve_Q9BX67_JAM3.pdf")</f>
        <v>Melting_Curves/meltCurve_Q9BX67_JAM3.pdf</v>
      </c>
    </row>
    <row r="4671" spans="1:28" x14ac:dyDescent="0.25">
      <c r="A4671" t="s">
        <v>4675</v>
      </c>
      <c r="B4671">
        <v>0.99796759195183404</v>
      </c>
      <c r="C4671">
        <v>1.0134688266852601</v>
      </c>
      <c r="D4671">
        <v>0.92205878944641995</v>
      </c>
      <c r="E4671">
        <v>0.908289065893086</v>
      </c>
      <c r="F4671">
        <v>0.83896036149339803</v>
      </c>
      <c r="G4671">
        <v>0.59070890633895701</v>
      </c>
      <c r="H4671">
        <v>0.51187600504427899</v>
      </c>
      <c r="I4671">
        <v>0.367560368741289</v>
      </c>
      <c r="J4671">
        <v>0.24035031378105001</v>
      </c>
      <c r="K4671">
        <v>0.14469908028303499</v>
      </c>
      <c r="L4671">
        <v>585.29903456082297</v>
      </c>
      <c r="M4671">
        <v>10.2655450217644</v>
      </c>
      <c r="N4671">
        <v>57.0158752869743</v>
      </c>
      <c r="O4671">
        <v>54.979369103792898</v>
      </c>
      <c r="P4671">
        <v>-4.6699626832643601E-2</v>
      </c>
      <c r="Q4671">
        <v>0</v>
      </c>
      <c r="R4671">
        <v>0.98932351157665099</v>
      </c>
      <c r="S4671" t="s">
        <v>10254</v>
      </c>
      <c r="T4671" t="s">
        <v>11164</v>
      </c>
      <c r="U4671" t="s">
        <v>11164</v>
      </c>
      <c r="V4671" t="s">
        <v>11164</v>
      </c>
      <c r="W4671" t="s">
        <v>15791</v>
      </c>
      <c r="X4671">
        <v>9</v>
      </c>
      <c r="Y4671" t="s">
        <v>21262</v>
      </c>
      <c r="Z4671" t="s">
        <v>26821</v>
      </c>
      <c r="AA4671">
        <v>0.66718922171097295</v>
      </c>
      <c r="AB4671" t="str">
        <f>HYPERLINK("Melting_Curves/meltCurve_Q9BX68_HINT2.pdf", "Melting_Curves/meltCurve_Q9BX68_HINT2.pdf")</f>
        <v>Melting_Curves/meltCurve_Q9BX68_HINT2.pdf</v>
      </c>
    </row>
    <row r="4672" spans="1:28" x14ac:dyDescent="0.25">
      <c r="A4672" t="s">
        <v>4676</v>
      </c>
      <c r="B4672">
        <v>0.99796759195183404</v>
      </c>
      <c r="C4672">
        <v>1.02240328032477</v>
      </c>
      <c r="D4672">
        <v>0.99004460136202199</v>
      </c>
      <c r="E4672">
        <v>0.94770949929688497</v>
      </c>
      <c r="F4672">
        <v>0.90400283887855004</v>
      </c>
      <c r="G4672">
        <v>0.66191182699595397</v>
      </c>
      <c r="H4672">
        <v>0.63768708016243902</v>
      </c>
      <c r="I4672">
        <v>0.36439932176057899</v>
      </c>
      <c r="J4672">
        <v>0.19927476474369299</v>
      </c>
      <c r="K4672">
        <v>0.15342817395907199</v>
      </c>
      <c r="L4672">
        <v>742.90175867994401</v>
      </c>
      <c r="M4672">
        <v>12.7449137100812</v>
      </c>
      <c r="N4672">
        <v>58.290058039143801</v>
      </c>
      <c r="O4672">
        <v>56.9108993679558</v>
      </c>
      <c r="P4672">
        <v>-5.59969488314917E-2</v>
      </c>
      <c r="Q4672">
        <v>0</v>
      </c>
      <c r="R4672">
        <v>0.98350317144666899</v>
      </c>
      <c r="S4672" t="s">
        <v>10255</v>
      </c>
      <c r="T4672" t="s">
        <v>11164</v>
      </c>
      <c r="U4672" t="s">
        <v>11164</v>
      </c>
      <c r="V4672" t="s">
        <v>11164</v>
      </c>
      <c r="W4672" t="s">
        <v>15792</v>
      </c>
      <c r="X4672">
        <v>5</v>
      </c>
      <c r="Y4672" t="s">
        <v>21263</v>
      </c>
      <c r="Z4672" t="s">
        <v>26822</v>
      </c>
      <c r="AA4672">
        <v>0.70840612602912456</v>
      </c>
      <c r="AB4672" t="str">
        <f>HYPERLINK("Melting_Curves/meltCurve_Q9BX95_SGPP1.pdf", "Melting_Curves/meltCurve_Q9BX95_SGPP1.pdf")</f>
        <v>Melting_Curves/meltCurve_Q9BX95_SGPP1.pdf</v>
      </c>
    </row>
    <row r="4673" spans="1:28" x14ac:dyDescent="0.25">
      <c r="A4673" t="s">
        <v>4677</v>
      </c>
      <c r="B4673">
        <v>0.99796759195183404</v>
      </c>
      <c r="C4673">
        <v>1.0271514894228799</v>
      </c>
      <c r="D4673">
        <v>0.926948328094782</v>
      </c>
      <c r="E4673">
        <v>0.83598778183964195</v>
      </c>
      <c r="F4673">
        <v>0.70124110894457603</v>
      </c>
      <c r="G4673">
        <v>0.307201133175042</v>
      </c>
      <c r="H4673">
        <v>0.18515577533483599</v>
      </c>
      <c r="I4673">
        <v>0.137994776619871</v>
      </c>
      <c r="J4673">
        <v>0.107691748080172</v>
      </c>
      <c r="K4673">
        <v>1.8564477577346899E-2</v>
      </c>
      <c r="L4673">
        <v>884.57893036444602</v>
      </c>
      <c r="M4673">
        <v>17.131277763665501</v>
      </c>
      <c r="N4673">
        <v>51.9017383716808</v>
      </c>
      <c r="O4673">
        <v>50.947134052456803</v>
      </c>
      <c r="P4673">
        <v>-8.0530456758596602E-2</v>
      </c>
      <c r="Q4673">
        <v>4.2091365119708901E-2</v>
      </c>
      <c r="R4673">
        <v>0.98989875233411595</v>
      </c>
      <c r="S4673" t="s">
        <v>10256</v>
      </c>
      <c r="T4673" t="s">
        <v>11164</v>
      </c>
      <c r="U4673" t="s">
        <v>11164</v>
      </c>
      <c r="V4673" t="s">
        <v>11164</v>
      </c>
      <c r="W4673" t="s">
        <v>15793</v>
      </c>
      <c r="X4673">
        <v>1</v>
      </c>
      <c r="Y4673" t="s">
        <v>21264</v>
      </c>
      <c r="Z4673" t="s">
        <v>26823</v>
      </c>
      <c r="AA4673">
        <v>0.5251197627329286</v>
      </c>
      <c r="AB4673" t="str">
        <f>HYPERLINK("Melting_Curves/meltCurve_Q9BXB4_OSBPL11.pdf", "Melting_Curves/meltCurve_Q9BXB4_OSBPL11.pdf")</f>
        <v>Melting_Curves/meltCurve_Q9BXB4_OSBPL11.pdf</v>
      </c>
    </row>
    <row r="4674" spans="1:28" x14ac:dyDescent="0.25">
      <c r="A4674" t="s">
        <v>4678</v>
      </c>
      <c r="B4674">
        <v>0.99796759195183404</v>
      </c>
      <c r="C4674">
        <v>0.91283284683850097</v>
      </c>
      <c r="D4674">
        <v>0.77351986504150705</v>
      </c>
      <c r="E4674">
        <v>0.76415099932554498</v>
      </c>
      <c r="F4674">
        <v>0.71715098751244</v>
      </c>
      <c r="G4674">
        <v>0.27915427927167902</v>
      </c>
      <c r="H4674">
        <v>0.15158678272401499</v>
      </c>
      <c r="I4674">
        <v>4.5489826942690097E-2</v>
      </c>
      <c r="J4674">
        <v>3.4584556291826003E-2</v>
      </c>
      <c r="K4674">
        <v>0</v>
      </c>
      <c r="L4674">
        <v>724.02190077820001</v>
      </c>
      <c r="M4674">
        <v>14.1610613716842</v>
      </c>
      <c r="N4674">
        <v>51.127658233575602</v>
      </c>
      <c r="O4674">
        <v>50.140492354130799</v>
      </c>
      <c r="P4674">
        <v>-7.0615847938912304E-2</v>
      </c>
      <c r="Q4674">
        <v>0</v>
      </c>
      <c r="R4674">
        <v>0.95685661272003597</v>
      </c>
      <c r="S4674" t="s">
        <v>10257</v>
      </c>
      <c r="T4674" t="s">
        <v>11164</v>
      </c>
      <c r="U4674" t="s">
        <v>11164</v>
      </c>
      <c r="V4674" t="s">
        <v>11164</v>
      </c>
      <c r="W4674" t="s">
        <v>15794</v>
      </c>
      <c r="X4674">
        <v>1</v>
      </c>
      <c r="Y4674" t="s">
        <v>21265</v>
      </c>
      <c r="Z4674" t="s">
        <v>26824</v>
      </c>
      <c r="AA4674">
        <v>0.49243347799438281</v>
      </c>
      <c r="AB4674" t="str">
        <f>HYPERLINK("Melting_Curves/meltCurve_Q9BXF6_RAB11FIP5.pdf", "Melting_Curves/meltCurve_Q9BXF6_RAB11FIP5.pdf")</f>
        <v>Melting_Curves/meltCurve_Q9BXF6_RAB11FIP5.pdf</v>
      </c>
    </row>
    <row r="4675" spans="1:28" x14ac:dyDescent="0.25">
      <c r="A4675" t="s">
        <v>4679</v>
      </c>
      <c r="B4675">
        <v>0.99796759195183404</v>
      </c>
      <c r="C4675">
        <v>0.99102699762061197</v>
      </c>
      <c r="D4675">
        <v>0.98338733450136995</v>
      </c>
      <c r="E4675">
        <v>0.95505371513593795</v>
      </c>
      <c r="F4675">
        <v>0.84489303154859396</v>
      </c>
      <c r="G4675">
        <v>0.65434785742038104</v>
      </c>
      <c r="H4675">
        <v>0.67168986124575303</v>
      </c>
      <c r="I4675">
        <v>0.52902585981009398</v>
      </c>
      <c r="J4675">
        <v>0.66905702725914196</v>
      </c>
      <c r="K4675">
        <v>0.68248377781348402</v>
      </c>
      <c r="L4675">
        <v>1687.6788013380401</v>
      </c>
      <c r="M4675">
        <v>33.439853432267498</v>
      </c>
      <c r="O4675">
        <v>50.289628338546997</v>
      </c>
      <c r="P4675">
        <v>-6.1056692075598301E-2</v>
      </c>
      <c r="Q4675">
        <v>0.63271311412045705</v>
      </c>
      <c r="R4675">
        <v>0.93792420186440095</v>
      </c>
      <c r="S4675" t="s">
        <v>10258</v>
      </c>
      <c r="T4675" t="s">
        <v>11164</v>
      </c>
      <c r="U4675" t="s">
        <v>11164</v>
      </c>
      <c r="V4675" t="s">
        <v>11164</v>
      </c>
      <c r="W4675" t="s">
        <v>15537</v>
      </c>
      <c r="X4675">
        <v>8</v>
      </c>
      <c r="Y4675" t="s">
        <v>21009</v>
      </c>
      <c r="Z4675" t="s">
        <v>26825</v>
      </c>
      <c r="AA4675">
        <v>0.7994454782425896</v>
      </c>
      <c r="AB4675" t="str">
        <f>HYPERLINK("Melting_Curves/meltCurve_Q9BXH1_BBC3.pdf", "Melting_Curves/meltCurve_Q9BXH1_BBC3.pdf")</f>
        <v>Melting_Curves/meltCurve_Q9BXH1_BBC3.pdf</v>
      </c>
    </row>
    <row r="4676" spans="1:28" x14ac:dyDescent="0.25">
      <c r="A4676" t="s">
        <v>4680</v>
      </c>
      <c r="B4676">
        <v>0.99796759195183404</v>
      </c>
      <c r="C4676">
        <v>1.00687147705756</v>
      </c>
      <c r="D4676">
        <v>0.99020338782919204</v>
      </c>
      <c r="E4676">
        <v>0.94592791472504001</v>
      </c>
      <c r="F4676">
        <v>0.812005784264627</v>
      </c>
      <c r="G4676">
        <v>0.79133149752307796</v>
      </c>
      <c r="H4676">
        <v>0.406374069101751</v>
      </c>
      <c r="I4676">
        <v>0.139733975081682</v>
      </c>
      <c r="J4676">
        <v>0.10281310371817499</v>
      </c>
      <c r="K4676">
        <v>8.2856934143727801E-2</v>
      </c>
      <c r="L4676">
        <v>1098.6531572039601</v>
      </c>
      <c r="M4676">
        <v>19.529543239730099</v>
      </c>
      <c r="N4676">
        <v>56.336870388614997</v>
      </c>
      <c r="O4676">
        <v>55.676072839488199</v>
      </c>
      <c r="P4676">
        <v>-8.6483058741039801E-2</v>
      </c>
      <c r="Q4676">
        <v>1.38294123058648E-2</v>
      </c>
      <c r="R4676">
        <v>0.98494395811656799</v>
      </c>
      <c r="S4676" t="s">
        <v>10259</v>
      </c>
      <c r="T4676" t="s">
        <v>11164</v>
      </c>
      <c r="U4676" t="s">
        <v>11164</v>
      </c>
      <c r="V4676" t="s">
        <v>11164</v>
      </c>
      <c r="W4676" t="s">
        <v>15795</v>
      </c>
      <c r="X4676">
        <v>39</v>
      </c>
      <c r="Y4676" t="s">
        <v>21266</v>
      </c>
      <c r="Z4676" t="s">
        <v>26826</v>
      </c>
      <c r="AA4676">
        <v>0.65678239939946081</v>
      </c>
      <c r="AB4676" t="str">
        <f>HYPERLINK("Melting_Curves/meltCurve_Q9BXJ9_NAA15.pdf", "Melting_Curves/meltCurve_Q9BXJ9_NAA15.pdf")</f>
        <v>Melting_Curves/meltCurve_Q9BXJ9_NAA15.pdf</v>
      </c>
    </row>
    <row r="4677" spans="1:28" x14ac:dyDescent="0.25">
      <c r="A4677" t="s">
        <v>4681</v>
      </c>
      <c r="B4677">
        <v>0.99796759195183404</v>
      </c>
      <c r="C4677">
        <v>0.943069894106498</v>
      </c>
      <c r="D4677">
        <v>0.90333077676858398</v>
      </c>
      <c r="E4677">
        <v>0.85621972778854905</v>
      </c>
      <c r="F4677">
        <v>0.79081696611932695</v>
      </c>
      <c r="G4677">
        <v>0.59118767838484099</v>
      </c>
      <c r="H4677">
        <v>0.43466525084389501</v>
      </c>
      <c r="I4677">
        <v>0.30076830433921198</v>
      </c>
      <c r="J4677">
        <v>0.16347311830473099</v>
      </c>
      <c r="K4677">
        <v>0.10334129780762399</v>
      </c>
      <c r="L4677">
        <v>595.427059100169</v>
      </c>
      <c r="M4677">
        <v>10.709894918598399</v>
      </c>
      <c r="N4677">
        <v>55.595997900206903</v>
      </c>
      <c r="O4677">
        <v>53.762820309389802</v>
      </c>
      <c r="P4677">
        <v>-4.9820208521526098E-2</v>
      </c>
      <c r="Q4677">
        <v>0</v>
      </c>
      <c r="R4677">
        <v>0.99039369060665805</v>
      </c>
      <c r="S4677" t="s">
        <v>10260</v>
      </c>
      <c r="T4677" t="s">
        <v>11164</v>
      </c>
      <c r="U4677" t="s">
        <v>11164</v>
      </c>
      <c r="V4677" t="s">
        <v>11164</v>
      </c>
      <c r="W4677" t="s">
        <v>15796</v>
      </c>
      <c r="X4677">
        <v>7</v>
      </c>
      <c r="Y4677" t="s">
        <v>21267</v>
      </c>
      <c r="Z4677" t="s">
        <v>26827</v>
      </c>
      <c r="AA4677">
        <v>0.62988535496201548</v>
      </c>
      <c r="AB4677" t="str">
        <f>HYPERLINK("Melting_Curves/meltCurve_Q9BXP2_SLC12A9.pdf", "Melting_Curves/meltCurve_Q9BXP2_SLC12A9.pdf")</f>
        <v>Melting_Curves/meltCurve_Q9BXP2_SLC12A9.pdf</v>
      </c>
    </row>
    <row r="4678" spans="1:28" x14ac:dyDescent="0.25">
      <c r="A4678" t="s">
        <v>4682</v>
      </c>
      <c r="B4678">
        <v>0.99796759195183404</v>
      </c>
      <c r="C4678">
        <v>1.03833674301259</v>
      </c>
      <c r="D4678">
        <v>1.00747944733933</v>
      </c>
      <c r="E4678">
        <v>0.90830486768968999</v>
      </c>
      <c r="F4678">
        <v>0.76242764444395295</v>
      </c>
      <c r="G4678">
        <v>0.214577831204327</v>
      </c>
      <c r="H4678">
        <v>0.16148268681063799</v>
      </c>
      <c r="I4678">
        <v>0.14945998073366701</v>
      </c>
      <c r="J4678">
        <v>0.125060782730781</v>
      </c>
      <c r="K4678">
        <v>0.110098971738712</v>
      </c>
      <c r="L4678">
        <v>2216.7412957579299</v>
      </c>
      <c r="M4678">
        <v>43.248924424786203</v>
      </c>
      <c r="N4678">
        <v>51.6184866170885</v>
      </c>
      <c r="O4678">
        <v>51.146188082042997</v>
      </c>
      <c r="P4678">
        <v>-0.18367475462389399</v>
      </c>
      <c r="Q4678">
        <v>0.13114608870800801</v>
      </c>
      <c r="R4678">
        <v>0.99404267138911495</v>
      </c>
      <c r="S4678" t="s">
        <v>10261</v>
      </c>
      <c r="T4678" t="s">
        <v>11164</v>
      </c>
      <c r="U4678" t="s">
        <v>11164</v>
      </c>
      <c r="V4678" t="s">
        <v>11164</v>
      </c>
      <c r="W4678" t="s">
        <v>15797</v>
      </c>
      <c r="X4678">
        <v>15</v>
      </c>
      <c r="Y4678" t="s">
        <v>21268</v>
      </c>
      <c r="Z4678" t="s">
        <v>26828</v>
      </c>
      <c r="AA4678">
        <v>0.54663646624970363</v>
      </c>
      <c r="AB4678" t="str">
        <f>HYPERLINK("Melting_Curves/meltCurve_Q9BXP5_4_SRRT.pdf", "Melting_Curves/meltCurve_Q9BXP5_4_SRRT.pdf")</f>
        <v>Melting_Curves/meltCurve_Q9BXP5_4_SRRT.pdf</v>
      </c>
    </row>
    <row r="4679" spans="1:28" x14ac:dyDescent="0.25">
      <c r="A4679" t="s">
        <v>4683</v>
      </c>
      <c r="B4679">
        <v>0.99796759195183404</v>
      </c>
      <c r="C4679">
        <v>0.97220392590608795</v>
      </c>
      <c r="D4679">
        <v>0.97698031875366698</v>
      </c>
      <c r="E4679">
        <v>0.90729951997084701</v>
      </c>
      <c r="F4679">
        <v>0.86888239616453999</v>
      </c>
      <c r="G4679">
        <v>0.84871327612417802</v>
      </c>
      <c r="H4679">
        <v>0.744384812650143</v>
      </c>
      <c r="I4679">
        <v>0.51571907833605202</v>
      </c>
      <c r="J4679">
        <v>0.24450462979891899</v>
      </c>
      <c r="K4679">
        <v>0.122053257012433</v>
      </c>
      <c r="L4679">
        <v>1000.76646830021</v>
      </c>
      <c r="M4679">
        <v>16.553937677349001</v>
      </c>
      <c r="N4679">
        <v>60.454892146518098</v>
      </c>
      <c r="O4679">
        <v>59.593325894742897</v>
      </c>
      <c r="P4679">
        <v>-6.9450199579099398E-2</v>
      </c>
      <c r="Q4679">
        <v>0</v>
      </c>
      <c r="R4679">
        <v>0.97029449391453204</v>
      </c>
      <c r="S4679" t="s">
        <v>10262</v>
      </c>
      <c r="T4679" t="s">
        <v>11164</v>
      </c>
      <c r="U4679" t="s">
        <v>11164</v>
      </c>
      <c r="V4679" t="s">
        <v>11164</v>
      </c>
      <c r="W4679" t="s">
        <v>15798</v>
      </c>
      <c r="X4679">
        <v>14</v>
      </c>
      <c r="Y4679" t="s">
        <v>21269</v>
      </c>
      <c r="Z4679" t="s">
        <v>26829</v>
      </c>
      <c r="AA4679">
        <v>0.77544337789513551</v>
      </c>
      <c r="AB4679" t="str">
        <f>HYPERLINK("Melting_Curves/meltCurve_Q9BXR0_QTRT1.pdf", "Melting_Curves/meltCurve_Q9BXR0_QTRT1.pdf")</f>
        <v>Melting_Curves/meltCurve_Q9BXR0_QTRT1.pdf</v>
      </c>
    </row>
    <row r="4680" spans="1:28" x14ac:dyDescent="0.25">
      <c r="A4680" t="s">
        <v>4684</v>
      </c>
      <c r="B4680">
        <v>0.99796759195183404</v>
      </c>
      <c r="C4680">
        <v>1.0409784605499901</v>
      </c>
      <c r="D4680">
        <v>0.82297816755694897</v>
      </c>
      <c r="E4680">
        <v>0.69746154521394998</v>
      </c>
      <c r="F4680">
        <v>0.74613829434591294</v>
      </c>
      <c r="G4680">
        <v>0.79163583430534901</v>
      </c>
      <c r="H4680">
        <v>0.42406710957785398</v>
      </c>
      <c r="I4680">
        <v>0.309446498111279</v>
      </c>
      <c r="J4680">
        <v>0.22277855147890899</v>
      </c>
      <c r="K4680">
        <v>0.176295170973117</v>
      </c>
      <c r="L4680">
        <v>466.289738509416</v>
      </c>
      <c r="M4680">
        <v>8.3006965509432291</v>
      </c>
      <c r="N4680">
        <v>56.174772101671699</v>
      </c>
      <c r="O4680">
        <v>53.1977111465497</v>
      </c>
      <c r="P4680">
        <v>-3.9047138755625398E-2</v>
      </c>
      <c r="Q4680">
        <v>0</v>
      </c>
      <c r="R4680">
        <v>0.90693004594049997</v>
      </c>
      <c r="S4680" t="s">
        <v>10263</v>
      </c>
      <c r="T4680" t="s">
        <v>11164</v>
      </c>
      <c r="U4680" t="s">
        <v>11164</v>
      </c>
      <c r="V4680" t="s">
        <v>11164</v>
      </c>
      <c r="W4680" t="s">
        <v>15799</v>
      </c>
      <c r="X4680">
        <v>1</v>
      </c>
      <c r="Y4680" t="s">
        <v>21270</v>
      </c>
      <c r="Z4680" t="s">
        <v>26830</v>
      </c>
      <c r="AA4680">
        <v>0.63747963665912821</v>
      </c>
      <c r="AB4680" t="str">
        <f>HYPERLINK("Melting_Curves/meltCurve_Q9BXV9_C14orf142.pdf", "Melting_Curves/meltCurve_Q9BXV9_C14orf142.pdf")</f>
        <v>Melting_Curves/meltCurve_Q9BXV9_C14orf142.pdf</v>
      </c>
    </row>
    <row r="4681" spans="1:28" x14ac:dyDescent="0.25">
      <c r="A4681" t="s">
        <v>4685</v>
      </c>
      <c r="B4681">
        <v>0.99796759195183404</v>
      </c>
      <c r="C4681">
        <v>1.0307352045607701</v>
      </c>
      <c r="D4681">
        <v>0.98706607986721395</v>
      </c>
      <c r="E4681">
        <v>0.93798263395183301</v>
      </c>
      <c r="F4681">
        <v>0.73345204061017699</v>
      </c>
      <c r="G4681">
        <v>0.42856788304534299</v>
      </c>
      <c r="H4681">
        <v>0.36261580834273099</v>
      </c>
      <c r="I4681">
        <v>0.24802859845984501</v>
      </c>
      <c r="J4681">
        <v>0.20463862581819101</v>
      </c>
      <c r="K4681">
        <v>0.19168675124637899</v>
      </c>
      <c r="L4681">
        <v>1008.20795360811</v>
      </c>
      <c r="M4681">
        <v>19.417531210386301</v>
      </c>
      <c r="N4681">
        <v>53.3166398378956</v>
      </c>
      <c r="O4681">
        <v>51.381275525885997</v>
      </c>
      <c r="P4681">
        <v>-7.5673296428973094E-2</v>
      </c>
      <c r="Q4681">
        <v>0.19906453474035801</v>
      </c>
      <c r="R4681">
        <v>0.99430684866645702</v>
      </c>
      <c r="S4681" t="s">
        <v>10264</v>
      </c>
      <c r="T4681" t="s">
        <v>11164</v>
      </c>
      <c r="U4681" t="s">
        <v>11164</v>
      </c>
      <c r="V4681" t="s">
        <v>11164</v>
      </c>
      <c r="W4681" t="s">
        <v>15800</v>
      </c>
      <c r="X4681">
        <v>5</v>
      </c>
      <c r="Y4681" t="s">
        <v>21271</v>
      </c>
      <c r="Z4681" t="s">
        <v>26831</v>
      </c>
      <c r="AA4681">
        <v>0.608310225999801</v>
      </c>
      <c r="AB4681" t="str">
        <f>HYPERLINK("Melting_Curves/meltCurve_Q9BXW6_OSBPL1A.pdf", "Melting_Curves/meltCurve_Q9BXW6_OSBPL1A.pdf")</f>
        <v>Melting_Curves/meltCurve_Q9BXW6_OSBPL1A.pdf</v>
      </c>
    </row>
    <row r="4682" spans="1:28" x14ac:dyDescent="0.25">
      <c r="A4682" t="s">
        <v>4686</v>
      </c>
      <c r="B4682">
        <v>0.99796759195183404</v>
      </c>
      <c r="C4682">
        <v>0.95732005338897397</v>
      </c>
      <c r="D4682">
        <v>0.91024424950669502</v>
      </c>
      <c r="E4682">
        <v>0.87587232092835299</v>
      </c>
      <c r="F4682">
        <v>0.78105048798354704</v>
      </c>
      <c r="G4682">
        <v>0.35289164075021201</v>
      </c>
      <c r="H4682">
        <v>0.208925045129909</v>
      </c>
      <c r="I4682">
        <v>0.16474272545232399</v>
      </c>
      <c r="J4682">
        <v>0.12917431030854101</v>
      </c>
      <c r="K4682">
        <v>0.102376086379727</v>
      </c>
      <c r="L4682">
        <v>1155.4416046369199</v>
      </c>
      <c r="M4682">
        <v>22.234028578931301</v>
      </c>
      <c r="N4682">
        <v>52.5577310651678</v>
      </c>
      <c r="O4682">
        <v>51.552358627626802</v>
      </c>
      <c r="P4682">
        <v>-9.5908508852880797E-2</v>
      </c>
      <c r="Q4682">
        <v>0.110515848712682</v>
      </c>
      <c r="R4682">
        <v>0.98650014615502102</v>
      </c>
      <c r="S4682" t="s">
        <v>10265</v>
      </c>
      <c r="T4682" t="s">
        <v>11164</v>
      </c>
      <c r="U4682" t="s">
        <v>11164</v>
      </c>
      <c r="V4682" t="s">
        <v>11164</v>
      </c>
      <c r="W4682" t="s">
        <v>15801</v>
      </c>
      <c r="X4682">
        <v>9</v>
      </c>
      <c r="Y4682" t="s">
        <v>21272</v>
      </c>
      <c r="Z4682" t="s">
        <v>26832</v>
      </c>
      <c r="AA4682">
        <v>0.56395811289637088</v>
      </c>
      <c r="AB4682" t="str">
        <f>HYPERLINK("Melting_Curves/meltCurve_Q9BXW7_2_CECR5.pdf", "Melting_Curves/meltCurve_Q9BXW7_2_CECR5.pdf")</f>
        <v>Melting_Curves/meltCurve_Q9BXW7_2_CECR5.pdf</v>
      </c>
    </row>
    <row r="4683" spans="1:28" x14ac:dyDescent="0.25">
      <c r="A4683" t="s">
        <v>4687</v>
      </c>
      <c r="B4683">
        <v>0.99796759195183404</v>
      </c>
      <c r="C4683">
        <v>1.0218956871712299</v>
      </c>
      <c r="D4683">
        <v>1.0131617679054301</v>
      </c>
      <c r="E4683">
        <v>0.930353909464117</v>
      </c>
      <c r="F4683">
        <v>0.70536596066137103</v>
      </c>
      <c r="G4683">
        <v>0.30571214292161802</v>
      </c>
      <c r="H4683">
        <v>0.247350862156306</v>
      </c>
      <c r="I4683">
        <v>0.16493683840294199</v>
      </c>
      <c r="J4683">
        <v>0.13542696308105501</v>
      </c>
      <c r="K4683">
        <v>0.112253755882966</v>
      </c>
      <c r="L4683">
        <v>1321.5705189733501</v>
      </c>
      <c r="M4683">
        <v>25.754854285465498</v>
      </c>
      <c r="N4683">
        <v>51.9778160516979</v>
      </c>
      <c r="O4683">
        <v>51.007094462413903</v>
      </c>
      <c r="P4683">
        <v>-0.10852944375493501</v>
      </c>
      <c r="Q4683">
        <v>0.140246736127771</v>
      </c>
      <c r="R4683">
        <v>0.99554775491049297</v>
      </c>
      <c r="S4683" t="s">
        <v>10266</v>
      </c>
      <c r="T4683" t="s">
        <v>11164</v>
      </c>
      <c r="U4683" t="s">
        <v>11164</v>
      </c>
      <c r="V4683" t="s">
        <v>11164</v>
      </c>
      <c r="W4683" t="s">
        <v>15802</v>
      </c>
      <c r="X4683">
        <v>9</v>
      </c>
      <c r="Y4683" t="s">
        <v>21273</v>
      </c>
      <c r="Z4683" t="s">
        <v>26833</v>
      </c>
      <c r="AA4683">
        <v>0.55764053011213188</v>
      </c>
      <c r="AB4683" t="str">
        <f>HYPERLINK("Melting_Curves/meltCurve_Q9BXW9_2_FANCD2.pdf", "Melting_Curves/meltCurve_Q9BXW9_2_FANCD2.pdf")</f>
        <v>Melting_Curves/meltCurve_Q9BXW9_2_FANCD2.pdf</v>
      </c>
    </row>
    <row r="4684" spans="1:28" x14ac:dyDescent="0.25">
      <c r="A4684" t="s">
        <v>4688</v>
      </c>
      <c r="B4684">
        <v>0.99796759195183404</v>
      </c>
      <c r="C4684">
        <v>1.19020845637545</v>
      </c>
      <c r="D4684">
        <v>1.0457216667793201</v>
      </c>
      <c r="E4684">
        <v>0.99257759786401301</v>
      </c>
      <c r="F4684">
        <v>0.97382038396525294</v>
      </c>
      <c r="G4684">
        <v>0.74838525276428502</v>
      </c>
      <c r="H4684">
        <v>0.62945363596096604</v>
      </c>
      <c r="I4684">
        <v>0.53660377630424105</v>
      </c>
      <c r="J4684">
        <v>0.72310121975289399</v>
      </c>
      <c r="K4684">
        <v>0.99822501185284296</v>
      </c>
      <c r="L4684">
        <v>3566.9015261071499</v>
      </c>
      <c r="M4684">
        <v>68.730193679388194</v>
      </c>
      <c r="O4684">
        <v>51.853272201908503</v>
      </c>
      <c r="P4684">
        <v>-9.1943344218074E-2</v>
      </c>
      <c r="Q4684">
        <v>0.72253463220654901</v>
      </c>
      <c r="R4684">
        <v>0.60144348436531203</v>
      </c>
      <c r="S4684" t="s">
        <v>10267</v>
      </c>
      <c r="T4684" t="s">
        <v>11164</v>
      </c>
      <c r="U4684" t="s">
        <v>11164</v>
      </c>
      <c r="V4684" t="s">
        <v>11164</v>
      </c>
      <c r="W4684" t="s">
        <v>15803</v>
      </c>
      <c r="X4684">
        <v>5</v>
      </c>
      <c r="Y4684" t="s">
        <v>21274</v>
      </c>
      <c r="Z4684" t="s">
        <v>26834</v>
      </c>
      <c r="AA4684">
        <v>0.86065138531481933</v>
      </c>
      <c r="AB4684" t="str">
        <f>HYPERLINK("Melting_Curves/meltCurve_Q9BY32_ITPA.pdf", "Melting_Curves/meltCurve_Q9BY32_ITPA.pdf")</f>
        <v>Melting_Curves/meltCurve_Q9BY32_ITPA.pdf</v>
      </c>
    </row>
    <row r="4685" spans="1:28" x14ac:dyDescent="0.25">
      <c r="A4685" t="s">
        <v>4689</v>
      </c>
      <c r="B4685">
        <v>0.99796759195183404</v>
      </c>
      <c r="C4685">
        <v>0.83348792911685299</v>
      </c>
      <c r="D4685">
        <v>0.89055267776274305</v>
      </c>
      <c r="E4685">
        <v>0.77751255841859501</v>
      </c>
      <c r="F4685">
        <v>1.01775510238749</v>
      </c>
      <c r="G4685">
        <v>0.60868120021572303</v>
      </c>
      <c r="H4685">
        <v>0.368678541950063</v>
      </c>
      <c r="I4685">
        <v>0.38623968954635501</v>
      </c>
      <c r="J4685">
        <v>0.40432897134482898</v>
      </c>
      <c r="K4685">
        <v>0.30041104225820098</v>
      </c>
      <c r="L4685">
        <v>13424.5358622247</v>
      </c>
      <c r="M4685">
        <v>250</v>
      </c>
      <c r="N4685">
        <v>53.9807230194168</v>
      </c>
      <c r="O4685">
        <v>53.694715203731</v>
      </c>
      <c r="P4685">
        <v>-0.73923191133691701</v>
      </c>
      <c r="Q4685">
        <v>0.364914544906352</v>
      </c>
      <c r="R4685">
        <v>0.86256141756717897</v>
      </c>
      <c r="S4685" t="s">
        <v>10268</v>
      </c>
      <c r="T4685" t="s">
        <v>11164</v>
      </c>
      <c r="U4685" t="s">
        <v>11164</v>
      </c>
      <c r="V4685" t="s">
        <v>11164</v>
      </c>
      <c r="W4685" t="s">
        <v>15804</v>
      </c>
      <c r="X4685">
        <v>10</v>
      </c>
      <c r="Y4685" t="s">
        <v>21275</v>
      </c>
      <c r="Z4685" t="s">
        <v>26835</v>
      </c>
      <c r="AA4685">
        <v>0.71846599603117978</v>
      </c>
      <c r="AB4685" t="str">
        <f>HYPERLINK("Melting_Curves/meltCurve_Q9BY43_CHMP4A.pdf", "Melting_Curves/meltCurve_Q9BY43_CHMP4A.pdf")</f>
        <v>Melting_Curves/meltCurve_Q9BY43_CHMP4A.pdf</v>
      </c>
    </row>
    <row r="4686" spans="1:28" x14ac:dyDescent="0.25">
      <c r="A4686" t="s">
        <v>4690</v>
      </c>
      <c r="B4686">
        <v>0.99796759195183404</v>
      </c>
      <c r="C4686">
        <v>0.96440471469442501</v>
      </c>
      <c r="D4686">
        <v>1.0034230281891701</v>
      </c>
      <c r="E4686">
        <v>0.93847399182146696</v>
      </c>
      <c r="F4686">
        <v>0.7019473993334</v>
      </c>
      <c r="G4686">
        <v>0.61595309958957201</v>
      </c>
      <c r="H4686">
        <v>0.480825057258782</v>
      </c>
      <c r="I4686">
        <v>0.27933562024371</v>
      </c>
      <c r="J4686">
        <v>0.19080896891508201</v>
      </c>
      <c r="K4686">
        <v>9.9536210351154203E-2</v>
      </c>
      <c r="L4686">
        <v>621.89734529589305</v>
      </c>
      <c r="M4686">
        <v>11.1236111045007</v>
      </c>
      <c r="N4686">
        <v>55.907864782099701</v>
      </c>
      <c r="O4686">
        <v>54.192249767670198</v>
      </c>
      <c r="P4686">
        <v>-5.1332111639092397E-2</v>
      </c>
      <c r="Q4686">
        <v>0</v>
      </c>
      <c r="R4686">
        <v>0.98765864707304096</v>
      </c>
      <c r="S4686" t="s">
        <v>10269</v>
      </c>
      <c r="T4686" t="s">
        <v>11164</v>
      </c>
      <c r="U4686" t="s">
        <v>11164</v>
      </c>
      <c r="V4686" t="s">
        <v>11164</v>
      </c>
      <c r="W4686" t="s">
        <v>15805</v>
      </c>
      <c r="X4686">
        <v>8</v>
      </c>
      <c r="Y4686" t="s">
        <v>21276</v>
      </c>
      <c r="Z4686" t="s">
        <v>26836</v>
      </c>
      <c r="AA4686">
        <v>0.63927901813196386</v>
      </c>
      <c r="AB4686" t="str">
        <f>HYPERLINK("Melting_Curves/meltCurve_Q9BY77_POLDIP3.pdf", "Melting_Curves/meltCurve_Q9BY77_POLDIP3.pdf")</f>
        <v>Melting_Curves/meltCurve_Q9BY77_POLDIP3.pdf</v>
      </c>
    </row>
    <row r="4687" spans="1:28" x14ac:dyDescent="0.25">
      <c r="A4687" t="s">
        <v>4691</v>
      </c>
      <c r="B4687">
        <v>0.99796759195183404</v>
      </c>
      <c r="C4687">
        <v>1.07684055120905</v>
      </c>
      <c r="D4687">
        <v>1.1097818898257199</v>
      </c>
      <c r="E4687">
        <v>0.99919000548130199</v>
      </c>
      <c r="F4687">
        <v>0.97456557347814698</v>
      </c>
      <c r="G4687">
        <v>0.88545439932581704</v>
      </c>
      <c r="H4687">
        <v>0.60297169885784596</v>
      </c>
      <c r="I4687">
        <v>0.41080795686433502</v>
      </c>
      <c r="J4687">
        <v>0.36733118385344798</v>
      </c>
      <c r="K4687">
        <v>0.16256891726363701</v>
      </c>
      <c r="L4687">
        <v>1068.7303860316999</v>
      </c>
      <c r="M4687">
        <v>18.266164038508801</v>
      </c>
      <c r="N4687">
        <v>59.592994855935103</v>
      </c>
      <c r="O4687">
        <v>57.821015443222997</v>
      </c>
      <c r="P4687">
        <v>-6.7814932271311607E-2</v>
      </c>
      <c r="Q4687">
        <v>0.14137513463753301</v>
      </c>
      <c r="R4687">
        <v>0.97069576434786098</v>
      </c>
      <c r="S4687" t="s">
        <v>10270</v>
      </c>
      <c r="T4687" t="s">
        <v>11164</v>
      </c>
      <c r="U4687" t="s">
        <v>11164</v>
      </c>
      <c r="V4687" t="s">
        <v>11164</v>
      </c>
      <c r="W4687" t="s">
        <v>15806</v>
      </c>
      <c r="X4687">
        <v>8</v>
      </c>
      <c r="Y4687" t="s">
        <v>21277</v>
      </c>
      <c r="Z4687" t="s">
        <v>26837</v>
      </c>
      <c r="AA4687">
        <v>0.76108755166405351</v>
      </c>
      <c r="AB4687" t="str">
        <f>HYPERLINK("Melting_Curves/meltCurve_Q9BYB4_GNB1L.pdf", "Melting_Curves/meltCurve_Q9BYB4_GNB1L.pdf")</f>
        <v>Melting_Curves/meltCurve_Q9BYB4_GNB1L.pdf</v>
      </c>
    </row>
    <row r="4688" spans="1:28" x14ac:dyDescent="0.25">
      <c r="A4688" t="s">
        <v>4692</v>
      </c>
      <c r="B4688">
        <v>0.99796759195183404</v>
      </c>
      <c r="C4688">
        <v>1.07571817128094</v>
      </c>
      <c r="D4688">
        <v>0.99938970793114701</v>
      </c>
      <c r="E4688">
        <v>1.01864197677906</v>
      </c>
      <c r="F4688">
        <v>1.0328330822052401</v>
      </c>
      <c r="G4688">
        <v>0.69760532420797705</v>
      </c>
      <c r="H4688">
        <v>0.29387304313220503</v>
      </c>
      <c r="I4688">
        <v>0.203922309335241</v>
      </c>
      <c r="J4688">
        <v>0.112275417325294</v>
      </c>
      <c r="K4688">
        <v>0.116335214820701</v>
      </c>
      <c r="L4688">
        <v>1921.8269139131301</v>
      </c>
      <c r="M4688">
        <v>35.000605667295197</v>
      </c>
      <c r="N4688">
        <v>55.397971273012203</v>
      </c>
      <c r="O4688">
        <v>54.7300786500169</v>
      </c>
      <c r="P4688">
        <v>-0.13861072743876701</v>
      </c>
      <c r="Q4688">
        <v>0.13302659984460899</v>
      </c>
      <c r="R4688">
        <v>0.991458247412625</v>
      </c>
      <c r="S4688" t="s">
        <v>10271</v>
      </c>
      <c r="T4688" t="s">
        <v>11164</v>
      </c>
      <c r="U4688" t="s">
        <v>11164</v>
      </c>
      <c r="V4688" t="s">
        <v>11164</v>
      </c>
      <c r="W4688" t="s">
        <v>15807</v>
      </c>
      <c r="X4688">
        <v>4</v>
      </c>
      <c r="Y4688" t="s">
        <v>21278</v>
      </c>
      <c r="Z4688" t="s">
        <v>26838</v>
      </c>
      <c r="AA4688">
        <v>0.65474259489367059</v>
      </c>
      <c r="AB4688" t="str">
        <f>HYPERLINK("Melting_Curves/meltCurve_Q9BYG5_PARD6B.pdf", "Melting_Curves/meltCurve_Q9BYG5_PARD6B.pdf")</f>
        <v>Melting_Curves/meltCurve_Q9BYG5_PARD6B.pdf</v>
      </c>
    </row>
    <row r="4689" spans="1:28" x14ac:dyDescent="0.25">
      <c r="A4689" t="s">
        <v>4693</v>
      </c>
      <c r="B4689">
        <v>0.99796759195183404</v>
      </c>
      <c r="C4689">
        <v>1.13182420854479</v>
      </c>
      <c r="D4689">
        <v>1.0891281654440701</v>
      </c>
      <c r="E4689">
        <v>0.95122815862795196</v>
      </c>
      <c r="F4689">
        <v>1.01883293527371</v>
      </c>
      <c r="G4689">
        <v>0.66936673129610502</v>
      </c>
      <c r="H4689">
        <v>0.60523119305522899</v>
      </c>
      <c r="I4689">
        <v>0.56683001893072604</v>
      </c>
      <c r="J4689">
        <v>0.474932811010505</v>
      </c>
      <c r="K4689">
        <v>0.35271124781268698</v>
      </c>
      <c r="L4689">
        <v>1009.1614567052</v>
      </c>
      <c r="M4689">
        <v>18.330838613655398</v>
      </c>
      <c r="N4689">
        <v>60.585693950216701</v>
      </c>
      <c r="O4689">
        <v>54.410023456378099</v>
      </c>
      <c r="P4689">
        <v>-5.0010427097089499E-2</v>
      </c>
      <c r="Q4689">
        <v>0.40625879446321</v>
      </c>
      <c r="R4689">
        <v>0.917181715196563</v>
      </c>
      <c r="S4689" t="s">
        <v>10272</v>
      </c>
      <c r="T4689" t="s">
        <v>11164</v>
      </c>
      <c r="U4689" t="s">
        <v>11164</v>
      </c>
      <c r="V4689" t="s">
        <v>11164</v>
      </c>
      <c r="W4689" t="s">
        <v>15808</v>
      </c>
      <c r="X4689">
        <v>1</v>
      </c>
      <c r="Y4689" t="s">
        <v>21279</v>
      </c>
      <c r="Z4689" t="s">
        <v>26839</v>
      </c>
      <c r="AA4689">
        <v>0.77085130526517953</v>
      </c>
      <c r="AB4689" t="str">
        <f>HYPERLINK("Melting_Curves/meltCurve_Q9BYN0_SRXN1.pdf", "Melting_Curves/meltCurve_Q9BYN0_SRXN1.pdf")</f>
        <v>Melting_Curves/meltCurve_Q9BYN0_SRXN1.pdf</v>
      </c>
    </row>
    <row r="4690" spans="1:28" x14ac:dyDescent="0.25">
      <c r="A4690" t="s">
        <v>4694</v>
      </c>
      <c r="B4690">
        <v>0.99796759195183404</v>
      </c>
      <c r="C4690">
        <v>1.09702872706013</v>
      </c>
      <c r="D4690">
        <v>0.94798632617196898</v>
      </c>
      <c r="E4690">
        <v>0.78394001155245596</v>
      </c>
      <c r="F4690">
        <v>0.63669210361816198</v>
      </c>
      <c r="G4690">
        <v>0.35322168604596699</v>
      </c>
      <c r="H4690">
        <v>0.15147182646280299</v>
      </c>
      <c r="I4690">
        <v>0.243472433113922</v>
      </c>
      <c r="J4690">
        <v>0.119025560954168</v>
      </c>
      <c r="K4690">
        <v>0.15612700190818099</v>
      </c>
      <c r="L4690">
        <v>878.39818096794602</v>
      </c>
      <c r="M4690">
        <v>17.388806449087902</v>
      </c>
      <c r="N4690">
        <v>51.400744123318901</v>
      </c>
      <c r="O4690">
        <v>49.861260332184798</v>
      </c>
      <c r="P4690">
        <v>-7.5904823360332205E-2</v>
      </c>
      <c r="Q4690">
        <v>0.12944074829035401</v>
      </c>
      <c r="R4690">
        <v>0.97910508682710395</v>
      </c>
      <c r="S4690" t="s">
        <v>10273</v>
      </c>
      <c r="T4690" t="s">
        <v>11164</v>
      </c>
      <c r="U4690" t="s">
        <v>11164</v>
      </c>
      <c r="V4690" t="s">
        <v>11164</v>
      </c>
      <c r="W4690" t="s">
        <v>15809</v>
      </c>
      <c r="X4690">
        <v>4</v>
      </c>
      <c r="Y4690" t="s">
        <v>21280</v>
      </c>
      <c r="Z4690" t="s">
        <v>26840</v>
      </c>
      <c r="AA4690">
        <v>0.53601405912489553</v>
      </c>
      <c r="AB4690" t="str">
        <f>HYPERLINK("Melting_Curves/meltCurve_Q9BYT3_STK33.pdf", "Melting_Curves/meltCurve_Q9BYT3_STK33.pdf")</f>
        <v>Melting_Curves/meltCurve_Q9BYT3_STK33.pdf</v>
      </c>
    </row>
    <row r="4691" spans="1:28" x14ac:dyDescent="0.25">
      <c r="A4691" t="s">
        <v>4695</v>
      </c>
      <c r="B4691">
        <v>0.99796759195183404</v>
      </c>
      <c r="C4691">
        <v>0.97829172923556396</v>
      </c>
      <c r="D4691">
        <v>0.98184152187236895</v>
      </c>
      <c r="E4691">
        <v>0.948855239447154</v>
      </c>
      <c r="F4691">
        <v>0.84065523202659098</v>
      </c>
      <c r="G4691">
        <v>0.62090572972381897</v>
      </c>
      <c r="H4691">
        <v>0.46791422164767899</v>
      </c>
      <c r="I4691">
        <v>0.32570263154192602</v>
      </c>
      <c r="J4691">
        <v>0.17919433592464101</v>
      </c>
      <c r="K4691">
        <v>0.11939847238930899</v>
      </c>
      <c r="L4691">
        <v>692.35745968601702</v>
      </c>
      <c r="M4691">
        <v>12.224992881405299</v>
      </c>
      <c r="N4691">
        <v>56.634590130505003</v>
      </c>
      <c r="O4691">
        <v>55.183104220745498</v>
      </c>
      <c r="P4691">
        <v>-5.5396191811504E-2</v>
      </c>
      <c r="Q4691">
        <v>0</v>
      </c>
      <c r="R4691">
        <v>0.99700373367501105</v>
      </c>
      <c r="S4691" t="s">
        <v>10274</v>
      </c>
      <c r="T4691" t="s">
        <v>11164</v>
      </c>
      <c r="U4691" t="s">
        <v>11164</v>
      </c>
      <c r="V4691" t="s">
        <v>11164</v>
      </c>
      <c r="W4691" t="s">
        <v>15810</v>
      </c>
      <c r="X4691">
        <v>20</v>
      </c>
      <c r="Y4691" t="s">
        <v>21281</v>
      </c>
      <c r="Z4691" t="s">
        <v>26841</v>
      </c>
      <c r="AA4691">
        <v>0.66146786597157781</v>
      </c>
      <c r="AB4691" t="str">
        <f>HYPERLINK("Melting_Curves/meltCurve_Q9BYT8_NLN.pdf", "Melting_Curves/meltCurve_Q9BYT8_NLN.pdf")</f>
        <v>Melting_Curves/meltCurve_Q9BYT8_NLN.pdf</v>
      </c>
    </row>
    <row r="4692" spans="1:28" x14ac:dyDescent="0.25">
      <c r="A4692" t="s">
        <v>4696</v>
      </c>
      <c r="B4692">
        <v>0.99796759195183404</v>
      </c>
      <c r="C4692">
        <v>1.1130954754812401</v>
      </c>
      <c r="D4692">
        <v>1.10167632215786</v>
      </c>
      <c r="E4692">
        <v>0.99478743059894903</v>
      </c>
      <c r="F4692">
        <v>0.86065345270990901</v>
      </c>
      <c r="G4692">
        <v>0.47955679395426898</v>
      </c>
      <c r="H4692">
        <v>0.31459759046117303</v>
      </c>
      <c r="I4692">
        <v>0.25979333981678399</v>
      </c>
      <c r="J4692">
        <v>0.22182297574652801</v>
      </c>
      <c r="K4692">
        <v>0.14649028770601899</v>
      </c>
      <c r="L4692">
        <v>1453.80323047918</v>
      </c>
      <c r="M4692">
        <v>27.519849815210399</v>
      </c>
      <c r="N4692">
        <v>53.856686722408703</v>
      </c>
      <c r="O4692">
        <v>52.550856703340799</v>
      </c>
      <c r="P4692">
        <v>-0.104148339294809</v>
      </c>
      <c r="Q4692">
        <v>0.204496495884021</v>
      </c>
      <c r="R4692">
        <v>0.97875004730785697</v>
      </c>
      <c r="S4692" t="s">
        <v>10275</v>
      </c>
      <c r="T4692" t="s">
        <v>11164</v>
      </c>
      <c r="U4692" t="s">
        <v>11164</v>
      </c>
      <c r="V4692" t="s">
        <v>11164</v>
      </c>
      <c r="W4692" t="s">
        <v>15811</v>
      </c>
      <c r="X4692">
        <v>6</v>
      </c>
      <c r="Y4692" t="s">
        <v>21282</v>
      </c>
      <c r="Z4692" t="s">
        <v>26842</v>
      </c>
      <c r="AA4692">
        <v>0.63012206409199711</v>
      </c>
      <c r="AB4692" t="str">
        <f>HYPERLINK("Melting_Curves/meltCurve_Q9BYV8_CEP41.pdf", "Melting_Curves/meltCurve_Q9BYV8_CEP41.pdf")</f>
        <v>Melting_Curves/meltCurve_Q9BYV8_CEP41.pdf</v>
      </c>
    </row>
    <row r="4693" spans="1:28" x14ac:dyDescent="0.25">
      <c r="A4693" t="s">
        <v>4697</v>
      </c>
      <c r="B4693">
        <v>0.99796759195183404</v>
      </c>
      <c r="C4693">
        <v>0.90507056014332299</v>
      </c>
      <c r="D4693">
        <v>0.79466717274579901</v>
      </c>
      <c r="E4693">
        <v>0.89932917432925596</v>
      </c>
      <c r="F4693">
        <v>0.65647607083132697</v>
      </c>
      <c r="G4693">
        <v>0.309676082334086</v>
      </c>
      <c r="H4693">
        <v>0.28708161217339101</v>
      </c>
      <c r="I4693">
        <v>0.26836963329679803</v>
      </c>
      <c r="J4693">
        <v>0.20553969373839101</v>
      </c>
      <c r="K4693">
        <v>0.126172544709895</v>
      </c>
      <c r="L4693">
        <v>652.05959082540096</v>
      </c>
      <c r="M4693">
        <v>12.790196743558401</v>
      </c>
      <c r="N4693">
        <v>52.097635393038303</v>
      </c>
      <c r="O4693">
        <v>49.783163628675901</v>
      </c>
      <c r="P4693">
        <v>-5.6541104757506198E-2</v>
      </c>
      <c r="Q4693">
        <v>0.11986798867291799</v>
      </c>
      <c r="R4693">
        <v>0.94968534916443503</v>
      </c>
      <c r="S4693" t="s">
        <v>10276</v>
      </c>
      <c r="T4693" t="s">
        <v>11164</v>
      </c>
      <c r="U4693" t="s">
        <v>11164</v>
      </c>
      <c r="V4693" t="s">
        <v>11164</v>
      </c>
      <c r="W4693" t="s">
        <v>15812</v>
      </c>
      <c r="X4693">
        <v>3</v>
      </c>
      <c r="Y4693" t="s">
        <v>21283</v>
      </c>
      <c r="Z4693" t="s">
        <v>26843</v>
      </c>
      <c r="AA4693">
        <v>0.55151679924928587</v>
      </c>
      <c r="AB4693" t="str">
        <f>HYPERLINK("Melting_Curves/meltCurve_Q9BYW2_SETD2.pdf", "Melting_Curves/meltCurve_Q9BYW2_SETD2.pdf")</f>
        <v>Melting_Curves/meltCurve_Q9BYW2_SETD2.pdf</v>
      </c>
    </row>
    <row r="4694" spans="1:28" x14ac:dyDescent="0.25">
      <c r="A4694" t="s">
        <v>4698</v>
      </c>
      <c r="B4694">
        <v>0.99796759195183404</v>
      </c>
      <c r="C4694">
        <v>1.0488842953248201</v>
      </c>
      <c r="D4694">
        <v>0.96861287648876704</v>
      </c>
      <c r="E4694">
        <v>0.97481726003357305</v>
      </c>
      <c r="F4694">
        <v>0.81370085175573004</v>
      </c>
      <c r="G4694">
        <v>0.65631403108842301</v>
      </c>
      <c r="H4694">
        <v>0.46819780977333902</v>
      </c>
      <c r="I4694">
        <v>0.26136107566872702</v>
      </c>
      <c r="J4694">
        <v>0.11609970121921501</v>
      </c>
      <c r="K4694">
        <v>9.4787834950114197E-2</v>
      </c>
      <c r="L4694">
        <v>794.05252930681604</v>
      </c>
      <c r="M4694">
        <v>14.0931751888583</v>
      </c>
      <c r="N4694">
        <v>56.343054275342404</v>
      </c>
      <c r="O4694">
        <v>55.245022170528003</v>
      </c>
      <c r="P4694">
        <v>-6.3783993198430297E-2</v>
      </c>
      <c r="Q4694">
        <v>0</v>
      </c>
      <c r="R4694">
        <v>0.99422872171847598</v>
      </c>
      <c r="S4694" t="s">
        <v>10277</v>
      </c>
      <c r="T4694" t="s">
        <v>11164</v>
      </c>
      <c r="U4694" t="s">
        <v>11164</v>
      </c>
      <c r="V4694" t="s">
        <v>11164</v>
      </c>
      <c r="W4694" t="s">
        <v>15813</v>
      </c>
      <c r="X4694">
        <v>11</v>
      </c>
      <c r="Y4694" t="s">
        <v>21284</v>
      </c>
      <c r="Z4694" t="s">
        <v>26844</v>
      </c>
      <c r="AA4694">
        <v>0.65484299882291463</v>
      </c>
      <c r="AB4694" t="str">
        <f>HYPERLINK("Melting_Curves/meltCurve_Q9BZ23_3_PANK2.pdf", "Melting_Curves/meltCurve_Q9BZ23_3_PANK2.pdf")</f>
        <v>Melting_Curves/meltCurve_Q9BZ23_3_PANK2.pdf</v>
      </c>
    </row>
    <row r="4695" spans="1:28" x14ac:dyDescent="0.25">
      <c r="A4695" t="s">
        <v>4699</v>
      </c>
      <c r="B4695">
        <v>0.99796759195183404</v>
      </c>
      <c r="C4695">
        <v>1.0216685894931901</v>
      </c>
      <c r="D4695">
        <v>0.98082207160368795</v>
      </c>
      <c r="E4695">
        <v>0.89274021899148504</v>
      </c>
      <c r="F4695">
        <v>0.86997878751315405</v>
      </c>
      <c r="G4695">
        <v>0.68543749844185098</v>
      </c>
      <c r="H4695">
        <v>0.44272597597594499</v>
      </c>
      <c r="I4695">
        <v>0.33246788888039402</v>
      </c>
      <c r="J4695">
        <v>0.248365920858792</v>
      </c>
      <c r="K4695">
        <v>0.19722207596614799</v>
      </c>
      <c r="L4695">
        <v>778.71780829832403</v>
      </c>
      <c r="M4695">
        <v>13.9815832611358</v>
      </c>
      <c r="N4695">
        <v>56.844055492999097</v>
      </c>
      <c r="O4695">
        <v>54.593721149582102</v>
      </c>
      <c r="P4695">
        <v>-5.6157315118811002E-2</v>
      </c>
      <c r="Q4695">
        <v>0.123009494493505</v>
      </c>
      <c r="R4695">
        <v>0.99444282297269204</v>
      </c>
      <c r="S4695" t="s">
        <v>10278</v>
      </c>
      <c r="T4695" t="s">
        <v>11164</v>
      </c>
      <c r="U4695" t="s">
        <v>11164</v>
      </c>
      <c r="V4695" t="s">
        <v>11164</v>
      </c>
      <c r="W4695" t="s">
        <v>15814</v>
      </c>
      <c r="X4695">
        <v>5</v>
      </c>
      <c r="Y4695" t="s">
        <v>21285</v>
      </c>
      <c r="Z4695" t="s">
        <v>26845</v>
      </c>
      <c r="AA4695">
        <v>0.68030697737710832</v>
      </c>
      <c r="AB4695" t="str">
        <f>HYPERLINK("Melting_Curves/meltCurve_Q9BZ67_2_FRMD8.pdf", "Melting_Curves/meltCurve_Q9BZ67_2_FRMD8.pdf")</f>
        <v>Melting_Curves/meltCurve_Q9BZ67_2_FRMD8.pdf</v>
      </c>
    </row>
    <row r="4696" spans="1:28" x14ac:dyDescent="0.25">
      <c r="A4696" t="s">
        <v>4700</v>
      </c>
      <c r="B4696">
        <v>0.99796759195183404</v>
      </c>
      <c r="C4696">
        <v>0.98610589120631797</v>
      </c>
      <c r="D4696">
        <v>0.95888757467978503</v>
      </c>
      <c r="E4696">
        <v>0.91714738024331199</v>
      </c>
      <c r="F4696">
        <v>0.34271580672119401</v>
      </c>
      <c r="G4696">
        <v>0.15586970047123899</v>
      </c>
      <c r="H4696">
        <v>0.13121369630830901</v>
      </c>
      <c r="I4696">
        <v>0.10900055810150901</v>
      </c>
      <c r="J4696">
        <v>0.10085748089079299</v>
      </c>
      <c r="K4696">
        <v>6.02148738964286E-2</v>
      </c>
      <c r="L4696">
        <v>2034.29210841298</v>
      </c>
      <c r="M4696">
        <v>41.498567909331797</v>
      </c>
      <c r="N4696">
        <v>49.3022697612248</v>
      </c>
      <c r="O4696">
        <v>48.907378275157598</v>
      </c>
      <c r="P4696">
        <v>-0.189753953473836</v>
      </c>
      <c r="Q4696">
        <v>0.105477788667421</v>
      </c>
      <c r="R4696">
        <v>0.99679060049064305</v>
      </c>
      <c r="S4696" t="s">
        <v>10279</v>
      </c>
      <c r="T4696" t="s">
        <v>11164</v>
      </c>
      <c r="U4696" t="s">
        <v>11164</v>
      </c>
      <c r="V4696" t="s">
        <v>11164</v>
      </c>
      <c r="W4696" t="s">
        <v>15815</v>
      </c>
      <c r="X4696">
        <v>8</v>
      </c>
      <c r="Y4696" t="s">
        <v>21286</v>
      </c>
      <c r="Z4696" t="s">
        <v>26846</v>
      </c>
      <c r="AA4696">
        <v>0.46672035962589919</v>
      </c>
      <c r="AB4696" t="str">
        <f>HYPERLINK("Melting_Curves/meltCurve_Q9BZD4_NUF2.pdf", "Melting_Curves/meltCurve_Q9BZD4_NUF2.pdf")</f>
        <v>Melting_Curves/meltCurve_Q9BZD4_NUF2.pdf</v>
      </c>
    </row>
    <row r="4697" spans="1:28" x14ac:dyDescent="0.25">
      <c r="A4697" t="s">
        <v>4701</v>
      </c>
      <c r="B4697">
        <v>0.99796759195183404</v>
      </c>
      <c r="C4697">
        <v>1.05332281706607</v>
      </c>
      <c r="D4697">
        <v>0.96457682517134602</v>
      </c>
      <c r="E4697">
        <v>0.90963134421648495</v>
      </c>
      <c r="F4697">
        <v>0.92822654575053698</v>
      </c>
      <c r="G4697">
        <v>1.23729150811894</v>
      </c>
      <c r="H4697">
        <v>0.73301380072034095</v>
      </c>
      <c r="I4697">
        <v>0.25732630044740601</v>
      </c>
      <c r="J4697">
        <v>0.17477699435105301</v>
      </c>
      <c r="K4697">
        <v>7.8385657769914296E-2</v>
      </c>
      <c r="L4697">
        <v>2934.5328012025502</v>
      </c>
      <c r="M4697">
        <v>50.138042723379002</v>
      </c>
      <c r="N4697">
        <v>58.880749408661003</v>
      </c>
      <c r="O4697">
        <v>58.436186122781102</v>
      </c>
      <c r="P4697">
        <v>-0.18674470810969801</v>
      </c>
      <c r="Q4697">
        <v>0.12939255718166001</v>
      </c>
      <c r="R4697">
        <v>0.94435752266484496</v>
      </c>
      <c r="S4697" t="s">
        <v>10280</v>
      </c>
      <c r="T4697" t="s">
        <v>11164</v>
      </c>
      <c r="U4697" t="s">
        <v>11164</v>
      </c>
      <c r="V4697" t="s">
        <v>11164</v>
      </c>
      <c r="W4697" t="s">
        <v>15816</v>
      </c>
      <c r="X4697">
        <v>7</v>
      </c>
      <c r="Y4697" t="s">
        <v>21287</v>
      </c>
      <c r="Z4697" t="s">
        <v>26847</v>
      </c>
      <c r="AA4697">
        <v>0.75632446684877186</v>
      </c>
      <c r="AB4697" t="str">
        <f>HYPERLINK("Melting_Curves/meltCurve_Q9BZE2_PUS3.pdf", "Melting_Curves/meltCurve_Q9BZE2_PUS3.pdf")</f>
        <v>Melting_Curves/meltCurve_Q9BZE2_PUS3.pdf</v>
      </c>
    </row>
    <row r="4698" spans="1:28" x14ac:dyDescent="0.25">
      <c r="A4698" t="s">
        <v>4702</v>
      </c>
      <c r="B4698">
        <v>0.99796759195183404</v>
      </c>
      <c r="C4698">
        <v>1.03991176271845</v>
      </c>
      <c r="D4698">
        <v>1.1387975666796799</v>
      </c>
      <c r="E4698">
        <v>1.070578336973</v>
      </c>
      <c r="F4698">
        <v>0.83257450672007804</v>
      </c>
      <c r="G4698">
        <v>0.83944781886897502</v>
      </c>
      <c r="H4698">
        <v>0.43028805195570802</v>
      </c>
      <c r="I4698">
        <v>0.35168678451288599</v>
      </c>
      <c r="J4698">
        <v>0.348701873559562</v>
      </c>
      <c r="K4698">
        <v>0.16373245353287599</v>
      </c>
      <c r="L4698">
        <v>1173.9079080552799</v>
      </c>
      <c r="M4698">
        <v>21.001915955725199</v>
      </c>
      <c r="N4698">
        <v>57.419070181110399</v>
      </c>
      <c r="O4698">
        <v>55.395919330190701</v>
      </c>
      <c r="P4698">
        <v>-7.4534159823107293E-2</v>
      </c>
      <c r="Q4698">
        <v>0.21363801520646999</v>
      </c>
      <c r="R4698">
        <v>0.94637494378029596</v>
      </c>
      <c r="S4698" t="s">
        <v>10281</v>
      </c>
      <c r="T4698" t="s">
        <v>11164</v>
      </c>
      <c r="U4698" t="s">
        <v>11164</v>
      </c>
      <c r="V4698" t="s">
        <v>11164</v>
      </c>
      <c r="W4698" t="s">
        <v>15817</v>
      </c>
      <c r="X4698">
        <v>5</v>
      </c>
      <c r="Y4698" t="s">
        <v>21288</v>
      </c>
      <c r="Z4698" t="s">
        <v>26848</v>
      </c>
      <c r="AA4698">
        <v>0.71675311555187626</v>
      </c>
      <c r="AB4698" t="str">
        <f>HYPERLINK("Melting_Curves/meltCurve_Q9BZE9_ASPSCR1.pdf", "Melting_Curves/meltCurve_Q9BZE9_ASPSCR1.pdf")</f>
        <v>Melting_Curves/meltCurve_Q9BZE9_ASPSCR1.pdf</v>
      </c>
    </row>
    <row r="4699" spans="1:28" x14ac:dyDescent="0.25">
      <c r="A4699" t="s">
        <v>4703</v>
      </c>
      <c r="B4699">
        <v>0.99796759195183404</v>
      </c>
      <c r="C4699">
        <v>0.98351249474160096</v>
      </c>
      <c r="D4699">
        <v>1.0148842283209101</v>
      </c>
      <c r="E4699">
        <v>0.99022954758231896</v>
      </c>
      <c r="F4699">
        <v>0.77188977687127303</v>
      </c>
      <c r="G4699">
        <v>0.38372675366095599</v>
      </c>
      <c r="H4699">
        <v>0.26851068979028703</v>
      </c>
      <c r="I4699">
        <v>0.209003742585196</v>
      </c>
      <c r="J4699">
        <v>0.15498975628567799</v>
      </c>
      <c r="K4699">
        <v>0.12447552745388001</v>
      </c>
      <c r="L4699">
        <v>1386.70394487674</v>
      </c>
      <c r="M4699">
        <v>26.6566896602294</v>
      </c>
      <c r="N4699">
        <v>52.800409498552803</v>
      </c>
      <c r="O4699">
        <v>51.730742494298703</v>
      </c>
      <c r="P4699">
        <v>-0.10786886259156001</v>
      </c>
      <c r="Q4699">
        <v>0.16267499478481601</v>
      </c>
      <c r="R4699">
        <v>0.99542959699384004</v>
      </c>
      <c r="S4699" t="s">
        <v>10282</v>
      </c>
      <c r="T4699" t="s">
        <v>11164</v>
      </c>
      <c r="U4699" t="s">
        <v>11164</v>
      </c>
      <c r="V4699" t="s">
        <v>11164</v>
      </c>
      <c r="W4699" t="s">
        <v>15818</v>
      </c>
      <c r="X4699">
        <v>7</v>
      </c>
      <c r="Y4699" t="s">
        <v>21289</v>
      </c>
      <c r="Z4699" t="s">
        <v>26849</v>
      </c>
      <c r="AA4699">
        <v>0.58852000511946678</v>
      </c>
      <c r="AB4699" t="str">
        <f>HYPERLINK("Melting_Curves/meltCurve_Q9BZL1_UBL5.pdf", "Melting_Curves/meltCurve_Q9BZL1_UBL5.pdf")</f>
        <v>Melting_Curves/meltCurve_Q9BZL1_UBL5.pdf</v>
      </c>
    </row>
    <row r="4700" spans="1:28" x14ac:dyDescent="0.25">
      <c r="A4700" t="s">
        <v>4704</v>
      </c>
      <c r="B4700">
        <v>0.99796759195183404</v>
      </c>
      <c r="C4700">
        <v>1.0640956485292601</v>
      </c>
      <c r="D4700">
        <v>0.99688374543017799</v>
      </c>
      <c r="E4700">
        <v>1.0039221574281401</v>
      </c>
      <c r="F4700">
        <v>0.90038119105599201</v>
      </c>
      <c r="G4700">
        <v>0.65855604342473395</v>
      </c>
      <c r="H4700">
        <v>0.69502363275575196</v>
      </c>
      <c r="I4700">
        <v>0.55655444884437799</v>
      </c>
      <c r="J4700">
        <v>0.660574886568425</v>
      </c>
      <c r="K4700">
        <v>0.60184070531424605</v>
      </c>
      <c r="L4700">
        <v>2327.49325332841</v>
      </c>
      <c r="M4700">
        <v>45.365801659616999</v>
      </c>
      <c r="O4700">
        <v>51.205637151917799</v>
      </c>
      <c r="P4700">
        <v>-8.28677302796237E-2</v>
      </c>
      <c r="Q4700">
        <v>0.62586015375190995</v>
      </c>
      <c r="R4700">
        <v>0.95600566912331097</v>
      </c>
      <c r="S4700" t="s">
        <v>10283</v>
      </c>
      <c r="T4700" t="s">
        <v>11164</v>
      </c>
      <c r="U4700" t="s">
        <v>11164</v>
      </c>
      <c r="V4700" t="s">
        <v>11164</v>
      </c>
      <c r="W4700" t="s">
        <v>15819</v>
      </c>
      <c r="X4700">
        <v>3</v>
      </c>
      <c r="Y4700" t="s">
        <v>21290</v>
      </c>
      <c r="Z4700" t="s">
        <v>26850</v>
      </c>
      <c r="AA4700">
        <v>0.80529188501365034</v>
      </c>
      <c r="AB4700" t="str">
        <f>HYPERLINK("Melting_Curves/meltCurve_Q9BZM1_PLA2G12A.pdf", "Melting_Curves/meltCurve_Q9BZM1_PLA2G12A.pdf")</f>
        <v>Melting_Curves/meltCurve_Q9BZM1_PLA2G12A.pdf</v>
      </c>
    </row>
    <row r="4701" spans="1:28" x14ac:dyDescent="0.25">
      <c r="A4701" t="s">
        <v>4705</v>
      </c>
      <c r="B4701">
        <v>0.99796759195183404</v>
      </c>
      <c r="C4701">
        <v>0.95398282073326501</v>
      </c>
      <c r="D4701">
        <v>0.84819446557019795</v>
      </c>
      <c r="E4701">
        <v>0.94854877160679096</v>
      </c>
      <c r="F4701">
        <v>0.82993987066847696</v>
      </c>
      <c r="G4701">
        <v>0.52133256469292399</v>
      </c>
      <c r="H4701">
        <v>0.60887763032863196</v>
      </c>
      <c r="I4701">
        <v>0.38346728443502198</v>
      </c>
      <c r="J4701">
        <v>0.33020729693678602</v>
      </c>
      <c r="K4701">
        <v>0.21751794728058699</v>
      </c>
      <c r="L4701">
        <v>468.86728351968799</v>
      </c>
      <c r="M4701">
        <v>8.1008742362316504</v>
      </c>
      <c r="N4701">
        <v>57.878600633976298</v>
      </c>
      <c r="O4701">
        <v>54.671831017841598</v>
      </c>
      <c r="P4701">
        <v>-3.7083170372229399E-2</v>
      </c>
      <c r="Q4701">
        <v>0</v>
      </c>
      <c r="R4701">
        <v>0.94161433973150199</v>
      </c>
      <c r="S4701" t="s">
        <v>10284</v>
      </c>
      <c r="T4701" t="s">
        <v>11164</v>
      </c>
      <c r="U4701" t="s">
        <v>11164</v>
      </c>
      <c r="V4701" t="s">
        <v>11164</v>
      </c>
      <c r="W4701" t="s">
        <v>15820</v>
      </c>
      <c r="X4701">
        <v>2</v>
      </c>
      <c r="Y4701" t="s">
        <v>21291</v>
      </c>
      <c r="Z4701" t="s">
        <v>26851</v>
      </c>
      <c r="AA4701">
        <v>0.67707710921179864</v>
      </c>
      <c r="AB4701" t="str">
        <f>HYPERLINK("Melting_Curves/meltCurve_Q9BZM4_ULBP3.pdf", "Melting_Curves/meltCurve_Q9BZM4_ULBP3.pdf")</f>
        <v>Melting_Curves/meltCurve_Q9BZM4_ULBP3.pdf</v>
      </c>
    </row>
    <row r="4702" spans="1:28" x14ac:dyDescent="0.25">
      <c r="A4702" t="s">
        <v>4706</v>
      </c>
      <c r="B4702">
        <v>0.99796759195183404</v>
      </c>
      <c r="C4702">
        <v>0.76497273631518203</v>
      </c>
      <c r="D4702">
        <v>0.70121708995966903</v>
      </c>
      <c r="E4702">
        <v>0.801505684372809</v>
      </c>
      <c r="F4702">
        <v>0.79369793006290201</v>
      </c>
      <c r="G4702">
        <v>0.68013542547886097</v>
      </c>
      <c r="H4702">
        <v>0.65655708030508697</v>
      </c>
      <c r="I4702">
        <v>0.48881188823409899</v>
      </c>
      <c r="J4702">
        <v>0.42975052155424298</v>
      </c>
      <c r="K4702">
        <v>0.129896259935422</v>
      </c>
      <c r="L4702">
        <v>294.26892158538402</v>
      </c>
      <c r="M4702">
        <v>4.9905725005219796</v>
      </c>
      <c r="N4702">
        <v>58.964964776824097</v>
      </c>
      <c r="O4702">
        <v>51.440366549700499</v>
      </c>
      <c r="P4702">
        <v>-2.4403749210599499E-2</v>
      </c>
      <c r="Q4702">
        <v>0</v>
      </c>
      <c r="R4702">
        <v>0.75146009778504497</v>
      </c>
      <c r="S4702" t="s">
        <v>10285</v>
      </c>
      <c r="T4702" t="s">
        <v>11164</v>
      </c>
      <c r="U4702" t="s">
        <v>11164</v>
      </c>
      <c r="V4702" t="s">
        <v>11164</v>
      </c>
      <c r="W4702" t="s">
        <v>15821</v>
      </c>
      <c r="X4702">
        <v>1</v>
      </c>
      <c r="Y4702" t="s">
        <v>21292</v>
      </c>
      <c r="Z4702" t="s">
        <v>26852</v>
      </c>
      <c r="AA4702">
        <v>0.6602341262724839</v>
      </c>
      <c r="AB4702" t="str">
        <f>HYPERLINK("Melting_Curves/meltCurve_Q9BZM5_ULBP2.pdf", "Melting_Curves/meltCurve_Q9BZM5_ULBP2.pdf")</f>
        <v>Melting_Curves/meltCurve_Q9BZM5_ULBP2.pdf</v>
      </c>
    </row>
    <row r="4703" spans="1:28" x14ac:dyDescent="0.25">
      <c r="A4703" t="s">
        <v>4707</v>
      </c>
      <c r="B4703">
        <v>0.99796759195183404</v>
      </c>
      <c r="C4703">
        <v>0.98189713447292204</v>
      </c>
      <c r="D4703">
        <v>0.95123820432034401</v>
      </c>
      <c r="E4703">
        <v>0.88291261883558603</v>
      </c>
      <c r="F4703">
        <v>0.77606050703409601</v>
      </c>
      <c r="G4703">
        <v>0.56632919316530905</v>
      </c>
      <c r="H4703">
        <v>0.34150381523824902</v>
      </c>
      <c r="I4703">
        <v>0.24366585853702299</v>
      </c>
      <c r="J4703">
        <v>0.15003019431761899</v>
      </c>
      <c r="K4703">
        <v>8.3305966636940301E-2</v>
      </c>
      <c r="L4703">
        <v>673.86652475676703</v>
      </c>
      <c r="M4703">
        <v>12.285998065567901</v>
      </c>
      <c r="N4703">
        <v>54.848333965685001</v>
      </c>
      <c r="O4703">
        <v>53.455974114451699</v>
      </c>
      <c r="P4703">
        <v>-5.7471135078170497E-2</v>
      </c>
      <c r="Q4703">
        <v>0</v>
      </c>
      <c r="R4703">
        <v>0.99819761937053897</v>
      </c>
      <c r="S4703" t="s">
        <v>10286</v>
      </c>
      <c r="T4703" t="s">
        <v>11164</v>
      </c>
      <c r="U4703" t="s">
        <v>11164</v>
      </c>
      <c r="V4703" t="s">
        <v>11164</v>
      </c>
      <c r="W4703" t="s">
        <v>15822</v>
      </c>
      <c r="X4703">
        <v>13</v>
      </c>
      <c r="Y4703" t="s">
        <v>21293</v>
      </c>
      <c r="Z4703" t="s">
        <v>26853</v>
      </c>
      <c r="AA4703">
        <v>0.60981676463200729</v>
      </c>
      <c r="AB4703" t="str">
        <f>HYPERLINK("Melting_Curves/meltCurve_Q9BZX2_UCK2.pdf", "Melting_Curves/meltCurve_Q9BZX2_UCK2.pdf")</f>
        <v>Melting_Curves/meltCurve_Q9BZX2_UCK2.pdf</v>
      </c>
    </row>
    <row r="4704" spans="1:28" x14ac:dyDescent="0.25">
      <c r="A4704" t="s">
        <v>4708</v>
      </c>
      <c r="B4704">
        <v>0.99796759195183404</v>
      </c>
      <c r="C4704">
        <v>1.01326638331439</v>
      </c>
      <c r="D4704">
        <v>1.0462043450982501</v>
      </c>
      <c r="E4704">
        <v>1.0631835638576099</v>
      </c>
      <c r="F4704">
        <v>0.85671276264521001</v>
      </c>
      <c r="G4704">
        <v>0.86219439403053399</v>
      </c>
      <c r="H4704">
        <v>0.62881313806642303</v>
      </c>
      <c r="I4704">
        <v>0.17008573812674699</v>
      </c>
      <c r="J4704">
        <v>0.115033397897487</v>
      </c>
      <c r="K4704">
        <v>7.5747243072463E-2</v>
      </c>
      <c r="L4704">
        <v>1533.1713346654401</v>
      </c>
      <c r="M4704">
        <v>26.468930276195099</v>
      </c>
      <c r="N4704">
        <v>58.064881223126001</v>
      </c>
      <c r="O4704">
        <v>57.595848572059097</v>
      </c>
      <c r="P4704">
        <v>-0.111304872907815</v>
      </c>
      <c r="Q4704">
        <v>3.1222040505369E-2</v>
      </c>
      <c r="R4704">
        <v>0.97951751614364402</v>
      </c>
      <c r="S4704" t="s">
        <v>10287</v>
      </c>
      <c r="T4704" t="s">
        <v>11164</v>
      </c>
      <c r="U4704" t="s">
        <v>11164</v>
      </c>
      <c r="V4704" t="s">
        <v>11164</v>
      </c>
      <c r="W4704" t="s">
        <v>15823</v>
      </c>
      <c r="X4704">
        <v>20</v>
      </c>
      <c r="Y4704" t="s">
        <v>21294</v>
      </c>
      <c r="Z4704" t="s">
        <v>26854</v>
      </c>
      <c r="AA4704">
        <v>0.71301015008160507</v>
      </c>
      <c r="AB4704" t="str">
        <f>HYPERLINK("Melting_Curves/meltCurve_Q9BZZ5_2_API5.pdf", "Melting_Curves/meltCurve_Q9BZZ5_2_API5.pdf")</f>
        <v>Melting_Curves/meltCurve_Q9BZZ5_2_API5.pdf</v>
      </c>
    </row>
    <row r="4705" spans="1:28" x14ac:dyDescent="0.25">
      <c r="A4705" t="s">
        <v>4709</v>
      </c>
      <c r="B4705">
        <v>0.99796759195183404</v>
      </c>
      <c r="C4705">
        <v>0.971775425196575</v>
      </c>
      <c r="D4705">
        <v>0.95072328452416999</v>
      </c>
      <c r="E4705">
        <v>0.95164825679411402</v>
      </c>
      <c r="F4705">
        <v>0.87949357726474597</v>
      </c>
      <c r="G4705">
        <v>0.83588311107019297</v>
      </c>
      <c r="H4705">
        <v>1.10338037500611</v>
      </c>
      <c r="I4705">
        <v>1.07031168351166</v>
      </c>
      <c r="J4705">
        <v>1.4517641361951099</v>
      </c>
      <c r="K4705">
        <v>1.4545897404833801</v>
      </c>
      <c r="L4705">
        <v>8035.4897160192304</v>
      </c>
      <c r="M4705">
        <v>130.03053908758301</v>
      </c>
      <c r="O4705">
        <v>61.782331697929102</v>
      </c>
      <c r="P4705">
        <v>0.23955650760467501</v>
      </c>
      <c r="Q4705">
        <v>1.4552886929583699</v>
      </c>
      <c r="R4705">
        <v>0.86543349062055697</v>
      </c>
      <c r="S4705" t="s">
        <v>10288</v>
      </c>
      <c r="T4705" t="s">
        <v>11164</v>
      </c>
      <c r="U4705" t="s">
        <v>11164</v>
      </c>
      <c r="V4705" t="s">
        <v>11164</v>
      </c>
      <c r="W4705" t="s">
        <v>15824</v>
      </c>
      <c r="X4705">
        <v>5</v>
      </c>
      <c r="Y4705" t="s">
        <v>21295</v>
      </c>
      <c r="Z4705" t="s">
        <v>26855</v>
      </c>
      <c r="AA4705">
        <v>1.078780835378413</v>
      </c>
      <c r="AB4705" t="str">
        <f>HYPERLINK("Melting_Curves/meltCurve_Q9C005_DPY30.pdf", "Melting_Curves/meltCurve_Q9C005_DPY30.pdf")</f>
        <v>Melting_Curves/meltCurve_Q9C005_DPY30.pdf</v>
      </c>
    </row>
    <row r="4706" spans="1:28" x14ac:dyDescent="0.25">
      <c r="A4706" t="s">
        <v>4710</v>
      </c>
      <c r="B4706">
        <v>0.99796759195183404</v>
      </c>
      <c r="C4706">
        <v>0.87845860168050904</v>
      </c>
      <c r="D4706">
        <v>0.94992540969867401</v>
      </c>
      <c r="E4706">
        <v>0.88747235202047603</v>
      </c>
      <c r="F4706">
        <v>0.70879238061733996</v>
      </c>
      <c r="G4706">
        <v>0.53776853271153602</v>
      </c>
      <c r="H4706">
        <v>0.51098302184340105</v>
      </c>
      <c r="I4706">
        <v>0.40257112986203403</v>
      </c>
      <c r="J4706">
        <v>0.37406447304384699</v>
      </c>
      <c r="K4706">
        <v>0.19699763558150901</v>
      </c>
      <c r="L4706">
        <v>408.25090670027299</v>
      </c>
      <c r="M4706">
        <v>7.1590869189340198</v>
      </c>
      <c r="N4706">
        <v>57.025555258337597</v>
      </c>
      <c r="O4706">
        <v>53.079077008441203</v>
      </c>
      <c r="P4706">
        <v>-3.3776530753829602E-2</v>
      </c>
      <c r="Q4706">
        <v>0</v>
      </c>
      <c r="R4706">
        <v>0.96577354585174102</v>
      </c>
      <c r="S4706" t="s">
        <v>10289</v>
      </c>
      <c r="T4706" t="s">
        <v>11164</v>
      </c>
      <c r="U4706" t="s">
        <v>11164</v>
      </c>
      <c r="V4706" t="s">
        <v>11164</v>
      </c>
      <c r="W4706" t="s">
        <v>15825</v>
      </c>
      <c r="X4706">
        <v>2</v>
      </c>
      <c r="Y4706" t="s">
        <v>21296</v>
      </c>
      <c r="Z4706" t="s">
        <v>26856</v>
      </c>
      <c r="AA4706">
        <v>0.65000339583116817</v>
      </c>
      <c r="AB4706" t="str">
        <f>HYPERLINK("Melting_Curves/meltCurve_Q9C026_5_TRIM9.pdf", "Melting_Curves/meltCurve_Q9C026_5_TRIM9.pdf")</f>
        <v>Melting_Curves/meltCurve_Q9C026_5_TRIM9.pdf</v>
      </c>
    </row>
    <row r="4707" spans="1:28" x14ac:dyDescent="0.25">
      <c r="A4707" t="s">
        <v>4711</v>
      </c>
      <c r="B4707">
        <v>0.99796759195183404</v>
      </c>
      <c r="C4707">
        <v>1.0125210350748901</v>
      </c>
      <c r="D4707">
        <v>1.0312941309416499</v>
      </c>
      <c r="E4707">
        <v>0.94677839311481404</v>
      </c>
      <c r="F4707">
        <v>0.93555663642085096</v>
      </c>
      <c r="G4707">
        <v>0.33302553091435799</v>
      </c>
      <c r="H4707">
        <v>0.23153250991805999</v>
      </c>
      <c r="I4707">
        <v>0.18417671068680799</v>
      </c>
      <c r="J4707">
        <v>0.181054145989752</v>
      </c>
      <c r="K4707">
        <v>0.15151509865226101</v>
      </c>
      <c r="L4707">
        <v>2879.2067595343001</v>
      </c>
      <c r="M4707">
        <v>54.9830801269324</v>
      </c>
      <c r="N4707">
        <v>52.807479952440701</v>
      </c>
      <c r="O4707">
        <v>52.296189550143303</v>
      </c>
      <c r="P4707">
        <v>-0.21435662390743501</v>
      </c>
      <c r="Q4707">
        <v>0.18447434468139501</v>
      </c>
      <c r="R4707">
        <v>0.99556743577634899</v>
      </c>
      <c r="S4707" t="s">
        <v>10290</v>
      </c>
      <c r="T4707" t="s">
        <v>11164</v>
      </c>
      <c r="U4707" t="s">
        <v>11164</v>
      </c>
      <c r="V4707" t="s">
        <v>11164</v>
      </c>
      <c r="W4707" t="s">
        <v>15826</v>
      </c>
      <c r="X4707">
        <v>4</v>
      </c>
      <c r="Y4707" t="s">
        <v>21297</v>
      </c>
      <c r="Z4707" t="s">
        <v>26857</v>
      </c>
      <c r="AA4707">
        <v>0.60372417399464617</v>
      </c>
      <c r="AB4707" t="str">
        <f>HYPERLINK("Melting_Curves/meltCurve_Q9C037_2_TRIM4.pdf", "Melting_Curves/meltCurve_Q9C037_2_TRIM4.pdf")</f>
        <v>Melting_Curves/meltCurve_Q9C037_2_TRIM4.pdf</v>
      </c>
    </row>
    <row r="4708" spans="1:28" x14ac:dyDescent="0.25">
      <c r="A4708" t="s">
        <v>4712</v>
      </c>
      <c r="B4708">
        <v>0.99796759195183404</v>
      </c>
      <c r="C4708">
        <v>0.95064136917869302</v>
      </c>
      <c r="D4708">
        <v>0.91443356262391595</v>
      </c>
      <c r="E4708">
        <v>0.93866793791820702</v>
      </c>
      <c r="F4708">
        <v>0.71579945861265903</v>
      </c>
      <c r="G4708">
        <v>0.42872454755714301</v>
      </c>
      <c r="H4708">
        <v>0.312939545425583</v>
      </c>
      <c r="I4708">
        <v>0.37829239384182201</v>
      </c>
      <c r="J4708">
        <v>0.26507814917419298</v>
      </c>
      <c r="K4708">
        <v>0.15668529640828499</v>
      </c>
      <c r="L4708">
        <v>963.61325644778503</v>
      </c>
      <c r="M4708">
        <v>18.737446691638599</v>
      </c>
      <c r="N4708">
        <v>53.202047261092297</v>
      </c>
      <c r="O4708">
        <v>50.852115124251803</v>
      </c>
      <c r="P4708">
        <v>-7.0712304255444003E-2</v>
      </c>
      <c r="Q4708">
        <v>0.232399409222143</v>
      </c>
      <c r="R4708">
        <v>0.97074675239652997</v>
      </c>
      <c r="S4708" t="s">
        <v>10291</v>
      </c>
      <c r="T4708" t="s">
        <v>11164</v>
      </c>
      <c r="U4708" t="s">
        <v>11164</v>
      </c>
      <c r="V4708" t="s">
        <v>11164</v>
      </c>
      <c r="W4708" t="s">
        <v>15827</v>
      </c>
      <c r="X4708">
        <v>4</v>
      </c>
      <c r="Y4708" t="s">
        <v>21298</v>
      </c>
      <c r="Z4708" t="s">
        <v>26858</v>
      </c>
      <c r="AA4708">
        <v>0.6126353415823117</v>
      </c>
      <c r="AB4708" t="str">
        <f>HYPERLINK("Melting_Curves/meltCurve_Q9C040_TRIM2.pdf", "Melting_Curves/meltCurve_Q9C040_TRIM2.pdf")</f>
        <v>Melting_Curves/meltCurve_Q9C040_TRIM2.pdf</v>
      </c>
    </row>
    <row r="4709" spans="1:28" x14ac:dyDescent="0.25">
      <c r="A4709" t="s">
        <v>4713</v>
      </c>
      <c r="B4709">
        <v>0.99796759195183404</v>
      </c>
      <c r="C4709">
        <v>0.983882262191072</v>
      </c>
      <c r="D4709">
        <v>0.96308104887851698</v>
      </c>
      <c r="E4709">
        <v>0.90827630447635699</v>
      </c>
      <c r="F4709">
        <v>0.758427934249568</v>
      </c>
      <c r="G4709">
        <v>0.45603481189775202</v>
      </c>
      <c r="H4709">
        <v>0.39159903659335699</v>
      </c>
      <c r="I4709">
        <v>0.30242835026790699</v>
      </c>
      <c r="J4709">
        <v>0.26915751184380798</v>
      </c>
      <c r="K4709">
        <v>0.24256713445033801</v>
      </c>
      <c r="L4709">
        <v>939.70547360475405</v>
      </c>
      <c r="M4709">
        <v>18.139245144982201</v>
      </c>
      <c r="N4709">
        <v>53.830436945130998</v>
      </c>
      <c r="O4709">
        <v>51.187784705220203</v>
      </c>
      <c r="P4709">
        <v>-6.6684536608092607E-2</v>
      </c>
      <c r="Q4709">
        <v>0.24731809443049799</v>
      </c>
      <c r="R4709">
        <v>0.99467555467623903</v>
      </c>
      <c r="S4709" t="s">
        <v>10292</v>
      </c>
      <c r="T4709" t="s">
        <v>11164</v>
      </c>
      <c r="U4709" t="s">
        <v>11164</v>
      </c>
      <c r="V4709" t="s">
        <v>11164</v>
      </c>
      <c r="W4709" t="s">
        <v>15828</v>
      </c>
      <c r="X4709">
        <v>5</v>
      </c>
      <c r="Y4709" t="s">
        <v>21299</v>
      </c>
      <c r="Z4709" t="s">
        <v>26859</v>
      </c>
      <c r="AA4709">
        <v>0.63008950248909978</v>
      </c>
      <c r="AB4709" t="str">
        <f>HYPERLINK("Melting_Curves/meltCurve_Q9C0B0_UNK.pdf", "Melting_Curves/meltCurve_Q9C0B0_UNK.pdf")</f>
        <v>Melting_Curves/meltCurve_Q9C0B0_UNK.pdf</v>
      </c>
    </row>
    <row r="4710" spans="1:28" x14ac:dyDescent="0.25">
      <c r="A4710" t="s">
        <v>4714</v>
      </c>
      <c r="B4710">
        <v>0.99796759195183404</v>
      </c>
      <c r="C4710">
        <v>1.05435934501025</v>
      </c>
      <c r="D4710">
        <v>1.0470937953330901</v>
      </c>
      <c r="E4710">
        <v>0.98237904155601896</v>
      </c>
      <c r="F4710">
        <v>0.86792834346957504</v>
      </c>
      <c r="G4710">
        <v>0.689755672301403</v>
      </c>
      <c r="H4710">
        <v>0.57950765736940901</v>
      </c>
      <c r="I4710">
        <v>0.45624274646124702</v>
      </c>
      <c r="J4710">
        <v>0.49685764144994599</v>
      </c>
      <c r="K4710">
        <v>0.38939309590124599</v>
      </c>
      <c r="L4710">
        <v>975.86500402059403</v>
      </c>
      <c r="M4710">
        <v>18.144956081299199</v>
      </c>
      <c r="N4710">
        <v>59.607345642063002</v>
      </c>
      <c r="O4710">
        <v>53.141133607799702</v>
      </c>
      <c r="P4710">
        <v>-4.99287221070807E-2</v>
      </c>
      <c r="Q4710">
        <v>0.41512290892803899</v>
      </c>
      <c r="R4710">
        <v>0.98099829644857806</v>
      </c>
      <c r="S4710" t="s">
        <v>10293</v>
      </c>
      <c r="T4710" t="s">
        <v>11164</v>
      </c>
      <c r="U4710" t="s">
        <v>11164</v>
      </c>
      <c r="V4710" t="s">
        <v>11164</v>
      </c>
      <c r="W4710" t="s">
        <v>15829</v>
      </c>
      <c r="X4710">
        <v>20</v>
      </c>
      <c r="Y4710" t="s">
        <v>21300</v>
      </c>
      <c r="Z4710" t="s">
        <v>26860</v>
      </c>
      <c r="AA4710">
        <v>0.75036180791859486</v>
      </c>
      <c r="AB4710" t="str">
        <f>HYPERLINK("Melting_Curves/meltCurve_Q9C0B1_FTO.pdf", "Melting_Curves/meltCurve_Q9C0B1_FTO.pdf")</f>
        <v>Melting_Curves/meltCurve_Q9C0B1_FTO.pdf</v>
      </c>
    </row>
    <row r="4711" spans="1:28" x14ac:dyDescent="0.25">
      <c r="A4711" t="s">
        <v>4715</v>
      </c>
      <c r="B4711">
        <v>0.99796759195183404</v>
      </c>
      <c r="C4711">
        <v>0.99801289149236305</v>
      </c>
      <c r="D4711">
        <v>0.91536080286390997</v>
      </c>
      <c r="E4711">
        <v>0.90109051880616498</v>
      </c>
      <c r="F4711">
        <v>0.79491961725777305</v>
      </c>
      <c r="G4711">
        <v>0.77367740406022001</v>
      </c>
      <c r="H4711">
        <v>0.84644167608546494</v>
      </c>
      <c r="I4711">
        <v>0.81279319167145103</v>
      </c>
      <c r="J4711">
        <v>0.91048708378771703</v>
      </c>
      <c r="K4711">
        <v>0.66363963292375305</v>
      </c>
      <c r="L4711">
        <v>821.40373238464997</v>
      </c>
      <c r="M4711">
        <v>18.229674929097101</v>
      </c>
      <c r="O4711">
        <v>44.5268900429027</v>
      </c>
      <c r="P4711">
        <v>-2.08615845415887E-2</v>
      </c>
      <c r="Q4711">
        <v>0.79618772434138796</v>
      </c>
      <c r="R4711">
        <v>0.625255808869146</v>
      </c>
      <c r="S4711" t="s">
        <v>10294</v>
      </c>
      <c r="T4711" t="s">
        <v>11164</v>
      </c>
      <c r="U4711" t="s">
        <v>11164</v>
      </c>
      <c r="V4711" t="s">
        <v>11164</v>
      </c>
      <c r="W4711" t="s">
        <v>15830</v>
      </c>
      <c r="X4711">
        <v>8</v>
      </c>
      <c r="Y4711" t="s">
        <v>21301</v>
      </c>
      <c r="Z4711" t="s">
        <v>26861</v>
      </c>
      <c r="AA4711">
        <v>0.85418543208508557</v>
      </c>
      <c r="AB4711" t="str">
        <f>HYPERLINK("Melting_Curves/meltCurve_Q9C0B5_2_ZDHHC5.pdf", "Melting_Curves/meltCurve_Q9C0B5_2_ZDHHC5.pdf")</f>
        <v>Melting_Curves/meltCurve_Q9C0B5_2_ZDHHC5.pdf</v>
      </c>
    </row>
    <row r="4712" spans="1:28" x14ac:dyDescent="0.25">
      <c r="A4712" t="s">
        <v>4716</v>
      </c>
      <c r="B4712">
        <v>0.99796759195183404</v>
      </c>
      <c r="C4712">
        <v>0.88556972503620102</v>
      </c>
      <c r="D4712">
        <v>1.0001902105498199</v>
      </c>
      <c r="E4712">
        <v>0.67816867578697004</v>
      </c>
      <c r="F4712">
        <v>0.82559328970102897</v>
      </c>
      <c r="G4712">
        <v>0.52502444175794405</v>
      </c>
      <c r="H4712">
        <v>0.24926550936598199</v>
      </c>
      <c r="I4712">
        <v>8.5807588656160394E-2</v>
      </c>
      <c r="J4712">
        <v>0</v>
      </c>
      <c r="K4712">
        <v>0.11191490971722499</v>
      </c>
      <c r="L4712">
        <v>759.88928945125599</v>
      </c>
      <c r="M4712">
        <v>14.2299510662885</v>
      </c>
      <c r="N4712">
        <v>53.400682732868503</v>
      </c>
      <c r="O4712">
        <v>52.379287072887301</v>
      </c>
      <c r="P4712">
        <v>-6.7926268343488097E-2</v>
      </c>
      <c r="Q4712">
        <v>0</v>
      </c>
      <c r="R4712">
        <v>0.93835758652877499</v>
      </c>
      <c r="S4712" t="s">
        <v>10295</v>
      </c>
      <c r="T4712" t="s">
        <v>11164</v>
      </c>
      <c r="U4712" t="s">
        <v>11164</v>
      </c>
      <c r="V4712" t="s">
        <v>11164</v>
      </c>
      <c r="W4712" t="s">
        <v>15831</v>
      </c>
      <c r="X4712">
        <v>1</v>
      </c>
      <c r="Y4712" t="s">
        <v>21302</v>
      </c>
      <c r="Z4712" t="s">
        <v>26862</v>
      </c>
      <c r="AA4712">
        <v>0.56468417715578711</v>
      </c>
      <c r="AB4712" t="str">
        <f>HYPERLINK("Melting_Curves/meltCurve_Q9C0B7_TANGO6.pdf", "Melting_Curves/meltCurve_Q9C0B7_TANGO6.pdf")</f>
        <v>Melting_Curves/meltCurve_Q9C0B7_TANGO6.pdf</v>
      </c>
    </row>
    <row r="4713" spans="1:28" x14ac:dyDescent="0.25">
      <c r="A4713" t="s">
        <v>4717</v>
      </c>
      <c r="B4713">
        <v>0.99796759195183404</v>
      </c>
      <c r="C4713">
        <v>0.98945598896382603</v>
      </c>
      <c r="D4713">
        <v>0.95138521387230701</v>
      </c>
      <c r="E4713">
        <v>0.88992956161862802</v>
      </c>
      <c r="F4713">
        <v>0.85018734424582398</v>
      </c>
      <c r="G4713">
        <v>1.04982679237131</v>
      </c>
      <c r="H4713">
        <v>1.4820278446697599</v>
      </c>
      <c r="I4713">
        <v>1.3652152796713399</v>
      </c>
      <c r="J4713">
        <v>1.67131126786606</v>
      </c>
      <c r="K4713">
        <v>1.5940295297856399</v>
      </c>
      <c r="L4713">
        <v>4661.9554635718296</v>
      </c>
      <c r="M4713">
        <v>84.443890057549893</v>
      </c>
      <c r="O4713">
        <v>55.176794458142901</v>
      </c>
      <c r="P4713">
        <v>0.19130303464631301</v>
      </c>
      <c r="Q4713">
        <v>1.5</v>
      </c>
      <c r="R4713">
        <v>0.89262721549611401</v>
      </c>
      <c r="S4713" t="s">
        <v>10296</v>
      </c>
      <c r="T4713" t="s">
        <v>11164</v>
      </c>
      <c r="U4713" t="s">
        <v>11164</v>
      </c>
      <c r="V4713" t="s">
        <v>11164</v>
      </c>
      <c r="W4713" t="s">
        <v>15832</v>
      </c>
      <c r="X4713">
        <v>48</v>
      </c>
      <c r="Y4713" t="s">
        <v>21303</v>
      </c>
      <c r="Z4713" t="s">
        <v>26863</v>
      </c>
      <c r="AA4713">
        <v>1.1961125039646161</v>
      </c>
      <c r="AB4713" t="str">
        <f>HYPERLINK("Melting_Curves/meltCurve_Q9C0C2_TNKS1BP1.pdf", "Melting_Curves/meltCurve_Q9C0C2_TNKS1BP1.pdf")</f>
        <v>Melting_Curves/meltCurve_Q9C0C2_TNKS1BP1.pdf</v>
      </c>
    </row>
    <row r="4714" spans="1:28" x14ac:dyDescent="0.25">
      <c r="A4714" t="s">
        <v>4718</v>
      </c>
      <c r="B4714">
        <v>0.99796759195183404</v>
      </c>
      <c r="C4714">
        <v>1.11519944216027</v>
      </c>
      <c r="D4714">
        <v>1.30089210223101</v>
      </c>
      <c r="E4714">
        <v>0.93815629636549502</v>
      </c>
      <c r="F4714">
        <v>1.03822722355847</v>
      </c>
      <c r="G4714">
        <v>1.05039552403093</v>
      </c>
      <c r="H4714">
        <v>0.91984061468637202</v>
      </c>
      <c r="I4714">
        <v>0.529808852757916</v>
      </c>
      <c r="J4714">
        <v>0.27446239582580301</v>
      </c>
      <c r="K4714">
        <v>0.168997511926366</v>
      </c>
      <c r="L4714">
        <v>2357.86646266957</v>
      </c>
      <c r="M4714">
        <v>38.855220743921699</v>
      </c>
      <c r="N4714">
        <v>61.297740805340702</v>
      </c>
      <c r="O4714">
        <v>60.5233157993354</v>
      </c>
      <c r="P4714">
        <v>-0.13461217006447401</v>
      </c>
      <c r="Q4714">
        <v>0.161280700110397</v>
      </c>
      <c r="R4714">
        <v>0.91169802603166705</v>
      </c>
      <c r="S4714" t="s">
        <v>10297</v>
      </c>
      <c r="T4714" t="s">
        <v>11164</v>
      </c>
      <c r="U4714" t="s">
        <v>11164</v>
      </c>
      <c r="V4714" t="s">
        <v>11164</v>
      </c>
      <c r="W4714" t="s">
        <v>15833</v>
      </c>
      <c r="X4714">
        <v>1</v>
      </c>
      <c r="Y4714" t="s">
        <v>21304</v>
      </c>
      <c r="Z4714" t="s">
        <v>26864</v>
      </c>
      <c r="AA4714">
        <v>0.82570341720298468</v>
      </c>
      <c r="AB4714" t="str">
        <f>HYPERLINK("Melting_Curves/meltCurve_Q9C0C4_SEMA4C.pdf", "Melting_Curves/meltCurve_Q9C0C4_SEMA4C.pdf")</f>
        <v>Melting_Curves/meltCurve_Q9C0C4_SEMA4C.pdf</v>
      </c>
    </row>
    <row r="4715" spans="1:28" x14ac:dyDescent="0.25">
      <c r="A4715" t="s">
        <v>4719</v>
      </c>
      <c r="B4715">
        <v>0.99796759195183404</v>
      </c>
      <c r="C4715">
        <v>1.1131697865591901</v>
      </c>
      <c r="D4715">
        <v>0.95234429227700601</v>
      </c>
      <c r="E4715">
        <v>0.721979656627038</v>
      </c>
      <c r="F4715">
        <v>0.48332460231226898</v>
      </c>
      <c r="G4715">
        <v>0.44186165556490398</v>
      </c>
      <c r="H4715">
        <v>0.28387322552821798</v>
      </c>
      <c r="I4715">
        <v>0.21320041176042601</v>
      </c>
      <c r="J4715">
        <v>0.103510921649375</v>
      </c>
      <c r="K4715">
        <v>0.12258400804450401</v>
      </c>
      <c r="L4715">
        <v>651.87848276354703</v>
      </c>
      <c r="M4715">
        <v>12.9606689875177</v>
      </c>
      <c r="N4715">
        <v>51.201067369033098</v>
      </c>
      <c r="O4715">
        <v>49.1444649218272</v>
      </c>
      <c r="P4715">
        <v>-5.9196705976219802E-2</v>
      </c>
      <c r="Q4715">
        <v>0.10230897839966099</v>
      </c>
      <c r="R4715">
        <v>0.97008080100176197</v>
      </c>
      <c r="S4715" t="s">
        <v>10298</v>
      </c>
      <c r="T4715" t="s">
        <v>11164</v>
      </c>
      <c r="U4715" t="s">
        <v>11164</v>
      </c>
      <c r="V4715" t="s">
        <v>11164</v>
      </c>
      <c r="W4715" t="s">
        <v>15834</v>
      </c>
      <c r="X4715">
        <v>1</v>
      </c>
      <c r="Y4715" t="s">
        <v>21305</v>
      </c>
      <c r="Z4715" t="s">
        <v>26865</v>
      </c>
      <c r="AA4715">
        <v>0.52269576231223669</v>
      </c>
      <c r="AB4715" t="str">
        <f>HYPERLINK("Melting_Curves/meltCurve_Q9C0C7_4_AMBRA1.pdf", "Melting_Curves/meltCurve_Q9C0C7_4_AMBRA1.pdf")</f>
        <v>Melting_Curves/meltCurve_Q9C0C7_4_AMBRA1.pdf</v>
      </c>
    </row>
    <row r="4716" spans="1:28" x14ac:dyDescent="0.25">
      <c r="A4716" t="s">
        <v>4720</v>
      </c>
      <c r="B4716">
        <v>0.99796759195183404</v>
      </c>
      <c r="C4716">
        <v>1.03614531286645</v>
      </c>
      <c r="D4716">
        <v>1.00536720249161</v>
      </c>
      <c r="E4716">
        <v>0.93137302866509397</v>
      </c>
      <c r="F4716">
        <v>0.87107624779627502</v>
      </c>
      <c r="G4716">
        <v>0.69694539144464496</v>
      </c>
      <c r="H4716">
        <v>0.29766029905420999</v>
      </c>
      <c r="I4716">
        <v>0.23204698002583801</v>
      </c>
      <c r="J4716">
        <v>0.1752598099606</v>
      </c>
      <c r="K4716">
        <v>0.145289414918464</v>
      </c>
      <c r="L4716">
        <v>1288.1881249220701</v>
      </c>
      <c r="M4716">
        <v>23.579329966261501</v>
      </c>
      <c r="N4716">
        <v>55.409914377806601</v>
      </c>
      <c r="O4716">
        <v>54.243693064195497</v>
      </c>
      <c r="P4716">
        <v>-9.3363049394837E-2</v>
      </c>
      <c r="Q4716">
        <v>0.14089658261431701</v>
      </c>
      <c r="R4716">
        <v>0.99141180430067699</v>
      </c>
      <c r="S4716" t="s">
        <v>10299</v>
      </c>
      <c r="T4716" t="s">
        <v>11164</v>
      </c>
      <c r="U4716" t="s">
        <v>11164</v>
      </c>
      <c r="V4716" t="s">
        <v>11164</v>
      </c>
      <c r="W4716" t="s">
        <v>15835</v>
      </c>
      <c r="X4716">
        <v>26</v>
      </c>
      <c r="Y4716" t="s">
        <v>17805</v>
      </c>
      <c r="Z4716" t="s">
        <v>26866</v>
      </c>
      <c r="AA4716">
        <v>0.65388881053890213</v>
      </c>
      <c r="AB4716" t="str">
        <f>HYPERLINK("Melting_Curves/meltCurve_Q9C0C9_UBE2O.pdf", "Melting_Curves/meltCurve_Q9C0C9_UBE2O.pdf")</f>
        <v>Melting_Curves/meltCurve_Q9C0C9_UBE2O.pdf</v>
      </c>
    </row>
    <row r="4717" spans="1:28" x14ac:dyDescent="0.25">
      <c r="A4717" t="s">
        <v>4721</v>
      </c>
      <c r="B4717">
        <v>0.99796759195183404</v>
      </c>
      <c r="C4717">
        <v>1.10666841574189</v>
      </c>
      <c r="D4717">
        <v>0.86806472239833399</v>
      </c>
      <c r="E4717">
        <v>0.75744284298855002</v>
      </c>
      <c r="F4717">
        <v>0.19780455024927601</v>
      </c>
      <c r="G4717">
        <v>0.225166752134182</v>
      </c>
      <c r="H4717">
        <v>0.117517364139715</v>
      </c>
      <c r="I4717">
        <v>9.6856261170275404E-2</v>
      </c>
      <c r="J4717">
        <v>6.4493727483561095E-2</v>
      </c>
      <c r="K4717">
        <v>6.0267225687505997E-2</v>
      </c>
      <c r="L4717">
        <v>1553.4428388854899</v>
      </c>
      <c r="M4717">
        <v>32.533366648440499</v>
      </c>
      <c r="N4717">
        <v>48.077125574099199</v>
      </c>
      <c r="O4717">
        <v>47.5698970434076</v>
      </c>
      <c r="P4717">
        <v>-0.153965492077382</v>
      </c>
      <c r="Q4717">
        <v>9.9498380455668195E-2</v>
      </c>
      <c r="R4717">
        <v>0.97502690216754795</v>
      </c>
      <c r="S4717" t="s">
        <v>10300</v>
      </c>
      <c r="T4717" t="s">
        <v>11164</v>
      </c>
      <c r="U4717" t="s">
        <v>11164</v>
      </c>
      <c r="V4717" t="s">
        <v>11164</v>
      </c>
      <c r="W4717" t="s">
        <v>15836</v>
      </c>
      <c r="X4717">
        <v>2</v>
      </c>
      <c r="Y4717" t="s">
        <v>21306</v>
      </c>
      <c r="Z4717" t="s">
        <v>26867</v>
      </c>
      <c r="AA4717">
        <v>0.42666334365340841</v>
      </c>
      <c r="AB4717" t="str">
        <f>HYPERLINK("Melting_Curves/meltCurve_Q9C0D3_ZYG11B.pdf", "Melting_Curves/meltCurve_Q9C0D3_ZYG11B.pdf")</f>
        <v>Melting_Curves/meltCurve_Q9C0D3_ZYG11B.pdf</v>
      </c>
    </row>
    <row r="4718" spans="1:28" x14ac:dyDescent="0.25">
      <c r="A4718" t="s">
        <v>4722</v>
      </c>
      <c r="B4718">
        <v>0.99796759195183404</v>
      </c>
      <c r="C4718">
        <v>0.93697012208163699</v>
      </c>
      <c r="D4718">
        <v>0.91021250155419997</v>
      </c>
      <c r="E4718">
        <v>0.79327140650557904</v>
      </c>
      <c r="F4718">
        <v>0.57718791276761505</v>
      </c>
      <c r="G4718">
        <v>0.26314994630220301</v>
      </c>
      <c r="H4718">
        <v>0.23129901521832399</v>
      </c>
      <c r="I4718">
        <v>0.23022604058745699</v>
      </c>
      <c r="J4718">
        <v>0.13632387605932</v>
      </c>
      <c r="K4718">
        <v>0.15267487196587401</v>
      </c>
      <c r="L4718">
        <v>828.57944744618601</v>
      </c>
      <c r="M4718">
        <v>16.676202863350099</v>
      </c>
      <c r="N4718">
        <v>50.701409058126501</v>
      </c>
      <c r="O4718">
        <v>48.988340617030502</v>
      </c>
      <c r="P4718">
        <v>-7.3029676493491499E-2</v>
      </c>
      <c r="Q4718">
        <v>0.14192347417764101</v>
      </c>
      <c r="R4718">
        <v>0.98880966848682905</v>
      </c>
      <c r="S4718" t="s">
        <v>10301</v>
      </c>
      <c r="T4718" t="s">
        <v>11164</v>
      </c>
      <c r="U4718" t="s">
        <v>11164</v>
      </c>
      <c r="V4718" t="s">
        <v>11164</v>
      </c>
      <c r="W4718" t="s">
        <v>15837</v>
      </c>
      <c r="X4718">
        <v>3</v>
      </c>
      <c r="Y4718" t="s">
        <v>21307</v>
      </c>
      <c r="Z4718" t="s">
        <v>26868</v>
      </c>
      <c r="AA4718">
        <v>0.52016299469671767</v>
      </c>
      <c r="AB4718" t="str">
        <f>HYPERLINK("Melting_Curves/meltCurve_Q9C0D5_2_TANC1.pdf", "Melting_Curves/meltCurve_Q9C0D5_2_TANC1.pdf")</f>
        <v>Melting_Curves/meltCurve_Q9C0D5_2_TANC1.pdf</v>
      </c>
    </row>
    <row r="4719" spans="1:28" x14ac:dyDescent="0.25">
      <c r="A4719" t="s">
        <v>4723</v>
      </c>
      <c r="B4719">
        <v>0.99796759195183404</v>
      </c>
      <c r="C4719">
        <v>1.13927470550312</v>
      </c>
      <c r="D4719">
        <v>1.15756203803636</v>
      </c>
      <c r="E4719">
        <v>0.93606410835938403</v>
      </c>
      <c r="F4719">
        <v>0.68316651190805699</v>
      </c>
      <c r="G4719">
        <v>0.33307714953143303</v>
      </c>
      <c r="H4719">
        <v>0.24675249435845301</v>
      </c>
      <c r="I4719">
        <v>0.14886183425979199</v>
      </c>
      <c r="J4719">
        <v>6.5040998634372404E-2</v>
      </c>
      <c r="K4719">
        <v>4.5366224211976898E-2</v>
      </c>
      <c r="L4719">
        <v>1136.07547549484</v>
      </c>
      <c r="M4719">
        <v>21.925189288737499</v>
      </c>
      <c r="N4719">
        <v>52.238692878448397</v>
      </c>
      <c r="O4719">
        <v>51.390720758847699</v>
      </c>
      <c r="P4719">
        <v>-9.7992035342323494E-2</v>
      </c>
      <c r="Q4719">
        <v>8.1281841515130501E-2</v>
      </c>
      <c r="R4719">
        <v>0.96911704877569804</v>
      </c>
      <c r="S4719" t="s">
        <v>10302</v>
      </c>
      <c r="T4719" t="s">
        <v>11164</v>
      </c>
      <c r="U4719" t="s">
        <v>11164</v>
      </c>
      <c r="V4719" t="s">
        <v>11164</v>
      </c>
      <c r="W4719" t="s">
        <v>15838</v>
      </c>
      <c r="X4719">
        <v>3</v>
      </c>
      <c r="Y4719" t="s">
        <v>21308</v>
      </c>
      <c r="Z4719" t="s">
        <v>26869</v>
      </c>
      <c r="AA4719">
        <v>0.5452454334290372</v>
      </c>
      <c r="AB4719" t="str">
        <f>HYPERLINK("Melting_Curves/meltCurve_Q9C0F1_CEP44.pdf", "Melting_Curves/meltCurve_Q9C0F1_CEP44.pdf")</f>
        <v>Melting_Curves/meltCurve_Q9C0F1_CEP44.pdf</v>
      </c>
    </row>
    <row r="4720" spans="1:28" x14ac:dyDescent="0.25">
      <c r="A4720" t="s">
        <v>4724</v>
      </c>
      <c r="B4720">
        <v>0.99796759195183404</v>
      </c>
      <c r="C4720">
        <v>1.02071442510864</v>
      </c>
      <c r="D4720">
        <v>1.0218393246735999</v>
      </c>
      <c r="E4720">
        <v>0.95225386828879899</v>
      </c>
      <c r="F4720">
        <v>0.91144993447725098</v>
      </c>
      <c r="G4720">
        <v>0.62077707171101604</v>
      </c>
      <c r="H4720">
        <v>0.64227963930568899</v>
      </c>
      <c r="I4720">
        <v>0.61621262757453799</v>
      </c>
      <c r="J4720">
        <v>0.53799056525618805</v>
      </c>
      <c r="K4720">
        <v>0.38155260679852598</v>
      </c>
      <c r="L4720">
        <v>679.62909990401101</v>
      </c>
      <c r="M4720">
        <v>12.406369215966199</v>
      </c>
      <c r="N4720">
        <v>63.514389971706699</v>
      </c>
      <c r="O4720">
        <v>53.415772967476002</v>
      </c>
      <c r="P4720">
        <v>-3.4312003123815597E-2</v>
      </c>
      <c r="Q4720">
        <v>0.40920223229470198</v>
      </c>
      <c r="R4720">
        <v>0.93058888671448703</v>
      </c>
      <c r="S4720" t="s">
        <v>10303</v>
      </c>
      <c r="T4720" t="s">
        <v>11164</v>
      </c>
      <c r="U4720" t="s">
        <v>11164</v>
      </c>
      <c r="V4720" t="s">
        <v>11164</v>
      </c>
      <c r="W4720" t="s">
        <v>15839</v>
      </c>
      <c r="X4720">
        <v>4</v>
      </c>
      <c r="Y4720" t="s">
        <v>21309</v>
      </c>
      <c r="Z4720" t="s">
        <v>26870</v>
      </c>
      <c r="AA4720">
        <v>0.76830842932222942</v>
      </c>
      <c r="AB4720" t="str">
        <f>HYPERLINK("Melting_Curves/meltCurve_Q9C0H2_2_TTYH3.pdf", "Melting_Curves/meltCurve_Q9C0H2_2_TTYH3.pdf")</f>
        <v>Melting_Curves/meltCurve_Q9C0H2_2_TTYH3.pdf</v>
      </c>
    </row>
    <row r="4721" spans="1:28" x14ac:dyDescent="0.25">
      <c r="A4721" t="s">
        <v>4725</v>
      </c>
      <c r="B4721">
        <v>0.99796759195183404</v>
      </c>
      <c r="C4721">
        <v>1.0266166703900701</v>
      </c>
      <c r="D4721">
        <v>0.92116380063954295</v>
      </c>
      <c r="E4721">
        <v>0.95224228256042998</v>
      </c>
      <c r="F4721">
        <v>0.76260549258587396</v>
      </c>
      <c r="G4721">
        <v>0.82860149149515505</v>
      </c>
      <c r="H4721">
        <v>0.78394910237642201</v>
      </c>
      <c r="I4721">
        <v>0.59898784401059801</v>
      </c>
      <c r="J4721">
        <v>0.37829571706536702</v>
      </c>
      <c r="K4721">
        <v>0.168702518856892</v>
      </c>
      <c r="L4721">
        <v>745.975785289491</v>
      </c>
      <c r="M4721">
        <v>12.1243478605563</v>
      </c>
      <c r="N4721">
        <v>61.527099989046498</v>
      </c>
      <c r="O4721">
        <v>59.925047383349302</v>
      </c>
      <c r="P4721">
        <v>-5.0593018907236602E-2</v>
      </c>
      <c r="Q4721">
        <v>0</v>
      </c>
      <c r="R4721">
        <v>0.91518471157672598</v>
      </c>
      <c r="S4721" t="s">
        <v>10304</v>
      </c>
      <c r="T4721" t="s">
        <v>11164</v>
      </c>
      <c r="U4721" t="s">
        <v>11164</v>
      </c>
      <c r="V4721" t="s">
        <v>11164</v>
      </c>
      <c r="W4721" t="s">
        <v>15840</v>
      </c>
      <c r="X4721">
        <v>4</v>
      </c>
      <c r="Y4721" t="s">
        <v>21310</v>
      </c>
      <c r="Z4721" t="s">
        <v>26871</v>
      </c>
      <c r="AA4721">
        <v>0.78750241120937681</v>
      </c>
      <c r="AB4721" t="str">
        <f>HYPERLINK("Melting_Curves/meltCurve_Q9C0I1_3_MTMR12.pdf", "Melting_Curves/meltCurve_Q9C0I1_3_MTMR12.pdf")</f>
        <v>Melting_Curves/meltCurve_Q9C0I1_3_MTMR12.pdf</v>
      </c>
    </row>
    <row r="4722" spans="1:28" x14ac:dyDescent="0.25">
      <c r="A4722" t="s">
        <v>4726</v>
      </c>
      <c r="B4722">
        <v>0.99796759195183404</v>
      </c>
      <c r="C4722">
        <v>0.97770996252332398</v>
      </c>
      <c r="D4722">
        <v>0.94850679719099995</v>
      </c>
      <c r="E4722">
        <v>0.89100056907289604</v>
      </c>
      <c r="F4722">
        <v>0.94753181303289002</v>
      </c>
      <c r="G4722">
        <v>0.65658125025962799</v>
      </c>
      <c r="H4722">
        <v>0.61200634034358303</v>
      </c>
      <c r="I4722">
        <v>0.45501479219781099</v>
      </c>
      <c r="J4722">
        <v>0.41565260506757401</v>
      </c>
      <c r="K4722">
        <v>0.27726498535284899</v>
      </c>
      <c r="L4722">
        <v>528.70687153907704</v>
      </c>
      <c r="M4722">
        <v>8.8806608800620204</v>
      </c>
      <c r="N4722">
        <v>60.108682537746603</v>
      </c>
      <c r="O4722">
        <v>56.747823405198801</v>
      </c>
      <c r="P4722">
        <v>-3.7561328231314202E-2</v>
      </c>
      <c r="Q4722">
        <v>4.0658380857935099E-2</v>
      </c>
      <c r="R4722">
        <v>0.96861726454197605</v>
      </c>
      <c r="S4722" t="s">
        <v>10305</v>
      </c>
      <c r="T4722" t="s">
        <v>11164</v>
      </c>
      <c r="U4722" t="s">
        <v>11164</v>
      </c>
      <c r="V4722" t="s">
        <v>11164</v>
      </c>
      <c r="W4722" t="s">
        <v>15841</v>
      </c>
      <c r="X4722">
        <v>6</v>
      </c>
      <c r="Y4722" t="s">
        <v>21311</v>
      </c>
      <c r="Z4722" t="s">
        <v>26872</v>
      </c>
      <c r="AA4722">
        <v>0.73240632640034087</v>
      </c>
      <c r="AB4722" t="str">
        <f>HYPERLINK("Melting_Curves/meltCurve_Q9GZL7_WDR12.pdf", "Melting_Curves/meltCurve_Q9GZL7_WDR12.pdf")</f>
        <v>Melting_Curves/meltCurve_Q9GZL7_WDR12.pdf</v>
      </c>
    </row>
    <row r="4723" spans="1:28" x14ac:dyDescent="0.25">
      <c r="A4723" t="s">
        <v>4727</v>
      </c>
      <c r="B4723">
        <v>0.99796759195183404</v>
      </c>
      <c r="C4723">
        <v>0.734954481818056</v>
      </c>
      <c r="D4723">
        <v>0.93389684222557201</v>
      </c>
      <c r="E4723">
        <v>0.73896942460681903</v>
      </c>
      <c r="F4723">
        <v>0.444378300570894</v>
      </c>
      <c r="G4723">
        <v>0.45448704448171101</v>
      </c>
      <c r="H4723">
        <v>0.13960676823857299</v>
      </c>
      <c r="I4723">
        <v>0.159750014902305</v>
      </c>
      <c r="J4723">
        <v>0.145198329505974</v>
      </c>
      <c r="K4723">
        <v>0</v>
      </c>
      <c r="L4723">
        <v>510.12931207312403</v>
      </c>
      <c r="M4723">
        <v>10.1146487548795</v>
      </c>
      <c r="N4723">
        <v>50.4347022923506</v>
      </c>
      <c r="O4723">
        <v>48.582351093356401</v>
      </c>
      <c r="P4723">
        <v>-5.2073217711435402E-2</v>
      </c>
      <c r="Q4723">
        <v>0</v>
      </c>
      <c r="R4723">
        <v>0.93116875416368405</v>
      </c>
      <c r="S4723" t="s">
        <v>10306</v>
      </c>
      <c r="T4723" t="s">
        <v>11164</v>
      </c>
      <c r="U4723" t="s">
        <v>11164</v>
      </c>
      <c r="V4723" t="s">
        <v>11164</v>
      </c>
      <c r="W4723" t="s">
        <v>15842</v>
      </c>
      <c r="X4723">
        <v>2</v>
      </c>
      <c r="Y4723" t="s">
        <v>21312</v>
      </c>
      <c r="Z4723" t="s">
        <v>26873</v>
      </c>
      <c r="AA4723">
        <v>0.47997553920049479</v>
      </c>
      <c r="AB4723" t="str">
        <f>HYPERLINK("Melting_Curves/meltCurve_Q9GZN1_ACTR6.pdf", "Melting_Curves/meltCurve_Q9GZN1_ACTR6.pdf")</f>
        <v>Melting_Curves/meltCurve_Q9GZN1_ACTR6.pdf</v>
      </c>
    </row>
    <row r="4724" spans="1:28" x14ac:dyDescent="0.25">
      <c r="A4724" t="s">
        <v>4728</v>
      </c>
      <c r="B4724">
        <v>0.99796759195183404</v>
      </c>
      <c r="C4724">
        <v>0.87785394597895094</v>
      </c>
      <c r="D4724">
        <v>0.86825272011204102</v>
      </c>
      <c r="E4724">
        <v>0.78174290762386101</v>
      </c>
      <c r="F4724">
        <v>0.85101274604156596</v>
      </c>
      <c r="G4724">
        <v>0.57636161456683699</v>
      </c>
      <c r="H4724">
        <v>0.44674796984169102</v>
      </c>
      <c r="I4724">
        <v>0.34619733464607699</v>
      </c>
      <c r="J4724">
        <v>0.28286280194271601</v>
      </c>
      <c r="K4724">
        <v>0.22207143630123699</v>
      </c>
      <c r="L4724">
        <v>429.118770335595</v>
      </c>
      <c r="M4724">
        <v>7.6114054356527099</v>
      </c>
      <c r="N4724">
        <v>56.378388190158397</v>
      </c>
      <c r="O4724">
        <v>52.881656777305402</v>
      </c>
      <c r="P4724">
        <v>-3.6032185803266101E-2</v>
      </c>
      <c r="Q4724">
        <v>0</v>
      </c>
      <c r="R4724">
        <v>0.95912451502026996</v>
      </c>
      <c r="S4724" t="s">
        <v>10307</v>
      </c>
      <c r="T4724" t="s">
        <v>11164</v>
      </c>
      <c r="U4724" t="s">
        <v>11164</v>
      </c>
      <c r="V4724" t="s">
        <v>11164</v>
      </c>
      <c r="W4724" t="s">
        <v>15843</v>
      </c>
      <c r="X4724">
        <v>4</v>
      </c>
      <c r="Y4724" t="s">
        <v>21313</v>
      </c>
      <c r="Z4724" t="s">
        <v>26874</v>
      </c>
      <c r="AA4724">
        <v>0.63843093205971901</v>
      </c>
      <c r="AB4724" t="str">
        <f>HYPERLINK("Melting_Curves/meltCurve_Q9GZN8_2_C20orf27.pdf", "Melting_Curves/meltCurve_Q9GZN8_2_C20orf27.pdf")</f>
        <v>Melting_Curves/meltCurve_Q9GZN8_2_C20orf27.pdf</v>
      </c>
    </row>
    <row r="4725" spans="1:28" x14ac:dyDescent="0.25">
      <c r="A4725" t="s">
        <v>4729</v>
      </c>
      <c r="B4725">
        <v>0.99796759195183404</v>
      </c>
      <c r="C4725">
        <v>0.96397422402287403</v>
      </c>
      <c r="D4725">
        <v>0.94683288489406203</v>
      </c>
      <c r="E4725">
        <v>0.96911959891983601</v>
      </c>
      <c r="F4725">
        <v>0.88453002802663905</v>
      </c>
      <c r="G4725">
        <v>0.55550015381169204</v>
      </c>
      <c r="H4725">
        <v>0.57747864832279505</v>
      </c>
      <c r="I4725">
        <v>0.55536930235500104</v>
      </c>
      <c r="J4725">
        <v>0.52285160072374404</v>
      </c>
      <c r="K4725">
        <v>0.46413186876573598</v>
      </c>
      <c r="L4725">
        <v>2731.8459368137301</v>
      </c>
      <c r="M4725">
        <v>53.3194048760245</v>
      </c>
      <c r="O4725">
        <v>51.163572943878002</v>
      </c>
      <c r="P4725">
        <v>-0.12296954262397999</v>
      </c>
      <c r="Q4725">
        <v>0.52800995887942903</v>
      </c>
      <c r="R4725">
        <v>0.97304380401916502</v>
      </c>
      <c r="S4725" t="s">
        <v>10308</v>
      </c>
      <c r="T4725" t="s">
        <v>11164</v>
      </c>
      <c r="U4725" t="s">
        <v>11164</v>
      </c>
      <c r="V4725" t="s">
        <v>11164</v>
      </c>
      <c r="W4725" t="s">
        <v>15844</v>
      </c>
      <c r="X4725">
        <v>5</v>
      </c>
      <c r="Y4725" t="s">
        <v>21314</v>
      </c>
      <c r="Z4725" t="s">
        <v>26875</v>
      </c>
      <c r="AA4725">
        <v>0.75291426402612849</v>
      </c>
      <c r="AB4725" t="str">
        <f>HYPERLINK("Melting_Curves/meltCurve_Q9GZP4_PITHD1.pdf", "Melting_Curves/meltCurve_Q9GZP4_PITHD1.pdf")</f>
        <v>Melting_Curves/meltCurve_Q9GZP4_PITHD1.pdf</v>
      </c>
    </row>
    <row r="4726" spans="1:28" x14ac:dyDescent="0.25">
      <c r="A4726" t="s">
        <v>4730</v>
      </c>
      <c r="B4726">
        <v>0.99796759195183404</v>
      </c>
      <c r="C4726">
        <v>0.854384872738293</v>
      </c>
      <c r="D4726">
        <v>0.97311882735050104</v>
      </c>
      <c r="E4726">
        <v>0.86312285042710302</v>
      </c>
      <c r="F4726">
        <v>0.77060114178646</v>
      </c>
      <c r="G4726">
        <v>0.63146521404236</v>
      </c>
      <c r="H4726">
        <v>0.60168185099805005</v>
      </c>
      <c r="I4726">
        <v>0.41374946673494201</v>
      </c>
      <c r="J4726">
        <v>0.26866389722376899</v>
      </c>
      <c r="K4726">
        <v>0.10131713482883099</v>
      </c>
      <c r="L4726">
        <v>531.22845440679498</v>
      </c>
      <c r="M4726">
        <v>9.2365687061854107</v>
      </c>
      <c r="N4726">
        <v>57.513597511876199</v>
      </c>
      <c r="O4726">
        <v>55.010469740967402</v>
      </c>
      <c r="P4726">
        <v>-4.2004044330221403E-2</v>
      </c>
      <c r="Q4726">
        <v>0</v>
      </c>
      <c r="R4726">
        <v>0.94848357960225904</v>
      </c>
      <c r="S4726" t="s">
        <v>10309</v>
      </c>
      <c r="T4726" t="s">
        <v>11164</v>
      </c>
      <c r="U4726" t="s">
        <v>11164</v>
      </c>
      <c r="V4726" t="s">
        <v>11164</v>
      </c>
      <c r="W4726" t="s">
        <v>15845</v>
      </c>
      <c r="X4726">
        <v>2</v>
      </c>
      <c r="Y4726" t="s">
        <v>21315</v>
      </c>
      <c r="Z4726" t="s">
        <v>26876</v>
      </c>
      <c r="AA4726">
        <v>0.67550947113159987</v>
      </c>
      <c r="AB4726" t="str">
        <f>HYPERLINK("Melting_Curves/meltCurve_Q9GZP9_DERL2.pdf", "Melting_Curves/meltCurve_Q9GZP9_DERL2.pdf")</f>
        <v>Melting_Curves/meltCurve_Q9GZP9_DERL2.pdf</v>
      </c>
    </row>
    <row r="4727" spans="1:28" x14ac:dyDescent="0.25">
      <c r="A4727" t="s">
        <v>4731</v>
      </c>
      <c r="B4727">
        <v>0.99796759195183404</v>
      </c>
      <c r="C4727">
        <v>0.95596750441615297</v>
      </c>
      <c r="D4727">
        <v>0.971806934316917</v>
      </c>
      <c r="E4727">
        <v>0.92072106260981501</v>
      </c>
      <c r="F4727">
        <v>0.92807564022019295</v>
      </c>
      <c r="G4727">
        <v>1.0015715321474801</v>
      </c>
      <c r="H4727">
        <v>1.28002582053603</v>
      </c>
      <c r="I4727">
        <v>0.62018251089487397</v>
      </c>
      <c r="J4727">
        <v>0.22031796943684001</v>
      </c>
      <c r="K4727">
        <v>0.18100046162643299</v>
      </c>
      <c r="L4727">
        <v>11558.4103556995</v>
      </c>
      <c r="M4727">
        <v>189.38250788917</v>
      </c>
      <c r="N4727">
        <v>61.197818143068503</v>
      </c>
      <c r="O4727">
        <v>61.0252858419029</v>
      </c>
      <c r="P4727">
        <v>-0.62019661836511197</v>
      </c>
      <c r="Q4727">
        <v>0.20060884898967499</v>
      </c>
      <c r="R4727">
        <v>0.91851144235769899</v>
      </c>
      <c r="S4727" t="s">
        <v>10310</v>
      </c>
      <c r="T4727" t="s">
        <v>11164</v>
      </c>
      <c r="U4727" t="s">
        <v>11164</v>
      </c>
      <c r="V4727" t="s">
        <v>11164</v>
      </c>
      <c r="W4727" t="s">
        <v>15846</v>
      </c>
      <c r="X4727">
        <v>4</v>
      </c>
      <c r="Y4727" t="s">
        <v>21316</v>
      </c>
      <c r="Z4727" t="s">
        <v>26877</v>
      </c>
      <c r="AA4727">
        <v>0.8411260961963094</v>
      </c>
      <c r="AB4727" t="str">
        <f>HYPERLINK("Melting_Curves/meltCurve_Q9GZS3_WDR61.pdf", "Melting_Curves/meltCurve_Q9GZS3_WDR61.pdf")</f>
        <v>Melting_Curves/meltCurve_Q9GZS3_WDR61.pdf</v>
      </c>
    </row>
    <row r="4728" spans="1:28" x14ac:dyDescent="0.25">
      <c r="A4728" t="s">
        <v>4732</v>
      </c>
      <c r="B4728">
        <v>0.99796759195183404</v>
      </c>
      <c r="C4728">
        <v>1.0034387036840999</v>
      </c>
      <c r="D4728">
        <v>1.0182874613039099</v>
      </c>
      <c r="E4728">
        <v>0.95111249929500996</v>
      </c>
      <c r="F4728">
        <v>0.63115003070572695</v>
      </c>
      <c r="G4728">
        <v>0.49588301155362202</v>
      </c>
      <c r="H4728">
        <v>0.44830587559247997</v>
      </c>
      <c r="I4728">
        <v>0.38022732475134802</v>
      </c>
      <c r="J4728">
        <v>0.45823321576751402</v>
      </c>
      <c r="K4728">
        <v>0.45749682902852501</v>
      </c>
      <c r="L4728">
        <v>1781.71019058295</v>
      </c>
      <c r="M4728">
        <v>36.075402430799599</v>
      </c>
      <c r="N4728">
        <v>52.480895463952102</v>
      </c>
      <c r="O4728">
        <v>49.237466058406298</v>
      </c>
      <c r="P4728">
        <v>-0.102516052482756</v>
      </c>
      <c r="Q4728">
        <v>0.44032597809862101</v>
      </c>
      <c r="R4728">
        <v>0.99148897781700496</v>
      </c>
      <c r="S4728" t="s">
        <v>10311</v>
      </c>
      <c r="T4728" t="s">
        <v>11164</v>
      </c>
      <c r="U4728" t="s">
        <v>11164</v>
      </c>
      <c r="V4728" t="s">
        <v>11164</v>
      </c>
      <c r="W4728" t="s">
        <v>15847</v>
      </c>
      <c r="X4728">
        <v>9</v>
      </c>
      <c r="Y4728" t="s">
        <v>21317</v>
      </c>
      <c r="Z4728" t="s">
        <v>26878</v>
      </c>
      <c r="AA4728">
        <v>0.67379414208615152</v>
      </c>
      <c r="AB4728" t="str">
        <f>HYPERLINK("Melting_Curves/meltCurve_Q9GZT3_SLIRP.pdf", "Melting_Curves/meltCurve_Q9GZT3_SLIRP.pdf")</f>
        <v>Melting_Curves/meltCurve_Q9GZT3_SLIRP.pdf</v>
      </c>
    </row>
    <row r="4729" spans="1:28" x14ac:dyDescent="0.25">
      <c r="A4729" t="s">
        <v>4733</v>
      </c>
      <c r="B4729">
        <v>0.99796759195183404</v>
      </c>
      <c r="C4729">
        <v>0.97200894798224702</v>
      </c>
      <c r="D4729">
        <v>0.93816052681028606</v>
      </c>
      <c r="E4729">
        <v>0.96546414992102902</v>
      </c>
      <c r="F4729">
        <v>0.61511816302266598</v>
      </c>
      <c r="G4729">
        <v>0.242993117536388</v>
      </c>
      <c r="H4729">
        <v>0.120470544122933</v>
      </c>
      <c r="I4729">
        <v>8.0355939287350006E-2</v>
      </c>
      <c r="J4729">
        <v>6.7851776440034303E-2</v>
      </c>
      <c r="K4729">
        <v>6.7538490072113905E-2</v>
      </c>
      <c r="L4729">
        <v>1432.97186054194</v>
      </c>
      <c r="M4729">
        <v>28.151801946638901</v>
      </c>
      <c r="N4729">
        <v>51.183372429201903</v>
      </c>
      <c r="O4729">
        <v>50.646835137945303</v>
      </c>
      <c r="P4729">
        <v>-0.12898728716444299</v>
      </c>
      <c r="Q4729">
        <v>7.1783318258711801E-2</v>
      </c>
      <c r="R4729">
        <v>0.99684967909631494</v>
      </c>
      <c r="S4729" t="s">
        <v>10312</v>
      </c>
      <c r="T4729" t="s">
        <v>11164</v>
      </c>
      <c r="U4729" t="s">
        <v>11164</v>
      </c>
      <c r="V4729" t="s">
        <v>11164</v>
      </c>
      <c r="W4729" t="s">
        <v>15848</v>
      </c>
      <c r="X4729">
        <v>5</v>
      </c>
      <c r="Y4729" t="s">
        <v>21318</v>
      </c>
      <c r="Z4729" t="s">
        <v>26879</v>
      </c>
      <c r="AA4729">
        <v>0.50843980465750205</v>
      </c>
      <c r="AB4729" t="str">
        <f>HYPERLINK("Melting_Curves/meltCurve_Q9GZT4_SRR.pdf", "Melting_Curves/meltCurve_Q9GZT4_SRR.pdf")</f>
        <v>Melting_Curves/meltCurve_Q9GZT4_SRR.pdf</v>
      </c>
    </row>
    <row r="4730" spans="1:28" x14ac:dyDescent="0.25">
      <c r="A4730" t="s">
        <v>4734</v>
      </c>
      <c r="B4730">
        <v>0.99796759195183404</v>
      </c>
      <c r="C4730">
        <v>1.1157845074324499</v>
      </c>
      <c r="D4730">
        <v>1.08694660861624</v>
      </c>
      <c r="E4730">
        <v>1.0157847893460099</v>
      </c>
      <c r="F4730">
        <v>0.91944465382430596</v>
      </c>
      <c r="G4730">
        <v>0.687398086190107</v>
      </c>
      <c r="H4730">
        <v>0.63961980030094701</v>
      </c>
      <c r="I4730">
        <v>0.54314782151336605</v>
      </c>
      <c r="J4730">
        <v>0.441932932931694</v>
      </c>
      <c r="K4730">
        <v>0.40622449081387402</v>
      </c>
      <c r="L4730">
        <v>913.81652556452605</v>
      </c>
      <c r="M4730">
        <v>16.593873595694902</v>
      </c>
      <c r="N4730">
        <v>61.070557252245599</v>
      </c>
      <c r="O4730">
        <v>54.288382290366002</v>
      </c>
      <c r="P4730">
        <v>-4.5692482144217297E-2</v>
      </c>
      <c r="Q4730">
        <v>0.40209202194454702</v>
      </c>
      <c r="R4730">
        <v>0.94992089334340402</v>
      </c>
      <c r="S4730" t="s">
        <v>10313</v>
      </c>
      <c r="T4730" t="s">
        <v>11164</v>
      </c>
      <c r="U4730" t="s">
        <v>11164</v>
      </c>
      <c r="V4730" t="s">
        <v>11164</v>
      </c>
      <c r="W4730" t="s">
        <v>15849</v>
      </c>
      <c r="X4730">
        <v>4</v>
      </c>
      <c r="Y4730" t="s">
        <v>21319</v>
      </c>
      <c r="Z4730" t="s">
        <v>26880</v>
      </c>
      <c r="AA4730">
        <v>0.77014379087623674</v>
      </c>
      <c r="AB4730" t="str">
        <f>HYPERLINK("Melting_Curves/meltCurve_Q9GZT6_2_CCDC90B.pdf", "Melting_Curves/meltCurve_Q9GZT6_2_CCDC90B.pdf")</f>
        <v>Melting_Curves/meltCurve_Q9GZT6_2_CCDC90B.pdf</v>
      </c>
    </row>
    <row r="4731" spans="1:28" x14ac:dyDescent="0.25">
      <c r="A4731" t="s">
        <v>4735</v>
      </c>
      <c r="B4731">
        <v>0.99796759195183404</v>
      </c>
      <c r="C4731">
        <v>1.00000845513264</v>
      </c>
      <c r="D4731">
        <v>0.99964013729654899</v>
      </c>
      <c r="E4731">
        <v>0.96277927622061199</v>
      </c>
      <c r="F4731">
        <v>0.80851839108196299</v>
      </c>
      <c r="G4731">
        <v>1.22156846374043</v>
      </c>
      <c r="H4731">
        <v>1.1271389287040099</v>
      </c>
      <c r="I4731">
        <v>1.15223426606757</v>
      </c>
      <c r="J4731">
        <v>1.1448006278174401</v>
      </c>
      <c r="K4731">
        <v>1.0134517228465501</v>
      </c>
      <c r="L4731">
        <v>3232.61892599764</v>
      </c>
      <c r="M4731">
        <v>61.834045583931001</v>
      </c>
      <c r="O4731">
        <v>52.224351391713803</v>
      </c>
      <c r="P4731">
        <v>3.8387220403477203E-2</v>
      </c>
      <c r="Q4731">
        <v>1.1296856408479099</v>
      </c>
      <c r="R4731">
        <v>0.47175638208753901</v>
      </c>
      <c r="S4731" t="s">
        <v>10314</v>
      </c>
      <c r="T4731" t="s">
        <v>11164</v>
      </c>
      <c r="U4731" t="s">
        <v>11164</v>
      </c>
      <c r="V4731" t="s">
        <v>11164</v>
      </c>
      <c r="W4731" t="s">
        <v>15850</v>
      </c>
      <c r="X4731">
        <v>6</v>
      </c>
      <c r="Y4731" t="s">
        <v>21320</v>
      </c>
      <c r="Z4731" t="s">
        <v>26881</v>
      </c>
      <c r="AA4731">
        <v>1.0634418073328</v>
      </c>
      <c r="AB4731" t="str">
        <f>HYPERLINK("Melting_Curves/meltCurve_Q9GZT8_2_NIF3L1.pdf", "Melting_Curves/meltCurve_Q9GZT8_2_NIF3L1.pdf")</f>
        <v>Melting_Curves/meltCurve_Q9GZT8_2_NIF3L1.pdf</v>
      </c>
    </row>
    <row r="4732" spans="1:28" x14ac:dyDescent="0.25">
      <c r="A4732" t="s">
        <v>4736</v>
      </c>
      <c r="B4732">
        <v>0.99796759195183404</v>
      </c>
      <c r="C4732">
        <v>1.01850940821902</v>
      </c>
      <c r="D4732">
        <v>1.0438244690676499</v>
      </c>
      <c r="E4732">
        <v>0.95908086515940405</v>
      </c>
      <c r="F4732">
        <v>0.68493859702475401</v>
      </c>
      <c r="G4732">
        <v>0.40708179652680698</v>
      </c>
      <c r="H4732">
        <v>0.31655472397339701</v>
      </c>
      <c r="I4732">
        <v>0.246107357124384</v>
      </c>
      <c r="J4732">
        <v>0.228908776213881</v>
      </c>
      <c r="K4732">
        <v>0.20028129553485499</v>
      </c>
      <c r="L4732">
        <v>1230.44674499449</v>
      </c>
      <c r="M4732">
        <v>24.0363704250511</v>
      </c>
      <c r="N4732">
        <v>52.506278369524203</v>
      </c>
      <c r="O4732">
        <v>50.840660763508502</v>
      </c>
      <c r="P4732">
        <v>-9.1464265331770295E-2</v>
      </c>
      <c r="Q4732">
        <v>0.22616767239532901</v>
      </c>
      <c r="R4732">
        <v>0.99482650884615298</v>
      </c>
      <c r="S4732" t="s">
        <v>10315</v>
      </c>
      <c r="T4732" t="s">
        <v>11164</v>
      </c>
      <c r="U4732" t="s">
        <v>11164</v>
      </c>
      <c r="V4732" t="s">
        <v>11164</v>
      </c>
      <c r="W4732" t="s">
        <v>15851</v>
      </c>
      <c r="X4732">
        <v>16</v>
      </c>
      <c r="Y4732" t="s">
        <v>21321</v>
      </c>
      <c r="Z4732" t="s">
        <v>26882</v>
      </c>
      <c r="AA4732">
        <v>0.59956329259911745</v>
      </c>
      <c r="AB4732" t="str">
        <f>HYPERLINK("Melting_Curves/meltCurve_Q9GZT9_EGLN1.pdf", "Melting_Curves/meltCurve_Q9GZT9_EGLN1.pdf")</f>
        <v>Melting_Curves/meltCurve_Q9GZT9_EGLN1.pdf</v>
      </c>
    </row>
    <row r="4733" spans="1:28" x14ac:dyDescent="0.25">
      <c r="A4733" t="s">
        <v>4737</v>
      </c>
      <c r="B4733">
        <v>0.99796759195183404</v>
      </c>
      <c r="C4733">
        <v>1.00213894407909</v>
      </c>
      <c r="D4733">
        <v>1.0203866927829</v>
      </c>
      <c r="E4733">
        <v>0.97091947966888603</v>
      </c>
      <c r="F4733">
        <v>0.78522317126917796</v>
      </c>
      <c r="G4733">
        <v>0.73021292929202597</v>
      </c>
      <c r="H4733">
        <v>0.83073988670602406</v>
      </c>
      <c r="I4733">
        <v>0.74960772817669197</v>
      </c>
      <c r="J4733">
        <v>0.87167227128439795</v>
      </c>
      <c r="K4733">
        <v>0.78353065611554495</v>
      </c>
      <c r="L4733">
        <v>11734.7099775069</v>
      </c>
      <c r="M4733">
        <v>250</v>
      </c>
      <c r="O4733">
        <v>46.935824854972502</v>
      </c>
      <c r="P4733">
        <v>-0.277198768741095</v>
      </c>
      <c r="Q4733">
        <v>0.79183110426978398</v>
      </c>
      <c r="R4733">
        <v>0.87999188093977698</v>
      </c>
      <c r="S4733" t="s">
        <v>10316</v>
      </c>
      <c r="T4733" t="s">
        <v>11164</v>
      </c>
      <c r="U4733" t="s">
        <v>11164</v>
      </c>
      <c r="V4733" t="s">
        <v>11164</v>
      </c>
      <c r="W4733" t="s">
        <v>15852</v>
      </c>
      <c r="X4733">
        <v>18</v>
      </c>
      <c r="Y4733" t="s">
        <v>21322</v>
      </c>
      <c r="Z4733" t="s">
        <v>26883</v>
      </c>
      <c r="AA4733">
        <v>0.86081349688206166</v>
      </c>
      <c r="AB4733" t="str">
        <f>HYPERLINK("Melting_Curves/meltCurve_Q9GZU8_FAM192A.pdf", "Melting_Curves/meltCurve_Q9GZU8_FAM192A.pdf")</f>
        <v>Melting_Curves/meltCurve_Q9GZU8_FAM192A.pdf</v>
      </c>
    </row>
    <row r="4734" spans="1:28" x14ac:dyDescent="0.25">
      <c r="A4734" t="s">
        <v>4738</v>
      </c>
      <c r="B4734">
        <v>0.99796759195183404</v>
      </c>
      <c r="C4734">
        <v>0.99687709503512401</v>
      </c>
      <c r="D4734">
        <v>1.027636559526</v>
      </c>
      <c r="E4734">
        <v>0.94686416967728604</v>
      </c>
      <c r="F4734">
        <v>0.92060439830346397</v>
      </c>
      <c r="G4734">
        <v>0.65580092578348603</v>
      </c>
      <c r="H4734">
        <v>0.60657577127916895</v>
      </c>
      <c r="I4734">
        <v>0.55622476474851101</v>
      </c>
      <c r="J4734">
        <v>0.69762383808047501</v>
      </c>
      <c r="K4734">
        <v>0.49326717947212401</v>
      </c>
      <c r="L4734">
        <v>2102.9198807979201</v>
      </c>
      <c r="M4734">
        <v>40.562671599147599</v>
      </c>
      <c r="O4734">
        <v>51.718195157795201</v>
      </c>
      <c r="P4734">
        <v>-8.1367639498180294E-2</v>
      </c>
      <c r="Q4734">
        <v>0.58501954584009197</v>
      </c>
      <c r="R4734">
        <v>0.93437313326219695</v>
      </c>
      <c r="S4734" t="s">
        <v>10317</v>
      </c>
      <c r="T4734" t="s">
        <v>11164</v>
      </c>
      <c r="U4734" t="s">
        <v>11164</v>
      </c>
      <c r="V4734" t="s">
        <v>11164</v>
      </c>
      <c r="W4734" t="s">
        <v>15853</v>
      </c>
      <c r="X4734">
        <v>2</v>
      </c>
      <c r="Y4734" t="s">
        <v>21323</v>
      </c>
      <c r="Z4734" t="s">
        <v>26884</v>
      </c>
      <c r="AA4734">
        <v>0.79179096984603037</v>
      </c>
      <c r="AB4734" t="str">
        <f>HYPERLINK("Melting_Curves/meltCurve_Q9GZX9_TWSG1.pdf", "Melting_Curves/meltCurve_Q9GZX9_TWSG1.pdf")</f>
        <v>Melting_Curves/meltCurve_Q9GZX9_TWSG1.pdf</v>
      </c>
    </row>
    <row r="4735" spans="1:28" x14ac:dyDescent="0.25">
      <c r="A4735" t="s">
        <v>4739</v>
      </c>
      <c r="B4735">
        <v>0.99796759195183404</v>
      </c>
      <c r="C4735">
        <v>1.02964544141588</v>
      </c>
      <c r="D4735">
        <v>1.22753893486092</v>
      </c>
      <c r="E4735">
        <v>0.77676906711262095</v>
      </c>
      <c r="F4735">
        <v>0.57349592815202</v>
      </c>
      <c r="G4735">
        <v>0.270506711672372</v>
      </c>
      <c r="H4735">
        <v>0.230996890869586</v>
      </c>
      <c r="I4735">
        <v>7.9898909362679807E-2</v>
      </c>
      <c r="J4735">
        <v>0.19992213876432199</v>
      </c>
      <c r="K4735">
        <v>9.5215565300695595E-2</v>
      </c>
      <c r="L4735">
        <v>1135.37797848586</v>
      </c>
      <c r="M4735">
        <v>22.682968536154799</v>
      </c>
      <c r="N4735">
        <v>50.743685808603502</v>
      </c>
      <c r="O4735">
        <v>49.670038934439098</v>
      </c>
      <c r="P4735">
        <v>-9.9029770864663802E-2</v>
      </c>
      <c r="Q4735">
        <v>0.132615249020169</v>
      </c>
      <c r="R4735">
        <v>0.95007753062153</v>
      </c>
      <c r="S4735" t="s">
        <v>10318</v>
      </c>
      <c r="T4735" t="s">
        <v>11164</v>
      </c>
      <c r="U4735" t="s">
        <v>11164</v>
      </c>
      <c r="V4735" t="s">
        <v>11164</v>
      </c>
      <c r="W4735" t="s">
        <v>15854</v>
      </c>
      <c r="X4735">
        <v>6</v>
      </c>
      <c r="Y4735" t="s">
        <v>21324</v>
      </c>
      <c r="Z4735" t="s">
        <v>26885</v>
      </c>
      <c r="AA4735">
        <v>0.51915755672135089</v>
      </c>
      <c r="AB4735" t="str">
        <f>HYPERLINK("Melting_Curves/meltCurve_Q9GZY8_MFF.pdf", "Melting_Curves/meltCurve_Q9GZY8_MFF.pdf")</f>
        <v>Melting_Curves/meltCurve_Q9GZY8_MFF.pdf</v>
      </c>
    </row>
    <row r="4736" spans="1:28" x14ac:dyDescent="0.25">
      <c r="A4736" t="s">
        <v>4740</v>
      </c>
      <c r="B4736">
        <v>0.99796759195183404</v>
      </c>
      <c r="C4736">
        <v>0.99991033007522201</v>
      </c>
      <c r="D4736">
        <v>1.0487183364774799</v>
      </c>
      <c r="E4736">
        <v>0.966636310444834</v>
      </c>
      <c r="F4736">
        <v>0.80216458051084305</v>
      </c>
      <c r="G4736">
        <v>0.48712913905465199</v>
      </c>
      <c r="H4736">
        <v>0.36994767969393</v>
      </c>
      <c r="I4736">
        <v>0.288095931882693</v>
      </c>
      <c r="J4736">
        <v>0.275303357573771</v>
      </c>
      <c r="K4736">
        <v>0.166055425827837</v>
      </c>
      <c r="L4736">
        <v>1113.90682216603</v>
      </c>
      <c r="M4736">
        <v>21.177187711852</v>
      </c>
      <c r="N4736">
        <v>54.122159463056001</v>
      </c>
      <c r="O4736">
        <v>52.137099376048297</v>
      </c>
      <c r="P4736">
        <v>-7.8755720355019904E-2</v>
      </c>
      <c r="Q4736">
        <v>0.224450860808451</v>
      </c>
      <c r="R4736">
        <v>0.98959760532284702</v>
      </c>
      <c r="S4736" t="s">
        <v>10319</v>
      </c>
      <c r="T4736" t="s">
        <v>11164</v>
      </c>
      <c r="U4736" t="s">
        <v>11164</v>
      </c>
      <c r="V4736" t="s">
        <v>11164</v>
      </c>
      <c r="W4736" t="s">
        <v>15855</v>
      </c>
      <c r="X4736">
        <v>6</v>
      </c>
      <c r="Y4736" t="s">
        <v>21324</v>
      </c>
      <c r="Z4736" t="s">
        <v>26886</v>
      </c>
      <c r="AA4736">
        <v>0.63677378081108071</v>
      </c>
      <c r="AB4736" t="str">
        <f>HYPERLINK("Melting_Curves/meltCurve_Q9GZY8_2_MFF.pdf", "Melting_Curves/meltCurve_Q9GZY8_2_MFF.pdf")</f>
        <v>Melting_Curves/meltCurve_Q9GZY8_2_MFF.pdf</v>
      </c>
    </row>
    <row r="4737" spans="1:28" x14ac:dyDescent="0.25">
      <c r="A4737" t="s">
        <v>4741</v>
      </c>
      <c r="B4737">
        <v>0.99796759195183404</v>
      </c>
      <c r="C4737">
        <v>1.0069705727932401</v>
      </c>
      <c r="D4737">
        <v>1.0048638982967499</v>
      </c>
      <c r="E4737">
        <v>0.92886208746171794</v>
      </c>
      <c r="F4737">
        <v>0.86535344186499497</v>
      </c>
      <c r="G4737">
        <v>0.64035313306029695</v>
      </c>
      <c r="H4737">
        <v>0.426827441618638</v>
      </c>
      <c r="I4737">
        <v>0.26895524828171902</v>
      </c>
      <c r="J4737">
        <v>0.17929463526192399</v>
      </c>
      <c r="K4737">
        <v>0.153357279108147</v>
      </c>
      <c r="L4737">
        <v>864.303483621689</v>
      </c>
      <c r="M4737">
        <v>15.6052887384079</v>
      </c>
      <c r="N4737">
        <v>56.107919637518002</v>
      </c>
      <c r="O4737">
        <v>54.499717523133199</v>
      </c>
      <c r="P4737">
        <v>-6.50730712281333E-2</v>
      </c>
      <c r="Q4737">
        <v>9.10371913696396E-2</v>
      </c>
      <c r="R4737">
        <v>0.99877293961438696</v>
      </c>
      <c r="S4737" t="s">
        <v>10320</v>
      </c>
      <c r="T4737" t="s">
        <v>11164</v>
      </c>
      <c r="U4737" t="s">
        <v>11164</v>
      </c>
      <c r="V4737" t="s">
        <v>11164</v>
      </c>
      <c r="W4737" t="s">
        <v>15856</v>
      </c>
      <c r="X4737">
        <v>10</v>
      </c>
      <c r="Y4737" t="s">
        <v>21325</v>
      </c>
      <c r="Z4737" t="s">
        <v>26887</v>
      </c>
      <c r="AA4737">
        <v>0.65991353283256193</v>
      </c>
      <c r="AB4737" t="str">
        <f>HYPERLINK("Melting_Curves/meltCurve_Q9GZZ9_UBA5.pdf", "Melting_Curves/meltCurve_Q9GZZ9_UBA5.pdf")</f>
        <v>Melting_Curves/meltCurve_Q9GZZ9_UBA5.pdf</v>
      </c>
    </row>
    <row r="4738" spans="1:28" x14ac:dyDescent="0.25">
      <c r="A4738" t="s">
        <v>4742</v>
      </c>
      <c r="B4738">
        <v>0.99796759195183404</v>
      </c>
      <c r="C4738">
        <v>0.98321702074958295</v>
      </c>
      <c r="D4738">
        <v>0.98809093155824201</v>
      </c>
      <c r="E4738">
        <v>0.91435724007223496</v>
      </c>
      <c r="F4738">
        <v>0.703214959688784</v>
      </c>
      <c r="G4738">
        <v>0.39943107682905299</v>
      </c>
      <c r="H4738">
        <v>0.21346123673690601</v>
      </c>
      <c r="I4738">
        <v>0.17272258712671301</v>
      </c>
      <c r="J4738">
        <v>0.102535498083048</v>
      </c>
      <c r="K4738">
        <v>9.4678069777867496E-2</v>
      </c>
      <c r="L4738">
        <v>1007.54398235198</v>
      </c>
      <c r="M4738">
        <v>19.367756403626299</v>
      </c>
      <c r="N4738">
        <v>52.574931058880999</v>
      </c>
      <c r="O4738">
        <v>51.4766449730067</v>
      </c>
      <c r="P4738">
        <v>-8.5393109409101803E-2</v>
      </c>
      <c r="Q4738">
        <v>9.2184300901259203E-2</v>
      </c>
      <c r="R4738">
        <v>0.99893864994766601</v>
      </c>
      <c r="S4738" t="s">
        <v>10321</v>
      </c>
      <c r="T4738" t="s">
        <v>11164</v>
      </c>
      <c r="U4738" t="s">
        <v>11164</v>
      </c>
      <c r="V4738" t="s">
        <v>11164</v>
      </c>
      <c r="W4738" t="s">
        <v>15857</v>
      </c>
      <c r="X4738">
        <v>8</v>
      </c>
      <c r="Y4738" t="s">
        <v>21326</v>
      </c>
      <c r="Z4738" t="s">
        <v>26888</v>
      </c>
      <c r="AA4738">
        <v>0.55906367747512298</v>
      </c>
      <c r="AB4738" t="str">
        <f>HYPERLINK("Melting_Curves/meltCurve_Q9H019_3_MTFR1L.pdf", "Melting_Curves/meltCurve_Q9H019_3_MTFR1L.pdf")</f>
        <v>Melting_Curves/meltCurve_Q9H019_3_MTFR1L.pdf</v>
      </c>
    </row>
    <row r="4739" spans="1:28" x14ac:dyDescent="0.25">
      <c r="A4739" t="s">
        <v>4743</v>
      </c>
      <c r="B4739">
        <v>0.99796759195183404</v>
      </c>
      <c r="C4739">
        <v>0.98732776445590098</v>
      </c>
      <c r="D4739">
        <v>1.0466827388731399</v>
      </c>
      <c r="E4739">
        <v>0.97566190758264804</v>
      </c>
      <c r="F4739">
        <v>0.83780691418902997</v>
      </c>
      <c r="G4739">
        <v>0.564086832288619</v>
      </c>
      <c r="H4739">
        <v>0.54722186574023302</v>
      </c>
      <c r="I4739">
        <v>0.45127237025954298</v>
      </c>
      <c r="J4739">
        <v>0.37179247852620001</v>
      </c>
      <c r="K4739">
        <v>0.18617608839657199</v>
      </c>
      <c r="L4739">
        <v>630.34958543805305</v>
      </c>
      <c r="M4739">
        <v>11.212304498116399</v>
      </c>
      <c r="N4739">
        <v>57.957629991000601</v>
      </c>
      <c r="O4739">
        <v>54.5200878457591</v>
      </c>
      <c r="P4739">
        <v>-4.4086474178792703E-2</v>
      </c>
      <c r="Q4739">
        <v>0.14278270013979999</v>
      </c>
      <c r="R4739">
        <v>0.96022052363399801</v>
      </c>
      <c r="S4739" t="s">
        <v>10322</v>
      </c>
      <c r="T4739" t="s">
        <v>11164</v>
      </c>
      <c r="U4739" t="s">
        <v>11164</v>
      </c>
      <c r="V4739" t="s">
        <v>11164</v>
      </c>
      <c r="W4739" t="s">
        <v>15858</v>
      </c>
      <c r="X4739">
        <v>3</v>
      </c>
      <c r="Y4739" t="s">
        <v>21327</v>
      </c>
      <c r="Z4739" t="s">
        <v>26889</v>
      </c>
      <c r="AA4739">
        <v>0.69836197294908398</v>
      </c>
      <c r="AB4739" t="str">
        <f>HYPERLINK("Melting_Curves/meltCurve_Q9H061_TMEM126A.pdf", "Melting_Curves/meltCurve_Q9H061_TMEM126A.pdf")</f>
        <v>Melting_Curves/meltCurve_Q9H061_TMEM126A.pdf</v>
      </c>
    </row>
    <row r="4740" spans="1:28" x14ac:dyDescent="0.25">
      <c r="A4740" t="s">
        <v>4744</v>
      </c>
      <c r="B4740">
        <v>0.99796759195183404</v>
      </c>
      <c r="C4740">
        <v>1.0511419035490499</v>
      </c>
      <c r="D4740">
        <v>0.91613347080774399</v>
      </c>
      <c r="E4740">
        <v>0.90671252740370401</v>
      </c>
      <c r="F4740">
        <v>0.75454298298441602</v>
      </c>
      <c r="G4740">
        <v>0.60995951876479504</v>
      </c>
      <c r="H4740">
        <v>0.45124274264151598</v>
      </c>
      <c r="I4740">
        <v>0.35179448521800599</v>
      </c>
      <c r="J4740">
        <v>0.269770706048574</v>
      </c>
      <c r="K4740">
        <v>0.200614751688134</v>
      </c>
      <c r="L4740">
        <v>577.12181756868404</v>
      </c>
      <c r="M4740">
        <v>10.427162887855999</v>
      </c>
      <c r="N4740">
        <v>56.353867465779501</v>
      </c>
      <c r="O4740">
        <v>53.4283368167671</v>
      </c>
      <c r="P4740">
        <v>-4.46657736961453E-2</v>
      </c>
      <c r="Q4740">
        <v>8.4917141599255994E-2</v>
      </c>
      <c r="R4740">
        <v>0.99213608218238003</v>
      </c>
      <c r="S4740" t="s">
        <v>10323</v>
      </c>
      <c r="T4740" t="s">
        <v>11164</v>
      </c>
      <c r="U4740" t="s">
        <v>11164</v>
      </c>
      <c r="V4740" t="s">
        <v>11164</v>
      </c>
      <c r="W4740" t="s">
        <v>15859</v>
      </c>
      <c r="X4740">
        <v>3</v>
      </c>
      <c r="Y4740" t="s">
        <v>21328</v>
      </c>
      <c r="Z4740" t="s">
        <v>26890</v>
      </c>
      <c r="AA4740">
        <v>0.65457032278616034</v>
      </c>
      <c r="AB4740" t="str">
        <f>HYPERLINK("Melting_Curves/meltCurve_Q9H074_PAIP1.pdf", "Melting_Curves/meltCurve_Q9H074_PAIP1.pdf")</f>
        <v>Melting_Curves/meltCurve_Q9H074_PAIP1.pdf</v>
      </c>
    </row>
    <row r="4741" spans="1:28" x14ac:dyDescent="0.25">
      <c r="A4741" t="s">
        <v>4745</v>
      </c>
      <c r="B4741">
        <v>0.99796759195183404</v>
      </c>
      <c r="C4741">
        <v>0.94597240355982304</v>
      </c>
      <c r="D4741">
        <v>0.98290746401808105</v>
      </c>
      <c r="E4741">
        <v>0.94852985713247295</v>
      </c>
      <c r="F4741">
        <v>0.81773645885156399</v>
      </c>
      <c r="G4741">
        <v>0.55153620181434104</v>
      </c>
      <c r="H4741">
        <v>0.231583542700181</v>
      </c>
      <c r="I4741">
        <v>0.18519289735434299</v>
      </c>
      <c r="J4741">
        <v>0.144006498920665</v>
      </c>
      <c r="K4741">
        <v>0.12617585400094899</v>
      </c>
      <c r="L4741">
        <v>1186.0102901963101</v>
      </c>
      <c r="M4741">
        <v>22.2073591179315</v>
      </c>
      <c r="N4741">
        <v>54.054141013234499</v>
      </c>
      <c r="O4741">
        <v>52.978779773524103</v>
      </c>
      <c r="P4741">
        <v>-9.2549591362604405E-2</v>
      </c>
      <c r="Q4741">
        <v>0.11685870699838299</v>
      </c>
      <c r="R4741">
        <v>0.99532281056051897</v>
      </c>
      <c r="S4741" t="s">
        <v>10324</v>
      </c>
      <c r="T4741" t="s">
        <v>11164</v>
      </c>
      <c r="U4741" t="s">
        <v>11164</v>
      </c>
      <c r="V4741" t="s">
        <v>11164</v>
      </c>
      <c r="W4741" t="s">
        <v>15860</v>
      </c>
      <c r="X4741">
        <v>18</v>
      </c>
      <c r="Y4741" t="s">
        <v>21329</v>
      </c>
      <c r="Z4741" t="s">
        <v>26891</v>
      </c>
      <c r="AA4741">
        <v>0.60923536304418868</v>
      </c>
      <c r="AB4741" t="str">
        <f>HYPERLINK("Melting_Curves/meltCurve_Q9H078_2_CLPB.pdf", "Melting_Curves/meltCurve_Q9H078_2_CLPB.pdf")</f>
        <v>Melting_Curves/meltCurve_Q9H078_2_CLPB.pdf</v>
      </c>
    </row>
    <row r="4742" spans="1:28" x14ac:dyDescent="0.25">
      <c r="A4742" t="s">
        <v>4746</v>
      </c>
      <c r="B4742">
        <v>0.99796759195183404</v>
      </c>
      <c r="C4742">
        <v>0.97940337475487205</v>
      </c>
      <c r="D4742">
        <v>0.93368233794171396</v>
      </c>
      <c r="E4742">
        <v>0.83412803233851096</v>
      </c>
      <c r="F4742">
        <v>0.76218259346101502</v>
      </c>
      <c r="G4742">
        <v>0.64654411636715603</v>
      </c>
      <c r="H4742">
        <v>0.47089352184109101</v>
      </c>
      <c r="I4742">
        <v>0.38042189503725998</v>
      </c>
      <c r="J4742">
        <v>0.41051285100665802</v>
      </c>
      <c r="K4742">
        <v>0.26273543928897197</v>
      </c>
      <c r="L4742">
        <v>479.23894130911401</v>
      </c>
      <c r="M4742">
        <v>8.6667792390001903</v>
      </c>
      <c r="N4742">
        <v>57.505956704744797</v>
      </c>
      <c r="O4742">
        <v>52.588655612763901</v>
      </c>
      <c r="P4742">
        <v>-3.5394969488795301E-2</v>
      </c>
      <c r="Q4742">
        <v>0.141634409232232</v>
      </c>
      <c r="R4742">
        <v>0.98638415025549497</v>
      </c>
      <c r="S4742" t="s">
        <v>10325</v>
      </c>
      <c r="T4742" t="s">
        <v>11164</v>
      </c>
      <c r="U4742" t="s">
        <v>11164</v>
      </c>
      <c r="V4742" t="s">
        <v>11164</v>
      </c>
      <c r="W4742" t="s">
        <v>15861</v>
      </c>
      <c r="X4742">
        <v>3</v>
      </c>
      <c r="Y4742" t="s">
        <v>21330</v>
      </c>
      <c r="Z4742" t="s">
        <v>26892</v>
      </c>
      <c r="AA4742">
        <v>0.67104939725354718</v>
      </c>
      <c r="AB4742" t="str">
        <f>HYPERLINK("Melting_Curves/meltCurve_Q9H082_RAB33B.pdf", "Melting_Curves/meltCurve_Q9H082_RAB33B.pdf")</f>
        <v>Melting_Curves/meltCurve_Q9H082_RAB33B.pdf</v>
      </c>
    </row>
    <row r="4743" spans="1:28" x14ac:dyDescent="0.25">
      <c r="A4743" t="s">
        <v>4747</v>
      </c>
      <c r="B4743">
        <v>0.99796759195183404</v>
      </c>
      <c r="C4743">
        <v>0.96410412420288605</v>
      </c>
      <c r="D4743">
        <v>1.0131017257847701</v>
      </c>
      <c r="E4743">
        <v>1.00956575378081</v>
      </c>
      <c r="F4743">
        <v>0.92337263458292995</v>
      </c>
      <c r="G4743">
        <v>0.55771338009590299</v>
      </c>
      <c r="H4743">
        <v>0.64220076909670998</v>
      </c>
      <c r="I4743">
        <v>0.61387063216570203</v>
      </c>
      <c r="J4743">
        <v>0.76313539857344104</v>
      </c>
      <c r="K4743">
        <v>0.63379553138643496</v>
      </c>
      <c r="L4743">
        <v>12615.2708117886</v>
      </c>
      <c r="M4743">
        <v>250</v>
      </c>
      <c r="O4743">
        <v>50.457854168940401</v>
      </c>
      <c r="P4743">
        <v>-0.443262093694334</v>
      </c>
      <c r="Q4743">
        <v>0.64214313578725202</v>
      </c>
      <c r="R4743">
        <v>0.92356065588117997</v>
      </c>
      <c r="S4743" t="s">
        <v>10326</v>
      </c>
      <c r="T4743" t="s">
        <v>11164</v>
      </c>
      <c r="U4743" t="s">
        <v>11164</v>
      </c>
      <c r="V4743" t="s">
        <v>11164</v>
      </c>
      <c r="W4743" t="s">
        <v>15862</v>
      </c>
      <c r="X4743">
        <v>7</v>
      </c>
      <c r="Y4743" t="s">
        <v>21331</v>
      </c>
      <c r="Z4743" t="s">
        <v>26893</v>
      </c>
      <c r="AA4743">
        <v>0.80274619501532629</v>
      </c>
      <c r="AB4743" t="str">
        <f>HYPERLINK("Melting_Curves/meltCurve_Q9H098_FAM107B.pdf", "Melting_Curves/meltCurve_Q9H098_FAM107B.pdf")</f>
        <v>Melting_Curves/meltCurve_Q9H098_FAM107B.pdf</v>
      </c>
    </row>
    <row r="4744" spans="1:28" x14ac:dyDescent="0.25">
      <c r="A4744" t="s">
        <v>4748</v>
      </c>
      <c r="B4744">
        <v>0.99796759195183404</v>
      </c>
      <c r="C4744">
        <v>1.0374302835298499</v>
      </c>
      <c r="D4744">
        <v>0.93140658320702996</v>
      </c>
      <c r="E4744">
        <v>0.90215210909939203</v>
      </c>
      <c r="F4744">
        <v>0.94738557215811103</v>
      </c>
      <c r="G4744">
        <v>0.73603992393891904</v>
      </c>
      <c r="H4744">
        <v>0.29809350262666401</v>
      </c>
      <c r="I4744">
        <v>0.18749078596127999</v>
      </c>
      <c r="J4744">
        <v>0.13713876137640801</v>
      </c>
      <c r="K4744">
        <v>0.111632107844195</v>
      </c>
      <c r="L4744">
        <v>1732.1478054161601</v>
      </c>
      <c r="M4744">
        <v>31.433184425970499</v>
      </c>
      <c r="N4744">
        <v>55.606586109204997</v>
      </c>
      <c r="O4744">
        <v>54.884109573683197</v>
      </c>
      <c r="P4744">
        <v>-0.125527613934868</v>
      </c>
      <c r="Q4744">
        <v>0.123291624287935</v>
      </c>
      <c r="R4744">
        <v>0.98801574773612499</v>
      </c>
      <c r="S4744" t="s">
        <v>10327</v>
      </c>
      <c r="T4744" t="s">
        <v>11164</v>
      </c>
      <c r="U4744" t="s">
        <v>11164</v>
      </c>
      <c r="V4744" t="s">
        <v>11164</v>
      </c>
      <c r="W4744" t="s">
        <v>15863</v>
      </c>
      <c r="X4744">
        <v>17</v>
      </c>
      <c r="Y4744" t="s">
        <v>21332</v>
      </c>
      <c r="Z4744" t="s">
        <v>26894</v>
      </c>
      <c r="AA4744">
        <v>0.6575350734093619</v>
      </c>
      <c r="AB4744" t="str">
        <f>HYPERLINK("Melting_Curves/meltCurve_Q9H0B6_KLC2.pdf", "Melting_Curves/meltCurve_Q9H0B6_KLC2.pdf")</f>
        <v>Melting_Curves/meltCurve_Q9H0B6_KLC2.pdf</v>
      </c>
    </row>
    <row r="4745" spans="1:28" x14ac:dyDescent="0.25">
      <c r="A4745" t="s">
        <v>4749</v>
      </c>
      <c r="B4745">
        <v>0.99796759195183404</v>
      </c>
      <c r="C4745">
        <v>1.1011357799843899</v>
      </c>
      <c r="D4745">
        <v>1.0290881848670701</v>
      </c>
      <c r="E4745">
        <v>1.0229069526122201</v>
      </c>
      <c r="F4745">
        <v>0.88528873312179901</v>
      </c>
      <c r="G4745">
        <v>0.37588783265553399</v>
      </c>
      <c r="H4745">
        <v>0.24272070338905599</v>
      </c>
      <c r="I4745">
        <v>0.184064571820094</v>
      </c>
      <c r="J4745">
        <v>0.14517554146123801</v>
      </c>
      <c r="K4745">
        <v>0.124598807210582</v>
      </c>
      <c r="L4745">
        <v>2059.4014901114401</v>
      </c>
      <c r="M4745">
        <v>39.265192600194297</v>
      </c>
      <c r="N4745">
        <v>52.9827596487035</v>
      </c>
      <c r="O4745">
        <v>52.313053734351897</v>
      </c>
      <c r="P4745">
        <v>-0.156971561472978</v>
      </c>
      <c r="Q4745">
        <v>0.16346868518028801</v>
      </c>
      <c r="R4745">
        <v>0.98956028375229099</v>
      </c>
      <c r="S4745" t="s">
        <v>10328</v>
      </c>
      <c r="T4745" t="s">
        <v>11164</v>
      </c>
      <c r="U4745" t="s">
        <v>11164</v>
      </c>
      <c r="V4745" t="s">
        <v>11164</v>
      </c>
      <c r="W4745" t="s">
        <v>15864</v>
      </c>
      <c r="X4745">
        <v>22</v>
      </c>
      <c r="Y4745" t="s">
        <v>21333</v>
      </c>
      <c r="Z4745" t="s">
        <v>26895</v>
      </c>
      <c r="AA4745">
        <v>0.59737762052517784</v>
      </c>
      <c r="AB4745" t="str">
        <f>HYPERLINK("Melting_Curves/meltCurve_Q9H0C8_ILKAP.pdf", "Melting_Curves/meltCurve_Q9H0C8_ILKAP.pdf")</f>
        <v>Melting_Curves/meltCurve_Q9H0C8_ILKAP.pdf</v>
      </c>
    </row>
    <row r="4746" spans="1:28" x14ac:dyDescent="0.25">
      <c r="A4746" t="s">
        <v>4750</v>
      </c>
      <c r="B4746">
        <v>0.99796759195183404</v>
      </c>
      <c r="C4746">
        <v>0.88068785645779102</v>
      </c>
      <c r="D4746">
        <v>0.92230531089100998</v>
      </c>
      <c r="E4746">
        <v>0.79550365274471602</v>
      </c>
      <c r="F4746">
        <v>0.67485399887665498</v>
      </c>
      <c r="G4746">
        <v>0.61909238204162897</v>
      </c>
      <c r="H4746">
        <v>0.54394504181135195</v>
      </c>
      <c r="I4746">
        <v>0.56167870871346404</v>
      </c>
      <c r="J4746">
        <v>0.48026655979712302</v>
      </c>
      <c r="K4746">
        <v>0.385033831134932</v>
      </c>
      <c r="L4746">
        <v>355.050544136675</v>
      </c>
      <c r="M4746">
        <v>6.7223425122465104</v>
      </c>
      <c r="N4746">
        <v>60.9540306308769</v>
      </c>
      <c r="O4746">
        <v>48.731826035257903</v>
      </c>
      <c r="P4746">
        <v>-2.4323823597103202E-2</v>
      </c>
      <c r="Q4746">
        <v>0.29619656089403001</v>
      </c>
      <c r="R4746">
        <v>0.96370115964588898</v>
      </c>
      <c r="S4746" t="s">
        <v>10329</v>
      </c>
      <c r="T4746" t="s">
        <v>11164</v>
      </c>
      <c r="U4746" t="s">
        <v>11164</v>
      </c>
      <c r="V4746" t="s">
        <v>11164</v>
      </c>
      <c r="W4746" t="s">
        <v>15865</v>
      </c>
      <c r="X4746">
        <v>8</v>
      </c>
      <c r="Y4746" t="s">
        <v>21334</v>
      </c>
      <c r="Z4746" t="s">
        <v>26896</v>
      </c>
      <c r="AA4746">
        <v>0.68230739724966161</v>
      </c>
      <c r="AB4746" t="str">
        <f>HYPERLINK("Melting_Curves/meltCurve_Q9H0D6_XRN2.pdf", "Melting_Curves/meltCurve_Q9H0D6_XRN2.pdf")</f>
        <v>Melting_Curves/meltCurve_Q9H0D6_XRN2.pdf</v>
      </c>
    </row>
    <row r="4747" spans="1:28" x14ac:dyDescent="0.25">
      <c r="A4747" t="s">
        <v>4751</v>
      </c>
      <c r="B4747">
        <v>0.99796759195183404</v>
      </c>
      <c r="C4747">
        <v>0.83251277310307403</v>
      </c>
      <c r="D4747">
        <v>0.79695627279886405</v>
      </c>
      <c r="E4747">
        <v>0.63908481515245896</v>
      </c>
      <c r="F4747">
        <v>0.72363455759013795</v>
      </c>
      <c r="G4747">
        <v>0.687337540586341</v>
      </c>
      <c r="H4747">
        <v>0.28093581646985299</v>
      </c>
      <c r="I4747">
        <v>0.12759599877146</v>
      </c>
      <c r="J4747">
        <v>5.8030460540542797E-2</v>
      </c>
      <c r="K4747">
        <v>0</v>
      </c>
      <c r="L4747">
        <v>517.28866924762303</v>
      </c>
      <c r="M4747">
        <v>9.8032992104037806</v>
      </c>
      <c r="N4747">
        <v>52.766793926383102</v>
      </c>
      <c r="O4747">
        <v>50.711702467219403</v>
      </c>
      <c r="P4747">
        <v>-4.8353944079269698E-2</v>
      </c>
      <c r="Q4747">
        <v>0</v>
      </c>
      <c r="R4747">
        <v>0.87939443200275602</v>
      </c>
      <c r="S4747" t="s">
        <v>10330</v>
      </c>
      <c r="T4747" t="s">
        <v>11164</v>
      </c>
      <c r="U4747" t="s">
        <v>11164</v>
      </c>
      <c r="V4747" t="s">
        <v>11164</v>
      </c>
      <c r="W4747" t="s">
        <v>15866</v>
      </c>
      <c r="X4747">
        <v>1</v>
      </c>
      <c r="Y4747" t="s">
        <v>21335</v>
      </c>
      <c r="Z4747" t="s">
        <v>26897</v>
      </c>
      <c r="AA4747">
        <v>0.54909031427218957</v>
      </c>
      <c r="AB4747" t="str">
        <f>HYPERLINK("Melting_Curves/meltCurve_Q9H0E2_TOLLIP.pdf", "Melting_Curves/meltCurve_Q9H0E2_TOLLIP.pdf")</f>
        <v>Melting_Curves/meltCurve_Q9H0E2_TOLLIP.pdf</v>
      </c>
    </row>
    <row r="4748" spans="1:28" x14ac:dyDescent="0.25">
      <c r="A4748" t="s">
        <v>4752</v>
      </c>
      <c r="B4748">
        <v>0.99796759195183404</v>
      </c>
      <c r="C4748">
        <v>0.98565872822435396</v>
      </c>
      <c r="D4748">
        <v>0.93409283728540304</v>
      </c>
      <c r="E4748">
        <v>0.87419590556903704</v>
      </c>
      <c r="F4748">
        <v>0.74308433226197701</v>
      </c>
      <c r="G4748">
        <v>0.55987413629678995</v>
      </c>
      <c r="H4748">
        <v>0.37915829563585801</v>
      </c>
      <c r="I4748">
        <v>0.25554452989234699</v>
      </c>
      <c r="J4748">
        <v>0.175418737318708</v>
      </c>
      <c r="K4748">
        <v>0.143244621675782</v>
      </c>
      <c r="L4748">
        <v>605.90272418020697</v>
      </c>
      <c r="M4748">
        <v>11.0805758737391</v>
      </c>
      <c r="N4748">
        <v>54.901737508027999</v>
      </c>
      <c r="O4748">
        <v>52.991117628710803</v>
      </c>
      <c r="P4748">
        <v>-5.1156107394545201E-2</v>
      </c>
      <c r="Q4748">
        <v>2.17366328704711E-2</v>
      </c>
      <c r="R4748">
        <v>0.99938017601396101</v>
      </c>
      <c r="S4748" t="s">
        <v>10331</v>
      </c>
      <c r="T4748" t="s">
        <v>11164</v>
      </c>
      <c r="U4748" t="s">
        <v>11164</v>
      </c>
      <c r="V4748" t="s">
        <v>11164</v>
      </c>
      <c r="W4748" t="s">
        <v>15867</v>
      </c>
      <c r="X4748">
        <v>11</v>
      </c>
      <c r="Y4748" t="s">
        <v>21336</v>
      </c>
      <c r="Z4748" t="s">
        <v>26898</v>
      </c>
      <c r="AA4748">
        <v>0.61302456178608422</v>
      </c>
      <c r="AB4748" t="str">
        <f>HYPERLINK("Melting_Curves/meltCurve_Q9H0E9_2_BRD8.pdf", "Melting_Curves/meltCurve_Q9H0E9_2_BRD8.pdf")</f>
        <v>Melting_Curves/meltCurve_Q9H0E9_2_BRD8.pdf</v>
      </c>
    </row>
    <row r="4749" spans="1:28" x14ac:dyDescent="0.25">
      <c r="A4749" t="s">
        <v>4753</v>
      </c>
      <c r="B4749">
        <v>0.99796759195183404</v>
      </c>
      <c r="C4749">
        <v>0.97800798185715998</v>
      </c>
      <c r="D4749">
        <v>0.96354001125094502</v>
      </c>
      <c r="E4749">
        <v>0.86726743353409097</v>
      </c>
      <c r="F4749">
        <v>0.91044577171419905</v>
      </c>
      <c r="G4749">
        <v>0.51782650998311597</v>
      </c>
      <c r="H4749">
        <v>0.35156796387356998</v>
      </c>
      <c r="I4749">
        <v>0.26751064428677801</v>
      </c>
      <c r="J4749">
        <v>0.26628701377924202</v>
      </c>
      <c r="K4749">
        <v>0.185048866717404</v>
      </c>
      <c r="L4749">
        <v>1228.2229918626899</v>
      </c>
      <c r="M4749">
        <v>23.0982730707914</v>
      </c>
      <c r="N4749">
        <v>54.531988985588399</v>
      </c>
      <c r="O4749">
        <v>52.780062713596102</v>
      </c>
      <c r="P4749">
        <v>-8.5478930425066907E-2</v>
      </c>
      <c r="Q4749">
        <v>0.21872952201207799</v>
      </c>
      <c r="R4749">
        <v>0.97952125767029297</v>
      </c>
      <c r="S4749" t="s">
        <v>10332</v>
      </c>
      <c r="T4749" t="s">
        <v>11164</v>
      </c>
      <c r="U4749" t="s">
        <v>11164</v>
      </c>
      <c r="V4749" t="s">
        <v>11164</v>
      </c>
      <c r="W4749" t="s">
        <v>15868</v>
      </c>
      <c r="X4749">
        <v>2</v>
      </c>
      <c r="Y4749" t="s">
        <v>21337</v>
      </c>
      <c r="Z4749" t="s">
        <v>26899</v>
      </c>
      <c r="AA4749">
        <v>0.64779539399473085</v>
      </c>
      <c r="AB4749" t="str">
        <f>HYPERLINK("Melting_Curves/meltCurve_Q9H0F6_2_SHARPIN.pdf", "Melting_Curves/meltCurve_Q9H0F6_2_SHARPIN.pdf")</f>
        <v>Melting_Curves/meltCurve_Q9H0F6_2_SHARPIN.pdf</v>
      </c>
    </row>
    <row r="4750" spans="1:28" x14ac:dyDescent="0.25">
      <c r="A4750" t="s">
        <v>4754</v>
      </c>
      <c r="B4750">
        <v>0.99796759195183404</v>
      </c>
      <c r="C4750">
        <v>1.01237573347654</v>
      </c>
      <c r="D4750">
        <v>0.94806638685423095</v>
      </c>
      <c r="E4750">
        <v>0.91246448460549701</v>
      </c>
      <c r="F4750">
        <v>0.83643986340989096</v>
      </c>
      <c r="G4750">
        <v>0.68826858968432503</v>
      </c>
      <c r="H4750">
        <v>0.65645177972621804</v>
      </c>
      <c r="I4750">
        <v>0.72732945997856302</v>
      </c>
      <c r="J4750">
        <v>0.423050236611413</v>
      </c>
      <c r="K4750">
        <v>0.32194384131984599</v>
      </c>
      <c r="L4750">
        <v>431.98948099011602</v>
      </c>
      <c r="M4750">
        <v>6.8740622124547501</v>
      </c>
      <c r="N4750">
        <v>62.843405607636001</v>
      </c>
      <c r="O4750">
        <v>58.170166775511497</v>
      </c>
      <c r="P4750">
        <v>-2.9601442381835E-2</v>
      </c>
      <c r="Q4750">
        <v>0</v>
      </c>
      <c r="R4750">
        <v>0.91196442959907598</v>
      </c>
      <c r="S4750" t="s">
        <v>10333</v>
      </c>
      <c r="T4750" t="s">
        <v>11164</v>
      </c>
      <c r="U4750" t="s">
        <v>11164</v>
      </c>
      <c r="V4750" t="s">
        <v>11164</v>
      </c>
      <c r="W4750" t="s">
        <v>15869</v>
      </c>
      <c r="X4750">
        <v>10</v>
      </c>
      <c r="Y4750" t="s">
        <v>21338</v>
      </c>
      <c r="Z4750" t="s">
        <v>26900</v>
      </c>
      <c r="AA4750">
        <v>0.76338823232561925</v>
      </c>
      <c r="AB4750" t="str">
        <f>HYPERLINK("Melting_Curves/meltCurve_Q9H0G5_NSRP1.pdf", "Melting_Curves/meltCurve_Q9H0G5_NSRP1.pdf")</f>
        <v>Melting_Curves/meltCurve_Q9H0G5_NSRP1.pdf</v>
      </c>
    </row>
    <row r="4751" spans="1:28" x14ac:dyDescent="0.25">
      <c r="A4751" t="s">
        <v>4755</v>
      </c>
      <c r="B4751">
        <v>0.99796759195183404</v>
      </c>
      <c r="C4751">
        <v>0.95053235859419705</v>
      </c>
      <c r="D4751">
        <v>0.84276639502460504</v>
      </c>
      <c r="E4751">
        <v>0.80806390116188498</v>
      </c>
      <c r="F4751">
        <v>0.56903654230872502</v>
      </c>
      <c r="G4751">
        <v>0.38724233178980999</v>
      </c>
      <c r="H4751">
        <v>0.20640639958773899</v>
      </c>
      <c r="I4751">
        <v>0.18525996249785801</v>
      </c>
      <c r="J4751">
        <v>0.19004239022589101</v>
      </c>
      <c r="K4751">
        <v>0.164298669819893</v>
      </c>
      <c r="L4751">
        <v>654.93573391219297</v>
      </c>
      <c r="M4751">
        <v>13.042097648324001</v>
      </c>
      <c r="N4751">
        <v>51.252927578165099</v>
      </c>
      <c r="O4751">
        <v>49.080436429604902</v>
      </c>
      <c r="P4751">
        <v>-5.8745856642191598E-2</v>
      </c>
      <c r="Q4751">
        <v>0.11585714548585301</v>
      </c>
      <c r="R4751">
        <v>0.98957877648104497</v>
      </c>
      <c r="S4751" t="s">
        <v>10334</v>
      </c>
      <c r="T4751" t="s">
        <v>11164</v>
      </c>
      <c r="U4751" t="s">
        <v>11164</v>
      </c>
      <c r="V4751" t="s">
        <v>11164</v>
      </c>
      <c r="W4751" t="s">
        <v>15870</v>
      </c>
      <c r="X4751">
        <v>3</v>
      </c>
      <c r="Y4751" t="s">
        <v>21339</v>
      </c>
      <c r="Z4751" t="s">
        <v>26901</v>
      </c>
      <c r="AA4751">
        <v>0.52748049572031352</v>
      </c>
      <c r="AB4751" t="str">
        <f>HYPERLINK("Melting_Curves/meltCurve_Q9H0H5_RACGAP1.pdf", "Melting_Curves/meltCurve_Q9H0H5_RACGAP1.pdf")</f>
        <v>Melting_Curves/meltCurve_Q9H0H5_RACGAP1.pdf</v>
      </c>
    </row>
    <row r="4752" spans="1:28" x14ac:dyDescent="0.25">
      <c r="A4752" t="s">
        <v>4756</v>
      </c>
      <c r="B4752">
        <v>0.99796759195183404</v>
      </c>
      <c r="C4752">
        <v>0.88724679111736404</v>
      </c>
      <c r="D4752">
        <v>0.85715697689647896</v>
      </c>
      <c r="E4752">
        <v>0.77868924181013899</v>
      </c>
      <c r="F4752">
        <v>0.66971555216884804</v>
      </c>
      <c r="G4752">
        <v>2.2988612971258702</v>
      </c>
      <c r="H4752">
        <v>1.2547203686366699</v>
      </c>
      <c r="I4752">
        <v>0.37250859670202302</v>
      </c>
      <c r="J4752">
        <v>0.53067211836624295</v>
      </c>
      <c r="K4752">
        <v>0.70264035606338904</v>
      </c>
      <c r="L4752">
        <v>4699.3177841830102</v>
      </c>
      <c r="M4752">
        <v>79.197049776635296</v>
      </c>
      <c r="O4752">
        <v>59.299229581557803</v>
      </c>
      <c r="P4752">
        <v>-0.15804053216349601</v>
      </c>
      <c r="Q4752">
        <v>0.52666516984021405</v>
      </c>
      <c r="R4752">
        <v>0.219381005666205</v>
      </c>
      <c r="S4752" t="s">
        <v>10335</v>
      </c>
      <c r="T4752" t="s">
        <v>11164</v>
      </c>
      <c r="U4752" t="s">
        <v>11164</v>
      </c>
      <c r="V4752" t="s">
        <v>11164</v>
      </c>
      <c r="W4752" t="s">
        <v>15871</v>
      </c>
      <c r="X4752">
        <v>1</v>
      </c>
      <c r="Y4752" t="s">
        <v>21340</v>
      </c>
      <c r="Z4752" t="s">
        <v>26902</v>
      </c>
      <c r="AA4752">
        <v>0.87958533155779262</v>
      </c>
      <c r="AB4752" t="str">
        <f>HYPERLINK("Melting_Curves/meltCurve_Q9H0I2_ENKD1.pdf", "Melting_Curves/meltCurve_Q9H0I2_ENKD1.pdf")</f>
        <v>Melting_Curves/meltCurve_Q9H0I2_ENKD1.pdf</v>
      </c>
    </row>
    <row r="4753" spans="1:28" x14ac:dyDescent="0.25">
      <c r="A4753" t="s">
        <v>4757</v>
      </c>
      <c r="B4753">
        <v>0.99796759195183404</v>
      </c>
      <c r="C4753">
        <v>1.03480312718895</v>
      </c>
      <c r="D4753">
        <v>1.00644249295108</v>
      </c>
      <c r="E4753">
        <v>0.88500228145249804</v>
      </c>
      <c r="F4753">
        <v>0.67934167545927404</v>
      </c>
      <c r="G4753">
        <v>0.61644493098969</v>
      </c>
      <c r="H4753">
        <v>0.43097622995094997</v>
      </c>
      <c r="I4753">
        <v>0.24918660797995401</v>
      </c>
      <c r="J4753">
        <v>0.205292179095691</v>
      </c>
      <c r="K4753">
        <v>0.157010326113904</v>
      </c>
      <c r="L4753">
        <v>607.69222713241004</v>
      </c>
      <c r="M4753">
        <v>11.0564736771173</v>
      </c>
      <c r="N4753">
        <v>55.352310642414402</v>
      </c>
      <c r="O4753">
        <v>53.256443457525201</v>
      </c>
      <c r="P4753">
        <v>-4.99749122190912E-2</v>
      </c>
      <c r="Q4753">
        <v>3.7448628453086302E-2</v>
      </c>
      <c r="R4753">
        <v>0.98819540620566404</v>
      </c>
      <c r="S4753" t="s">
        <v>10336</v>
      </c>
      <c r="T4753" t="s">
        <v>11164</v>
      </c>
      <c r="U4753" t="s">
        <v>11164</v>
      </c>
      <c r="V4753" t="s">
        <v>11164</v>
      </c>
      <c r="W4753" t="s">
        <v>15872</v>
      </c>
      <c r="X4753">
        <v>21</v>
      </c>
      <c r="Y4753" t="s">
        <v>21341</v>
      </c>
      <c r="Z4753" t="s">
        <v>26903</v>
      </c>
      <c r="AA4753">
        <v>0.62698072061566701</v>
      </c>
      <c r="AB4753" t="str">
        <f>HYPERLINK("Melting_Curves/meltCurve_Q9H0L4_CSTF2T.pdf", "Melting_Curves/meltCurve_Q9H0L4_CSTF2T.pdf")</f>
        <v>Melting_Curves/meltCurve_Q9H0L4_CSTF2T.pdf</v>
      </c>
    </row>
    <row r="4754" spans="1:28" x14ac:dyDescent="0.25">
      <c r="A4754" t="s">
        <v>4758</v>
      </c>
      <c r="B4754">
        <v>0.99796759195183404</v>
      </c>
      <c r="C4754">
        <v>0.99229025424198303</v>
      </c>
      <c r="D4754">
        <v>1.0023146450509299</v>
      </c>
      <c r="E4754">
        <v>0.89823010295310202</v>
      </c>
      <c r="F4754">
        <v>0.77157361520315004</v>
      </c>
      <c r="G4754">
        <v>0.436600338889722</v>
      </c>
      <c r="H4754">
        <v>0.22186100953305901</v>
      </c>
      <c r="I4754">
        <v>0.159511768086809</v>
      </c>
      <c r="J4754">
        <v>0.14884489959386701</v>
      </c>
      <c r="K4754">
        <v>9.9480222488038894E-2</v>
      </c>
      <c r="L4754">
        <v>1083.22550119473</v>
      </c>
      <c r="M4754">
        <v>20.6430600497082</v>
      </c>
      <c r="N4754">
        <v>53.086724609140802</v>
      </c>
      <c r="O4754">
        <v>51.9890841015403</v>
      </c>
      <c r="P4754">
        <v>-8.8747653412299898E-2</v>
      </c>
      <c r="Q4754">
        <v>0.10598970015270701</v>
      </c>
      <c r="R4754">
        <v>0.99759563115788497</v>
      </c>
      <c r="S4754" t="s">
        <v>10337</v>
      </c>
      <c r="T4754" t="s">
        <v>11164</v>
      </c>
      <c r="U4754" t="s">
        <v>11164</v>
      </c>
      <c r="V4754" t="s">
        <v>11164</v>
      </c>
      <c r="W4754" t="s">
        <v>15873</v>
      </c>
      <c r="X4754">
        <v>12</v>
      </c>
      <c r="Y4754" t="s">
        <v>21342</v>
      </c>
      <c r="Z4754" t="s">
        <v>26904</v>
      </c>
      <c r="AA4754">
        <v>0.57801055265595558</v>
      </c>
      <c r="AB4754" t="str">
        <f>HYPERLINK("Melting_Curves/meltCurve_Q9H0P0_NT5C3A.pdf", "Melting_Curves/meltCurve_Q9H0P0_NT5C3A.pdf")</f>
        <v>Melting_Curves/meltCurve_Q9H0P0_NT5C3A.pdf</v>
      </c>
    </row>
    <row r="4755" spans="1:28" x14ac:dyDescent="0.25">
      <c r="A4755" t="s">
        <v>4759</v>
      </c>
      <c r="B4755">
        <v>0.99796759195183404</v>
      </c>
      <c r="C4755">
        <v>1.0585447701745501</v>
      </c>
      <c r="D4755">
        <v>0.84857251811923995</v>
      </c>
      <c r="E4755">
        <v>0.79975033328746503</v>
      </c>
      <c r="F4755">
        <v>0.80951772094891505</v>
      </c>
      <c r="G4755">
        <v>0.85311789643660396</v>
      </c>
      <c r="H4755">
        <v>0.72425788574847705</v>
      </c>
      <c r="I4755">
        <v>0.72990162083486698</v>
      </c>
      <c r="J4755">
        <v>0.53960565992639897</v>
      </c>
      <c r="K4755">
        <v>0.54968289193099795</v>
      </c>
      <c r="L4755">
        <v>275.75180588752102</v>
      </c>
      <c r="M4755">
        <v>3.87177381390029</v>
      </c>
      <c r="O4755">
        <v>57.8553032293499</v>
      </c>
      <c r="P4755">
        <v>-1.69690348418437E-2</v>
      </c>
      <c r="Q4755">
        <v>0</v>
      </c>
      <c r="R4755">
        <v>0.83624002730144698</v>
      </c>
      <c r="S4755" t="s">
        <v>10338</v>
      </c>
      <c r="T4755" t="s">
        <v>11164</v>
      </c>
      <c r="U4755" t="s">
        <v>11164</v>
      </c>
      <c r="V4755" t="s">
        <v>11164</v>
      </c>
      <c r="W4755" t="s">
        <v>15874</v>
      </c>
      <c r="X4755">
        <v>7</v>
      </c>
      <c r="Y4755" t="s">
        <v>21343</v>
      </c>
      <c r="Z4755" t="s">
        <v>26905</v>
      </c>
      <c r="AA4755">
        <v>0.7932264774638379</v>
      </c>
      <c r="AB4755" t="str">
        <f>HYPERLINK("Melting_Curves/meltCurve_Q9H0R4_HDHD2.pdf", "Melting_Curves/meltCurve_Q9H0R4_HDHD2.pdf")</f>
        <v>Melting_Curves/meltCurve_Q9H0R4_HDHD2.pdf</v>
      </c>
    </row>
    <row r="4756" spans="1:28" x14ac:dyDescent="0.25">
      <c r="A4756" t="s">
        <v>4760</v>
      </c>
      <c r="B4756">
        <v>0.99796759195183404</v>
      </c>
      <c r="C4756">
        <v>0.95084556728486302</v>
      </c>
      <c r="D4756">
        <v>0.98327183138605601</v>
      </c>
      <c r="E4756">
        <v>0.90987873973969302</v>
      </c>
      <c r="F4756">
        <v>0.80615707352550703</v>
      </c>
      <c r="G4756">
        <v>0.30107218112537099</v>
      </c>
      <c r="H4756">
        <v>0.204551823577554</v>
      </c>
      <c r="I4756">
        <v>0.167933342686856</v>
      </c>
      <c r="J4756">
        <v>0.12883323287897899</v>
      </c>
      <c r="K4756">
        <v>0.100816092312507</v>
      </c>
      <c r="L4756">
        <v>1760.0068598200901</v>
      </c>
      <c r="M4756">
        <v>33.9777195376439</v>
      </c>
      <c r="N4756">
        <v>52.291654952124802</v>
      </c>
      <c r="O4756">
        <v>51.620412541394899</v>
      </c>
      <c r="P4756">
        <v>-0.14201121951169901</v>
      </c>
      <c r="Q4756">
        <v>0.13700523912793</v>
      </c>
      <c r="R4756">
        <v>0.99138898504667305</v>
      </c>
      <c r="S4756" t="s">
        <v>10339</v>
      </c>
      <c r="T4756" t="s">
        <v>11164</v>
      </c>
      <c r="U4756" t="s">
        <v>11164</v>
      </c>
      <c r="V4756" t="s">
        <v>11164</v>
      </c>
      <c r="W4756" t="s">
        <v>15875</v>
      </c>
      <c r="X4756">
        <v>9</v>
      </c>
      <c r="Y4756" t="s">
        <v>21344</v>
      </c>
      <c r="Z4756" t="s">
        <v>26906</v>
      </c>
      <c r="AA4756">
        <v>0.56697898615910236</v>
      </c>
      <c r="AB4756" t="str">
        <f>HYPERLINK("Melting_Curves/meltCurve_Q9H0R6_QRSL1.pdf", "Melting_Curves/meltCurve_Q9H0R6_QRSL1.pdf")</f>
        <v>Melting_Curves/meltCurve_Q9H0R6_QRSL1.pdf</v>
      </c>
    </row>
    <row r="4757" spans="1:28" x14ac:dyDescent="0.25">
      <c r="A4757" t="s">
        <v>4761</v>
      </c>
      <c r="B4757">
        <v>0.99796759195183404</v>
      </c>
      <c r="C4757">
        <v>1.37692892446114</v>
      </c>
      <c r="D4757">
        <v>0.96599371832730796</v>
      </c>
      <c r="E4757">
        <v>1.0782100557004499</v>
      </c>
      <c r="F4757">
        <v>0.98040681302451405</v>
      </c>
      <c r="G4757">
        <v>1.4707058616848201</v>
      </c>
      <c r="H4757">
        <v>0.97665273825334398</v>
      </c>
      <c r="I4757">
        <v>0.87878097972090496</v>
      </c>
      <c r="J4757">
        <v>0.46132791390201899</v>
      </c>
      <c r="K4757">
        <v>0.35850309162830202</v>
      </c>
      <c r="L4757">
        <v>3812.69417245658</v>
      </c>
      <c r="M4757">
        <v>61.034256541925899</v>
      </c>
      <c r="N4757">
        <v>63.710454347435501</v>
      </c>
      <c r="O4757">
        <v>62.401145371041899</v>
      </c>
      <c r="P4757">
        <v>-0.15945042888090699</v>
      </c>
      <c r="Q4757">
        <v>0.34791468665824099</v>
      </c>
      <c r="R4757">
        <v>0.65177828409828098</v>
      </c>
      <c r="S4757" t="s">
        <v>10340</v>
      </c>
      <c r="T4757" t="s">
        <v>11164</v>
      </c>
      <c r="U4757" t="s">
        <v>11164</v>
      </c>
      <c r="V4757" t="s">
        <v>11164</v>
      </c>
      <c r="W4757" t="s">
        <v>15876</v>
      </c>
      <c r="X4757">
        <v>2</v>
      </c>
      <c r="Y4757" t="s">
        <v>21345</v>
      </c>
      <c r="Z4757" t="s">
        <v>26907</v>
      </c>
      <c r="AA4757">
        <v>0.90227327209431085</v>
      </c>
      <c r="AB4757" t="str">
        <f>HYPERLINK("Melting_Curves/meltCurve_Q9H0U3_MAGT1.pdf", "Melting_Curves/meltCurve_Q9H0U3_MAGT1.pdf")</f>
        <v>Melting_Curves/meltCurve_Q9H0U3_MAGT1.pdf</v>
      </c>
    </row>
    <row r="4758" spans="1:28" x14ac:dyDescent="0.25">
      <c r="A4758" t="s">
        <v>4762</v>
      </c>
      <c r="B4758">
        <v>0.99796759195183404</v>
      </c>
      <c r="C4758">
        <v>1.0000104660426301</v>
      </c>
      <c r="D4758">
        <v>1.0369619461892801</v>
      </c>
      <c r="E4758">
        <v>1.00364322360686</v>
      </c>
      <c r="F4758">
        <v>0.90242820299673099</v>
      </c>
      <c r="G4758">
        <v>0.59113498843613899</v>
      </c>
      <c r="H4758">
        <v>0.55949178107629904</v>
      </c>
      <c r="I4758">
        <v>0.45205829039258899</v>
      </c>
      <c r="J4758">
        <v>0.48269042235207299</v>
      </c>
      <c r="K4758">
        <v>0.33853731022063099</v>
      </c>
      <c r="L4758">
        <v>1338.26199987418</v>
      </c>
      <c r="M4758">
        <v>25.366708289672999</v>
      </c>
      <c r="N4758">
        <v>57.070624789200799</v>
      </c>
      <c r="O4758">
        <v>52.432035342771002</v>
      </c>
      <c r="P4758">
        <v>-6.9364540665716401E-2</v>
      </c>
      <c r="Q4758">
        <v>0.42651165735278801</v>
      </c>
      <c r="R4758">
        <v>0.96948505601756396</v>
      </c>
      <c r="S4758" t="s">
        <v>10341</v>
      </c>
      <c r="T4758" t="s">
        <v>11164</v>
      </c>
      <c r="U4758" t="s">
        <v>11164</v>
      </c>
      <c r="V4758" t="s">
        <v>11164</v>
      </c>
      <c r="W4758" t="s">
        <v>15877</v>
      </c>
      <c r="X4758">
        <v>15</v>
      </c>
      <c r="Y4758" t="s">
        <v>21346</v>
      </c>
      <c r="Z4758" t="s">
        <v>26908</v>
      </c>
      <c r="AA4758">
        <v>0.73266712337439122</v>
      </c>
      <c r="AB4758" t="str">
        <f>HYPERLINK("Melting_Curves/meltCurve_Q9H0U4_RAB1B.pdf", "Melting_Curves/meltCurve_Q9H0U4_RAB1B.pdf")</f>
        <v>Melting_Curves/meltCurve_Q9H0U4_RAB1B.pdf</v>
      </c>
    </row>
    <row r="4759" spans="1:28" x14ac:dyDescent="0.25">
      <c r="A4759" t="s">
        <v>4763</v>
      </c>
      <c r="B4759">
        <v>0.99796759195183404</v>
      </c>
      <c r="C4759">
        <v>0.86195386363042004</v>
      </c>
      <c r="D4759">
        <v>0.86691217652413999</v>
      </c>
      <c r="E4759">
        <v>1.0269680819139</v>
      </c>
      <c r="F4759">
        <v>0.93005717185069003</v>
      </c>
      <c r="G4759">
        <v>0.55029527696409197</v>
      </c>
      <c r="H4759">
        <v>0.49039385493964299</v>
      </c>
      <c r="I4759">
        <v>0.25326514970532199</v>
      </c>
      <c r="J4759">
        <v>9.5107167787866098E-2</v>
      </c>
      <c r="K4759">
        <v>9.2805620784194395E-2</v>
      </c>
      <c r="L4759">
        <v>839.42521096556595</v>
      </c>
      <c r="M4759">
        <v>14.9291152795681</v>
      </c>
      <c r="N4759">
        <v>56.227392111644001</v>
      </c>
      <c r="O4759">
        <v>55.247460837734501</v>
      </c>
      <c r="P4759">
        <v>-6.7562616821065902E-2</v>
      </c>
      <c r="Q4759">
        <v>0</v>
      </c>
      <c r="R4759">
        <v>0.94894148283844904</v>
      </c>
      <c r="S4759" t="s">
        <v>10342</v>
      </c>
      <c r="T4759" t="s">
        <v>11164</v>
      </c>
      <c r="U4759" t="s">
        <v>11164</v>
      </c>
      <c r="V4759" t="s">
        <v>11164</v>
      </c>
      <c r="W4759" t="s">
        <v>15878</v>
      </c>
      <c r="X4759">
        <v>1</v>
      </c>
      <c r="Y4759" t="s">
        <v>21347</v>
      </c>
      <c r="Z4759" t="s">
        <v>26909</v>
      </c>
      <c r="AA4759">
        <v>0.65168122558014996</v>
      </c>
      <c r="AB4759" t="str">
        <f>HYPERLINK("Melting_Curves/meltCurve_Q9H0V1_TMEM168.pdf", "Melting_Curves/meltCurve_Q9H0V1_TMEM168.pdf")</f>
        <v>Melting_Curves/meltCurve_Q9H0V1_TMEM168.pdf</v>
      </c>
    </row>
    <row r="4760" spans="1:28" x14ac:dyDescent="0.25">
      <c r="A4760" t="s">
        <v>4764</v>
      </c>
      <c r="B4760">
        <v>0.99796759195183404</v>
      </c>
      <c r="C4760">
        <v>0.90568072471829797</v>
      </c>
      <c r="D4760">
        <v>0.88189660822084304</v>
      </c>
      <c r="E4760">
        <v>0.87940249823773098</v>
      </c>
      <c r="F4760">
        <v>0.79995903599771201</v>
      </c>
      <c r="G4760">
        <v>0.63957039261573501</v>
      </c>
      <c r="H4760">
        <v>0.37414908025480398</v>
      </c>
      <c r="I4760">
        <v>0.25878664493690601</v>
      </c>
      <c r="J4760">
        <v>0.18074368423166201</v>
      </c>
      <c r="K4760">
        <v>0.13819577791092399</v>
      </c>
      <c r="L4760">
        <v>617.16908832560205</v>
      </c>
      <c r="M4760">
        <v>11.102169067922899</v>
      </c>
      <c r="N4760">
        <v>55.589958758750797</v>
      </c>
      <c r="O4760">
        <v>53.877814555129</v>
      </c>
      <c r="P4760">
        <v>-5.1532269543217997E-2</v>
      </c>
      <c r="Q4760">
        <v>0</v>
      </c>
      <c r="R4760">
        <v>0.98147163760437495</v>
      </c>
      <c r="S4760" t="s">
        <v>10343</v>
      </c>
      <c r="T4760" t="s">
        <v>11164</v>
      </c>
      <c r="U4760" t="s">
        <v>11164</v>
      </c>
      <c r="V4760" t="s">
        <v>11164</v>
      </c>
      <c r="W4760" t="s">
        <v>15879</v>
      </c>
      <c r="X4760">
        <v>4</v>
      </c>
      <c r="Y4760" t="s">
        <v>21348</v>
      </c>
      <c r="Z4760" t="s">
        <v>26910</v>
      </c>
      <c r="AA4760">
        <v>0.63032458111658041</v>
      </c>
      <c r="AB4760" t="str">
        <f>HYPERLINK("Melting_Curves/meltCurve_Q9H0V9_LMAN2L.pdf", "Melting_Curves/meltCurve_Q9H0V9_LMAN2L.pdf")</f>
        <v>Melting_Curves/meltCurve_Q9H0V9_LMAN2L.pdf</v>
      </c>
    </row>
    <row r="4761" spans="1:28" x14ac:dyDescent="0.25">
      <c r="A4761" t="s">
        <v>4765</v>
      </c>
      <c r="B4761">
        <v>0.99796759195183404</v>
      </c>
      <c r="C4761">
        <v>0.89362183011487595</v>
      </c>
      <c r="D4761">
        <v>0.84660801886611203</v>
      </c>
      <c r="E4761">
        <v>0.92228505096621105</v>
      </c>
      <c r="F4761">
        <v>0.75993155304258597</v>
      </c>
      <c r="G4761">
        <v>0.47904792533152302</v>
      </c>
      <c r="H4761">
        <v>0.59424309205135195</v>
      </c>
      <c r="I4761">
        <v>0.43849587764960002</v>
      </c>
      <c r="J4761">
        <v>0.231786195238669</v>
      </c>
      <c r="K4761">
        <v>0.152533253878743</v>
      </c>
      <c r="L4761">
        <v>451.74650515817598</v>
      </c>
      <c r="M4761">
        <v>7.9707578897255997</v>
      </c>
      <c r="N4761">
        <v>56.675476780703001</v>
      </c>
      <c r="O4761">
        <v>53.441545887032099</v>
      </c>
      <c r="P4761">
        <v>-3.7330024934786203E-2</v>
      </c>
      <c r="Q4761">
        <v>0</v>
      </c>
      <c r="R4761">
        <v>0.922763131017588</v>
      </c>
      <c r="S4761" t="s">
        <v>10344</v>
      </c>
      <c r="T4761" t="s">
        <v>11164</v>
      </c>
      <c r="U4761" t="s">
        <v>11164</v>
      </c>
      <c r="V4761" t="s">
        <v>11164</v>
      </c>
      <c r="W4761" t="s">
        <v>15880</v>
      </c>
      <c r="X4761">
        <v>4</v>
      </c>
      <c r="Y4761" t="s">
        <v>21349</v>
      </c>
      <c r="Z4761" t="s">
        <v>26911</v>
      </c>
      <c r="AA4761">
        <v>0.64781267915103591</v>
      </c>
      <c r="AB4761" t="str">
        <f>HYPERLINK("Melting_Curves/meltCurve_Q9H0W9_C11orf54.pdf", "Melting_Curves/meltCurve_Q9H0W9_C11orf54.pdf")</f>
        <v>Melting_Curves/meltCurve_Q9H0W9_C11orf54.pdf</v>
      </c>
    </row>
    <row r="4762" spans="1:28" x14ac:dyDescent="0.25">
      <c r="A4762" t="s">
        <v>4766</v>
      </c>
      <c r="B4762">
        <v>0.99796759195183404</v>
      </c>
      <c r="C4762">
        <v>1.07506233898453</v>
      </c>
      <c r="D4762">
        <v>0.98516133439404396</v>
      </c>
      <c r="E4762">
        <v>0.89049783619446299</v>
      </c>
      <c r="F4762">
        <v>0.876517050822468</v>
      </c>
      <c r="G4762">
        <v>0.75664294303848501</v>
      </c>
      <c r="H4762">
        <v>0.78174967515993199</v>
      </c>
      <c r="I4762">
        <v>0.64013309574870303</v>
      </c>
      <c r="J4762">
        <v>0.62412193388985804</v>
      </c>
      <c r="K4762">
        <v>0.49270556867586102</v>
      </c>
      <c r="L4762">
        <v>390.30473618003703</v>
      </c>
      <c r="M4762">
        <v>5.8734771390732696</v>
      </c>
      <c r="O4762">
        <v>59.9678088713584</v>
      </c>
      <c r="P4762">
        <v>-2.2941208320351798E-2</v>
      </c>
      <c r="Q4762">
        <v>6.6348982788810296E-2</v>
      </c>
      <c r="R4762">
        <v>0.94049953935020303</v>
      </c>
      <c r="S4762" t="s">
        <v>10345</v>
      </c>
      <c r="T4762" t="s">
        <v>11164</v>
      </c>
      <c r="U4762" t="s">
        <v>11164</v>
      </c>
      <c r="V4762" t="s">
        <v>11164</v>
      </c>
      <c r="W4762" t="s">
        <v>15881</v>
      </c>
      <c r="X4762">
        <v>2</v>
      </c>
      <c r="Y4762" t="s">
        <v>21350</v>
      </c>
      <c r="Z4762" t="s">
        <v>26912</v>
      </c>
      <c r="AA4762">
        <v>0.81344710317331537</v>
      </c>
      <c r="AB4762" t="str">
        <f>HYPERLINK("Melting_Curves/meltCurve_Q9H0X4_ITFG3.pdf", "Melting_Curves/meltCurve_Q9H0X4_ITFG3.pdf")</f>
        <v>Melting_Curves/meltCurve_Q9H0X4_ITFG3.pdf</v>
      </c>
    </row>
    <row r="4763" spans="1:28" x14ac:dyDescent="0.25">
      <c r="A4763" t="s">
        <v>4767</v>
      </c>
      <c r="B4763">
        <v>0.99796759195183404</v>
      </c>
      <c r="C4763">
        <v>1.02805385235564</v>
      </c>
      <c r="D4763">
        <v>1.00588395093738</v>
      </c>
      <c r="E4763">
        <v>0.93091002298254499</v>
      </c>
      <c r="F4763">
        <v>0.72900419609892497</v>
      </c>
      <c r="G4763">
        <v>0.59383878918922794</v>
      </c>
      <c r="H4763">
        <v>0.39882220519773998</v>
      </c>
      <c r="I4763">
        <v>0.25090824487392199</v>
      </c>
      <c r="J4763">
        <v>0.14990344932378399</v>
      </c>
      <c r="K4763">
        <v>0.100271056215439</v>
      </c>
      <c r="L4763">
        <v>676.29046573083394</v>
      </c>
      <c r="M4763">
        <v>12.230880868777099</v>
      </c>
      <c r="N4763">
        <v>55.293684363658798</v>
      </c>
      <c r="O4763">
        <v>53.877870719551197</v>
      </c>
      <c r="P4763">
        <v>-5.6765510710162101E-2</v>
      </c>
      <c r="Q4763">
        <v>0</v>
      </c>
      <c r="R4763">
        <v>0.99542332186800098</v>
      </c>
      <c r="S4763" t="s">
        <v>10346</v>
      </c>
      <c r="T4763" t="s">
        <v>11164</v>
      </c>
      <c r="U4763" t="s">
        <v>11164</v>
      </c>
      <c r="V4763" t="s">
        <v>11164</v>
      </c>
      <c r="W4763" t="s">
        <v>15882</v>
      </c>
      <c r="X4763">
        <v>4</v>
      </c>
      <c r="Y4763" t="s">
        <v>21351</v>
      </c>
      <c r="Z4763" t="s">
        <v>26913</v>
      </c>
      <c r="AA4763">
        <v>0.6228979071484283</v>
      </c>
      <c r="AB4763" t="str">
        <f>HYPERLINK("Melting_Curves/meltCurve_Q9H173_SIL1.pdf", "Melting_Curves/meltCurve_Q9H173_SIL1.pdf")</f>
        <v>Melting_Curves/meltCurve_Q9H173_SIL1.pdf</v>
      </c>
    </row>
    <row r="4764" spans="1:28" x14ac:dyDescent="0.25">
      <c r="A4764" t="s">
        <v>4768</v>
      </c>
      <c r="B4764">
        <v>0.99796759195183404</v>
      </c>
      <c r="C4764">
        <v>1.06033368058151</v>
      </c>
      <c r="D4764">
        <v>1.00599110744008</v>
      </c>
      <c r="E4764">
        <v>0.91585508476154598</v>
      </c>
      <c r="F4764">
        <v>0.77742973118963599</v>
      </c>
      <c r="G4764">
        <v>0.59045665383211698</v>
      </c>
      <c r="H4764">
        <v>0.44098208761430302</v>
      </c>
      <c r="I4764">
        <v>0.35078329168655298</v>
      </c>
      <c r="J4764">
        <v>0.27296036660335199</v>
      </c>
      <c r="K4764">
        <v>0.207318054919824</v>
      </c>
      <c r="L4764">
        <v>723.59509488949004</v>
      </c>
      <c r="M4764">
        <v>13.359503048902001</v>
      </c>
      <c r="N4764">
        <v>55.939317184689301</v>
      </c>
      <c r="O4764">
        <v>52.992919532511799</v>
      </c>
      <c r="P4764">
        <v>-5.2140298975468E-2</v>
      </c>
      <c r="Q4764">
        <v>0.17283551306265599</v>
      </c>
      <c r="R4764">
        <v>0.992649589630622</v>
      </c>
      <c r="S4764" t="s">
        <v>10347</v>
      </c>
      <c r="T4764" t="s">
        <v>11164</v>
      </c>
      <c r="U4764" t="s">
        <v>11164</v>
      </c>
      <c r="V4764" t="s">
        <v>11164</v>
      </c>
      <c r="W4764" t="s">
        <v>15883</v>
      </c>
      <c r="X4764">
        <v>13</v>
      </c>
      <c r="Y4764" t="s">
        <v>21352</v>
      </c>
      <c r="Z4764" t="s">
        <v>26914</v>
      </c>
      <c r="AA4764">
        <v>0.66004357768022259</v>
      </c>
      <c r="AB4764" t="str">
        <f>HYPERLINK("Melting_Curves/meltCurve_Q9H1B7_IRF2BPL.pdf", "Melting_Curves/meltCurve_Q9H1B7_IRF2BPL.pdf")</f>
        <v>Melting_Curves/meltCurve_Q9H1B7_IRF2BPL.pdf</v>
      </c>
    </row>
    <row r="4765" spans="1:28" x14ac:dyDescent="0.25">
      <c r="A4765" t="s">
        <v>4769</v>
      </c>
      <c r="B4765">
        <v>0.99796759195183404</v>
      </c>
      <c r="C4765">
        <v>0.83902894815778695</v>
      </c>
      <c r="D4765">
        <v>0.81793660252205402</v>
      </c>
      <c r="E4765">
        <v>0.95626749365755304</v>
      </c>
      <c r="F4765">
        <v>0.59723220445482395</v>
      </c>
      <c r="G4765">
        <v>0.37680505563135802</v>
      </c>
      <c r="H4765">
        <v>0.21884073221229899</v>
      </c>
      <c r="I4765">
        <v>0.13249831362047601</v>
      </c>
      <c r="J4765">
        <v>0.118166942058878</v>
      </c>
      <c r="K4765">
        <v>5.5617576224623898E-2</v>
      </c>
      <c r="L4765">
        <v>697.272047395512</v>
      </c>
      <c r="M4765">
        <v>13.440289791566</v>
      </c>
      <c r="N4765">
        <v>52.035186749989101</v>
      </c>
      <c r="O4765">
        <v>50.771142098240396</v>
      </c>
      <c r="P4765">
        <v>-6.4884457767048501E-2</v>
      </c>
      <c r="Q4765">
        <v>1.9739439222074402E-2</v>
      </c>
      <c r="R4765">
        <v>0.95578532962521301</v>
      </c>
      <c r="S4765" t="s">
        <v>10348</v>
      </c>
      <c r="T4765" t="s">
        <v>11164</v>
      </c>
      <c r="U4765" t="s">
        <v>11164</v>
      </c>
      <c r="V4765" t="s">
        <v>11164</v>
      </c>
      <c r="W4765" t="s">
        <v>15884</v>
      </c>
      <c r="X4765">
        <v>1</v>
      </c>
      <c r="Y4765" t="s">
        <v>21353</v>
      </c>
      <c r="Z4765" t="s">
        <v>26915</v>
      </c>
      <c r="AA4765">
        <v>0.52720285001260614</v>
      </c>
      <c r="AB4765" t="str">
        <f>HYPERLINK("Melting_Curves/meltCurve_Q9H1C3_GLT8D2.pdf", "Melting_Curves/meltCurve_Q9H1C3_GLT8D2.pdf")</f>
        <v>Melting_Curves/meltCurve_Q9H1C3_GLT8D2.pdf</v>
      </c>
    </row>
    <row r="4766" spans="1:28" x14ac:dyDescent="0.25">
      <c r="A4766" t="s">
        <v>4770</v>
      </c>
      <c r="B4766">
        <v>0.99796759195183404</v>
      </c>
      <c r="C4766">
        <v>1.12602545092641</v>
      </c>
      <c r="D4766">
        <v>1.0869620023981199</v>
      </c>
      <c r="E4766">
        <v>1.1626839580549899</v>
      </c>
      <c r="F4766">
        <v>1.1067234137200299</v>
      </c>
      <c r="G4766">
        <v>0.71035355978685299</v>
      </c>
      <c r="H4766">
        <v>0.84907909732655995</v>
      </c>
      <c r="I4766">
        <v>0.77736403398673204</v>
      </c>
      <c r="J4766">
        <v>1.01119400500899</v>
      </c>
      <c r="K4766">
        <v>0.97284437811307101</v>
      </c>
      <c r="L4766">
        <v>2594.34921322218</v>
      </c>
      <c r="M4766">
        <v>50.136440570155699</v>
      </c>
      <c r="O4766">
        <v>51.663679102492701</v>
      </c>
      <c r="P4766">
        <v>-3.1677375384551898E-2</v>
      </c>
      <c r="Q4766">
        <v>0.86943089092257198</v>
      </c>
      <c r="R4766">
        <v>0.35855929686422999</v>
      </c>
      <c r="S4766" t="s">
        <v>10349</v>
      </c>
      <c r="T4766" t="s">
        <v>11164</v>
      </c>
      <c r="U4766" t="s">
        <v>11164</v>
      </c>
      <c r="V4766" t="s">
        <v>11164</v>
      </c>
      <c r="W4766" t="s">
        <v>15885</v>
      </c>
      <c r="X4766">
        <v>14</v>
      </c>
      <c r="Y4766" t="s">
        <v>21354</v>
      </c>
      <c r="Z4766" t="s">
        <v>26916</v>
      </c>
      <c r="AA4766">
        <v>0.93390531306147773</v>
      </c>
      <c r="AB4766" t="str">
        <f>HYPERLINK("Melting_Curves/meltCurve_Q9H1E3_NUCKS1.pdf", "Melting_Curves/meltCurve_Q9H1E3_NUCKS1.pdf")</f>
        <v>Melting_Curves/meltCurve_Q9H1E3_NUCKS1.pdf</v>
      </c>
    </row>
    <row r="4767" spans="1:28" x14ac:dyDescent="0.25">
      <c r="A4767" t="s">
        <v>4771</v>
      </c>
      <c r="B4767">
        <v>0.99796759195183404</v>
      </c>
      <c r="C4767">
        <v>1.01510400773028</v>
      </c>
      <c r="D4767">
        <v>0.953779368684326</v>
      </c>
      <c r="E4767">
        <v>0.92495059092697596</v>
      </c>
      <c r="F4767">
        <v>0.80230040766476596</v>
      </c>
      <c r="G4767">
        <v>0.31073802376399001</v>
      </c>
      <c r="H4767">
        <v>0.28768190152638801</v>
      </c>
      <c r="I4767">
        <v>0.39672234612448498</v>
      </c>
      <c r="J4767">
        <v>0.205417358132817</v>
      </c>
      <c r="K4767">
        <v>0.15212763401749901</v>
      </c>
      <c r="L4767">
        <v>2443.8545260798401</v>
      </c>
      <c r="M4767">
        <v>47.7192029011605</v>
      </c>
      <c r="N4767">
        <v>51.997160665600099</v>
      </c>
      <c r="O4767">
        <v>51.123528819161599</v>
      </c>
      <c r="P4767">
        <v>-0.17350095103989599</v>
      </c>
      <c r="Q4767">
        <v>0.25648613549169702</v>
      </c>
      <c r="R4767">
        <v>0.96519716335719097</v>
      </c>
      <c r="S4767" t="s">
        <v>10350</v>
      </c>
      <c r="T4767" t="s">
        <v>11164</v>
      </c>
      <c r="U4767" t="s">
        <v>11164</v>
      </c>
      <c r="V4767" t="s">
        <v>11164</v>
      </c>
      <c r="W4767" t="s">
        <v>15886</v>
      </c>
      <c r="X4767">
        <v>3</v>
      </c>
      <c r="Y4767" t="s">
        <v>21355</v>
      </c>
      <c r="Z4767" t="s">
        <v>26917</v>
      </c>
      <c r="AA4767">
        <v>0.61058833810274737</v>
      </c>
      <c r="AB4767" t="str">
        <f>HYPERLINK("Melting_Curves/meltCurve_Q9H1K0_ZFYVE20.pdf", "Melting_Curves/meltCurve_Q9H1K0_ZFYVE20.pdf")</f>
        <v>Melting_Curves/meltCurve_Q9H1K0_ZFYVE20.pdf</v>
      </c>
    </row>
    <row r="4768" spans="1:28" x14ac:dyDescent="0.25">
      <c r="A4768" t="s">
        <v>4772</v>
      </c>
      <c r="B4768">
        <v>0.99796759195183404</v>
      </c>
      <c r="C4768">
        <v>0.94883223360317603</v>
      </c>
      <c r="D4768">
        <v>0.95640511820811502</v>
      </c>
      <c r="E4768">
        <v>0.90193782716742499</v>
      </c>
      <c r="F4768">
        <v>0.76226448449947704</v>
      </c>
      <c r="G4768">
        <v>0.56573037192850895</v>
      </c>
      <c r="H4768">
        <v>0.48726113958185602</v>
      </c>
      <c r="I4768">
        <v>0.40744817779453002</v>
      </c>
      <c r="J4768">
        <v>0.51216522728583302</v>
      </c>
      <c r="K4768">
        <v>0.42811513189214401</v>
      </c>
      <c r="L4768">
        <v>953.88236612413903</v>
      </c>
      <c r="M4768">
        <v>18.829840383584401</v>
      </c>
      <c r="N4768">
        <v>56.827953198898498</v>
      </c>
      <c r="O4768">
        <v>50.097036795226202</v>
      </c>
      <c r="P4768">
        <v>-5.3068021747900297E-2</v>
      </c>
      <c r="Q4768">
        <v>0.43527066391083502</v>
      </c>
      <c r="R4768">
        <v>0.97973758440532899</v>
      </c>
      <c r="S4768" t="s">
        <v>10351</v>
      </c>
      <c r="T4768" t="s">
        <v>11164</v>
      </c>
      <c r="U4768" t="s">
        <v>11164</v>
      </c>
      <c r="V4768" t="s">
        <v>11164</v>
      </c>
      <c r="W4768" t="s">
        <v>15887</v>
      </c>
      <c r="X4768">
        <v>9</v>
      </c>
      <c r="Y4768" t="s">
        <v>21356</v>
      </c>
      <c r="Z4768" t="s">
        <v>26918</v>
      </c>
      <c r="AA4768">
        <v>0.70057059618438089</v>
      </c>
      <c r="AB4768" t="str">
        <f>HYPERLINK("Melting_Curves/meltCurve_Q9H1K1_ISCU.pdf", "Melting_Curves/meltCurve_Q9H1K1_ISCU.pdf")</f>
        <v>Melting_Curves/meltCurve_Q9H1K1_ISCU.pdf</v>
      </c>
    </row>
    <row r="4769" spans="1:28" x14ac:dyDescent="0.25">
      <c r="A4769" t="s">
        <v>4773</v>
      </c>
      <c r="B4769">
        <v>0.99796759195183404</v>
      </c>
      <c r="C4769">
        <v>1.09359488684113</v>
      </c>
      <c r="D4769">
        <v>1.0521352324726601</v>
      </c>
      <c r="E4769">
        <v>1.0680043899474601</v>
      </c>
      <c r="F4769">
        <v>0.60222362152737197</v>
      </c>
      <c r="G4769">
        <v>0.30098791053506102</v>
      </c>
      <c r="H4769">
        <v>0.159166348772803</v>
      </c>
      <c r="I4769">
        <v>9.4674404868282894E-2</v>
      </c>
      <c r="J4769">
        <v>0.11174680693401901</v>
      </c>
      <c r="K4769">
        <v>9.0837554521295799E-2</v>
      </c>
      <c r="L4769">
        <v>1586.7581152247301</v>
      </c>
      <c r="M4769">
        <v>31.153145073143701</v>
      </c>
      <c r="N4769">
        <v>51.352219792460197</v>
      </c>
      <c r="O4769">
        <v>50.7256078896541</v>
      </c>
      <c r="P4769">
        <v>-0.136339689347138</v>
      </c>
      <c r="Q4769">
        <v>0.112015486576172</v>
      </c>
      <c r="R4769">
        <v>0.98297640322670898</v>
      </c>
      <c r="S4769" t="s">
        <v>10352</v>
      </c>
      <c r="T4769" t="s">
        <v>11164</v>
      </c>
      <c r="U4769" t="s">
        <v>11164</v>
      </c>
      <c r="V4769" t="s">
        <v>11164</v>
      </c>
      <c r="W4769" t="s">
        <v>15888</v>
      </c>
      <c r="X4769">
        <v>4</v>
      </c>
      <c r="Y4769" t="s">
        <v>21357</v>
      </c>
      <c r="Z4769" t="s">
        <v>26919</v>
      </c>
      <c r="AA4769">
        <v>0.52959197244661294</v>
      </c>
      <c r="AB4769" t="str">
        <f>HYPERLINK("Melting_Curves/meltCurve_Q9H1P3_2_OSBPL2.pdf", "Melting_Curves/meltCurve_Q9H1P3_2_OSBPL2.pdf")</f>
        <v>Melting_Curves/meltCurve_Q9H1P3_2_OSBPL2.pdf</v>
      </c>
    </row>
    <row r="4770" spans="1:28" x14ac:dyDescent="0.25">
      <c r="A4770" t="s">
        <v>4774</v>
      </c>
      <c r="B4770">
        <v>0.99796759195183404</v>
      </c>
      <c r="C4770">
        <v>1.01460065027395</v>
      </c>
      <c r="D4770">
        <v>0.86986761258904399</v>
      </c>
      <c r="E4770">
        <v>0.89763749004943705</v>
      </c>
      <c r="F4770">
        <v>0.75565273458039195</v>
      </c>
      <c r="G4770">
        <v>0.40224629161681802</v>
      </c>
      <c r="H4770">
        <v>0.33776545555311699</v>
      </c>
      <c r="I4770">
        <v>0.37635685312649297</v>
      </c>
      <c r="J4770">
        <v>0.251401930954116</v>
      </c>
      <c r="K4770">
        <v>0.21129816617357</v>
      </c>
      <c r="L4770">
        <v>915.08209706862704</v>
      </c>
      <c r="M4770">
        <v>17.830737219439602</v>
      </c>
      <c r="N4770">
        <v>53.306514458569197</v>
      </c>
      <c r="O4770">
        <v>50.688033175301797</v>
      </c>
      <c r="P4770">
        <v>-6.6604165745821994E-2</v>
      </c>
      <c r="Q4770">
        <v>0.24268721777206401</v>
      </c>
      <c r="R4770">
        <v>0.96729278957777798</v>
      </c>
      <c r="S4770" t="s">
        <v>10353</v>
      </c>
      <c r="T4770" t="s">
        <v>11164</v>
      </c>
      <c r="U4770" t="s">
        <v>11164</v>
      </c>
      <c r="V4770" t="s">
        <v>11164</v>
      </c>
      <c r="W4770" t="s">
        <v>15889</v>
      </c>
      <c r="X4770">
        <v>2</v>
      </c>
      <c r="Y4770" t="s">
        <v>21358</v>
      </c>
      <c r="Z4770" t="s">
        <v>26920</v>
      </c>
      <c r="AA4770">
        <v>0.61602146781917921</v>
      </c>
      <c r="AB4770" t="str">
        <f>HYPERLINK("Melting_Curves/meltCurve_Q9H1X3_DNAJC25.pdf", "Melting_Curves/meltCurve_Q9H1X3_DNAJC25.pdf")</f>
        <v>Melting_Curves/meltCurve_Q9H1X3_DNAJC25.pdf</v>
      </c>
    </row>
    <row r="4771" spans="1:28" x14ac:dyDescent="0.25">
      <c r="A4771" t="s">
        <v>4775</v>
      </c>
      <c r="B4771">
        <v>0.99796759195183404</v>
      </c>
      <c r="C4771">
        <v>0.94260124476905205</v>
      </c>
      <c r="D4771">
        <v>0.91757575002282699</v>
      </c>
      <c r="E4771">
        <v>0.868950465525969</v>
      </c>
      <c r="F4771">
        <v>0.61802966981469398</v>
      </c>
      <c r="G4771">
        <v>0.63327611449434695</v>
      </c>
      <c r="H4771">
        <v>0.52054601387470001</v>
      </c>
      <c r="I4771">
        <v>0.21571498807002201</v>
      </c>
      <c r="J4771">
        <v>0.10139317853219799</v>
      </c>
      <c r="K4771">
        <v>9.1790180098583404E-2</v>
      </c>
      <c r="L4771">
        <v>571.36403059046495</v>
      </c>
      <c r="M4771">
        <v>10.3976828384426</v>
      </c>
      <c r="N4771">
        <v>54.951087942192302</v>
      </c>
      <c r="O4771">
        <v>53.035040562104598</v>
      </c>
      <c r="P4771">
        <v>-4.9033779690299699E-2</v>
      </c>
      <c r="Q4771">
        <v>0</v>
      </c>
      <c r="R4771">
        <v>0.956555045414623</v>
      </c>
      <c r="S4771" t="s">
        <v>10354</v>
      </c>
      <c r="T4771" t="s">
        <v>11164</v>
      </c>
      <c r="U4771" t="s">
        <v>11164</v>
      </c>
      <c r="V4771" t="s">
        <v>11164</v>
      </c>
      <c r="W4771" t="s">
        <v>15890</v>
      </c>
      <c r="X4771">
        <v>4</v>
      </c>
      <c r="Y4771" t="s">
        <v>21359</v>
      </c>
      <c r="Z4771" t="s">
        <v>26921</v>
      </c>
      <c r="AA4771">
        <v>0.6114098096591154</v>
      </c>
      <c r="AB4771" t="str">
        <f>HYPERLINK("Melting_Curves/meltCurve_Q9H1Y0_ATG5.pdf", "Melting_Curves/meltCurve_Q9H1Y0_ATG5.pdf")</f>
        <v>Melting_Curves/meltCurve_Q9H1Y0_ATG5.pdf</v>
      </c>
    </row>
    <row r="4772" spans="1:28" x14ac:dyDescent="0.25">
      <c r="A4772" t="s">
        <v>4776</v>
      </c>
      <c r="B4772">
        <v>0.99796759195183404</v>
      </c>
      <c r="C4772">
        <v>1.0204940614322699</v>
      </c>
      <c r="D4772">
        <v>0.989397656295397</v>
      </c>
      <c r="E4772">
        <v>0.947016305683405</v>
      </c>
      <c r="F4772">
        <v>0.83893750404201595</v>
      </c>
      <c r="G4772">
        <v>0.75399611723604198</v>
      </c>
      <c r="H4772">
        <v>0.51057340656351102</v>
      </c>
      <c r="I4772">
        <v>0.43075124608063697</v>
      </c>
      <c r="J4772">
        <v>0.411084914305755</v>
      </c>
      <c r="K4772">
        <v>0.33066752698167801</v>
      </c>
      <c r="L4772">
        <v>804.00512768014096</v>
      </c>
      <c r="M4772">
        <v>14.604314324227101</v>
      </c>
      <c r="N4772">
        <v>58.7178833568939</v>
      </c>
      <c r="O4772">
        <v>54.0512639761507</v>
      </c>
      <c r="P4772">
        <v>-4.7352249225047001E-2</v>
      </c>
      <c r="Q4772">
        <v>0.29906689569568801</v>
      </c>
      <c r="R4772">
        <v>0.99121934158594704</v>
      </c>
      <c r="S4772" t="s">
        <v>10355</v>
      </c>
      <c r="T4772" t="s">
        <v>11164</v>
      </c>
      <c r="U4772" t="s">
        <v>11164</v>
      </c>
      <c r="V4772" t="s">
        <v>11164</v>
      </c>
      <c r="W4772" t="s">
        <v>15891</v>
      </c>
      <c r="X4772">
        <v>4</v>
      </c>
      <c r="Y4772" t="s">
        <v>21360</v>
      </c>
      <c r="Z4772" t="s">
        <v>26922</v>
      </c>
      <c r="AA4772">
        <v>0.73073812825902418</v>
      </c>
      <c r="AB4772" t="str">
        <f>HYPERLINK("Melting_Curves/meltCurve_Q9H1Z4_WDR13.pdf", "Melting_Curves/meltCurve_Q9H1Z4_WDR13.pdf")</f>
        <v>Melting_Curves/meltCurve_Q9H1Z4_WDR13.pdf</v>
      </c>
    </row>
    <row r="4773" spans="1:28" x14ac:dyDescent="0.25">
      <c r="A4773" t="s">
        <v>4777</v>
      </c>
      <c r="B4773">
        <v>0.99796759195183404</v>
      </c>
      <c r="C4773">
        <v>0.98846722681243504</v>
      </c>
      <c r="D4773">
        <v>0.97420914465775899</v>
      </c>
      <c r="E4773">
        <v>0.92664175784307201</v>
      </c>
      <c r="F4773">
        <v>0.75944159319174798</v>
      </c>
      <c r="G4773">
        <v>0.34930899039423602</v>
      </c>
      <c r="H4773">
        <v>0.18301072800028001</v>
      </c>
      <c r="I4773">
        <v>0.140634808999857</v>
      </c>
      <c r="J4773">
        <v>0.123139515098905</v>
      </c>
      <c r="K4773">
        <v>9.7706913913129606E-2</v>
      </c>
      <c r="L4773">
        <v>1352.7584511784401</v>
      </c>
      <c r="M4773">
        <v>26.062998672235</v>
      </c>
      <c r="N4773">
        <v>52.406792337459002</v>
      </c>
      <c r="O4773">
        <v>51.6007362438257</v>
      </c>
      <c r="P4773">
        <v>-0.11229072587143001</v>
      </c>
      <c r="Q4773">
        <v>0.110736541584625</v>
      </c>
      <c r="R4773">
        <v>0.99829456570067299</v>
      </c>
      <c r="S4773" t="s">
        <v>10356</v>
      </c>
      <c r="T4773" t="s">
        <v>11164</v>
      </c>
      <c r="U4773" t="s">
        <v>11164</v>
      </c>
      <c r="V4773" t="s">
        <v>11164</v>
      </c>
      <c r="W4773" t="s">
        <v>15892</v>
      </c>
      <c r="X4773">
        <v>12</v>
      </c>
      <c r="Y4773" t="s">
        <v>21361</v>
      </c>
      <c r="Z4773" t="s">
        <v>26923</v>
      </c>
      <c r="AA4773">
        <v>0.55980726376553203</v>
      </c>
      <c r="AB4773" t="str">
        <f>HYPERLINK("Melting_Curves/meltCurve_Q9H223_EHD4.pdf", "Melting_Curves/meltCurve_Q9H223_EHD4.pdf")</f>
        <v>Melting_Curves/meltCurve_Q9H223_EHD4.pdf</v>
      </c>
    </row>
    <row r="4774" spans="1:28" x14ac:dyDescent="0.25">
      <c r="A4774" t="s">
        <v>4778</v>
      </c>
      <c r="B4774">
        <v>0.99796759195183404</v>
      </c>
      <c r="C4774">
        <v>1.2215577099841499</v>
      </c>
      <c r="D4774">
        <v>1.0029122588457</v>
      </c>
      <c r="E4774">
        <v>1.02618588934132</v>
      </c>
      <c r="F4774">
        <v>0.99345248564505995</v>
      </c>
      <c r="G4774">
        <v>0.797186663585702</v>
      </c>
      <c r="H4774">
        <v>0.90006968681939703</v>
      </c>
      <c r="I4774">
        <v>0.698410528060046</v>
      </c>
      <c r="J4774">
        <v>0.87240644569077597</v>
      </c>
      <c r="K4774">
        <v>0.96228149998448897</v>
      </c>
      <c r="L4774">
        <v>12706.310850875099</v>
      </c>
      <c r="M4774">
        <v>250</v>
      </c>
      <c r="O4774">
        <v>50.821990953915801</v>
      </c>
      <c r="P4774">
        <v>-0.18929926298056901</v>
      </c>
      <c r="Q4774">
        <v>0.84607095337538496</v>
      </c>
      <c r="R4774">
        <v>0.49886378392714698</v>
      </c>
      <c r="S4774" t="s">
        <v>10357</v>
      </c>
      <c r="T4774" t="s">
        <v>11164</v>
      </c>
      <c r="U4774" t="s">
        <v>11164</v>
      </c>
      <c r="V4774" t="s">
        <v>11164</v>
      </c>
      <c r="W4774" t="s">
        <v>15893</v>
      </c>
      <c r="X4774">
        <v>4</v>
      </c>
      <c r="Y4774" t="s">
        <v>21362</v>
      </c>
      <c r="Z4774" t="s">
        <v>26924</v>
      </c>
      <c r="AA4774">
        <v>0.91702156801170698</v>
      </c>
      <c r="AB4774" t="str">
        <f>HYPERLINK("Melting_Curves/meltCurve_Q9H246_C1orf21.pdf", "Melting_Curves/meltCurve_Q9H246_C1orf21.pdf")</f>
        <v>Melting_Curves/meltCurve_Q9H246_C1orf21.pdf</v>
      </c>
    </row>
    <row r="4775" spans="1:28" x14ac:dyDescent="0.25">
      <c r="A4775" t="s">
        <v>4779</v>
      </c>
      <c r="B4775">
        <v>0.99796759195183404</v>
      </c>
      <c r="C4775">
        <v>1.0032148628887501</v>
      </c>
      <c r="D4775">
        <v>0.93403478645038096</v>
      </c>
      <c r="E4775">
        <v>0.924624204170994</v>
      </c>
      <c r="F4775">
        <v>0.65206153523382804</v>
      </c>
      <c r="G4775">
        <v>0.26277554489897198</v>
      </c>
      <c r="H4775">
        <v>0.17134346977161499</v>
      </c>
      <c r="I4775">
        <v>0.13183828001702499</v>
      </c>
      <c r="J4775">
        <v>0.13177759986836601</v>
      </c>
      <c r="K4775">
        <v>0.13673073974528499</v>
      </c>
      <c r="L4775">
        <v>1435.51853697515</v>
      </c>
      <c r="M4775">
        <v>28.2533103971214</v>
      </c>
      <c r="N4775">
        <v>51.353953430054901</v>
      </c>
      <c r="O4775">
        <v>50.5563661765962</v>
      </c>
      <c r="P4775">
        <v>-0.12161312350549899</v>
      </c>
      <c r="Q4775">
        <v>0.12955095464685301</v>
      </c>
      <c r="R4775">
        <v>0.99690609457592905</v>
      </c>
      <c r="S4775" t="s">
        <v>10358</v>
      </c>
      <c r="T4775" t="s">
        <v>11164</v>
      </c>
      <c r="U4775" t="s">
        <v>11164</v>
      </c>
      <c r="V4775" t="s">
        <v>11164</v>
      </c>
      <c r="W4775" t="s">
        <v>15894</v>
      </c>
      <c r="X4775">
        <v>6</v>
      </c>
      <c r="Y4775" t="s">
        <v>21363</v>
      </c>
      <c r="Z4775" t="s">
        <v>26925</v>
      </c>
      <c r="AA4775">
        <v>0.53629168969450025</v>
      </c>
      <c r="AB4775" t="str">
        <f>HYPERLINK("Melting_Curves/meltCurve_Q9H267_VPS33B.pdf", "Melting_Curves/meltCurve_Q9H267_VPS33B.pdf")</f>
        <v>Melting_Curves/meltCurve_Q9H267_VPS33B.pdf</v>
      </c>
    </row>
    <row r="4776" spans="1:28" x14ac:dyDescent="0.25">
      <c r="A4776" t="s">
        <v>4780</v>
      </c>
      <c r="B4776">
        <v>0.99796759195183404</v>
      </c>
      <c r="C4776">
        <v>0.94350852206139801</v>
      </c>
      <c r="D4776">
        <v>0.87106406309183504</v>
      </c>
      <c r="E4776">
        <v>0.863073543911549</v>
      </c>
      <c r="F4776">
        <v>0.79881657135032602</v>
      </c>
      <c r="G4776">
        <v>0.418126370419029</v>
      </c>
      <c r="H4776">
        <v>0.31910813542773803</v>
      </c>
      <c r="I4776">
        <v>0.25615694414572299</v>
      </c>
      <c r="J4776">
        <v>0.16528424785819301</v>
      </c>
      <c r="K4776">
        <v>0.20644726974524</v>
      </c>
      <c r="L4776">
        <v>807.58459478749603</v>
      </c>
      <c r="M4776">
        <v>15.455192250830301</v>
      </c>
      <c r="N4776">
        <v>53.501010387586398</v>
      </c>
      <c r="O4776">
        <v>51.401916144481902</v>
      </c>
      <c r="P4776">
        <v>-6.3799903680804806E-2</v>
      </c>
      <c r="Q4776">
        <v>0.15131624416730399</v>
      </c>
      <c r="R4776">
        <v>0.97272152780871002</v>
      </c>
      <c r="S4776" t="s">
        <v>10359</v>
      </c>
      <c r="T4776" t="s">
        <v>11164</v>
      </c>
      <c r="U4776" t="s">
        <v>11164</v>
      </c>
      <c r="V4776" t="s">
        <v>11164</v>
      </c>
      <c r="W4776" t="s">
        <v>15895</v>
      </c>
      <c r="X4776">
        <v>6</v>
      </c>
      <c r="Y4776" t="s">
        <v>21364</v>
      </c>
      <c r="Z4776" t="s">
        <v>26926</v>
      </c>
      <c r="AA4776">
        <v>0.59828063815162413</v>
      </c>
      <c r="AB4776" t="str">
        <f>HYPERLINK("Melting_Curves/meltCurve_Q9H270_VPS11.pdf", "Melting_Curves/meltCurve_Q9H270_VPS11.pdf")</f>
        <v>Melting_Curves/meltCurve_Q9H270_VPS11.pdf</v>
      </c>
    </row>
    <row r="4777" spans="1:28" x14ac:dyDescent="0.25">
      <c r="A4777" t="s">
        <v>4781</v>
      </c>
      <c r="B4777">
        <v>0.99796759195183404</v>
      </c>
      <c r="C4777">
        <v>0.99039596581528799</v>
      </c>
      <c r="D4777">
        <v>0.89489302071194898</v>
      </c>
      <c r="E4777">
        <v>0.83996775307983895</v>
      </c>
      <c r="F4777">
        <v>0.80096621660240097</v>
      </c>
      <c r="G4777">
        <v>0.49875238784630399</v>
      </c>
      <c r="H4777">
        <v>0.27531775544750398</v>
      </c>
      <c r="I4777">
        <v>0.21681563273159901</v>
      </c>
      <c r="J4777">
        <v>0.15346475417356201</v>
      </c>
      <c r="K4777">
        <v>9.0686505204464599E-2</v>
      </c>
      <c r="L4777">
        <v>694.75561876556401</v>
      </c>
      <c r="M4777">
        <v>12.928101451253699</v>
      </c>
      <c r="N4777">
        <v>53.977609475974198</v>
      </c>
      <c r="O4777">
        <v>52.502872587000901</v>
      </c>
      <c r="P4777">
        <v>-5.9866776652120798E-2</v>
      </c>
      <c r="Q4777">
        <v>2.7665292179006901E-2</v>
      </c>
      <c r="R4777">
        <v>0.98681269057166698</v>
      </c>
      <c r="S4777" t="s">
        <v>10360</v>
      </c>
      <c r="T4777" t="s">
        <v>11164</v>
      </c>
      <c r="U4777" t="s">
        <v>11164</v>
      </c>
      <c r="V4777" t="s">
        <v>11164</v>
      </c>
      <c r="W4777" t="s">
        <v>15896</v>
      </c>
      <c r="X4777">
        <v>5</v>
      </c>
      <c r="Y4777" t="s">
        <v>21365</v>
      </c>
      <c r="Z4777" t="s">
        <v>26927</v>
      </c>
      <c r="AA4777">
        <v>0.58800752473195217</v>
      </c>
      <c r="AB4777" t="str">
        <f>HYPERLINK("Melting_Curves/meltCurve_Q9H2C0_GAN.pdf", "Melting_Curves/meltCurve_Q9H2C0_GAN.pdf")</f>
        <v>Melting_Curves/meltCurve_Q9H2C0_GAN.pdf</v>
      </c>
    </row>
    <row r="4778" spans="1:28" x14ac:dyDescent="0.25">
      <c r="A4778" t="s">
        <v>4782</v>
      </c>
      <c r="B4778">
        <v>0.99796759195183404</v>
      </c>
      <c r="C4778">
        <v>0.99326111626018598</v>
      </c>
      <c r="D4778">
        <v>0.98052247015548899</v>
      </c>
      <c r="E4778">
        <v>0.93782483518306303</v>
      </c>
      <c r="F4778">
        <v>0.86773881274756204</v>
      </c>
      <c r="G4778">
        <v>0.53070140471440297</v>
      </c>
      <c r="H4778">
        <v>0.49977808033792898</v>
      </c>
      <c r="I4778">
        <v>0.52055734978927004</v>
      </c>
      <c r="J4778">
        <v>0.51635640049540799</v>
      </c>
      <c r="K4778">
        <v>0.17113473354011299</v>
      </c>
      <c r="L4778">
        <v>607.22009677007202</v>
      </c>
      <c r="M4778">
        <v>11.0720707184484</v>
      </c>
      <c r="N4778">
        <v>58.2937601335002</v>
      </c>
      <c r="O4778">
        <v>53.144653582557403</v>
      </c>
      <c r="P4778">
        <v>-3.9575788331605098E-2</v>
      </c>
      <c r="Q4778">
        <v>0.24041315429003399</v>
      </c>
      <c r="R4778">
        <v>0.89420111117018997</v>
      </c>
      <c r="S4778" t="s">
        <v>10361</v>
      </c>
      <c r="T4778" t="s">
        <v>11164</v>
      </c>
      <c r="U4778" t="s">
        <v>11164</v>
      </c>
      <c r="V4778" t="s">
        <v>11164</v>
      </c>
      <c r="W4778" t="s">
        <v>15897</v>
      </c>
      <c r="X4778">
        <v>1</v>
      </c>
      <c r="Y4778" t="s">
        <v>21366</v>
      </c>
      <c r="Z4778" t="s">
        <v>26928</v>
      </c>
      <c r="AA4778">
        <v>0.70303551671077191</v>
      </c>
      <c r="AB4778" t="str">
        <f>HYPERLINK("Melting_Curves/meltCurve_Q9H2D1_SLC25A32.pdf", "Melting_Curves/meltCurve_Q9H2D1_SLC25A32.pdf")</f>
        <v>Melting_Curves/meltCurve_Q9H2D1_SLC25A32.pdf</v>
      </c>
    </row>
    <row r="4779" spans="1:28" x14ac:dyDescent="0.25">
      <c r="A4779" t="s">
        <v>4783</v>
      </c>
      <c r="B4779">
        <v>0.99796759195183404</v>
      </c>
      <c r="C4779">
        <v>1.1182702935198101</v>
      </c>
      <c r="D4779">
        <v>0.96975345907268595</v>
      </c>
      <c r="E4779">
        <v>0.94099404402804099</v>
      </c>
      <c r="F4779">
        <v>0.907080278144624</v>
      </c>
      <c r="G4779">
        <v>0.57299978303892896</v>
      </c>
      <c r="H4779">
        <v>0.386588871888911</v>
      </c>
      <c r="I4779">
        <v>0.351578423274857</v>
      </c>
      <c r="J4779">
        <v>0.159554935438911</v>
      </c>
      <c r="K4779">
        <v>0.126968420766709</v>
      </c>
      <c r="L4779">
        <v>889.44603083392201</v>
      </c>
      <c r="M4779">
        <v>16.1851618281387</v>
      </c>
      <c r="N4779">
        <v>55.794755723549002</v>
      </c>
      <c r="O4779">
        <v>54.136030387540302</v>
      </c>
      <c r="P4779">
        <v>-6.6663345484730005E-2</v>
      </c>
      <c r="Q4779">
        <v>0.10816625552494601</v>
      </c>
      <c r="R4779">
        <v>0.97366381259919599</v>
      </c>
      <c r="S4779" t="s">
        <v>10362</v>
      </c>
      <c r="T4779" t="s">
        <v>11164</v>
      </c>
      <c r="U4779" t="s">
        <v>11164</v>
      </c>
      <c r="V4779" t="s">
        <v>11164</v>
      </c>
      <c r="W4779" t="s">
        <v>15898</v>
      </c>
      <c r="X4779">
        <v>3</v>
      </c>
      <c r="Y4779" t="s">
        <v>21367</v>
      </c>
      <c r="Z4779" t="s">
        <v>26929</v>
      </c>
      <c r="AA4779">
        <v>0.65410029188571317</v>
      </c>
      <c r="AB4779" t="str">
        <f>HYPERLINK("Melting_Curves/meltCurve_Q9H2D6_5_TRIOBP.pdf", "Melting_Curves/meltCurve_Q9H2D6_5_TRIOBP.pdf")</f>
        <v>Melting_Curves/meltCurve_Q9H2D6_5_TRIOBP.pdf</v>
      </c>
    </row>
    <row r="4780" spans="1:28" x14ac:dyDescent="0.25">
      <c r="A4780" t="s">
        <v>4784</v>
      </c>
      <c r="B4780">
        <v>0.99796759195183404</v>
      </c>
      <c r="C4780">
        <v>1.05611296193361</v>
      </c>
      <c r="D4780">
        <v>1.03313738877127</v>
      </c>
      <c r="E4780">
        <v>0.98102827496260403</v>
      </c>
      <c r="F4780">
        <v>0.832256794769619</v>
      </c>
      <c r="G4780">
        <v>0.28697076889377798</v>
      </c>
      <c r="H4780">
        <v>0.151936810503214</v>
      </c>
      <c r="I4780">
        <v>0.11104950109385001</v>
      </c>
      <c r="J4780">
        <v>8.6715997842266301E-2</v>
      </c>
      <c r="K4780">
        <v>6.6188944898116595E-2</v>
      </c>
      <c r="L4780">
        <v>2011.88397690122</v>
      </c>
      <c r="M4780">
        <v>38.641778848428203</v>
      </c>
      <c r="N4780">
        <v>52.350447811869401</v>
      </c>
      <c r="O4780">
        <v>51.9261399136279</v>
      </c>
      <c r="P4780">
        <v>-0.16836948501782301</v>
      </c>
      <c r="Q4780">
        <v>9.4994390895052794E-2</v>
      </c>
      <c r="R4780">
        <v>0.99635265226332903</v>
      </c>
      <c r="S4780" t="s">
        <v>10363</v>
      </c>
      <c r="T4780" t="s">
        <v>11164</v>
      </c>
      <c r="U4780" t="s">
        <v>11164</v>
      </c>
      <c r="V4780" t="s">
        <v>11164</v>
      </c>
      <c r="W4780" t="s">
        <v>15899</v>
      </c>
      <c r="X4780">
        <v>53</v>
      </c>
      <c r="Y4780" t="s">
        <v>21368</v>
      </c>
      <c r="Z4780" t="s">
        <v>26930</v>
      </c>
      <c r="AA4780">
        <v>0.55293795493248454</v>
      </c>
      <c r="AB4780" t="str">
        <f>HYPERLINK("Melting_Curves/meltCurve_Q9H2G2_2_SLK.pdf", "Melting_Curves/meltCurve_Q9H2G2_2_SLK.pdf")</f>
        <v>Melting_Curves/meltCurve_Q9H2G2_2_SLK.pdf</v>
      </c>
    </row>
    <row r="4781" spans="1:28" x14ac:dyDescent="0.25">
      <c r="A4781" t="s">
        <v>4785</v>
      </c>
      <c r="B4781">
        <v>0.99796759195183404</v>
      </c>
      <c r="C4781">
        <v>1.1323981622739201</v>
      </c>
      <c r="D4781">
        <v>1.2392681124787199</v>
      </c>
      <c r="E4781">
        <v>1.01726563031449</v>
      </c>
      <c r="F4781">
        <v>0.93124477439627096</v>
      </c>
      <c r="G4781">
        <v>0.49926002748588699</v>
      </c>
      <c r="H4781">
        <v>0.33406080497471602</v>
      </c>
      <c r="I4781">
        <v>0.21690558229391099</v>
      </c>
      <c r="J4781">
        <v>0.21433180015621101</v>
      </c>
      <c r="K4781">
        <v>0.13146760558826501</v>
      </c>
      <c r="L4781">
        <v>1655.0826980233601</v>
      </c>
      <c r="M4781">
        <v>31.047327147055601</v>
      </c>
      <c r="N4781">
        <v>54.158212114593297</v>
      </c>
      <c r="O4781">
        <v>53.088686225873502</v>
      </c>
      <c r="P4781">
        <v>-0.118013868449515</v>
      </c>
      <c r="Q4781">
        <v>0.192823834473798</v>
      </c>
      <c r="R4781">
        <v>0.94841958014963701</v>
      </c>
      <c r="S4781" t="s">
        <v>10364</v>
      </c>
      <c r="T4781" t="s">
        <v>11164</v>
      </c>
      <c r="U4781" t="s">
        <v>11164</v>
      </c>
      <c r="V4781" t="s">
        <v>11164</v>
      </c>
      <c r="W4781" t="s">
        <v>15900</v>
      </c>
      <c r="X4781">
        <v>1</v>
      </c>
      <c r="Y4781" t="s">
        <v>21369</v>
      </c>
      <c r="Z4781" t="s">
        <v>26931</v>
      </c>
      <c r="AA4781">
        <v>0.63644290982992724</v>
      </c>
      <c r="AB4781" t="str">
        <f>HYPERLINK("Melting_Curves/meltCurve_Q9H2G9_BLZF1.pdf", "Melting_Curves/meltCurve_Q9H2G9_BLZF1.pdf")</f>
        <v>Melting_Curves/meltCurve_Q9H2G9_BLZF1.pdf</v>
      </c>
    </row>
    <row r="4782" spans="1:28" x14ac:dyDescent="0.25">
      <c r="A4782" t="s">
        <v>4786</v>
      </c>
      <c r="B4782">
        <v>0.99796759195183404</v>
      </c>
      <c r="C4782">
        <v>0.977845101391149</v>
      </c>
      <c r="D4782">
        <v>0.98219274329141004</v>
      </c>
      <c r="E4782">
        <v>0.95922138044093497</v>
      </c>
      <c r="F4782">
        <v>0.66763277408209998</v>
      </c>
      <c r="G4782">
        <v>0.3259625281454</v>
      </c>
      <c r="H4782">
        <v>0.206678995127207</v>
      </c>
      <c r="I4782">
        <v>0.215715676707711</v>
      </c>
      <c r="J4782">
        <v>0.13803393463813399</v>
      </c>
      <c r="K4782">
        <v>0.11047261698409799</v>
      </c>
      <c r="L4782">
        <v>1333.80953179362</v>
      </c>
      <c r="M4782">
        <v>26.093749530028301</v>
      </c>
      <c r="N4782">
        <v>51.824047353773302</v>
      </c>
      <c r="O4782">
        <v>50.818686511006398</v>
      </c>
      <c r="P4782">
        <v>-0.10912196538955</v>
      </c>
      <c r="Q4782">
        <v>0.14993125485014799</v>
      </c>
      <c r="R4782">
        <v>0.99561674030849501</v>
      </c>
      <c r="S4782" t="s">
        <v>10365</v>
      </c>
      <c r="T4782" t="s">
        <v>11164</v>
      </c>
      <c r="U4782" t="s">
        <v>11164</v>
      </c>
      <c r="V4782" t="s">
        <v>11164</v>
      </c>
      <c r="W4782" t="s">
        <v>15901</v>
      </c>
      <c r="X4782">
        <v>7</v>
      </c>
      <c r="Y4782" t="s">
        <v>21370</v>
      </c>
      <c r="Z4782" t="s">
        <v>26932</v>
      </c>
      <c r="AA4782">
        <v>0.55684778338876029</v>
      </c>
      <c r="AB4782" t="str">
        <f>HYPERLINK("Melting_Curves/meltCurve_Q9H2H8_PPIL3.pdf", "Melting_Curves/meltCurve_Q9H2H8_PPIL3.pdf")</f>
        <v>Melting_Curves/meltCurve_Q9H2H8_PPIL3.pdf</v>
      </c>
    </row>
    <row r="4783" spans="1:28" x14ac:dyDescent="0.25">
      <c r="A4783" t="s">
        <v>4787</v>
      </c>
      <c r="B4783">
        <v>0.99796759195183404</v>
      </c>
      <c r="C4783">
        <v>1.0140161984016101</v>
      </c>
      <c r="D4783">
        <v>1.0518103023682199</v>
      </c>
      <c r="E4783">
        <v>1.0135245131869599</v>
      </c>
      <c r="F4783">
        <v>0.92756704511964205</v>
      </c>
      <c r="G4783">
        <v>0.73313194327187503</v>
      </c>
      <c r="H4783">
        <v>0.69515422960129603</v>
      </c>
      <c r="I4783">
        <v>0.59249397966008399</v>
      </c>
      <c r="J4783">
        <v>0.66997342515581904</v>
      </c>
      <c r="K4783">
        <v>0.27853376077012199</v>
      </c>
      <c r="L4783">
        <v>536.80008758591396</v>
      </c>
      <c r="M4783">
        <v>8.4058005005829006</v>
      </c>
      <c r="N4783">
        <v>63.8606736270388</v>
      </c>
      <c r="O4783">
        <v>60.553321826862899</v>
      </c>
      <c r="P4783">
        <v>-3.47367345599899E-2</v>
      </c>
      <c r="Q4783">
        <v>0</v>
      </c>
      <c r="R4783">
        <v>0.882766347122108</v>
      </c>
      <c r="S4783" t="s">
        <v>10366</v>
      </c>
      <c r="T4783" t="s">
        <v>11164</v>
      </c>
      <c r="U4783" t="s">
        <v>11164</v>
      </c>
      <c r="V4783" t="s">
        <v>11164</v>
      </c>
      <c r="W4783" t="s">
        <v>15902</v>
      </c>
      <c r="X4783">
        <v>6</v>
      </c>
      <c r="Y4783" t="s">
        <v>21371</v>
      </c>
      <c r="Z4783" t="s">
        <v>26933</v>
      </c>
      <c r="AA4783">
        <v>0.80344937869744737</v>
      </c>
      <c r="AB4783" t="str">
        <f>HYPERLINK("Melting_Curves/meltCurve_Q9H2J7_SLC6A15.pdf", "Melting_Curves/meltCurve_Q9H2J7_SLC6A15.pdf")</f>
        <v>Melting_Curves/meltCurve_Q9H2J7_SLC6A15.pdf</v>
      </c>
    </row>
    <row r="4784" spans="1:28" x14ac:dyDescent="0.25">
      <c r="A4784" t="s">
        <v>4788</v>
      </c>
      <c r="B4784">
        <v>0.99796759195183404</v>
      </c>
      <c r="C4784">
        <v>1.1085006891922999</v>
      </c>
      <c r="D4784">
        <v>0.97696505630753505</v>
      </c>
      <c r="E4784">
        <v>0.98131005347440903</v>
      </c>
      <c r="F4784">
        <v>0.81204282057326904</v>
      </c>
      <c r="G4784">
        <v>0.438536932206052</v>
      </c>
      <c r="H4784">
        <v>0.33861181361141801</v>
      </c>
      <c r="I4784">
        <v>0.31613934883839001</v>
      </c>
      <c r="J4784">
        <v>0.225054653193072</v>
      </c>
      <c r="K4784">
        <v>0.162758174533641</v>
      </c>
      <c r="L4784">
        <v>1322.7029177085701</v>
      </c>
      <c r="M4784">
        <v>25.3305334113908</v>
      </c>
      <c r="N4784">
        <v>53.511627457133301</v>
      </c>
      <c r="O4784">
        <v>51.895542123193898</v>
      </c>
      <c r="P4784">
        <v>-9.4083637983316801E-2</v>
      </c>
      <c r="Q4784">
        <v>0.229000194478819</v>
      </c>
      <c r="R4784">
        <v>0.97972960676472398</v>
      </c>
      <c r="S4784" t="s">
        <v>10367</v>
      </c>
      <c r="T4784" t="s">
        <v>11164</v>
      </c>
      <c r="U4784" t="s">
        <v>11164</v>
      </c>
      <c r="V4784" t="s">
        <v>11164</v>
      </c>
      <c r="W4784" t="s">
        <v>15903</v>
      </c>
      <c r="X4784">
        <v>2</v>
      </c>
      <c r="Y4784" t="s">
        <v>21372</v>
      </c>
      <c r="Z4784" t="s">
        <v>26934</v>
      </c>
      <c r="AA4784">
        <v>0.62676841575013198</v>
      </c>
      <c r="AB4784" t="str">
        <f>HYPERLINK("Melting_Curves/meltCurve_Q9H2M9_RAB3GAP2.pdf", "Melting_Curves/meltCurve_Q9H2M9_RAB3GAP2.pdf")</f>
        <v>Melting_Curves/meltCurve_Q9H2M9_RAB3GAP2.pdf</v>
      </c>
    </row>
    <row r="4785" spans="1:28" x14ac:dyDescent="0.25">
      <c r="A4785" t="s">
        <v>4789</v>
      </c>
      <c r="B4785">
        <v>0.99796759195183404</v>
      </c>
      <c r="C4785">
        <v>1.08007366180192</v>
      </c>
      <c r="D4785">
        <v>0.98742069673097399</v>
      </c>
      <c r="E4785">
        <v>0.84339903870893296</v>
      </c>
      <c r="F4785">
        <v>0.65090033463078101</v>
      </c>
      <c r="G4785">
        <v>0.439693735438282</v>
      </c>
      <c r="H4785">
        <v>0.35787082085028599</v>
      </c>
      <c r="I4785">
        <v>0.393416256272202</v>
      </c>
      <c r="J4785">
        <v>0.24271421983007899</v>
      </c>
      <c r="K4785">
        <v>0.23653342051090001</v>
      </c>
      <c r="L4785">
        <v>854.20332007481898</v>
      </c>
      <c r="M4785">
        <v>16.9116206648199</v>
      </c>
      <c r="N4785">
        <v>52.864326262425003</v>
      </c>
      <c r="O4785">
        <v>49.819457015036598</v>
      </c>
      <c r="P4785">
        <v>-6.24154888572237E-2</v>
      </c>
      <c r="Q4785">
        <v>0.26457442337491399</v>
      </c>
      <c r="R4785">
        <v>0.979202726452848</v>
      </c>
      <c r="S4785" t="s">
        <v>10368</v>
      </c>
      <c r="T4785" t="s">
        <v>11164</v>
      </c>
      <c r="U4785" t="s">
        <v>11164</v>
      </c>
      <c r="V4785" t="s">
        <v>11164</v>
      </c>
      <c r="W4785" t="s">
        <v>15904</v>
      </c>
      <c r="X4785">
        <v>3</v>
      </c>
      <c r="Y4785" t="s">
        <v>21373</v>
      </c>
      <c r="Z4785" t="s">
        <v>26935</v>
      </c>
      <c r="AA4785">
        <v>0.60844137887095784</v>
      </c>
      <c r="AB4785" t="str">
        <f>HYPERLINK("Melting_Curves/meltCurve_Q9H2P0_ADNP.pdf", "Melting_Curves/meltCurve_Q9H2P0_ADNP.pdf")</f>
        <v>Melting_Curves/meltCurve_Q9H2P0_ADNP.pdf</v>
      </c>
    </row>
    <row r="4786" spans="1:28" x14ac:dyDescent="0.25">
      <c r="A4786" t="s">
        <v>4790</v>
      </c>
      <c r="B4786">
        <v>0.99796759195183404</v>
      </c>
      <c r="C4786">
        <v>0.94683160556720003</v>
      </c>
      <c r="D4786">
        <v>0.97985252981575</v>
      </c>
      <c r="E4786">
        <v>0.90143301162151102</v>
      </c>
      <c r="F4786">
        <v>0.76252966062621996</v>
      </c>
      <c r="G4786">
        <v>0.63348245110008605</v>
      </c>
      <c r="H4786">
        <v>0.50942298249612905</v>
      </c>
      <c r="I4786">
        <v>0.25495286990714</v>
      </c>
      <c r="J4786">
        <v>0.118799573309141</v>
      </c>
      <c r="K4786">
        <v>9.9791918329398502E-2</v>
      </c>
      <c r="L4786">
        <v>687.41559084479104</v>
      </c>
      <c r="M4786">
        <v>12.2656132873374</v>
      </c>
      <c r="N4786">
        <v>56.044127263522803</v>
      </c>
      <c r="O4786">
        <v>54.616867224779298</v>
      </c>
      <c r="P4786">
        <v>-5.6156315300172899E-2</v>
      </c>
      <c r="Q4786">
        <v>0</v>
      </c>
      <c r="R4786">
        <v>0.98680374071457</v>
      </c>
      <c r="S4786" t="s">
        <v>10369</v>
      </c>
      <c r="T4786" t="s">
        <v>11164</v>
      </c>
      <c r="U4786" t="s">
        <v>11164</v>
      </c>
      <c r="V4786" t="s">
        <v>11164</v>
      </c>
      <c r="W4786" t="s">
        <v>15905</v>
      </c>
      <c r="X4786">
        <v>4</v>
      </c>
      <c r="Y4786" t="s">
        <v>21374</v>
      </c>
      <c r="Z4786" t="s">
        <v>26936</v>
      </c>
      <c r="AA4786">
        <v>0.6446917053162502</v>
      </c>
      <c r="AB4786" t="str">
        <f>HYPERLINK("Melting_Curves/meltCurve_Q9H2P9_3_DPH5.pdf", "Melting_Curves/meltCurve_Q9H2P9_3_DPH5.pdf")</f>
        <v>Melting_Curves/meltCurve_Q9H2P9_3_DPH5.pdf</v>
      </c>
    </row>
    <row r="4787" spans="1:28" x14ac:dyDescent="0.25">
      <c r="A4787" t="s">
        <v>4791</v>
      </c>
      <c r="B4787">
        <v>0.99796759195183404</v>
      </c>
      <c r="C4787">
        <v>1.02477459444497</v>
      </c>
      <c r="D4787">
        <v>1.0746654284752799</v>
      </c>
      <c r="E4787">
        <v>0.96394663062118702</v>
      </c>
      <c r="F4787">
        <v>0.92939994809809801</v>
      </c>
      <c r="G4787">
        <v>0.70323691963535795</v>
      </c>
      <c r="H4787">
        <v>0.62693980777276204</v>
      </c>
      <c r="I4787">
        <v>0.366781848773373</v>
      </c>
      <c r="J4787">
        <v>0.17405903459946001</v>
      </c>
      <c r="K4787">
        <v>0.141767984074162</v>
      </c>
      <c r="L4787">
        <v>839.99441943583201</v>
      </c>
      <c r="M4787">
        <v>14.374008062691299</v>
      </c>
      <c r="N4787">
        <v>58.438426906287901</v>
      </c>
      <c r="O4787">
        <v>57.342261415479101</v>
      </c>
      <c r="P4787">
        <v>-6.2675082234934301E-2</v>
      </c>
      <c r="Q4787">
        <v>0</v>
      </c>
      <c r="R4787">
        <v>0.98377870815296597</v>
      </c>
      <c r="S4787" t="s">
        <v>10370</v>
      </c>
      <c r="T4787" t="s">
        <v>11164</v>
      </c>
      <c r="U4787" t="s">
        <v>11164</v>
      </c>
      <c r="V4787" t="s">
        <v>11164</v>
      </c>
      <c r="W4787" t="s">
        <v>15906</v>
      </c>
      <c r="X4787">
        <v>7</v>
      </c>
      <c r="Y4787" t="s">
        <v>21375</v>
      </c>
      <c r="Z4787" t="s">
        <v>26937</v>
      </c>
      <c r="AA4787">
        <v>0.71577616886323214</v>
      </c>
      <c r="AB4787" t="str">
        <f>HYPERLINK("Melting_Curves/meltCurve_Q9H2U2_PPA2.pdf", "Melting_Curves/meltCurve_Q9H2U2_PPA2.pdf")</f>
        <v>Melting_Curves/meltCurve_Q9H2U2_PPA2.pdf</v>
      </c>
    </row>
    <row r="4788" spans="1:28" x14ac:dyDescent="0.25">
      <c r="A4788" t="s">
        <v>4792</v>
      </c>
      <c r="B4788">
        <v>0.99796759195183404</v>
      </c>
      <c r="C4788">
        <v>1.08737747677358</v>
      </c>
      <c r="D4788">
        <v>1.12100023415818</v>
      </c>
      <c r="E4788">
        <v>1.25304570544571</v>
      </c>
      <c r="F4788">
        <v>2.1165598705605602</v>
      </c>
      <c r="G4788">
        <v>1.5254906402842301</v>
      </c>
      <c r="H4788">
        <v>0.418345003181187</v>
      </c>
      <c r="I4788">
        <v>0.20568887890359799</v>
      </c>
      <c r="J4788">
        <v>0.16355141619968999</v>
      </c>
      <c r="K4788">
        <v>0.14603222279286299</v>
      </c>
      <c r="L4788">
        <v>14300.7417389641</v>
      </c>
      <c r="M4788">
        <v>250</v>
      </c>
      <c r="N4788">
        <v>57.299403523296903</v>
      </c>
      <c r="O4788">
        <v>57.199306408961696</v>
      </c>
      <c r="P4788">
        <v>-0.90499634813373497</v>
      </c>
      <c r="Q4788">
        <v>0.17175738723703199</v>
      </c>
      <c r="R4788">
        <v>0.58841242740452204</v>
      </c>
      <c r="S4788" t="s">
        <v>10371</v>
      </c>
      <c r="T4788" t="s">
        <v>11164</v>
      </c>
      <c r="U4788" t="s">
        <v>11164</v>
      </c>
      <c r="V4788" t="s">
        <v>11164</v>
      </c>
      <c r="W4788" t="s">
        <v>15907</v>
      </c>
      <c r="X4788">
        <v>2</v>
      </c>
      <c r="Y4788" t="s">
        <v>21376</v>
      </c>
      <c r="Z4788" t="s">
        <v>26938</v>
      </c>
      <c r="AA4788">
        <v>0.72960580601134084</v>
      </c>
      <c r="AB4788" t="str">
        <f>HYPERLINK("Melting_Curves/meltCurve_Q9H2W6_MRPL46.pdf", "Melting_Curves/meltCurve_Q9H2W6_MRPL46.pdf")</f>
        <v>Melting_Curves/meltCurve_Q9H2W6_MRPL46.pdf</v>
      </c>
    </row>
    <row r="4789" spans="1:28" x14ac:dyDescent="0.25">
      <c r="A4789" t="s">
        <v>4793</v>
      </c>
      <c r="B4789">
        <v>0.99796759195183404</v>
      </c>
      <c r="C4789">
        <v>2.8556492014340198</v>
      </c>
      <c r="D4789">
        <v>1.40950424048885</v>
      </c>
      <c r="E4789">
        <v>1.5810791763271499</v>
      </c>
      <c r="F4789">
        <v>1.77982570360998</v>
      </c>
      <c r="G4789">
        <v>1.4775003208067601</v>
      </c>
      <c r="H4789">
        <v>2.01761873167891</v>
      </c>
      <c r="I4789">
        <v>1.1588043903360199</v>
      </c>
      <c r="J4789">
        <v>1.37821969235405</v>
      </c>
      <c r="K4789">
        <v>1.04722593058783</v>
      </c>
      <c r="L4789">
        <v>9482.5783034214892</v>
      </c>
      <c r="M4789">
        <v>250</v>
      </c>
      <c r="O4789">
        <v>37.927885934720202</v>
      </c>
      <c r="P4789">
        <v>0.82393202980618496</v>
      </c>
      <c r="Q4789">
        <v>1.5</v>
      </c>
      <c r="R4789">
        <v>7.3973101688563705E-2</v>
      </c>
      <c r="S4789" t="s">
        <v>10372</v>
      </c>
      <c r="T4789" t="s">
        <v>11164</v>
      </c>
      <c r="U4789" t="s">
        <v>11164</v>
      </c>
      <c r="V4789" t="s">
        <v>11164</v>
      </c>
      <c r="W4789" t="s">
        <v>15908</v>
      </c>
      <c r="X4789">
        <v>1</v>
      </c>
      <c r="Y4789" t="s">
        <v>21377</v>
      </c>
      <c r="Z4789" t="s">
        <v>26939</v>
      </c>
      <c r="AA4789">
        <v>1.4844570537389341</v>
      </c>
      <c r="AB4789" t="str">
        <f>HYPERLINK("Melting_Curves/meltCurve_Q9H300_PARL.pdf", "Melting_Curves/meltCurve_Q9H300_PARL.pdf")</f>
        <v>Melting_Curves/meltCurve_Q9H300_PARL.pdf</v>
      </c>
    </row>
    <row r="4790" spans="1:28" x14ac:dyDescent="0.25">
      <c r="A4790" t="s">
        <v>4794</v>
      </c>
      <c r="B4790">
        <v>0.99796759195183404</v>
      </c>
      <c r="C4790">
        <v>0.981628395316132</v>
      </c>
      <c r="D4790">
        <v>0.92472050660726302</v>
      </c>
      <c r="E4790">
        <v>0.83873319700974502</v>
      </c>
      <c r="F4790">
        <v>0.82215840087693903</v>
      </c>
      <c r="G4790">
        <v>0.86110611146290295</v>
      </c>
      <c r="H4790">
        <v>1.02550270871737</v>
      </c>
      <c r="I4790">
        <v>0.80449907742896798</v>
      </c>
      <c r="J4790">
        <v>0.65583175971042795</v>
      </c>
      <c r="K4790">
        <v>0.54087729364616799</v>
      </c>
      <c r="L4790">
        <v>463.23046243731699</v>
      </c>
      <c r="M4790">
        <v>6.4695755477372296</v>
      </c>
      <c r="O4790">
        <v>65.681158297384499</v>
      </c>
      <c r="P4790">
        <v>-2.4685759349837098E-2</v>
      </c>
      <c r="Q4790">
        <v>0</v>
      </c>
      <c r="R4790">
        <v>0.61525352337233397</v>
      </c>
      <c r="S4790" t="s">
        <v>10373</v>
      </c>
      <c r="T4790" t="s">
        <v>11164</v>
      </c>
      <c r="U4790" t="s">
        <v>11164</v>
      </c>
      <c r="V4790" t="s">
        <v>11164</v>
      </c>
      <c r="W4790" t="s">
        <v>15909</v>
      </c>
      <c r="X4790">
        <v>9</v>
      </c>
      <c r="Y4790" t="s">
        <v>21378</v>
      </c>
      <c r="Z4790" t="s">
        <v>26940</v>
      </c>
      <c r="AA4790">
        <v>0.87689248511774798</v>
      </c>
      <c r="AB4790" t="str">
        <f>HYPERLINK("Melting_Curves/meltCurve_Q9H307_PNN.pdf", "Melting_Curves/meltCurve_Q9H307_PNN.pdf")</f>
        <v>Melting_Curves/meltCurve_Q9H307_PNN.pdf</v>
      </c>
    </row>
    <row r="4791" spans="1:28" x14ac:dyDescent="0.25">
      <c r="A4791" t="s">
        <v>4795</v>
      </c>
      <c r="B4791">
        <v>0.99796759195183404</v>
      </c>
      <c r="C4791">
        <v>0.99218968659794804</v>
      </c>
      <c r="D4791">
        <v>0.90734819686107704</v>
      </c>
      <c r="E4791">
        <v>0.85949082076784</v>
      </c>
      <c r="F4791">
        <v>0.83680402886218397</v>
      </c>
      <c r="G4791">
        <v>0.90190652403539395</v>
      </c>
      <c r="H4791">
        <v>0.76849845148159301</v>
      </c>
      <c r="I4791">
        <v>0.62211293971290504</v>
      </c>
      <c r="J4791">
        <v>0.63881848051668699</v>
      </c>
      <c r="K4791">
        <v>0.28364133492347599</v>
      </c>
      <c r="L4791">
        <v>542.76673181061096</v>
      </c>
      <c r="M4791">
        <v>8.41028554069465</v>
      </c>
      <c r="N4791">
        <v>64.536064496795106</v>
      </c>
      <c r="O4791">
        <v>61.196998240378399</v>
      </c>
      <c r="P4791">
        <v>-3.4389644692989697E-2</v>
      </c>
      <c r="Q4791">
        <v>0</v>
      </c>
      <c r="R4791">
        <v>0.852983816793215</v>
      </c>
      <c r="S4791" t="s">
        <v>10374</v>
      </c>
      <c r="T4791" t="s">
        <v>11164</v>
      </c>
      <c r="U4791" t="s">
        <v>11164</v>
      </c>
      <c r="V4791" t="s">
        <v>11164</v>
      </c>
      <c r="W4791" t="s">
        <v>15910</v>
      </c>
      <c r="X4791">
        <v>4</v>
      </c>
      <c r="Y4791" t="s">
        <v>21379</v>
      </c>
      <c r="Z4791" t="s">
        <v>26941</v>
      </c>
      <c r="AA4791">
        <v>0.81526665752372196</v>
      </c>
      <c r="AB4791" t="str">
        <f>HYPERLINK("Melting_Curves/meltCurve_Q9H330_2_TMEM245.pdf", "Melting_Curves/meltCurve_Q9H330_2_TMEM245.pdf")</f>
        <v>Melting_Curves/meltCurve_Q9H330_2_TMEM245.pdf</v>
      </c>
    </row>
    <row r="4792" spans="1:28" x14ac:dyDescent="0.25">
      <c r="A4792" t="s">
        <v>4796</v>
      </c>
      <c r="B4792">
        <v>0.99796759195183404</v>
      </c>
      <c r="C4792">
        <v>1.0576617898166201</v>
      </c>
      <c r="D4792">
        <v>0.84878436928020695</v>
      </c>
      <c r="E4792">
        <v>0.78381228449935403</v>
      </c>
      <c r="F4792">
        <v>0.75242246554220904</v>
      </c>
      <c r="G4792">
        <v>0.51080422665728697</v>
      </c>
      <c r="H4792">
        <v>0.479263217005649</v>
      </c>
      <c r="I4792">
        <v>0.33652014805464803</v>
      </c>
      <c r="J4792">
        <v>0.17878282284612701</v>
      </c>
      <c r="K4792">
        <v>0.12953729877596901</v>
      </c>
      <c r="L4792">
        <v>486.61262656116497</v>
      </c>
      <c r="M4792">
        <v>8.8285361367990092</v>
      </c>
      <c r="N4792">
        <v>55.118155371159197</v>
      </c>
      <c r="O4792">
        <v>52.509884807499901</v>
      </c>
      <c r="P4792">
        <v>-4.2065563848510401E-2</v>
      </c>
      <c r="Q4792">
        <v>0</v>
      </c>
      <c r="R4792">
        <v>0.96881040288416598</v>
      </c>
      <c r="S4792" t="s">
        <v>10375</v>
      </c>
      <c r="T4792" t="s">
        <v>11164</v>
      </c>
      <c r="U4792" t="s">
        <v>11164</v>
      </c>
      <c r="V4792" t="s">
        <v>11164</v>
      </c>
      <c r="W4792" t="s">
        <v>15911</v>
      </c>
      <c r="X4792">
        <v>1</v>
      </c>
      <c r="Y4792" t="s">
        <v>21380</v>
      </c>
      <c r="Z4792" t="s">
        <v>26942</v>
      </c>
      <c r="AA4792">
        <v>0.61265546773950874</v>
      </c>
      <c r="AB4792" t="str">
        <f>HYPERLINK("Melting_Curves/meltCurve_Q9H3C7_GGNBP2.pdf", "Melting_Curves/meltCurve_Q9H3C7_GGNBP2.pdf")</f>
        <v>Melting_Curves/meltCurve_Q9H3C7_GGNBP2.pdf</v>
      </c>
    </row>
    <row r="4793" spans="1:28" x14ac:dyDescent="0.25">
      <c r="A4793" t="s">
        <v>4797</v>
      </c>
      <c r="B4793">
        <v>0.99796759195183404</v>
      </c>
      <c r="C4793">
        <v>1.0107548166214</v>
      </c>
      <c r="D4793">
        <v>0.94660512451187295</v>
      </c>
      <c r="E4793">
        <v>0.93598547760416695</v>
      </c>
      <c r="F4793">
        <v>0.81402271212367305</v>
      </c>
      <c r="G4793">
        <v>0.93985819916506297</v>
      </c>
      <c r="H4793">
        <v>0.76105085006046802</v>
      </c>
      <c r="I4793">
        <v>0.68694523203180302</v>
      </c>
      <c r="J4793">
        <v>0.71234352074478002</v>
      </c>
      <c r="K4793">
        <v>0.52974516288056195</v>
      </c>
      <c r="L4793">
        <v>374.42199348021802</v>
      </c>
      <c r="M4793">
        <v>5.2570497373040999</v>
      </c>
      <c r="O4793">
        <v>62.8670862954028</v>
      </c>
      <c r="P4793">
        <v>-2.1013199740804601E-2</v>
      </c>
      <c r="Q4793">
        <v>0</v>
      </c>
      <c r="R4793">
        <v>0.88540610263790998</v>
      </c>
      <c r="S4793" t="s">
        <v>10376</v>
      </c>
      <c r="T4793" t="s">
        <v>11164</v>
      </c>
      <c r="U4793" t="s">
        <v>11164</v>
      </c>
      <c r="V4793" t="s">
        <v>11164</v>
      </c>
      <c r="W4793" t="s">
        <v>15912</v>
      </c>
      <c r="X4793">
        <v>11</v>
      </c>
      <c r="Y4793" t="s">
        <v>21381</v>
      </c>
      <c r="Z4793" t="s">
        <v>26943</v>
      </c>
      <c r="AA4793">
        <v>0.84264915579196764</v>
      </c>
      <c r="AB4793" t="str">
        <f>HYPERLINK("Melting_Curves/meltCurve_Q9H3G5_CPVL.pdf", "Melting_Curves/meltCurve_Q9H3G5_CPVL.pdf")</f>
        <v>Melting_Curves/meltCurve_Q9H3G5_CPVL.pdf</v>
      </c>
    </row>
    <row r="4794" spans="1:28" x14ac:dyDescent="0.25">
      <c r="A4794" t="s">
        <v>4798</v>
      </c>
      <c r="B4794">
        <v>0.99796759195183404</v>
      </c>
      <c r="C4794">
        <v>0.95339949871562202</v>
      </c>
      <c r="D4794">
        <v>0.95486053614231203</v>
      </c>
      <c r="E4794">
        <v>0.83379403125432605</v>
      </c>
      <c r="F4794">
        <v>0.42532400698210099</v>
      </c>
      <c r="G4794">
        <v>0.215819062163456</v>
      </c>
      <c r="H4794">
        <v>0.16250341447552</v>
      </c>
      <c r="I4794">
        <v>0.18750449861925</v>
      </c>
      <c r="J4794">
        <v>0.154104480995364</v>
      </c>
      <c r="K4794">
        <v>7.9159176269315207E-2</v>
      </c>
      <c r="L4794">
        <v>1279.0118225286401</v>
      </c>
      <c r="M4794">
        <v>26.122310866907899</v>
      </c>
      <c r="N4794">
        <v>49.579310694242203</v>
      </c>
      <c r="O4794">
        <v>48.678191694854199</v>
      </c>
      <c r="P4794">
        <v>-0.115545819185938</v>
      </c>
      <c r="Q4794">
        <v>0.13874419675941599</v>
      </c>
      <c r="R4794">
        <v>0.99371855781966401</v>
      </c>
      <c r="S4794" t="s">
        <v>10377</v>
      </c>
      <c r="T4794" t="s">
        <v>11164</v>
      </c>
      <c r="U4794" t="s">
        <v>11164</v>
      </c>
      <c r="V4794" t="s">
        <v>11164</v>
      </c>
      <c r="W4794" t="s">
        <v>15913</v>
      </c>
      <c r="X4794">
        <v>4</v>
      </c>
      <c r="Y4794" t="s">
        <v>21382</v>
      </c>
      <c r="Z4794" t="s">
        <v>26944</v>
      </c>
      <c r="AA4794">
        <v>0.48899507069362269</v>
      </c>
      <c r="AB4794" t="str">
        <f>HYPERLINK("Melting_Curves/meltCurve_Q9H3H1_4_TRIT1.pdf", "Melting_Curves/meltCurve_Q9H3H1_4_TRIT1.pdf")</f>
        <v>Melting_Curves/meltCurve_Q9H3H1_4_TRIT1.pdf</v>
      </c>
    </row>
    <row r="4795" spans="1:28" x14ac:dyDescent="0.25">
      <c r="A4795" t="s">
        <v>4799</v>
      </c>
      <c r="B4795">
        <v>0.99796759195183404</v>
      </c>
      <c r="C4795">
        <v>0.98876004121765104</v>
      </c>
      <c r="D4795">
        <v>1.03311331144019</v>
      </c>
      <c r="E4795">
        <v>0.69596745332832799</v>
      </c>
      <c r="F4795">
        <v>1.0070177198735999</v>
      </c>
      <c r="G4795">
        <v>0.91032634370783805</v>
      </c>
      <c r="H4795">
        <v>0.27766600251905199</v>
      </c>
      <c r="I4795">
        <v>0.21697892568734301</v>
      </c>
      <c r="J4795">
        <v>0.22736861832378599</v>
      </c>
      <c r="K4795">
        <v>5.31388779215895E-2</v>
      </c>
      <c r="L4795">
        <v>3333.14918918592</v>
      </c>
      <c r="M4795">
        <v>59.864947489788399</v>
      </c>
      <c r="N4795">
        <v>56.047041677992802</v>
      </c>
      <c r="O4795">
        <v>55.615778535167998</v>
      </c>
      <c r="P4795">
        <v>-0.225250151672308</v>
      </c>
      <c r="Q4795">
        <v>0.16295203383179099</v>
      </c>
      <c r="R4795">
        <v>0.92196435942882804</v>
      </c>
      <c r="S4795" t="s">
        <v>10378</v>
      </c>
      <c r="T4795" t="s">
        <v>11164</v>
      </c>
      <c r="U4795" t="s">
        <v>11164</v>
      </c>
      <c r="V4795" t="s">
        <v>11164</v>
      </c>
      <c r="W4795" t="s">
        <v>15914</v>
      </c>
      <c r="X4795">
        <v>1</v>
      </c>
      <c r="Y4795" t="s">
        <v>21383</v>
      </c>
      <c r="Z4795" t="s">
        <v>26945</v>
      </c>
      <c r="AA4795">
        <v>0.68552284980336231</v>
      </c>
      <c r="AB4795" t="str">
        <f>HYPERLINK("Melting_Curves/meltCurve_Q9H3H3_C11orf68.pdf", "Melting_Curves/meltCurve_Q9H3H3_C11orf68.pdf")</f>
        <v>Melting_Curves/meltCurve_Q9H3H3_C11orf68.pdf</v>
      </c>
    </row>
    <row r="4796" spans="1:28" x14ac:dyDescent="0.25">
      <c r="A4796" t="s">
        <v>4800</v>
      </c>
      <c r="B4796">
        <v>0.99796759195183404</v>
      </c>
      <c r="C4796">
        <v>0.95242932094624</v>
      </c>
      <c r="D4796">
        <v>0.96815986716715197</v>
      </c>
      <c r="E4796">
        <v>0.948736040127101</v>
      </c>
      <c r="F4796">
        <v>0.829166012788635</v>
      </c>
      <c r="G4796">
        <v>0.49142123818282302</v>
      </c>
      <c r="H4796">
        <v>0.35700263378288799</v>
      </c>
      <c r="I4796">
        <v>0.24349806071958499</v>
      </c>
      <c r="J4796">
        <v>0.210387878333198</v>
      </c>
      <c r="K4796">
        <v>0.15999196970274199</v>
      </c>
      <c r="L4796">
        <v>1038.3785147531801</v>
      </c>
      <c r="M4796">
        <v>19.5549919485718</v>
      </c>
      <c r="N4796">
        <v>54.274555649163197</v>
      </c>
      <c r="O4796">
        <v>52.554479514343299</v>
      </c>
      <c r="P4796">
        <v>-7.6981659019993501E-2</v>
      </c>
      <c r="Q4796">
        <v>0.17246972829836099</v>
      </c>
      <c r="R4796">
        <v>0.99360914082007601</v>
      </c>
      <c r="S4796" t="s">
        <v>10379</v>
      </c>
      <c r="T4796" t="s">
        <v>11164</v>
      </c>
      <c r="U4796" t="s">
        <v>11164</v>
      </c>
      <c r="V4796" t="s">
        <v>11164</v>
      </c>
      <c r="W4796" t="s">
        <v>15915</v>
      </c>
      <c r="X4796">
        <v>12</v>
      </c>
      <c r="Y4796" t="s">
        <v>21384</v>
      </c>
      <c r="Z4796" t="s">
        <v>26946</v>
      </c>
      <c r="AA4796">
        <v>0.62731464115540936</v>
      </c>
      <c r="AB4796" t="str">
        <f>HYPERLINK("Melting_Curves/meltCurve_Q9H3K6_BOLA2.pdf", "Melting_Curves/meltCurve_Q9H3K6_BOLA2.pdf")</f>
        <v>Melting_Curves/meltCurve_Q9H3K6_BOLA2.pdf</v>
      </c>
    </row>
    <row r="4797" spans="1:28" x14ac:dyDescent="0.25">
      <c r="A4797" t="s">
        <v>4801</v>
      </c>
      <c r="B4797">
        <v>0.99796759195183404</v>
      </c>
      <c r="C4797">
        <v>1.1276788660749</v>
      </c>
      <c r="D4797">
        <v>1.1843574243005499</v>
      </c>
      <c r="E4797">
        <v>1.0736625821627599</v>
      </c>
      <c r="F4797">
        <v>1.0147381741582699</v>
      </c>
      <c r="G4797">
        <v>0.65121227563527695</v>
      </c>
      <c r="H4797">
        <v>0.51142818712674099</v>
      </c>
      <c r="I4797">
        <v>0.35758029281085202</v>
      </c>
      <c r="J4797">
        <v>0.26639353559419698</v>
      </c>
      <c r="K4797">
        <v>0.18576549109939</v>
      </c>
      <c r="L4797">
        <v>1177.80333745536</v>
      </c>
      <c r="M4797">
        <v>21.170778552417399</v>
      </c>
      <c r="N4797">
        <v>57.110072913416403</v>
      </c>
      <c r="O4797">
        <v>55.144216488417598</v>
      </c>
      <c r="P4797">
        <v>-7.5751545778854901E-2</v>
      </c>
      <c r="Q4797">
        <v>0.21077064500596299</v>
      </c>
      <c r="R4797">
        <v>0.94096932725204097</v>
      </c>
      <c r="S4797" t="s">
        <v>10380</v>
      </c>
      <c r="T4797" t="s">
        <v>11164</v>
      </c>
      <c r="U4797" t="s">
        <v>11164</v>
      </c>
      <c r="V4797" t="s">
        <v>11164</v>
      </c>
      <c r="W4797" t="s">
        <v>15916</v>
      </c>
      <c r="X4797">
        <v>7</v>
      </c>
      <c r="Y4797" t="s">
        <v>21385</v>
      </c>
      <c r="Z4797" t="s">
        <v>26947</v>
      </c>
      <c r="AA4797">
        <v>0.70896558094154905</v>
      </c>
      <c r="AB4797" t="str">
        <f>HYPERLINK("Melting_Curves/meltCurve_Q9H3N1_TMX1.pdf", "Melting_Curves/meltCurve_Q9H3N1_TMX1.pdf")</f>
        <v>Melting_Curves/meltCurve_Q9H3N1_TMX1.pdf</v>
      </c>
    </row>
    <row r="4798" spans="1:28" x14ac:dyDescent="0.25">
      <c r="A4798" t="s">
        <v>4802</v>
      </c>
      <c r="B4798">
        <v>0.99796759195183404</v>
      </c>
      <c r="C4798">
        <v>1.0272406670924401</v>
      </c>
      <c r="D4798">
        <v>1.1112461523991699</v>
      </c>
      <c r="E4798">
        <v>1.00235827820312</v>
      </c>
      <c r="F4798">
        <v>0.77914740120220105</v>
      </c>
      <c r="G4798">
        <v>0.33369591575627999</v>
      </c>
      <c r="H4798">
        <v>0.180679422083693</v>
      </c>
      <c r="I4798">
        <v>0.16253863488658701</v>
      </c>
      <c r="J4798">
        <v>0.16551597522666101</v>
      </c>
      <c r="K4798">
        <v>0.14343009101437099</v>
      </c>
      <c r="L4798">
        <v>1819.16463672955</v>
      </c>
      <c r="M4798">
        <v>35.163758099944801</v>
      </c>
      <c r="N4798">
        <v>52.289776941877797</v>
      </c>
      <c r="O4798">
        <v>51.567619331503103</v>
      </c>
      <c r="P4798">
        <v>-0.14389599867936001</v>
      </c>
      <c r="Q4798">
        <v>0.15590954094451501</v>
      </c>
      <c r="R4798">
        <v>0.991444701567329</v>
      </c>
      <c r="S4798" t="s">
        <v>10381</v>
      </c>
      <c r="T4798" t="s">
        <v>11164</v>
      </c>
      <c r="U4798" t="s">
        <v>11164</v>
      </c>
      <c r="V4798" t="s">
        <v>11164</v>
      </c>
      <c r="W4798" t="s">
        <v>15917</v>
      </c>
      <c r="X4798">
        <v>8</v>
      </c>
      <c r="Y4798" t="s">
        <v>21386</v>
      </c>
      <c r="Z4798" t="s">
        <v>26948</v>
      </c>
      <c r="AA4798">
        <v>0.5743651047119176</v>
      </c>
      <c r="AB4798" t="str">
        <f>HYPERLINK("Melting_Curves/meltCurve_Q9H3P7_ACBD3.pdf", "Melting_Curves/meltCurve_Q9H3P7_ACBD3.pdf")</f>
        <v>Melting_Curves/meltCurve_Q9H3P7_ACBD3.pdf</v>
      </c>
    </row>
    <row r="4799" spans="1:28" x14ac:dyDescent="0.25">
      <c r="A4799" t="s">
        <v>4803</v>
      </c>
      <c r="B4799">
        <v>0.99796759195183404</v>
      </c>
      <c r="C4799">
        <v>1.1068218699018</v>
      </c>
      <c r="D4799">
        <v>1.1141812464291101</v>
      </c>
      <c r="E4799">
        <v>1.0415545711607701</v>
      </c>
      <c r="F4799">
        <v>0.99296686250745103</v>
      </c>
      <c r="G4799">
        <v>0.64597922034565303</v>
      </c>
      <c r="H4799">
        <v>0.555730245811623</v>
      </c>
      <c r="I4799">
        <v>0.43955102734066498</v>
      </c>
      <c r="J4799">
        <v>0.54098362053485505</v>
      </c>
      <c r="K4799">
        <v>0.47466963790251898</v>
      </c>
      <c r="L4799">
        <v>3059.3958462425699</v>
      </c>
      <c r="M4799">
        <v>57.708244333125897</v>
      </c>
      <c r="O4799">
        <v>52.951336300603103</v>
      </c>
      <c r="P4799">
        <v>-0.13614757456908999</v>
      </c>
      <c r="Q4799">
        <v>0.50030070900767298</v>
      </c>
      <c r="R4799">
        <v>0.95115040326473999</v>
      </c>
      <c r="S4799" t="s">
        <v>10382</v>
      </c>
      <c r="T4799" t="s">
        <v>11164</v>
      </c>
      <c r="U4799" t="s">
        <v>11164</v>
      </c>
      <c r="V4799" t="s">
        <v>11164</v>
      </c>
      <c r="W4799" t="s">
        <v>15918</v>
      </c>
      <c r="X4799">
        <v>14</v>
      </c>
      <c r="Y4799" t="s">
        <v>21387</v>
      </c>
      <c r="Z4799" t="s">
        <v>26949</v>
      </c>
      <c r="AA4799">
        <v>0.76793075381633835</v>
      </c>
      <c r="AB4799" t="str">
        <f>HYPERLINK("Melting_Curves/meltCurve_Q9H3Q1_CDC42EP4.pdf", "Melting_Curves/meltCurve_Q9H3Q1_CDC42EP4.pdf")</f>
        <v>Melting_Curves/meltCurve_Q9H3Q1_CDC42EP4.pdf</v>
      </c>
    </row>
    <row r="4800" spans="1:28" x14ac:dyDescent="0.25">
      <c r="A4800" t="s">
        <v>4804</v>
      </c>
      <c r="B4800">
        <v>0.99796759195183404</v>
      </c>
      <c r="C4800">
        <v>0.93421949215003297</v>
      </c>
      <c r="D4800">
        <v>0.94748187209137402</v>
      </c>
      <c r="E4800">
        <v>0.88478596787049002</v>
      </c>
      <c r="F4800">
        <v>0.81567946269108604</v>
      </c>
      <c r="G4800">
        <v>0.37161959547595502</v>
      </c>
      <c r="H4800">
        <v>0.29715215392335298</v>
      </c>
      <c r="I4800">
        <v>0.24618223662795</v>
      </c>
      <c r="J4800">
        <v>0.220715876403726</v>
      </c>
      <c r="K4800">
        <v>0.16539014213636699</v>
      </c>
      <c r="L4800">
        <v>1378.4835602302501</v>
      </c>
      <c r="M4800">
        <v>26.6072043858961</v>
      </c>
      <c r="N4800">
        <v>52.866242108355401</v>
      </c>
      <c r="O4800">
        <v>51.518657870617297</v>
      </c>
      <c r="P4800">
        <v>-0.102471000192036</v>
      </c>
      <c r="Q4800">
        <v>0.20636337844969699</v>
      </c>
      <c r="R4800">
        <v>0.98053234556355295</v>
      </c>
      <c r="S4800" t="s">
        <v>10383</v>
      </c>
      <c r="T4800" t="s">
        <v>11164</v>
      </c>
      <c r="U4800" t="s">
        <v>11164</v>
      </c>
      <c r="V4800" t="s">
        <v>11164</v>
      </c>
      <c r="W4800" t="s">
        <v>15919</v>
      </c>
      <c r="X4800">
        <v>16</v>
      </c>
      <c r="Y4800" t="s">
        <v>21388</v>
      </c>
      <c r="Z4800" t="s">
        <v>26950</v>
      </c>
      <c r="AA4800">
        <v>0.60438971957332666</v>
      </c>
      <c r="AB4800" t="str">
        <f>HYPERLINK("Melting_Curves/meltCurve_Q9H3S7_PTPN23.pdf", "Melting_Curves/meltCurve_Q9H3S7_PTPN23.pdf")</f>
        <v>Melting_Curves/meltCurve_Q9H3S7_PTPN23.pdf</v>
      </c>
    </row>
    <row r="4801" spans="1:28" x14ac:dyDescent="0.25">
      <c r="A4801" t="s">
        <v>4805</v>
      </c>
      <c r="B4801">
        <v>0.99796759195183404</v>
      </c>
      <c r="C4801">
        <v>0.97742341412238798</v>
      </c>
      <c r="D4801">
        <v>0.91580973787105602</v>
      </c>
      <c r="E4801">
        <v>0.87378108245457697</v>
      </c>
      <c r="F4801">
        <v>0.58523852171635105</v>
      </c>
      <c r="G4801">
        <v>0.226395766611418</v>
      </c>
      <c r="H4801">
        <v>0.166218425908842</v>
      </c>
      <c r="I4801">
        <v>0.130109470053792</v>
      </c>
      <c r="J4801">
        <v>0.103148375621485</v>
      </c>
      <c r="K4801">
        <v>7.5497625571840393E-2</v>
      </c>
      <c r="L4801">
        <v>1128.50718210323</v>
      </c>
      <c r="M4801">
        <v>22.412121246006699</v>
      </c>
      <c r="N4801">
        <v>50.8139582512514</v>
      </c>
      <c r="O4801">
        <v>49.956803097968397</v>
      </c>
      <c r="P4801">
        <v>-0.101833477831383</v>
      </c>
      <c r="Q4801">
        <v>9.2068126543326398E-2</v>
      </c>
      <c r="R4801">
        <v>0.99449883088989299</v>
      </c>
      <c r="S4801" t="s">
        <v>10384</v>
      </c>
      <c r="T4801" t="s">
        <v>11164</v>
      </c>
      <c r="U4801" t="s">
        <v>11164</v>
      </c>
      <c r="V4801" t="s">
        <v>11164</v>
      </c>
      <c r="W4801" t="s">
        <v>15920</v>
      </c>
      <c r="X4801">
        <v>27</v>
      </c>
      <c r="Y4801" t="s">
        <v>21389</v>
      </c>
      <c r="Z4801" t="s">
        <v>26951</v>
      </c>
      <c r="AA4801">
        <v>0.50593398113916466</v>
      </c>
      <c r="AB4801" t="str">
        <f>HYPERLINK("Melting_Curves/meltCurve_Q9H3U1_UNC45A.pdf", "Melting_Curves/meltCurve_Q9H3U1_UNC45A.pdf")</f>
        <v>Melting_Curves/meltCurve_Q9H3U1_UNC45A.pdf</v>
      </c>
    </row>
    <row r="4802" spans="1:28" x14ac:dyDescent="0.25">
      <c r="A4802" t="s">
        <v>4806</v>
      </c>
      <c r="B4802">
        <v>0.99796759195183404</v>
      </c>
      <c r="C4802">
        <v>1.18303445564513</v>
      </c>
      <c r="D4802">
        <v>1.0777634636417801</v>
      </c>
      <c r="E4802">
        <v>1.05224200660832</v>
      </c>
      <c r="F4802">
        <v>0.89944720519950405</v>
      </c>
      <c r="G4802">
        <v>0.57435056009998597</v>
      </c>
      <c r="H4802">
        <v>0.73578025118296897</v>
      </c>
      <c r="I4802">
        <v>0.61068731117435704</v>
      </c>
      <c r="J4802">
        <v>0.71963175195613505</v>
      </c>
      <c r="K4802">
        <v>0.66252206337173303</v>
      </c>
      <c r="L4802">
        <v>12593.4312318661</v>
      </c>
      <c r="M4802">
        <v>250</v>
      </c>
      <c r="O4802">
        <v>50.370500390454502</v>
      </c>
      <c r="P4802">
        <v>-0.42113638839817302</v>
      </c>
      <c r="Q4802">
        <v>0.66059438411626703</v>
      </c>
      <c r="R4802">
        <v>0.85613265070232003</v>
      </c>
      <c r="S4802" t="s">
        <v>10385</v>
      </c>
      <c r="T4802" t="s">
        <v>11164</v>
      </c>
      <c r="U4802" t="s">
        <v>11164</v>
      </c>
      <c r="V4802" t="s">
        <v>11164</v>
      </c>
      <c r="W4802" t="s">
        <v>15921</v>
      </c>
      <c r="X4802">
        <v>2</v>
      </c>
      <c r="Y4802" t="s">
        <v>21390</v>
      </c>
      <c r="Z4802" t="s">
        <v>26952</v>
      </c>
      <c r="AA4802">
        <v>0.8119283008269742</v>
      </c>
      <c r="AB4802" t="str">
        <f>HYPERLINK("Melting_Curves/meltCurve_Q9H3U5_4_MFSD1.pdf", "Melting_Curves/meltCurve_Q9H3U5_4_MFSD1.pdf")</f>
        <v>Melting_Curves/meltCurve_Q9H3U5_4_MFSD1.pdf</v>
      </c>
    </row>
    <row r="4803" spans="1:28" x14ac:dyDescent="0.25">
      <c r="A4803" t="s">
        <v>4807</v>
      </c>
      <c r="B4803">
        <v>0.99796759195183404</v>
      </c>
      <c r="C4803">
        <v>0.50945153074260496</v>
      </c>
      <c r="D4803">
        <v>0.67327529940942599</v>
      </c>
      <c r="E4803">
        <v>0.78956009576424502</v>
      </c>
      <c r="F4803">
        <v>0.60323615829326005</v>
      </c>
      <c r="G4803">
        <v>0.52201085757882304</v>
      </c>
      <c r="H4803">
        <v>0.64149305240273602</v>
      </c>
      <c r="I4803">
        <v>0.46819171930008202</v>
      </c>
      <c r="J4803">
        <v>0.50572755716230999</v>
      </c>
      <c r="K4803">
        <v>0.69564860166180897</v>
      </c>
      <c r="L4803">
        <v>9444.6589775561097</v>
      </c>
      <c r="M4803">
        <v>250</v>
      </c>
      <c r="O4803">
        <v>37.776228523151403</v>
      </c>
      <c r="P4803">
        <v>-0.66021208821239596</v>
      </c>
      <c r="Q4803">
        <v>0.60095494421953</v>
      </c>
      <c r="R4803">
        <v>0.60474287339994204</v>
      </c>
      <c r="S4803" t="s">
        <v>10386</v>
      </c>
      <c r="T4803" t="s">
        <v>11164</v>
      </c>
      <c r="U4803" t="s">
        <v>11164</v>
      </c>
      <c r="V4803" t="s">
        <v>11164</v>
      </c>
      <c r="W4803" t="s">
        <v>15922</v>
      </c>
      <c r="X4803">
        <v>1</v>
      </c>
      <c r="Y4803" t="s">
        <v>21391</v>
      </c>
      <c r="Z4803" t="s">
        <v>26953</v>
      </c>
      <c r="AA4803">
        <v>0.6113483312631528</v>
      </c>
      <c r="AB4803" t="str">
        <f>HYPERLINK("Melting_Curves/meltCurve_Q9H3Y8_PPDPF.pdf", "Melting_Curves/meltCurve_Q9H3Y8_PPDPF.pdf")</f>
        <v>Melting_Curves/meltCurve_Q9H3Y8_PPDPF.pdf</v>
      </c>
    </row>
    <row r="4804" spans="1:28" x14ac:dyDescent="0.25">
      <c r="A4804" t="s">
        <v>4808</v>
      </c>
      <c r="B4804">
        <v>0.99796759195183404</v>
      </c>
      <c r="C4804">
        <v>1.04719755639829</v>
      </c>
      <c r="D4804">
        <v>1.0214626731588901</v>
      </c>
      <c r="E4804">
        <v>1.05410300712414</v>
      </c>
      <c r="F4804">
        <v>0.93129346663432</v>
      </c>
      <c r="G4804">
        <v>0.59512816093581999</v>
      </c>
      <c r="H4804">
        <v>0.55028704701743203</v>
      </c>
      <c r="I4804">
        <v>0.544843738047189</v>
      </c>
      <c r="J4804">
        <v>0.77705368498653904</v>
      </c>
      <c r="K4804">
        <v>0.78583830073687899</v>
      </c>
      <c r="L4804">
        <v>12620.646972300699</v>
      </c>
      <c r="M4804">
        <v>250</v>
      </c>
      <c r="O4804">
        <v>50.479357349555499</v>
      </c>
      <c r="P4804">
        <v>-0.43256521293522998</v>
      </c>
      <c r="Q4804">
        <v>0.65063017711466398</v>
      </c>
      <c r="R4804">
        <v>0.836163080682504</v>
      </c>
      <c r="S4804" t="s">
        <v>10387</v>
      </c>
      <c r="T4804" t="s">
        <v>11164</v>
      </c>
      <c r="U4804" t="s">
        <v>11164</v>
      </c>
      <c r="V4804" t="s">
        <v>11164</v>
      </c>
      <c r="W4804" t="s">
        <v>15923</v>
      </c>
      <c r="X4804">
        <v>2</v>
      </c>
      <c r="Y4804" t="s">
        <v>21392</v>
      </c>
      <c r="Z4804" t="s">
        <v>26954</v>
      </c>
      <c r="AA4804">
        <v>0.80767477470090798</v>
      </c>
      <c r="AB4804" t="str">
        <f>HYPERLINK("Melting_Curves/meltCurve_Q9H3Z4_2_DNAJC5.pdf", "Melting_Curves/meltCurve_Q9H3Z4_2_DNAJC5.pdf")</f>
        <v>Melting_Curves/meltCurve_Q9H3Z4_2_DNAJC5.pdf</v>
      </c>
    </row>
    <row r="4805" spans="1:28" x14ac:dyDescent="0.25">
      <c r="A4805" t="s">
        <v>4809</v>
      </c>
      <c r="B4805">
        <v>0.99796759195183404</v>
      </c>
      <c r="C4805">
        <v>0.92312320607793696</v>
      </c>
      <c r="D4805">
        <v>0.97913885912905996</v>
      </c>
      <c r="E4805">
        <v>0.86455507267196496</v>
      </c>
      <c r="F4805">
        <v>0.78689830945564898</v>
      </c>
      <c r="G4805">
        <v>0.364313335155528</v>
      </c>
      <c r="H4805">
        <v>0.27140875340948001</v>
      </c>
      <c r="I4805">
        <v>0.24018594560172901</v>
      </c>
      <c r="J4805">
        <v>0.227169637403697</v>
      </c>
      <c r="K4805">
        <v>0.17167931591142299</v>
      </c>
      <c r="L4805">
        <v>1264.13519278079</v>
      </c>
      <c r="M4805">
        <v>24.520269770198301</v>
      </c>
      <c r="N4805">
        <v>52.6533090503181</v>
      </c>
      <c r="O4805">
        <v>51.215474025091297</v>
      </c>
      <c r="P4805">
        <v>-9.5726107052241702E-2</v>
      </c>
      <c r="Q4805">
        <v>0.20023941153754801</v>
      </c>
      <c r="R4805">
        <v>0.98196864337471002</v>
      </c>
      <c r="S4805" t="s">
        <v>10388</v>
      </c>
      <c r="T4805" t="s">
        <v>11164</v>
      </c>
      <c r="U4805" t="s">
        <v>11164</v>
      </c>
      <c r="V4805" t="s">
        <v>11164</v>
      </c>
      <c r="W4805" t="s">
        <v>15924</v>
      </c>
      <c r="X4805">
        <v>5</v>
      </c>
      <c r="Y4805" t="s">
        <v>21393</v>
      </c>
      <c r="Z4805" t="s">
        <v>26955</v>
      </c>
      <c r="AA4805">
        <v>0.59557952492306199</v>
      </c>
      <c r="AB4805" t="str">
        <f>HYPERLINK("Melting_Curves/meltCurve_Q9H410_DSN1.pdf", "Melting_Curves/meltCurve_Q9H410_DSN1.pdf")</f>
        <v>Melting_Curves/meltCurve_Q9H410_DSN1.pdf</v>
      </c>
    </row>
    <row r="4806" spans="1:28" x14ac:dyDescent="0.25">
      <c r="A4806" t="s">
        <v>4810</v>
      </c>
      <c r="B4806">
        <v>0.99796759195183404</v>
      </c>
      <c r="C4806">
        <v>0.96757217893356995</v>
      </c>
      <c r="D4806">
        <v>1.0068604188792001</v>
      </c>
      <c r="E4806">
        <v>0.91432315301269995</v>
      </c>
      <c r="F4806">
        <v>0.81714414296352</v>
      </c>
      <c r="G4806">
        <v>0.56809331812156005</v>
      </c>
      <c r="H4806">
        <v>0.50692235952406195</v>
      </c>
      <c r="I4806">
        <v>0.42781643592754298</v>
      </c>
      <c r="J4806">
        <v>0.50228326232234999</v>
      </c>
      <c r="K4806">
        <v>0.42178771045399099</v>
      </c>
      <c r="L4806">
        <v>1145.5521884938</v>
      </c>
      <c r="M4806">
        <v>22.3180399797936</v>
      </c>
      <c r="N4806">
        <v>56.903159025751897</v>
      </c>
      <c r="O4806">
        <v>50.921764342454402</v>
      </c>
      <c r="P4806">
        <v>-6.0939722013419802E-2</v>
      </c>
      <c r="Q4806">
        <v>0.44384135096265298</v>
      </c>
      <c r="R4806">
        <v>0.98546379776108195</v>
      </c>
      <c r="S4806" t="s">
        <v>10389</v>
      </c>
      <c r="T4806" t="s">
        <v>11164</v>
      </c>
      <c r="U4806" t="s">
        <v>11164</v>
      </c>
      <c r="V4806" t="s">
        <v>11164</v>
      </c>
      <c r="W4806" t="s">
        <v>15925</v>
      </c>
      <c r="X4806">
        <v>9</v>
      </c>
      <c r="Y4806" t="s">
        <v>21394</v>
      </c>
      <c r="Z4806" t="s">
        <v>26956</v>
      </c>
      <c r="AA4806">
        <v>0.71549963703085784</v>
      </c>
      <c r="AB4806" t="str">
        <f>HYPERLINK("Melting_Curves/meltCurve_Q9H425_C1orf198.pdf", "Melting_Curves/meltCurve_Q9H425_C1orf198.pdf")</f>
        <v>Melting_Curves/meltCurve_Q9H425_C1orf198.pdf</v>
      </c>
    </row>
    <row r="4807" spans="1:28" x14ac:dyDescent="0.25">
      <c r="A4807" t="s">
        <v>4811</v>
      </c>
      <c r="B4807">
        <v>0.99796759195183404</v>
      </c>
      <c r="C4807">
        <v>1.0948518119466899</v>
      </c>
      <c r="D4807">
        <v>1.0075013330470399</v>
      </c>
      <c r="E4807">
        <v>0.949510435559069</v>
      </c>
      <c r="F4807">
        <v>0.86712159968694902</v>
      </c>
      <c r="G4807">
        <v>0.71284479351723795</v>
      </c>
      <c r="H4807">
        <v>0.82734173744091</v>
      </c>
      <c r="I4807">
        <v>0.67204747985328295</v>
      </c>
      <c r="J4807">
        <v>0.98935622678827495</v>
      </c>
      <c r="K4807">
        <v>0.84691821901683595</v>
      </c>
      <c r="L4807">
        <v>1882.3957427324899</v>
      </c>
      <c r="M4807">
        <v>39.105883970030099</v>
      </c>
      <c r="O4807">
        <v>48.0105100024536</v>
      </c>
      <c r="P4807">
        <v>-3.8122404854537599E-2</v>
      </c>
      <c r="Q4807">
        <v>0.81278807313205903</v>
      </c>
      <c r="R4807">
        <v>0.56106478823137196</v>
      </c>
      <c r="S4807" t="s">
        <v>10390</v>
      </c>
      <c r="T4807" t="s">
        <v>11164</v>
      </c>
      <c r="U4807" t="s">
        <v>11164</v>
      </c>
      <c r="V4807" t="s">
        <v>11164</v>
      </c>
      <c r="W4807" t="s">
        <v>15926</v>
      </c>
      <c r="X4807">
        <v>17</v>
      </c>
      <c r="Y4807" t="s">
        <v>21395</v>
      </c>
      <c r="Z4807" t="s">
        <v>26957</v>
      </c>
      <c r="AA4807">
        <v>0.88293227171781874</v>
      </c>
      <c r="AB4807" t="str">
        <f>HYPERLINK("Melting_Curves/meltCurve_Q9H444_CHMP4B.pdf", "Melting_Curves/meltCurve_Q9H444_CHMP4B.pdf")</f>
        <v>Melting_Curves/meltCurve_Q9H444_CHMP4B.pdf</v>
      </c>
    </row>
    <row r="4808" spans="1:28" x14ac:dyDescent="0.25">
      <c r="A4808" t="s">
        <v>4812</v>
      </c>
      <c r="B4808">
        <v>0.99796759195183404</v>
      </c>
      <c r="C4808">
        <v>1.08314337325384</v>
      </c>
      <c r="D4808">
        <v>1.0836824441891899</v>
      </c>
      <c r="E4808">
        <v>1.07818788001606</v>
      </c>
      <c r="F4808">
        <v>0.91690030283722601</v>
      </c>
      <c r="G4808">
        <v>0.56864020904483803</v>
      </c>
      <c r="H4808">
        <v>0.48955287643504902</v>
      </c>
      <c r="I4808">
        <v>0.370913062284981</v>
      </c>
      <c r="J4808">
        <v>0.40034592406436098</v>
      </c>
      <c r="K4808">
        <v>0.346718212229777</v>
      </c>
      <c r="L4808">
        <v>1838.6934161752599</v>
      </c>
      <c r="M4808">
        <v>34.868830585214901</v>
      </c>
      <c r="N4808">
        <v>55.086603246916503</v>
      </c>
      <c r="O4808">
        <v>52.559182996560502</v>
      </c>
      <c r="P4808">
        <v>-0.101606332578961</v>
      </c>
      <c r="Q4808">
        <v>0.38738104452509903</v>
      </c>
      <c r="R4808">
        <v>0.96976069164172896</v>
      </c>
      <c r="S4808" t="s">
        <v>10391</v>
      </c>
      <c r="T4808" t="s">
        <v>11164</v>
      </c>
      <c r="U4808" t="s">
        <v>11164</v>
      </c>
      <c r="V4808" t="s">
        <v>11164</v>
      </c>
      <c r="W4808" t="s">
        <v>15927</v>
      </c>
      <c r="X4808">
        <v>4</v>
      </c>
      <c r="Y4808" t="s">
        <v>21396</v>
      </c>
      <c r="Z4808" t="s">
        <v>26958</v>
      </c>
      <c r="AA4808">
        <v>0.71154828420525662</v>
      </c>
      <c r="AB4808" t="str">
        <f>HYPERLINK("Melting_Curves/meltCurve_Q9H467_CUEDC2.pdf", "Melting_Curves/meltCurve_Q9H467_CUEDC2.pdf")</f>
        <v>Melting_Curves/meltCurve_Q9H467_CUEDC2.pdf</v>
      </c>
    </row>
    <row r="4809" spans="1:28" x14ac:dyDescent="0.25">
      <c r="A4809" t="s">
        <v>4813</v>
      </c>
      <c r="B4809">
        <v>0.99796759195183404</v>
      </c>
      <c r="C4809">
        <v>0.99621732981956401</v>
      </c>
      <c r="D4809">
        <v>0.95608917567700102</v>
      </c>
      <c r="E4809">
        <v>0.89662724657549298</v>
      </c>
      <c r="F4809">
        <v>0.80620217867456301</v>
      </c>
      <c r="G4809">
        <v>0.66543198594156705</v>
      </c>
      <c r="H4809">
        <v>0.48170961015535901</v>
      </c>
      <c r="I4809">
        <v>0.35969156144866599</v>
      </c>
      <c r="J4809">
        <v>0.20380701136455701</v>
      </c>
      <c r="K4809">
        <v>0.149147523993887</v>
      </c>
      <c r="L4809">
        <v>616.14109350224203</v>
      </c>
      <c r="M4809">
        <v>10.814627759125999</v>
      </c>
      <c r="N4809">
        <v>56.972935876514399</v>
      </c>
      <c r="O4809">
        <v>55.128665518543201</v>
      </c>
      <c r="P4809">
        <v>-4.9060334548889799E-2</v>
      </c>
      <c r="Q4809">
        <v>0</v>
      </c>
      <c r="R4809">
        <v>0.99713869061034299</v>
      </c>
      <c r="S4809" t="s">
        <v>10392</v>
      </c>
      <c r="T4809" t="s">
        <v>11164</v>
      </c>
      <c r="U4809" t="s">
        <v>11164</v>
      </c>
      <c r="V4809" t="s">
        <v>11164</v>
      </c>
      <c r="W4809" t="s">
        <v>15928</v>
      </c>
      <c r="X4809">
        <v>12</v>
      </c>
      <c r="Y4809" t="s">
        <v>21397</v>
      </c>
      <c r="Z4809" t="s">
        <v>26959</v>
      </c>
      <c r="AA4809">
        <v>0.66776440735768705</v>
      </c>
      <c r="AB4809" t="str">
        <f>HYPERLINK("Melting_Curves/meltCurve_Q9H488_POFUT1.pdf", "Melting_Curves/meltCurve_Q9H488_POFUT1.pdf")</f>
        <v>Melting_Curves/meltCurve_Q9H488_POFUT1.pdf</v>
      </c>
    </row>
    <row r="4810" spans="1:28" x14ac:dyDescent="0.25">
      <c r="A4810" t="s">
        <v>4814</v>
      </c>
      <c r="B4810">
        <v>0.99796759195183404</v>
      </c>
      <c r="C4810">
        <v>1.0617112797522399</v>
      </c>
      <c r="D4810">
        <v>0.99290726132422302</v>
      </c>
      <c r="E4810">
        <v>0.87908845250715895</v>
      </c>
      <c r="F4810">
        <v>0.75675603558459403</v>
      </c>
      <c r="G4810">
        <v>0.63745941556679397</v>
      </c>
      <c r="H4810">
        <v>0.32642507346654398</v>
      </c>
      <c r="I4810">
        <v>0.17589606515783901</v>
      </c>
      <c r="J4810">
        <v>0.14504106199140501</v>
      </c>
      <c r="K4810">
        <v>5.7920272488090903E-2</v>
      </c>
      <c r="L4810">
        <v>763.93833327891798</v>
      </c>
      <c r="M4810">
        <v>13.9115524060729</v>
      </c>
      <c r="N4810">
        <v>54.913953038275501</v>
      </c>
      <c r="O4810">
        <v>53.816573556756403</v>
      </c>
      <c r="P4810">
        <v>-6.4633618535872406E-2</v>
      </c>
      <c r="Q4810">
        <v>0</v>
      </c>
      <c r="R4810">
        <v>0.98982207894114604</v>
      </c>
      <c r="S4810" t="s">
        <v>10393</v>
      </c>
      <c r="T4810" t="s">
        <v>11164</v>
      </c>
      <c r="U4810" t="s">
        <v>11164</v>
      </c>
      <c r="V4810" t="s">
        <v>11164</v>
      </c>
      <c r="W4810" t="s">
        <v>15929</v>
      </c>
      <c r="X4810">
        <v>3</v>
      </c>
      <c r="Y4810" t="s">
        <v>21398</v>
      </c>
      <c r="Z4810" t="s">
        <v>26960</v>
      </c>
      <c r="AA4810">
        <v>0.61177286521201679</v>
      </c>
      <c r="AB4810" t="str">
        <f>HYPERLINK("Melting_Curves/meltCurve_Q9H496_IFRG15.pdf", "Melting_Curves/meltCurve_Q9H496_IFRG15.pdf")</f>
        <v>Melting_Curves/meltCurve_Q9H496_IFRG15.pdf</v>
      </c>
    </row>
    <row r="4811" spans="1:28" x14ac:dyDescent="0.25">
      <c r="A4811" t="s">
        <v>4815</v>
      </c>
      <c r="B4811">
        <v>0.99796759195183404</v>
      </c>
      <c r="C4811">
        <v>1.10293291158856</v>
      </c>
      <c r="D4811">
        <v>0.96615425283935796</v>
      </c>
      <c r="E4811">
        <v>0.98733926137320005</v>
      </c>
      <c r="F4811">
        <v>0.85634281036485405</v>
      </c>
      <c r="G4811">
        <v>0.46356448413769602</v>
      </c>
      <c r="H4811">
        <v>0.448236313030063</v>
      </c>
      <c r="I4811">
        <v>0.33441466991083402</v>
      </c>
      <c r="J4811">
        <v>0.308821975058787</v>
      </c>
      <c r="K4811">
        <v>0.22132059204419499</v>
      </c>
      <c r="L4811">
        <v>1372.56200917978</v>
      </c>
      <c r="M4811">
        <v>26.231953846261099</v>
      </c>
      <c r="N4811">
        <v>54.172777377778999</v>
      </c>
      <c r="O4811">
        <v>52.022803562390003</v>
      </c>
      <c r="P4811">
        <v>-8.8780188132382407E-2</v>
      </c>
      <c r="Q4811">
        <v>0.29573786032940602</v>
      </c>
      <c r="R4811">
        <v>0.970440011244594</v>
      </c>
      <c r="S4811" t="s">
        <v>10394</v>
      </c>
      <c r="T4811" t="s">
        <v>11164</v>
      </c>
      <c r="U4811" t="s">
        <v>11164</v>
      </c>
      <c r="V4811" t="s">
        <v>11164</v>
      </c>
      <c r="W4811" t="s">
        <v>15930</v>
      </c>
      <c r="X4811">
        <v>2</v>
      </c>
      <c r="Y4811" t="s">
        <v>21399</v>
      </c>
      <c r="Z4811" t="s">
        <v>26961</v>
      </c>
      <c r="AA4811">
        <v>0.66119957939334806</v>
      </c>
      <c r="AB4811" t="str">
        <f>HYPERLINK("Melting_Curves/meltCurve_Q9H497_TOR3A.pdf", "Melting_Curves/meltCurve_Q9H497_TOR3A.pdf")</f>
        <v>Melting_Curves/meltCurve_Q9H497_TOR3A.pdf</v>
      </c>
    </row>
    <row r="4812" spans="1:28" x14ac:dyDescent="0.25">
      <c r="A4812" t="s">
        <v>4816</v>
      </c>
      <c r="B4812">
        <v>0.99796759195183404</v>
      </c>
      <c r="C4812">
        <v>0.94797671449131304</v>
      </c>
      <c r="D4812">
        <v>0.97670776704291695</v>
      </c>
      <c r="E4812">
        <v>0.86707644157309904</v>
      </c>
      <c r="F4812">
        <v>0.64274790370344004</v>
      </c>
      <c r="G4812">
        <v>0.35555860717591797</v>
      </c>
      <c r="H4812">
        <v>0.24645609176265701</v>
      </c>
      <c r="I4812">
        <v>0.20589890359387999</v>
      </c>
      <c r="J4812">
        <v>0.19048572205447101</v>
      </c>
      <c r="K4812">
        <v>0.14175184726087101</v>
      </c>
      <c r="L4812">
        <v>967.68591546693699</v>
      </c>
      <c r="M4812">
        <v>19.043430682734499</v>
      </c>
      <c r="N4812">
        <v>51.847903457834803</v>
      </c>
      <c r="O4812">
        <v>50.264289306492799</v>
      </c>
      <c r="P4812">
        <v>-7.9764269945164695E-2</v>
      </c>
      <c r="Q4812">
        <v>0.157896170991566</v>
      </c>
      <c r="R4812">
        <v>0.99666031939615896</v>
      </c>
      <c r="S4812" t="s">
        <v>10395</v>
      </c>
      <c r="T4812" t="s">
        <v>11164</v>
      </c>
      <c r="U4812" t="s">
        <v>11164</v>
      </c>
      <c r="V4812" t="s">
        <v>11164</v>
      </c>
      <c r="W4812" t="s">
        <v>15931</v>
      </c>
      <c r="X4812">
        <v>4</v>
      </c>
      <c r="Y4812" t="s">
        <v>21400</v>
      </c>
      <c r="Z4812" t="s">
        <v>26962</v>
      </c>
      <c r="AA4812">
        <v>0.55765322381774785</v>
      </c>
      <c r="AB4812" t="str">
        <f>HYPERLINK("Melting_Curves/meltCurve_Q9H4A5_GOLPH3L.pdf", "Melting_Curves/meltCurve_Q9H4A5_GOLPH3L.pdf")</f>
        <v>Melting_Curves/meltCurve_Q9H4A5_GOLPH3L.pdf</v>
      </c>
    </row>
    <row r="4813" spans="1:28" x14ac:dyDescent="0.25">
      <c r="A4813" t="s">
        <v>4817</v>
      </c>
      <c r="B4813">
        <v>0.99796759195183404</v>
      </c>
      <c r="C4813">
        <v>0.97004281117690805</v>
      </c>
      <c r="D4813">
        <v>0.922435566364744</v>
      </c>
      <c r="E4813">
        <v>0.85291075385319104</v>
      </c>
      <c r="F4813">
        <v>0.81031332689724</v>
      </c>
      <c r="G4813">
        <v>0.56683828172871398</v>
      </c>
      <c r="H4813">
        <v>0.275336102893325</v>
      </c>
      <c r="I4813">
        <v>0.20928304797698899</v>
      </c>
      <c r="J4813">
        <v>0.20055693270476499</v>
      </c>
      <c r="K4813">
        <v>9.9586301768771895E-2</v>
      </c>
      <c r="L4813">
        <v>765.54725174837199</v>
      </c>
      <c r="M4813">
        <v>14.1978498046635</v>
      </c>
      <c r="N4813">
        <v>54.426153749899598</v>
      </c>
      <c r="O4813">
        <v>52.884081196011799</v>
      </c>
      <c r="P4813">
        <v>-6.2974224246808597E-2</v>
      </c>
      <c r="Q4813">
        <v>6.1853196452225097E-2</v>
      </c>
      <c r="R4813">
        <v>0.98540082685640196</v>
      </c>
      <c r="S4813" t="s">
        <v>10396</v>
      </c>
      <c r="T4813" t="s">
        <v>11164</v>
      </c>
      <c r="U4813" t="s">
        <v>11164</v>
      </c>
      <c r="V4813" t="s">
        <v>11164</v>
      </c>
      <c r="W4813" t="s">
        <v>15932</v>
      </c>
      <c r="X4813">
        <v>2</v>
      </c>
      <c r="Y4813" t="s">
        <v>21401</v>
      </c>
      <c r="Z4813" t="s">
        <v>26963</v>
      </c>
      <c r="AA4813">
        <v>0.60688320712342214</v>
      </c>
      <c r="AB4813" t="str">
        <f>HYPERLINK("Melting_Curves/meltCurve_Q9H4A6_GOLPH3.pdf", "Melting_Curves/meltCurve_Q9H4A6_GOLPH3.pdf")</f>
        <v>Melting_Curves/meltCurve_Q9H4A6_GOLPH3.pdf</v>
      </c>
    </row>
    <row r="4814" spans="1:28" x14ac:dyDescent="0.25">
      <c r="A4814" t="s">
        <v>4818</v>
      </c>
      <c r="B4814">
        <v>0.99796759195183404</v>
      </c>
      <c r="C4814">
        <v>1.0587556419662301</v>
      </c>
      <c r="D4814">
        <v>1.09239471480496</v>
      </c>
      <c r="E4814">
        <v>0.97678523298190101</v>
      </c>
      <c r="F4814">
        <v>0.85786117877663504</v>
      </c>
      <c r="G4814">
        <v>0.44952074017920002</v>
      </c>
      <c r="H4814">
        <v>0.25203561844240302</v>
      </c>
      <c r="I4814">
        <v>0.18973382693221799</v>
      </c>
      <c r="J4814">
        <v>0.11180507059863599</v>
      </c>
      <c r="K4814">
        <v>9.6355161664484199E-2</v>
      </c>
      <c r="L4814">
        <v>1407.7896840040501</v>
      </c>
      <c r="M4814">
        <v>26.555802441370702</v>
      </c>
      <c r="N4814">
        <v>53.583238571379603</v>
      </c>
      <c r="O4814">
        <v>52.714619890731399</v>
      </c>
      <c r="P4814">
        <v>-0.11042844497078599</v>
      </c>
      <c r="Q4814">
        <v>0.123184776117415</v>
      </c>
      <c r="R4814">
        <v>0.98941557436705696</v>
      </c>
      <c r="S4814" t="s">
        <v>10397</v>
      </c>
      <c r="T4814" t="s">
        <v>11164</v>
      </c>
      <c r="U4814" t="s">
        <v>11164</v>
      </c>
      <c r="V4814" t="s">
        <v>11164</v>
      </c>
      <c r="W4814" t="s">
        <v>15933</v>
      </c>
      <c r="X4814">
        <v>4</v>
      </c>
      <c r="Y4814" t="s">
        <v>21402</v>
      </c>
      <c r="Z4814" t="s">
        <v>26964</v>
      </c>
      <c r="AA4814">
        <v>0.59815735690044847</v>
      </c>
      <c r="AB4814" t="str">
        <f>HYPERLINK("Melting_Curves/meltCurve_Q9H4B0_OSGEPL1.pdf", "Melting_Curves/meltCurve_Q9H4B0_OSGEPL1.pdf")</f>
        <v>Melting_Curves/meltCurve_Q9H4B0_OSGEPL1.pdf</v>
      </c>
    </row>
    <row r="4815" spans="1:28" x14ac:dyDescent="0.25">
      <c r="A4815" t="s">
        <v>4819</v>
      </c>
      <c r="B4815">
        <v>0.99796759195183404</v>
      </c>
      <c r="C4815">
        <v>1.41323497947293</v>
      </c>
      <c r="D4815">
        <v>1.4923617730527601</v>
      </c>
      <c r="E4815">
        <v>1.10759190355208</v>
      </c>
      <c r="F4815">
        <v>1.0156819070154599</v>
      </c>
      <c r="G4815">
        <v>0.62409453600717202</v>
      </c>
      <c r="H4815">
        <v>0.240544694897802</v>
      </c>
      <c r="I4815">
        <v>7.9872649729508194E-2</v>
      </c>
      <c r="J4815">
        <v>0.117873165774166</v>
      </c>
      <c r="K4815">
        <v>9.5986212540389096E-2</v>
      </c>
      <c r="L4815">
        <v>2089.47068971612</v>
      </c>
      <c r="M4815">
        <v>38.407088097170003</v>
      </c>
      <c r="N4815">
        <v>54.721578017414203</v>
      </c>
      <c r="O4815">
        <v>54.256398958633902</v>
      </c>
      <c r="P4815">
        <v>-0.15925426634031201</v>
      </c>
      <c r="Q4815">
        <v>0.10010969104225199</v>
      </c>
      <c r="R4815">
        <v>0.84579783509419704</v>
      </c>
      <c r="S4815" t="s">
        <v>10398</v>
      </c>
      <c r="T4815" t="s">
        <v>11164</v>
      </c>
      <c r="U4815" t="s">
        <v>11164</v>
      </c>
      <c r="V4815" t="s">
        <v>11164</v>
      </c>
      <c r="W4815" t="s">
        <v>15934</v>
      </c>
      <c r="X4815">
        <v>2</v>
      </c>
      <c r="Y4815" t="s">
        <v>21403</v>
      </c>
      <c r="Z4815" t="s">
        <v>26965</v>
      </c>
      <c r="AA4815">
        <v>0.6257677223825554</v>
      </c>
      <c r="AB4815" t="str">
        <f>HYPERLINK("Melting_Curves/meltCurve_Q9H4H8_FAM83D.pdf", "Melting_Curves/meltCurve_Q9H4H8_FAM83D.pdf")</f>
        <v>Melting_Curves/meltCurve_Q9H4H8_FAM83D.pdf</v>
      </c>
    </row>
    <row r="4816" spans="1:28" x14ac:dyDescent="0.25">
      <c r="A4816" t="s">
        <v>4820</v>
      </c>
      <c r="B4816">
        <v>0.99796759195183404</v>
      </c>
      <c r="C4816">
        <v>0.96717156195035603</v>
      </c>
      <c r="D4816">
        <v>1.0144775559285599</v>
      </c>
      <c r="E4816">
        <v>0.84904115251994705</v>
      </c>
      <c r="F4816">
        <v>0.37954468561826998</v>
      </c>
      <c r="G4816">
        <v>0.20193904648952701</v>
      </c>
      <c r="H4816">
        <v>9.9603418297014107E-2</v>
      </c>
      <c r="I4816">
        <v>7.6672235226749902E-2</v>
      </c>
      <c r="J4816">
        <v>5.0294795531302901E-2</v>
      </c>
      <c r="K4816">
        <v>2.3616415574727202E-2</v>
      </c>
      <c r="L4816">
        <v>1303.8555564600499</v>
      </c>
      <c r="M4816">
        <v>26.478210779283501</v>
      </c>
      <c r="N4816">
        <v>49.489463866075198</v>
      </c>
      <c r="O4816">
        <v>48.964284359111197</v>
      </c>
      <c r="P4816">
        <v>-0.12682887474107299</v>
      </c>
      <c r="Q4816">
        <v>6.1867387847600902E-2</v>
      </c>
      <c r="R4816">
        <v>0.99512613308397802</v>
      </c>
      <c r="S4816" t="s">
        <v>10399</v>
      </c>
      <c r="T4816" t="s">
        <v>11164</v>
      </c>
      <c r="U4816" t="s">
        <v>11164</v>
      </c>
      <c r="V4816" t="s">
        <v>11164</v>
      </c>
      <c r="W4816" t="s">
        <v>15935</v>
      </c>
      <c r="X4816">
        <v>3</v>
      </c>
      <c r="Y4816" t="s">
        <v>21404</v>
      </c>
      <c r="Z4816" t="s">
        <v>26966</v>
      </c>
      <c r="AA4816">
        <v>0.45197806254526629</v>
      </c>
      <c r="AB4816" t="str">
        <f>HYPERLINK("Melting_Curves/meltCurve_Q9H4K7_GTPBP5.pdf", "Melting_Curves/meltCurve_Q9H4K7_GTPBP5.pdf")</f>
        <v>Melting_Curves/meltCurve_Q9H4K7_GTPBP5.pdf</v>
      </c>
    </row>
    <row r="4817" spans="1:28" x14ac:dyDescent="0.25">
      <c r="A4817" t="s">
        <v>4821</v>
      </c>
      <c r="B4817">
        <v>0.99796759195183404</v>
      </c>
      <c r="C4817">
        <v>1.2099392457164699</v>
      </c>
      <c r="D4817">
        <v>1.05959488935868</v>
      </c>
      <c r="E4817">
        <v>1.05232248154339</v>
      </c>
      <c r="F4817">
        <v>0.75388082722363003</v>
      </c>
      <c r="G4817">
        <v>5.1758748270726802E-2</v>
      </c>
      <c r="H4817">
        <v>0.40743613940773299</v>
      </c>
      <c r="I4817">
        <v>0.369590547217447</v>
      </c>
      <c r="J4817">
        <v>0.32593750861043602</v>
      </c>
      <c r="K4817">
        <v>0.216618587342294</v>
      </c>
      <c r="L4817">
        <v>12583.4915376426</v>
      </c>
      <c r="M4817">
        <v>250</v>
      </c>
      <c r="N4817">
        <v>50.494611633975801</v>
      </c>
      <c r="O4817">
        <v>50.330726773031998</v>
      </c>
      <c r="P4817">
        <v>-0.90120325025952097</v>
      </c>
      <c r="Q4817">
        <v>0.274268302037185</v>
      </c>
      <c r="R4817">
        <v>0.91510073355945099</v>
      </c>
      <c r="S4817" t="s">
        <v>10400</v>
      </c>
      <c r="T4817" t="s">
        <v>11164</v>
      </c>
      <c r="U4817" t="s">
        <v>11164</v>
      </c>
      <c r="V4817" t="s">
        <v>11164</v>
      </c>
      <c r="W4817" t="s">
        <v>15936</v>
      </c>
      <c r="X4817">
        <v>3</v>
      </c>
      <c r="Y4817" t="s">
        <v>21405</v>
      </c>
      <c r="Z4817" t="s">
        <v>26967</v>
      </c>
      <c r="AA4817">
        <v>0.59689513961860696</v>
      </c>
      <c r="AB4817" t="str">
        <f>HYPERLINK("Melting_Curves/meltCurve_Q9H4L5_2_OSBPL3.pdf", "Melting_Curves/meltCurve_Q9H4L5_2_OSBPL3.pdf")</f>
        <v>Melting_Curves/meltCurve_Q9H4L5_2_OSBPL3.pdf</v>
      </c>
    </row>
    <row r="4818" spans="1:28" x14ac:dyDescent="0.25">
      <c r="A4818" t="s">
        <v>4822</v>
      </c>
      <c r="B4818">
        <v>0.99796759195183404</v>
      </c>
      <c r="C4818">
        <v>1.06100923395901</v>
      </c>
      <c r="D4818">
        <v>1.0105743020473601</v>
      </c>
      <c r="E4818">
        <v>0.99093585675068097</v>
      </c>
      <c r="F4818">
        <v>0.77079666724642704</v>
      </c>
      <c r="G4818">
        <v>0.303013393185525</v>
      </c>
      <c r="H4818">
        <v>0.22458580504822301</v>
      </c>
      <c r="I4818">
        <v>0.16454600897437699</v>
      </c>
      <c r="J4818">
        <v>0.15381962736905799</v>
      </c>
      <c r="K4818">
        <v>0.12770988703512201</v>
      </c>
      <c r="L4818">
        <v>1833.97023036306</v>
      </c>
      <c r="M4818">
        <v>35.565071398955702</v>
      </c>
      <c r="N4818">
        <v>52.125497022274402</v>
      </c>
      <c r="O4818">
        <v>51.404399023798803</v>
      </c>
      <c r="P4818">
        <v>-0.145548171597943</v>
      </c>
      <c r="Q4818">
        <v>0.158523750682387</v>
      </c>
      <c r="R4818">
        <v>0.99548734082636203</v>
      </c>
      <c r="S4818" t="s">
        <v>10401</v>
      </c>
      <c r="T4818" t="s">
        <v>11164</v>
      </c>
      <c r="U4818" t="s">
        <v>11164</v>
      </c>
      <c r="V4818" t="s">
        <v>11164</v>
      </c>
      <c r="W4818" t="s">
        <v>15937</v>
      </c>
      <c r="X4818">
        <v>11</v>
      </c>
      <c r="Y4818" t="s">
        <v>21406</v>
      </c>
      <c r="Z4818" t="s">
        <v>26968</v>
      </c>
      <c r="AA4818">
        <v>0.57088930281833805</v>
      </c>
      <c r="AB4818" t="str">
        <f>HYPERLINK("Melting_Curves/meltCurve_Q9H4L7_SMARCAD1.pdf", "Melting_Curves/meltCurve_Q9H4L7_SMARCAD1.pdf")</f>
        <v>Melting_Curves/meltCurve_Q9H4L7_SMARCAD1.pdf</v>
      </c>
    </row>
    <row r="4819" spans="1:28" x14ac:dyDescent="0.25">
      <c r="A4819" t="s">
        <v>4823</v>
      </c>
      <c r="B4819">
        <v>0.99796759195183404</v>
      </c>
      <c r="C4819">
        <v>0.99371749440698998</v>
      </c>
      <c r="D4819">
        <v>0.96860641235978795</v>
      </c>
      <c r="E4819">
        <v>0.90193548721361905</v>
      </c>
      <c r="F4819">
        <v>0.85842382024145003</v>
      </c>
      <c r="G4819">
        <v>0.43912784931939502</v>
      </c>
      <c r="H4819">
        <v>0.23015804024277101</v>
      </c>
      <c r="I4819">
        <v>0.20648640496587001</v>
      </c>
      <c r="J4819">
        <v>0.172295163557321</v>
      </c>
      <c r="K4819">
        <v>0.12853006338482001</v>
      </c>
      <c r="L4819">
        <v>1469.2320481716499</v>
      </c>
      <c r="M4819">
        <v>27.916132793831199</v>
      </c>
      <c r="N4819">
        <v>53.353803355746201</v>
      </c>
      <c r="O4819">
        <v>52.362375131260301</v>
      </c>
      <c r="P4819">
        <v>-0.112280114324306</v>
      </c>
      <c r="Q4819">
        <v>0.157590860313371</v>
      </c>
      <c r="R4819">
        <v>0.99250337088204099</v>
      </c>
      <c r="S4819" t="s">
        <v>10402</v>
      </c>
      <c r="T4819" t="s">
        <v>11164</v>
      </c>
      <c r="U4819" t="s">
        <v>11164</v>
      </c>
      <c r="V4819" t="s">
        <v>11164</v>
      </c>
      <c r="W4819" t="s">
        <v>15938</v>
      </c>
      <c r="X4819">
        <v>13</v>
      </c>
      <c r="Y4819" t="s">
        <v>21407</v>
      </c>
      <c r="Z4819" t="s">
        <v>26969</v>
      </c>
      <c r="AA4819">
        <v>0.60260841702164047</v>
      </c>
      <c r="AB4819" t="str">
        <f>HYPERLINK("Melting_Curves/meltCurve_Q9H4M9_EHD1.pdf", "Melting_Curves/meltCurve_Q9H4M9_EHD1.pdf")</f>
        <v>Melting_Curves/meltCurve_Q9H4M9_EHD1.pdf</v>
      </c>
    </row>
    <row r="4820" spans="1:28" x14ac:dyDescent="0.25">
      <c r="A4820" t="s">
        <v>4824</v>
      </c>
      <c r="B4820">
        <v>0.99796759195183404</v>
      </c>
      <c r="C4820">
        <v>0.95971448653277502</v>
      </c>
      <c r="D4820">
        <v>0.929652374489916</v>
      </c>
      <c r="E4820">
        <v>1.0081391332143099</v>
      </c>
      <c r="F4820">
        <v>0.77351278135982005</v>
      </c>
      <c r="G4820">
        <v>0.51860710143637301</v>
      </c>
      <c r="H4820">
        <v>0.36623981534538202</v>
      </c>
      <c r="I4820">
        <v>0.28698174681405397</v>
      </c>
      <c r="J4820">
        <v>0.16924422098366701</v>
      </c>
      <c r="K4820">
        <v>0.18630057199109301</v>
      </c>
      <c r="L4820">
        <v>942.58997367514701</v>
      </c>
      <c r="M4820">
        <v>17.7115727801507</v>
      </c>
      <c r="N4820">
        <v>54.475644613072603</v>
      </c>
      <c r="O4820">
        <v>52.554355676083297</v>
      </c>
      <c r="P4820">
        <v>-7.0126822569663197E-2</v>
      </c>
      <c r="Q4820">
        <v>0.167713393774167</v>
      </c>
      <c r="R4820">
        <v>0.98729540016647099</v>
      </c>
      <c r="S4820" t="s">
        <v>10403</v>
      </c>
      <c r="T4820" t="s">
        <v>11164</v>
      </c>
      <c r="U4820" t="s">
        <v>11164</v>
      </c>
      <c r="V4820" t="s">
        <v>11164</v>
      </c>
      <c r="W4820" t="s">
        <v>15939</v>
      </c>
      <c r="X4820">
        <v>2</v>
      </c>
      <c r="Y4820" t="s">
        <v>21408</v>
      </c>
      <c r="Z4820" t="s">
        <v>26970</v>
      </c>
      <c r="AA4820">
        <v>0.62988306069015298</v>
      </c>
      <c r="AB4820" t="str">
        <f>HYPERLINK("Melting_Curves/meltCurve_Q9H4Z3_PCIF1.pdf", "Melting_Curves/meltCurve_Q9H4Z3_PCIF1.pdf")</f>
        <v>Melting_Curves/meltCurve_Q9H4Z3_PCIF1.pdf</v>
      </c>
    </row>
    <row r="4821" spans="1:28" x14ac:dyDescent="0.25">
      <c r="A4821" t="s">
        <v>4825</v>
      </c>
      <c r="B4821">
        <v>0.99796759195183404</v>
      </c>
      <c r="C4821">
        <v>0.92793363050091004</v>
      </c>
      <c r="D4821">
        <v>0.94330842886322297</v>
      </c>
      <c r="E4821">
        <v>0.924541535059764</v>
      </c>
      <c r="F4821">
        <v>0.79374980206017998</v>
      </c>
      <c r="G4821">
        <v>0.49579450833810301</v>
      </c>
      <c r="H4821">
        <v>0.25395937792663498</v>
      </c>
      <c r="I4821">
        <v>0.223065010901074</v>
      </c>
      <c r="J4821">
        <v>0.25852957478014199</v>
      </c>
      <c r="K4821">
        <v>0.285648196923593</v>
      </c>
      <c r="L4821">
        <v>1335.8505267509699</v>
      </c>
      <c r="M4821">
        <v>25.650848283130902</v>
      </c>
      <c r="N4821">
        <v>53.4233476126402</v>
      </c>
      <c r="O4821">
        <v>51.7647673367522</v>
      </c>
      <c r="P4821">
        <v>-9.4412341701690702E-2</v>
      </c>
      <c r="Q4821">
        <v>0.23789254286497</v>
      </c>
      <c r="R4821">
        <v>0.98431781945973695</v>
      </c>
      <c r="S4821" t="s">
        <v>10404</v>
      </c>
      <c r="T4821" t="s">
        <v>11164</v>
      </c>
      <c r="U4821" t="s">
        <v>11164</v>
      </c>
      <c r="V4821" t="s">
        <v>11164</v>
      </c>
      <c r="W4821" t="s">
        <v>15940</v>
      </c>
      <c r="X4821">
        <v>5</v>
      </c>
      <c r="Y4821" t="s">
        <v>21409</v>
      </c>
      <c r="Z4821" t="s">
        <v>26971</v>
      </c>
      <c r="AA4821">
        <v>0.62737994332442382</v>
      </c>
      <c r="AB4821" t="str">
        <f>HYPERLINK("Melting_Curves/meltCurve_Q9H553_ALG2.pdf", "Melting_Curves/meltCurve_Q9H553_ALG2.pdf")</f>
        <v>Melting_Curves/meltCurve_Q9H553_ALG2.pdf</v>
      </c>
    </row>
    <row r="4822" spans="1:28" x14ac:dyDescent="0.25">
      <c r="A4822" t="s">
        <v>4826</v>
      </c>
      <c r="B4822">
        <v>0.99796759195183404</v>
      </c>
      <c r="C4822">
        <v>0.78357763201156905</v>
      </c>
      <c r="D4822">
        <v>0.91431657759101503</v>
      </c>
      <c r="E4822">
        <v>0.78907112611571195</v>
      </c>
      <c r="F4822">
        <v>0.68287429666645405</v>
      </c>
      <c r="G4822">
        <v>0.49855532380899598</v>
      </c>
      <c r="H4822">
        <v>0.36585074944016899</v>
      </c>
      <c r="I4822">
        <v>0.40343011915065902</v>
      </c>
      <c r="J4822">
        <v>0.419384388647418</v>
      </c>
      <c r="K4822">
        <v>0.216931481280492</v>
      </c>
      <c r="L4822">
        <v>365.51042468994302</v>
      </c>
      <c r="M4822">
        <v>6.8567998208715197</v>
      </c>
      <c r="N4822">
        <v>55.203652694179603</v>
      </c>
      <c r="O4822">
        <v>49.324659432794398</v>
      </c>
      <c r="P4822">
        <v>-3.11671934658805E-2</v>
      </c>
      <c r="Q4822">
        <v>0.104980233401728</v>
      </c>
      <c r="R4822">
        <v>0.920598008925397</v>
      </c>
      <c r="S4822" t="s">
        <v>10405</v>
      </c>
      <c r="T4822" t="s">
        <v>11164</v>
      </c>
      <c r="U4822" t="s">
        <v>11164</v>
      </c>
      <c r="V4822" t="s">
        <v>11164</v>
      </c>
      <c r="W4822" t="s">
        <v>15941</v>
      </c>
      <c r="X4822">
        <v>1</v>
      </c>
      <c r="Y4822" t="s">
        <v>21410</v>
      </c>
      <c r="Z4822" t="s">
        <v>26972</v>
      </c>
      <c r="AA4822">
        <v>0.60693374742833783</v>
      </c>
      <c r="AB4822" t="str">
        <f>HYPERLINK("Melting_Curves/meltCurve_Q9H582_2_ZNF644.pdf", "Melting_Curves/meltCurve_Q9H582_2_ZNF644.pdf")</f>
        <v>Melting_Curves/meltCurve_Q9H582_2_ZNF644.pdf</v>
      </c>
    </row>
    <row r="4823" spans="1:28" x14ac:dyDescent="0.25">
      <c r="A4823" t="s">
        <v>4827</v>
      </c>
      <c r="B4823">
        <v>0.99796759195183404</v>
      </c>
      <c r="C4823">
        <v>0.88213267472879398</v>
      </c>
      <c r="D4823">
        <v>0.81114276412880904</v>
      </c>
      <c r="E4823">
        <v>0.81921968458842298</v>
      </c>
      <c r="F4823">
        <v>0.69501327821452796</v>
      </c>
      <c r="G4823">
        <v>0.239698181867877</v>
      </c>
      <c r="H4823">
        <v>0.16652104558643299</v>
      </c>
      <c r="I4823">
        <v>0.128259147379016</v>
      </c>
      <c r="J4823">
        <v>3.2762838161714797E-2</v>
      </c>
      <c r="K4823">
        <v>9.7152150364618897E-2</v>
      </c>
      <c r="L4823">
        <v>722.62977068136797</v>
      </c>
      <c r="M4823">
        <v>14.127762199143801</v>
      </c>
      <c r="N4823">
        <v>51.245312875113797</v>
      </c>
      <c r="O4823">
        <v>50.1575255511245</v>
      </c>
      <c r="P4823">
        <v>-6.95092078351848E-2</v>
      </c>
      <c r="Q4823">
        <v>1.3017181390475399E-2</v>
      </c>
      <c r="R4823">
        <v>0.95766681769224404</v>
      </c>
      <c r="S4823" t="s">
        <v>10406</v>
      </c>
      <c r="T4823" t="s">
        <v>11164</v>
      </c>
      <c r="U4823" t="s">
        <v>11164</v>
      </c>
      <c r="V4823" t="s">
        <v>11164</v>
      </c>
      <c r="W4823" t="s">
        <v>15942</v>
      </c>
      <c r="X4823">
        <v>2</v>
      </c>
      <c r="Y4823" t="s">
        <v>21411</v>
      </c>
      <c r="Z4823" t="s">
        <v>26973</v>
      </c>
      <c r="AA4823">
        <v>0.49979829007788029</v>
      </c>
      <c r="AB4823" t="str">
        <f>HYPERLINK("Melting_Curves/meltCurve_Q9H5K3_SGK196.pdf", "Melting_Curves/meltCurve_Q9H5K3_SGK196.pdf")</f>
        <v>Melting_Curves/meltCurve_Q9H5K3_SGK196.pdf</v>
      </c>
    </row>
    <row r="4824" spans="1:28" x14ac:dyDescent="0.25">
      <c r="A4824" t="s">
        <v>4828</v>
      </c>
      <c r="B4824">
        <v>0.99796759195183404</v>
      </c>
      <c r="C4824">
        <v>0.93808799371817797</v>
      </c>
      <c r="D4824">
        <v>0.928221442757166</v>
      </c>
      <c r="E4824">
        <v>0.92265290843902603</v>
      </c>
      <c r="F4824">
        <v>0.62358866915025901</v>
      </c>
      <c r="G4824">
        <v>0.30526209541340799</v>
      </c>
      <c r="H4824">
        <v>0.25466096896691698</v>
      </c>
      <c r="I4824">
        <v>0.17413296192454999</v>
      </c>
      <c r="J4824">
        <v>0.18247499469832401</v>
      </c>
      <c r="K4824">
        <v>0.138221444288742</v>
      </c>
      <c r="L4824">
        <v>1181.73146692604</v>
      </c>
      <c r="M4824">
        <v>23.3532449482666</v>
      </c>
      <c r="N4824">
        <v>51.478141703541503</v>
      </c>
      <c r="O4824">
        <v>50.235782012610301</v>
      </c>
      <c r="P4824">
        <v>-9.7169063463226804E-2</v>
      </c>
      <c r="Q4824">
        <v>0.163922895600394</v>
      </c>
      <c r="R4824">
        <v>0.99114940743609103</v>
      </c>
      <c r="S4824" t="s">
        <v>10407</v>
      </c>
      <c r="T4824" t="s">
        <v>11164</v>
      </c>
      <c r="U4824" t="s">
        <v>11164</v>
      </c>
      <c r="V4824" t="s">
        <v>11164</v>
      </c>
      <c r="W4824" t="s">
        <v>15943</v>
      </c>
      <c r="X4824">
        <v>13</v>
      </c>
      <c r="Y4824" t="s">
        <v>21412</v>
      </c>
      <c r="Z4824" t="s">
        <v>26974</v>
      </c>
      <c r="AA4824">
        <v>0.55135839648355356</v>
      </c>
      <c r="AB4824" t="str">
        <f>HYPERLINK("Melting_Curves/meltCurve_Q9H5N1_RABEP2.pdf", "Melting_Curves/meltCurve_Q9H5N1_RABEP2.pdf")</f>
        <v>Melting_Curves/meltCurve_Q9H5N1_RABEP2.pdf</v>
      </c>
    </row>
    <row r="4825" spans="1:28" x14ac:dyDescent="0.25">
      <c r="A4825" t="s">
        <v>4829</v>
      </c>
      <c r="B4825">
        <v>0.99796759195183404</v>
      </c>
      <c r="C4825">
        <v>0.97719944461290698</v>
      </c>
      <c r="D4825">
        <v>1.0472840953679401</v>
      </c>
      <c r="E4825">
        <v>0.98682978805829702</v>
      </c>
      <c r="F4825">
        <v>0.773216478539824</v>
      </c>
      <c r="G4825">
        <v>0.43789165391764101</v>
      </c>
      <c r="H4825">
        <v>0.23868640526357299</v>
      </c>
      <c r="I4825">
        <v>0.19776995158073701</v>
      </c>
      <c r="J4825">
        <v>0.14350744938659599</v>
      </c>
      <c r="K4825">
        <v>0.10724107626608</v>
      </c>
      <c r="L4825">
        <v>1256.3451533489001</v>
      </c>
      <c r="M4825">
        <v>23.938851864886299</v>
      </c>
      <c r="N4825">
        <v>53.176092422389097</v>
      </c>
      <c r="O4825">
        <v>52.119315489473799</v>
      </c>
      <c r="P4825">
        <v>-9.9410835026057798E-2</v>
      </c>
      <c r="Q4825">
        <v>0.13427060739900701</v>
      </c>
      <c r="R4825">
        <v>0.99570990529099401</v>
      </c>
      <c r="S4825" t="s">
        <v>10408</v>
      </c>
      <c r="T4825" t="s">
        <v>11164</v>
      </c>
      <c r="U4825" t="s">
        <v>11164</v>
      </c>
      <c r="V4825" t="s">
        <v>11164</v>
      </c>
      <c r="W4825" t="s">
        <v>15944</v>
      </c>
      <c r="X4825">
        <v>2</v>
      </c>
      <c r="Y4825" t="s">
        <v>21413</v>
      </c>
      <c r="Z4825" t="s">
        <v>26975</v>
      </c>
      <c r="AA4825">
        <v>0.58929779776208202</v>
      </c>
      <c r="AB4825" t="str">
        <f>HYPERLINK("Melting_Curves/meltCurve_Q9H5Q4_TFB2M.pdf", "Melting_Curves/meltCurve_Q9H5Q4_TFB2M.pdf")</f>
        <v>Melting_Curves/meltCurve_Q9H5Q4_TFB2M.pdf</v>
      </c>
    </row>
    <row r="4826" spans="1:28" x14ac:dyDescent="0.25">
      <c r="A4826" t="s">
        <v>4830</v>
      </c>
      <c r="B4826">
        <v>0.99796759195183404</v>
      </c>
      <c r="C4826">
        <v>1.0094593850000899</v>
      </c>
      <c r="D4826">
        <v>1.0161436353173301</v>
      </c>
      <c r="E4826">
        <v>0.95686044711165996</v>
      </c>
      <c r="F4826">
        <v>0.77837560250313098</v>
      </c>
      <c r="G4826">
        <v>0.52014699746916104</v>
      </c>
      <c r="H4826">
        <v>0.29106564647467698</v>
      </c>
      <c r="I4826">
        <v>0.17216815836567001</v>
      </c>
      <c r="J4826">
        <v>0.11085256868861799</v>
      </c>
      <c r="K4826">
        <v>8.3513993717196894E-2</v>
      </c>
      <c r="L4826">
        <v>958.29454167797405</v>
      </c>
      <c r="M4826">
        <v>17.854546004209801</v>
      </c>
      <c r="N4826">
        <v>54.090314860690498</v>
      </c>
      <c r="O4826">
        <v>53.012591504226002</v>
      </c>
      <c r="P4826">
        <v>-7.8777520717768099E-2</v>
      </c>
      <c r="Q4826">
        <v>6.4442684364137304E-2</v>
      </c>
      <c r="R4826">
        <v>0.99904577900195901</v>
      </c>
      <c r="S4826" t="s">
        <v>10409</v>
      </c>
      <c r="T4826" t="s">
        <v>11164</v>
      </c>
      <c r="U4826" t="s">
        <v>11164</v>
      </c>
      <c r="V4826" t="s">
        <v>11164</v>
      </c>
      <c r="W4826" t="s">
        <v>15945</v>
      </c>
      <c r="X4826">
        <v>5</v>
      </c>
      <c r="Y4826" t="s">
        <v>21414</v>
      </c>
      <c r="Z4826" t="s">
        <v>26976</v>
      </c>
      <c r="AA4826">
        <v>0.59760869776761905</v>
      </c>
      <c r="AB4826" t="str">
        <f>HYPERLINK("Melting_Curves/meltCurve_Q9H5V9_2_CXorf56.pdf", "Melting_Curves/meltCurve_Q9H5V9_2_CXorf56.pdf")</f>
        <v>Melting_Curves/meltCurve_Q9H5V9_2_CXorf56.pdf</v>
      </c>
    </row>
    <row r="4827" spans="1:28" x14ac:dyDescent="0.25">
      <c r="A4827" t="s">
        <v>4831</v>
      </c>
      <c r="B4827">
        <v>0.99796759195183404</v>
      </c>
      <c r="C4827">
        <v>0.97069377977720905</v>
      </c>
      <c r="D4827">
        <v>0.89231650667811302</v>
      </c>
      <c r="E4827">
        <v>0.974520460493567</v>
      </c>
      <c r="F4827">
        <v>0.86423113569488996</v>
      </c>
      <c r="G4827">
        <v>0.50385583596093497</v>
      </c>
      <c r="H4827">
        <v>0.69196785871925903</v>
      </c>
      <c r="I4827">
        <v>0.61739211810725003</v>
      </c>
      <c r="J4827">
        <v>0.52787442377479898</v>
      </c>
      <c r="K4827">
        <v>0.35010728717547801</v>
      </c>
      <c r="L4827">
        <v>358.06529598414198</v>
      </c>
      <c r="M4827">
        <v>5.7084445783736504</v>
      </c>
      <c r="N4827">
        <v>63.020262216650501</v>
      </c>
      <c r="O4827">
        <v>56.304114409509701</v>
      </c>
      <c r="P4827">
        <v>-2.5109298933317301E-2</v>
      </c>
      <c r="Q4827">
        <v>1.3171323073638899E-2</v>
      </c>
      <c r="R4827">
        <v>0.83830020776820802</v>
      </c>
      <c r="S4827" t="s">
        <v>10410</v>
      </c>
      <c r="T4827" t="s">
        <v>11164</v>
      </c>
      <c r="U4827" t="s">
        <v>11164</v>
      </c>
      <c r="V4827" t="s">
        <v>11164</v>
      </c>
      <c r="W4827" t="s">
        <v>15946</v>
      </c>
      <c r="X4827">
        <v>2</v>
      </c>
      <c r="Y4827" t="s">
        <v>21415</v>
      </c>
      <c r="Z4827" t="s">
        <v>26977</v>
      </c>
      <c r="AA4827">
        <v>0.74294844302848362</v>
      </c>
      <c r="AB4827" t="str">
        <f>HYPERLINK("Melting_Curves/meltCurve_Q9H5X1_FAM96A.pdf", "Melting_Curves/meltCurve_Q9H5X1_FAM96A.pdf")</f>
        <v>Melting_Curves/meltCurve_Q9H5X1_FAM96A.pdf</v>
      </c>
    </row>
    <row r="4828" spans="1:28" x14ac:dyDescent="0.25">
      <c r="A4828" t="s">
        <v>4832</v>
      </c>
      <c r="B4828">
        <v>0.99796759195183404</v>
      </c>
      <c r="C4828">
        <v>0.85308174815967497</v>
      </c>
      <c r="D4828">
        <v>0.89701764811588602</v>
      </c>
      <c r="E4828">
        <v>0.79686155237271405</v>
      </c>
      <c r="F4828">
        <v>0.85478557260938004</v>
      </c>
      <c r="G4828">
        <v>0.59319405640144296</v>
      </c>
      <c r="H4828">
        <v>0.39164153902486398</v>
      </c>
      <c r="I4828">
        <v>0.29178327736368898</v>
      </c>
      <c r="J4828">
        <v>0.15243568760683099</v>
      </c>
      <c r="K4828">
        <v>9.2374113275819306E-2</v>
      </c>
      <c r="L4828">
        <v>604.28506009808405</v>
      </c>
      <c r="M4828">
        <v>10.9090039829912</v>
      </c>
      <c r="N4828">
        <v>55.393260581714202</v>
      </c>
      <c r="O4828">
        <v>53.629383347136198</v>
      </c>
      <c r="P4828">
        <v>-5.0871385618425302E-2</v>
      </c>
      <c r="Q4828">
        <v>0</v>
      </c>
      <c r="R4828">
        <v>0.95758978647144199</v>
      </c>
      <c r="S4828" t="s">
        <v>10411</v>
      </c>
      <c r="T4828" t="s">
        <v>11164</v>
      </c>
      <c r="U4828" t="s">
        <v>11164</v>
      </c>
      <c r="V4828" t="s">
        <v>11164</v>
      </c>
      <c r="W4828" t="s">
        <v>15947</v>
      </c>
      <c r="X4828">
        <v>2</v>
      </c>
      <c r="Y4828" t="s">
        <v>21416</v>
      </c>
      <c r="Z4828" t="s">
        <v>26978</v>
      </c>
      <c r="AA4828">
        <v>0.62451604396567961</v>
      </c>
      <c r="AB4828" t="str">
        <f>HYPERLINK("Melting_Curves/meltCurve_Q9H609_ZNF576.pdf", "Melting_Curves/meltCurve_Q9H609_ZNF576.pdf")</f>
        <v>Melting_Curves/meltCurve_Q9H609_ZNF576.pdf</v>
      </c>
    </row>
    <row r="4829" spans="1:28" x14ac:dyDescent="0.25">
      <c r="A4829" t="s">
        <v>4833</v>
      </c>
      <c r="B4829">
        <v>0.99796759195183404</v>
      </c>
      <c r="C4829">
        <v>1.0356005149513099</v>
      </c>
      <c r="D4829">
        <v>1.0150370425133699</v>
      </c>
      <c r="E4829">
        <v>0.998753731388768</v>
      </c>
      <c r="F4829">
        <v>0.79124876028155</v>
      </c>
      <c r="G4829">
        <v>0.467115214621246</v>
      </c>
      <c r="H4829">
        <v>0.27266328447923299</v>
      </c>
      <c r="I4829">
        <v>0.23523978070974799</v>
      </c>
      <c r="J4829">
        <v>0.17776701411974699</v>
      </c>
      <c r="K4829">
        <v>0.111581435719961</v>
      </c>
      <c r="L4829">
        <v>1220.7123278157801</v>
      </c>
      <c r="M4829">
        <v>23.1641458837234</v>
      </c>
      <c r="N4829">
        <v>53.5618151847058</v>
      </c>
      <c r="O4829">
        <v>52.310333305404001</v>
      </c>
      <c r="P4829">
        <v>-9.3457677822775004E-2</v>
      </c>
      <c r="Q4829">
        <v>0.15581402492750299</v>
      </c>
      <c r="R4829">
        <v>0.99428218482425701</v>
      </c>
      <c r="S4829" t="s">
        <v>10412</v>
      </c>
      <c r="T4829" t="s">
        <v>11164</v>
      </c>
      <c r="U4829" t="s">
        <v>11164</v>
      </c>
      <c r="V4829" t="s">
        <v>11164</v>
      </c>
      <c r="W4829" t="s">
        <v>15948</v>
      </c>
      <c r="X4829">
        <v>5</v>
      </c>
      <c r="Y4829" t="s">
        <v>21417</v>
      </c>
      <c r="Z4829" t="s">
        <v>26979</v>
      </c>
      <c r="AA4829">
        <v>0.60606884110684978</v>
      </c>
      <c r="AB4829" t="str">
        <f>HYPERLINK("Melting_Curves/meltCurve_Q9H6E4_CCDC134.pdf", "Melting_Curves/meltCurve_Q9H6E4_CCDC134.pdf")</f>
        <v>Melting_Curves/meltCurve_Q9H6E4_CCDC134.pdf</v>
      </c>
    </row>
    <row r="4830" spans="1:28" x14ac:dyDescent="0.25">
      <c r="A4830" t="s">
        <v>4834</v>
      </c>
      <c r="B4830">
        <v>0.99796759195183404</v>
      </c>
      <c r="C4830">
        <v>1.0350009772051401</v>
      </c>
      <c r="D4830">
        <v>0.93138264836016504</v>
      </c>
      <c r="E4830">
        <v>0.96991076521640496</v>
      </c>
      <c r="F4830">
        <v>0.97714660492376704</v>
      </c>
      <c r="G4830">
        <v>0.78714051735256996</v>
      </c>
      <c r="H4830">
        <v>0.70402032074757104</v>
      </c>
      <c r="I4830">
        <v>0.58993019369944899</v>
      </c>
      <c r="J4830">
        <v>0.41725599772624</v>
      </c>
      <c r="K4830">
        <v>0.28753293196553997</v>
      </c>
      <c r="L4830">
        <v>669.21057811674996</v>
      </c>
      <c r="M4830">
        <v>10.776352168749</v>
      </c>
      <c r="N4830">
        <v>62.099895729344702</v>
      </c>
      <c r="O4830">
        <v>60.0761404864121</v>
      </c>
      <c r="P4830">
        <v>-4.4860933697816699E-2</v>
      </c>
      <c r="Q4830">
        <v>0</v>
      </c>
      <c r="R4830">
        <v>0.97969063308665105</v>
      </c>
      <c r="S4830" t="s">
        <v>10413</v>
      </c>
      <c r="T4830" t="s">
        <v>11164</v>
      </c>
      <c r="U4830" t="s">
        <v>11164</v>
      </c>
      <c r="V4830" t="s">
        <v>11164</v>
      </c>
      <c r="W4830" t="s">
        <v>15949</v>
      </c>
      <c r="X4830">
        <v>8</v>
      </c>
      <c r="Y4830" t="s">
        <v>21418</v>
      </c>
      <c r="Z4830" t="s">
        <v>26980</v>
      </c>
      <c r="AA4830">
        <v>0.79192752759322826</v>
      </c>
      <c r="AB4830" t="str">
        <f>HYPERLINK("Melting_Curves/meltCurve_Q9H6F5_CCDC86.pdf", "Melting_Curves/meltCurve_Q9H6F5_CCDC86.pdf")</f>
        <v>Melting_Curves/meltCurve_Q9H6F5_CCDC86.pdf</v>
      </c>
    </row>
    <row r="4831" spans="1:28" x14ac:dyDescent="0.25">
      <c r="A4831" t="s">
        <v>4835</v>
      </c>
      <c r="B4831">
        <v>0.99796759195183404</v>
      </c>
      <c r="C4831">
        <v>1.02564923862887</v>
      </c>
      <c r="D4831">
        <v>0.93687386093441005</v>
      </c>
      <c r="E4831">
        <v>0.83372418175390695</v>
      </c>
      <c r="F4831">
        <v>0.84284823365490202</v>
      </c>
      <c r="G4831">
        <v>0.37059308504882998</v>
      </c>
      <c r="H4831">
        <v>0.36794212587949099</v>
      </c>
      <c r="I4831">
        <v>0.30859351291950299</v>
      </c>
      <c r="J4831">
        <v>0.26464346615322798</v>
      </c>
      <c r="K4831">
        <v>0.217792234896309</v>
      </c>
      <c r="L4831">
        <v>1114.24403079887</v>
      </c>
      <c r="M4831">
        <v>21.582407184689401</v>
      </c>
      <c r="N4831">
        <v>53.320017254944602</v>
      </c>
      <c r="O4831">
        <v>51.190320402928897</v>
      </c>
      <c r="P4831">
        <v>-7.9266520485825304E-2</v>
      </c>
      <c r="Q4831">
        <v>0.24798363874792101</v>
      </c>
      <c r="R4831">
        <v>0.96146806217655201</v>
      </c>
      <c r="S4831" t="s">
        <v>10414</v>
      </c>
      <c r="T4831" t="s">
        <v>11164</v>
      </c>
      <c r="U4831" t="s">
        <v>11164</v>
      </c>
      <c r="V4831" t="s">
        <v>11164</v>
      </c>
      <c r="W4831" t="s">
        <v>15950</v>
      </c>
      <c r="X4831">
        <v>3</v>
      </c>
      <c r="Y4831" t="s">
        <v>21419</v>
      </c>
      <c r="Z4831" t="s">
        <v>26981</v>
      </c>
      <c r="AA4831">
        <v>0.6232722846863783</v>
      </c>
      <c r="AB4831" t="str">
        <f>HYPERLINK("Melting_Curves/meltCurve_Q9H6H4_REEP4.pdf", "Melting_Curves/meltCurve_Q9H6H4_REEP4.pdf")</f>
        <v>Melting_Curves/meltCurve_Q9H6H4_REEP4.pdf</v>
      </c>
    </row>
    <row r="4832" spans="1:28" x14ac:dyDescent="0.25">
      <c r="A4832" t="s">
        <v>4836</v>
      </c>
      <c r="B4832">
        <v>0.99796759195183404</v>
      </c>
      <c r="C4832">
        <v>1.04956460899523</v>
      </c>
      <c r="D4832">
        <v>1.02227583787062</v>
      </c>
      <c r="E4832">
        <v>0.97006362546757496</v>
      </c>
      <c r="F4832">
        <v>1.1725675314675801</v>
      </c>
      <c r="G4832">
        <v>0.32536726907468699</v>
      </c>
      <c r="H4832">
        <v>0.211670147876137</v>
      </c>
      <c r="I4832">
        <v>0.16877340260704199</v>
      </c>
      <c r="J4832">
        <v>0.136704878323612</v>
      </c>
      <c r="K4832">
        <v>9.0895251326020304E-2</v>
      </c>
      <c r="L4832">
        <v>13376.895574602</v>
      </c>
      <c r="M4832">
        <v>250</v>
      </c>
      <c r="N4832">
        <v>53.585268362508003</v>
      </c>
      <c r="O4832">
        <v>53.504158263999201</v>
      </c>
      <c r="P4832">
        <v>-0.99056448876692604</v>
      </c>
      <c r="Q4832">
        <v>0.152010895671715</v>
      </c>
      <c r="R4832">
        <v>0.97804339596995504</v>
      </c>
      <c r="S4832" t="s">
        <v>10415</v>
      </c>
      <c r="T4832" t="s">
        <v>11164</v>
      </c>
      <c r="U4832" t="s">
        <v>11164</v>
      </c>
      <c r="V4832" t="s">
        <v>11164</v>
      </c>
      <c r="W4832" t="s">
        <v>15951</v>
      </c>
      <c r="X4832">
        <v>1</v>
      </c>
      <c r="Y4832" t="s">
        <v>21420</v>
      </c>
      <c r="Z4832" t="s">
        <v>26982</v>
      </c>
      <c r="AA4832">
        <v>0.61869885699506999</v>
      </c>
      <c r="AB4832" t="str">
        <f>HYPERLINK("Melting_Curves/meltCurve_Q9H6K1_2_C6orf106.pdf", "Melting_Curves/meltCurve_Q9H6K1_2_C6orf106.pdf")</f>
        <v>Melting_Curves/meltCurve_Q9H6K1_2_C6orf106.pdf</v>
      </c>
    </row>
    <row r="4833" spans="1:28" x14ac:dyDescent="0.25">
      <c r="A4833" t="s">
        <v>4837</v>
      </c>
      <c r="B4833">
        <v>0.99796759195183404</v>
      </c>
      <c r="C4833">
        <v>0.60874015428274597</v>
      </c>
      <c r="D4833">
        <v>0.71913974486057397</v>
      </c>
      <c r="E4833">
        <v>0.86251688154598205</v>
      </c>
      <c r="F4833">
        <v>0.482109931153829</v>
      </c>
      <c r="G4833">
        <v>0.13340445673263501</v>
      </c>
      <c r="H4833">
        <v>0.42979997146848897</v>
      </c>
      <c r="I4833">
        <v>0.91910918986463996</v>
      </c>
      <c r="J4833">
        <v>0.245281446211117</v>
      </c>
      <c r="K4833">
        <v>3.2576796235158599E-2</v>
      </c>
      <c r="L4833">
        <v>228.47250549033799</v>
      </c>
      <c r="M4833">
        <v>4.3378053944697701</v>
      </c>
      <c r="N4833">
        <v>52.670068082207301</v>
      </c>
      <c r="O4833">
        <v>44.308674068596801</v>
      </c>
      <c r="P4833">
        <v>-2.4716637645021699E-2</v>
      </c>
      <c r="Q4833">
        <v>0</v>
      </c>
      <c r="R4833">
        <v>0.397550072249026</v>
      </c>
      <c r="S4833" t="s">
        <v>10416</v>
      </c>
      <c r="T4833" t="s">
        <v>11164</v>
      </c>
      <c r="U4833" t="s">
        <v>11164</v>
      </c>
      <c r="V4833" t="s">
        <v>11164</v>
      </c>
      <c r="W4833" t="s">
        <v>15952</v>
      </c>
      <c r="X4833">
        <v>2</v>
      </c>
      <c r="Y4833" t="s">
        <v>21421</v>
      </c>
      <c r="Z4833" t="s">
        <v>26983</v>
      </c>
      <c r="AA4833">
        <v>0.53704723302960622</v>
      </c>
      <c r="AB4833" t="str">
        <f>HYPERLINK("Melting_Curves/meltCurve_Q9H6L5_FAM134B.pdf", "Melting_Curves/meltCurve_Q9H6L5_FAM134B.pdf")</f>
        <v>Melting_Curves/meltCurve_Q9H6L5_FAM134B.pdf</v>
      </c>
    </row>
    <row r="4834" spans="1:28" x14ac:dyDescent="0.25">
      <c r="A4834" t="s">
        <v>4838</v>
      </c>
      <c r="B4834">
        <v>0.99796759195183404</v>
      </c>
      <c r="C4834">
        <v>1.0340153286998599</v>
      </c>
      <c r="D4834">
        <v>0.95424780833984202</v>
      </c>
      <c r="E4834">
        <v>0.958116771481754</v>
      </c>
      <c r="F4834">
        <v>0.79931124503196005</v>
      </c>
      <c r="G4834">
        <v>0.76365786486821996</v>
      </c>
      <c r="H4834">
        <v>0.60166878333610696</v>
      </c>
      <c r="I4834">
        <v>0.350914359745573</v>
      </c>
      <c r="J4834">
        <v>0.242476774714769</v>
      </c>
      <c r="K4834">
        <v>0.20170411978737501</v>
      </c>
      <c r="L4834">
        <v>671.20569575821503</v>
      </c>
      <c r="M4834">
        <v>11.4781575525568</v>
      </c>
      <c r="N4834">
        <v>58.476780213138298</v>
      </c>
      <c r="O4834">
        <v>56.786281660848601</v>
      </c>
      <c r="P4834">
        <v>-5.0546736640697802E-2</v>
      </c>
      <c r="Q4834">
        <v>0</v>
      </c>
      <c r="R4834">
        <v>0.98649550305143696</v>
      </c>
      <c r="S4834" t="s">
        <v>10417</v>
      </c>
      <c r="T4834" t="s">
        <v>11164</v>
      </c>
      <c r="U4834" t="s">
        <v>11164</v>
      </c>
      <c r="V4834" t="s">
        <v>11164</v>
      </c>
      <c r="W4834" t="s">
        <v>15953</v>
      </c>
      <c r="X4834">
        <v>7</v>
      </c>
      <c r="Y4834" t="s">
        <v>21422</v>
      </c>
      <c r="Z4834" t="s">
        <v>26984</v>
      </c>
      <c r="AA4834">
        <v>0.70963687985197887</v>
      </c>
      <c r="AB4834" t="str">
        <f>HYPERLINK("Melting_Curves/meltCurve_Q9H6Q4_NARFL.pdf", "Melting_Curves/meltCurve_Q9H6Q4_NARFL.pdf")</f>
        <v>Melting_Curves/meltCurve_Q9H6Q4_NARFL.pdf</v>
      </c>
    </row>
    <row r="4835" spans="1:28" x14ac:dyDescent="0.25">
      <c r="A4835" t="s">
        <v>4839</v>
      </c>
      <c r="B4835">
        <v>0.99796759195183404</v>
      </c>
      <c r="C4835">
        <v>1.03243447635131</v>
      </c>
      <c r="D4835">
        <v>0.90209316716797205</v>
      </c>
      <c r="E4835">
        <v>0.84813056221792904</v>
      </c>
      <c r="F4835">
        <v>0.78484266675622305</v>
      </c>
      <c r="G4835">
        <v>0.48931346109333301</v>
      </c>
      <c r="H4835">
        <v>0.32036498495263899</v>
      </c>
      <c r="I4835">
        <v>0.379873367342696</v>
      </c>
      <c r="J4835">
        <v>0.18878800953618699</v>
      </c>
      <c r="K4835">
        <v>6.0780164052996598E-2</v>
      </c>
      <c r="L4835">
        <v>568.77927363886101</v>
      </c>
      <c r="M4835">
        <v>10.392924308414299</v>
      </c>
      <c r="N4835">
        <v>54.7275467844145</v>
      </c>
      <c r="O4835">
        <v>52.817666863040699</v>
      </c>
      <c r="P4835">
        <v>-4.92131055826854E-2</v>
      </c>
      <c r="Q4835">
        <v>0</v>
      </c>
      <c r="R4835">
        <v>0.96798957904122596</v>
      </c>
      <c r="S4835" t="s">
        <v>10418</v>
      </c>
      <c r="T4835" t="s">
        <v>11164</v>
      </c>
      <c r="U4835" t="s">
        <v>11164</v>
      </c>
      <c r="V4835" t="s">
        <v>11164</v>
      </c>
      <c r="W4835" t="s">
        <v>15954</v>
      </c>
      <c r="X4835">
        <v>2</v>
      </c>
      <c r="Y4835" t="s">
        <v>21423</v>
      </c>
      <c r="Z4835" t="s">
        <v>26985</v>
      </c>
      <c r="AA4835">
        <v>0.60512841950580565</v>
      </c>
      <c r="AB4835" t="str">
        <f>HYPERLINK("Melting_Curves/meltCurve_Q9H6T3_2_RPAP3.pdf", "Melting_Curves/meltCurve_Q9H6T3_2_RPAP3.pdf")</f>
        <v>Melting_Curves/meltCurve_Q9H6T3_2_RPAP3.pdf</v>
      </c>
    </row>
    <row r="4836" spans="1:28" x14ac:dyDescent="0.25">
      <c r="A4836" t="s">
        <v>4840</v>
      </c>
      <c r="B4836">
        <v>0.99796759195183404</v>
      </c>
      <c r="C4836">
        <v>0.99324955874967402</v>
      </c>
      <c r="D4836">
        <v>0.94565039165437803</v>
      </c>
      <c r="E4836">
        <v>0.85704571717242695</v>
      </c>
      <c r="F4836">
        <v>0.94574431578026497</v>
      </c>
      <c r="G4836">
        <v>0.69447013484304398</v>
      </c>
      <c r="H4836">
        <v>0.40245089535662698</v>
      </c>
      <c r="I4836">
        <v>0.17374345060367599</v>
      </c>
      <c r="J4836">
        <v>0.155715161645369</v>
      </c>
      <c r="K4836">
        <v>7.8525300952949004E-2</v>
      </c>
      <c r="L4836">
        <v>1090.6685128445799</v>
      </c>
      <c r="M4836">
        <v>19.543331053508101</v>
      </c>
      <c r="N4836">
        <v>56.127741161913399</v>
      </c>
      <c r="O4836">
        <v>55.233246508133497</v>
      </c>
      <c r="P4836">
        <v>-8.3797485748801706E-2</v>
      </c>
      <c r="Q4836">
        <v>5.2721961537057702E-2</v>
      </c>
      <c r="R4836">
        <v>0.98341261965524196</v>
      </c>
      <c r="S4836" t="s">
        <v>10419</v>
      </c>
      <c r="T4836" t="s">
        <v>11164</v>
      </c>
      <c r="U4836" t="s">
        <v>11164</v>
      </c>
      <c r="V4836" t="s">
        <v>11164</v>
      </c>
      <c r="W4836" t="s">
        <v>15955</v>
      </c>
      <c r="X4836">
        <v>10</v>
      </c>
      <c r="Y4836" t="s">
        <v>21424</v>
      </c>
      <c r="Z4836" t="s">
        <v>26986</v>
      </c>
      <c r="AA4836">
        <v>0.65674501758574599</v>
      </c>
      <c r="AB4836" t="str">
        <f>HYPERLINK("Melting_Curves/meltCurve_Q9H6U6_7_BCAS3.pdf", "Melting_Curves/meltCurve_Q9H6U6_7_BCAS3.pdf")</f>
        <v>Melting_Curves/meltCurve_Q9H6U6_7_BCAS3.pdf</v>
      </c>
    </row>
    <row r="4837" spans="1:28" x14ac:dyDescent="0.25">
      <c r="A4837" t="s">
        <v>4841</v>
      </c>
      <c r="B4837">
        <v>0.99796759195183404</v>
      </c>
      <c r="C4837">
        <v>1.02977538854752</v>
      </c>
      <c r="D4837">
        <v>1.0517421285523201</v>
      </c>
      <c r="E4837">
        <v>1.0355976957528401</v>
      </c>
      <c r="F4837">
        <v>0.88582595572260703</v>
      </c>
      <c r="G4837">
        <v>0.55378702994683604</v>
      </c>
      <c r="H4837">
        <v>0.387989073603347</v>
      </c>
      <c r="I4837">
        <v>0.148223027828772</v>
      </c>
      <c r="J4837">
        <v>9.4936457280806602E-2</v>
      </c>
      <c r="K4837">
        <v>6.8600952475711102E-2</v>
      </c>
      <c r="L4837">
        <v>1074.20982129087</v>
      </c>
      <c r="M4837">
        <v>19.5767782876719</v>
      </c>
      <c r="N4837">
        <v>55.143158729909899</v>
      </c>
      <c r="O4837">
        <v>54.308703385721003</v>
      </c>
      <c r="P4837">
        <v>-8.5980517327123404E-2</v>
      </c>
      <c r="Q4837">
        <v>4.5946182455697801E-2</v>
      </c>
      <c r="R4837">
        <v>0.99001383690879396</v>
      </c>
      <c r="S4837" t="s">
        <v>10420</v>
      </c>
      <c r="T4837" t="s">
        <v>11164</v>
      </c>
      <c r="U4837" t="s">
        <v>11164</v>
      </c>
      <c r="V4837" t="s">
        <v>11164</v>
      </c>
      <c r="W4837" t="s">
        <v>15956</v>
      </c>
      <c r="X4837">
        <v>7</v>
      </c>
      <c r="Y4837" t="s">
        <v>21425</v>
      </c>
      <c r="Z4837" t="s">
        <v>26987</v>
      </c>
      <c r="AA4837">
        <v>0.62548542157734033</v>
      </c>
      <c r="AB4837" t="str">
        <f>HYPERLINK("Melting_Curves/meltCurve_Q9H6U8_ALG9.pdf", "Melting_Curves/meltCurve_Q9H6U8_ALG9.pdf")</f>
        <v>Melting_Curves/meltCurve_Q9H6U8_ALG9.pdf</v>
      </c>
    </row>
    <row r="4838" spans="1:28" x14ac:dyDescent="0.25">
      <c r="A4838" t="s">
        <v>4842</v>
      </c>
      <c r="B4838">
        <v>0.99796759195183404</v>
      </c>
      <c r="C4838">
        <v>1.00408144040475</v>
      </c>
      <c r="D4838">
        <v>0.99782398980940801</v>
      </c>
      <c r="E4838">
        <v>0.96839374240560205</v>
      </c>
      <c r="F4838">
        <v>0.79838400496231199</v>
      </c>
      <c r="G4838">
        <v>0.71670865993569699</v>
      </c>
      <c r="H4838">
        <v>0.69354871345579805</v>
      </c>
      <c r="I4838">
        <v>0.480734737412779</v>
      </c>
      <c r="J4838">
        <v>0.37671502721275002</v>
      </c>
      <c r="K4838">
        <v>0.20550754618982001</v>
      </c>
      <c r="L4838">
        <v>579.93547082326404</v>
      </c>
      <c r="M4838">
        <v>9.6396964176190494</v>
      </c>
      <c r="N4838">
        <v>60.161193642950899</v>
      </c>
      <c r="O4838">
        <v>57.7431559352409</v>
      </c>
      <c r="P4838">
        <v>-4.1758584569468502E-2</v>
      </c>
      <c r="Q4838">
        <v>0</v>
      </c>
      <c r="R4838">
        <v>0.97373525561761298</v>
      </c>
      <c r="S4838" t="s">
        <v>10421</v>
      </c>
      <c r="T4838" t="s">
        <v>11164</v>
      </c>
      <c r="U4838" t="s">
        <v>11164</v>
      </c>
      <c r="V4838" t="s">
        <v>11164</v>
      </c>
      <c r="W4838" t="s">
        <v>15957</v>
      </c>
      <c r="X4838">
        <v>4</v>
      </c>
      <c r="Y4838" t="s">
        <v>21426</v>
      </c>
      <c r="Z4838" t="s">
        <v>26988</v>
      </c>
      <c r="AA4838">
        <v>0.74098460389106657</v>
      </c>
      <c r="AB4838" t="str">
        <f>HYPERLINK("Melting_Curves/meltCurve_Q9H6X2_ANTXR1.pdf", "Melting_Curves/meltCurve_Q9H6X2_ANTXR1.pdf")</f>
        <v>Melting_Curves/meltCurve_Q9H6X2_ANTXR1.pdf</v>
      </c>
    </row>
    <row r="4839" spans="1:28" x14ac:dyDescent="0.25">
      <c r="A4839" t="s">
        <v>4843</v>
      </c>
      <c r="B4839">
        <v>0.99796759195183404</v>
      </c>
      <c r="C4839">
        <v>0.93076156253542297</v>
      </c>
      <c r="D4839">
        <v>0.89452255057276597</v>
      </c>
      <c r="E4839">
        <v>0.87714779611141502</v>
      </c>
      <c r="F4839">
        <v>0.83223827997603295</v>
      </c>
      <c r="G4839">
        <v>0.67563106599202005</v>
      </c>
      <c r="H4839">
        <v>0.50282974006466297</v>
      </c>
      <c r="I4839">
        <v>0.37904099260305302</v>
      </c>
      <c r="J4839">
        <v>0.32628332587312298</v>
      </c>
      <c r="K4839">
        <v>0.32347013425347299</v>
      </c>
      <c r="L4839">
        <v>512.09525738969796</v>
      </c>
      <c r="M4839">
        <v>9.0939786209663698</v>
      </c>
      <c r="N4839">
        <v>58.095392450450198</v>
      </c>
      <c r="O4839">
        <v>53.788854379396703</v>
      </c>
      <c r="P4839">
        <v>-3.7143826627064003E-2</v>
      </c>
      <c r="Q4839">
        <v>0.12182370054154699</v>
      </c>
      <c r="R4839">
        <v>0.98192293021557198</v>
      </c>
      <c r="S4839" t="s">
        <v>10422</v>
      </c>
      <c r="T4839" t="s">
        <v>11164</v>
      </c>
      <c r="U4839" t="s">
        <v>11164</v>
      </c>
      <c r="V4839" t="s">
        <v>11164</v>
      </c>
      <c r="W4839" t="s">
        <v>15958</v>
      </c>
      <c r="X4839">
        <v>4</v>
      </c>
      <c r="Y4839" t="s">
        <v>21427</v>
      </c>
      <c r="Z4839" t="s">
        <v>26989</v>
      </c>
      <c r="AA4839">
        <v>0.68783251139516666</v>
      </c>
      <c r="AB4839" t="str">
        <f>HYPERLINK("Melting_Curves/meltCurve_Q9H6Y2_WDR55.pdf", "Melting_Curves/meltCurve_Q9H6Y2_WDR55.pdf")</f>
        <v>Melting_Curves/meltCurve_Q9H6Y2_WDR55.pdf</v>
      </c>
    </row>
    <row r="4840" spans="1:28" x14ac:dyDescent="0.25">
      <c r="A4840" t="s">
        <v>4844</v>
      </c>
      <c r="B4840">
        <v>0.99796759195183404</v>
      </c>
      <c r="C4840">
        <v>1.06270389291374</v>
      </c>
      <c r="D4840">
        <v>1.05892582772752</v>
      </c>
      <c r="E4840">
        <v>1.0228286178485799</v>
      </c>
      <c r="F4840">
        <v>0.96195217559246404</v>
      </c>
      <c r="G4840">
        <v>0.69056261555086995</v>
      </c>
      <c r="H4840">
        <v>0.71032124339536395</v>
      </c>
      <c r="I4840">
        <v>0.66108168477990403</v>
      </c>
      <c r="J4840">
        <v>0.87233765786789597</v>
      </c>
      <c r="K4840">
        <v>0.76458885335131399</v>
      </c>
      <c r="L4840">
        <v>12638.5835598674</v>
      </c>
      <c r="M4840">
        <v>250</v>
      </c>
      <c r="O4840">
        <v>50.551099100136703</v>
      </c>
      <c r="P4840">
        <v>-0.32173088570853298</v>
      </c>
      <c r="Q4840">
        <v>0.739778402126686</v>
      </c>
      <c r="R4840">
        <v>0.84682124783998103</v>
      </c>
      <c r="S4840" t="s">
        <v>10423</v>
      </c>
      <c r="T4840" t="s">
        <v>11164</v>
      </c>
      <c r="U4840" t="s">
        <v>11164</v>
      </c>
      <c r="V4840" t="s">
        <v>11164</v>
      </c>
      <c r="W4840" t="s">
        <v>15959</v>
      </c>
      <c r="X4840">
        <v>17</v>
      </c>
      <c r="Y4840" t="s">
        <v>21428</v>
      </c>
      <c r="Z4840" t="s">
        <v>26990</v>
      </c>
      <c r="AA4840">
        <v>0.85737250665556997</v>
      </c>
      <c r="AB4840" t="str">
        <f>HYPERLINK("Melting_Curves/meltCurve_Q9H773_DCTPP1.pdf", "Melting_Curves/meltCurve_Q9H773_DCTPP1.pdf")</f>
        <v>Melting_Curves/meltCurve_Q9H773_DCTPP1.pdf</v>
      </c>
    </row>
    <row r="4841" spans="1:28" x14ac:dyDescent="0.25">
      <c r="A4841" t="s">
        <v>4845</v>
      </c>
      <c r="B4841">
        <v>0.99796759195183404</v>
      </c>
      <c r="C4841">
        <v>1.0299801776117199</v>
      </c>
      <c r="D4841">
        <v>1.00307260525348</v>
      </c>
      <c r="E4841">
        <v>0.92143167856636499</v>
      </c>
      <c r="F4841">
        <v>0.59623909292701305</v>
      </c>
      <c r="G4841">
        <v>0.22090000183747599</v>
      </c>
      <c r="H4841">
        <v>0.202178969491104</v>
      </c>
      <c r="I4841">
        <v>0.16112501496109299</v>
      </c>
      <c r="J4841">
        <v>8.9736614209834406E-2</v>
      </c>
      <c r="K4841">
        <v>5.9990498827133698E-2</v>
      </c>
      <c r="L4841">
        <v>1391.6597761974299</v>
      </c>
      <c r="M4841">
        <v>27.562381357525901</v>
      </c>
      <c r="N4841">
        <v>50.958834727839502</v>
      </c>
      <c r="O4841">
        <v>50.227731057909601</v>
      </c>
      <c r="P4841">
        <v>-0.12186110061135499</v>
      </c>
      <c r="Q4841">
        <v>0.11172396476588101</v>
      </c>
      <c r="R4841">
        <v>0.99342589164224904</v>
      </c>
      <c r="S4841" t="s">
        <v>10424</v>
      </c>
      <c r="T4841" t="s">
        <v>11164</v>
      </c>
      <c r="U4841" t="s">
        <v>11164</v>
      </c>
      <c r="V4841" t="s">
        <v>11164</v>
      </c>
      <c r="W4841" t="s">
        <v>15960</v>
      </c>
      <c r="X4841">
        <v>3</v>
      </c>
      <c r="Y4841" t="s">
        <v>21429</v>
      </c>
      <c r="Z4841" t="s">
        <v>26991</v>
      </c>
      <c r="AA4841">
        <v>0.51766882368610756</v>
      </c>
      <c r="AB4841" t="str">
        <f>HYPERLINK("Melting_Curves/meltCurve_Q9H7B4_SMYD3.pdf", "Melting_Curves/meltCurve_Q9H7B4_SMYD3.pdf")</f>
        <v>Melting_Curves/meltCurve_Q9H7B4_SMYD3.pdf</v>
      </c>
    </row>
    <row r="4842" spans="1:28" x14ac:dyDescent="0.25">
      <c r="A4842" t="s">
        <v>4846</v>
      </c>
      <c r="B4842">
        <v>0.99796759195183404</v>
      </c>
      <c r="C4842">
        <v>1.1365541753139601</v>
      </c>
      <c r="D4842">
        <v>0.83315271152964299</v>
      </c>
      <c r="E4842">
        <v>0.758538218250839</v>
      </c>
      <c r="F4842">
        <v>0.93293930227400002</v>
      </c>
      <c r="G4842">
        <v>0.81480745367246199</v>
      </c>
      <c r="H4842">
        <v>0.412478008678416</v>
      </c>
      <c r="I4842">
        <v>0.330337165124437</v>
      </c>
      <c r="J4842">
        <v>0.27322530905318898</v>
      </c>
      <c r="K4842">
        <v>0.20824822227797801</v>
      </c>
      <c r="L4842">
        <v>703.865760436546</v>
      </c>
      <c r="M4842">
        <v>12.352359425817401</v>
      </c>
      <c r="N4842">
        <v>57.634040924733</v>
      </c>
      <c r="O4842">
        <v>55.550618856198398</v>
      </c>
      <c r="P4842">
        <v>-5.1978138457451299E-2</v>
      </c>
      <c r="Q4842">
        <v>6.5184045415370304E-2</v>
      </c>
      <c r="R4842">
        <v>0.89173058439647601</v>
      </c>
      <c r="S4842" t="s">
        <v>10425</v>
      </c>
      <c r="T4842" t="s">
        <v>11164</v>
      </c>
      <c r="U4842" t="s">
        <v>11164</v>
      </c>
      <c r="V4842" t="s">
        <v>11164</v>
      </c>
      <c r="W4842" t="s">
        <v>15961</v>
      </c>
      <c r="X4842">
        <v>3</v>
      </c>
      <c r="Y4842" t="s">
        <v>21430</v>
      </c>
      <c r="Z4842" t="s">
        <v>26992</v>
      </c>
      <c r="AA4842">
        <v>0.69288058747737624</v>
      </c>
      <c r="AB4842" t="str">
        <f>HYPERLINK("Melting_Curves/meltCurve_Q9H7D7_2_WDR26.pdf", "Melting_Curves/meltCurve_Q9H7D7_2_WDR26.pdf")</f>
        <v>Melting_Curves/meltCurve_Q9H7D7_2_WDR26.pdf</v>
      </c>
    </row>
    <row r="4843" spans="1:28" x14ac:dyDescent="0.25">
      <c r="A4843" t="s">
        <v>4847</v>
      </c>
      <c r="B4843">
        <v>0.99796759195183404</v>
      </c>
      <c r="C4843">
        <v>1.1256002941174801</v>
      </c>
      <c r="D4843">
        <v>1.1131511373049301</v>
      </c>
      <c r="E4843">
        <v>1.04541911656947</v>
      </c>
      <c r="F4843">
        <v>0.92635083596115997</v>
      </c>
      <c r="G4843">
        <v>1.03284420130432</v>
      </c>
      <c r="H4843">
        <v>0.72530288116381103</v>
      </c>
      <c r="I4843">
        <v>0.287583414369527</v>
      </c>
      <c r="J4843">
        <v>0.15228849582551399</v>
      </c>
      <c r="K4843">
        <v>0.11229187442418299</v>
      </c>
      <c r="L4843">
        <v>2299.5469819752502</v>
      </c>
      <c r="M4843">
        <v>39.188442122693303</v>
      </c>
      <c r="N4843">
        <v>59.076310907667398</v>
      </c>
      <c r="O4843">
        <v>58.527035588700699</v>
      </c>
      <c r="P4843">
        <v>-0.148012542304782</v>
      </c>
      <c r="Q4843">
        <v>0.115788672270858</v>
      </c>
      <c r="R4843">
        <v>0.97377876771559702</v>
      </c>
      <c r="S4843" t="s">
        <v>10426</v>
      </c>
      <c r="T4843" t="s">
        <v>11164</v>
      </c>
      <c r="U4843" t="s">
        <v>11164</v>
      </c>
      <c r="V4843" t="s">
        <v>11164</v>
      </c>
      <c r="W4843" t="s">
        <v>15962</v>
      </c>
      <c r="X4843">
        <v>2</v>
      </c>
      <c r="Y4843" t="s">
        <v>21431</v>
      </c>
      <c r="Z4843" t="s">
        <v>26993</v>
      </c>
      <c r="AA4843">
        <v>0.75802502286504292</v>
      </c>
      <c r="AB4843" t="str">
        <f>HYPERLINK("Melting_Curves/meltCurve_Q9H7F0_ATP13A3.pdf", "Melting_Curves/meltCurve_Q9H7F0_ATP13A3.pdf")</f>
        <v>Melting_Curves/meltCurve_Q9H7F0_ATP13A3.pdf</v>
      </c>
    </row>
    <row r="4844" spans="1:28" x14ac:dyDescent="0.25">
      <c r="A4844" t="s">
        <v>4848</v>
      </c>
      <c r="B4844">
        <v>0.99796759195183404</v>
      </c>
      <c r="C4844">
        <v>0.86897587315876401</v>
      </c>
      <c r="D4844">
        <v>0.89356971756519599</v>
      </c>
      <c r="E4844">
        <v>0.67338521675668594</v>
      </c>
      <c r="F4844">
        <v>0.90617305145150195</v>
      </c>
      <c r="G4844">
        <v>0.65387434904381003</v>
      </c>
      <c r="H4844">
        <v>0.54234619999660305</v>
      </c>
      <c r="I4844">
        <v>0.48742365921160202</v>
      </c>
      <c r="J4844">
        <v>0.41286586769150702</v>
      </c>
      <c r="K4844">
        <v>0.31392173408421398</v>
      </c>
      <c r="L4844">
        <v>321.60889013149898</v>
      </c>
      <c r="M4844">
        <v>5.37651812738663</v>
      </c>
      <c r="N4844">
        <v>59.817317244048397</v>
      </c>
      <c r="O4844">
        <v>53.053231018543201</v>
      </c>
      <c r="P4844">
        <v>-2.5456300941829602E-2</v>
      </c>
      <c r="Q4844">
        <v>0</v>
      </c>
      <c r="R4844">
        <v>0.88161501988573698</v>
      </c>
      <c r="S4844" t="s">
        <v>10427</v>
      </c>
      <c r="T4844" t="s">
        <v>11164</v>
      </c>
      <c r="U4844" t="s">
        <v>11164</v>
      </c>
      <c r="V4844" t="s">
        <v>11164</v>
      </c>
      <c r="W4844" t="s">
        <v>15963</v>
      </c>
      <c r="X4844">
        <v>1</v>
      </c>
      <c r="Y4844" t="s">
        <v>21432</v>
      </c>
      <c r="Z4844" t="s">
        <v>26994</v>
      </c>
      <c r="AA4844">
        <v>0.6827188612604338</v>
      </c>
      <c r="AB4844" t="str">
        <f>HYPERLINK("Melting_Curves/meltCurve_Q9H7F4_TMEM185B.pdf", "Melting_Curves/meltCurve_Q9H7F4_TMEM185B.pdf")</f>
        <v>Melting_Curves/meltCurve_Q9H7F4_TMEM185B.pdf</v>
      </c>
    </row>
    <row r="4845" spans="1:28" x14ac:dyDescent="0.25">
      <c r="A4845" t="s">
        <v>4849</v>
      </c>
      <c r="B4845">
        <v>0.99796759195183404</v>
      </c>
      <c r="C4845">
        <v>1.2278355011493001</v>
      </c>
      <c r="D4845">
        <v>1.2913983425439399</v>
      </c>
      <c r="E4845">
        <v>1.28287169293631</v>
      </c>
      <c r="F4845">
        <v>1.30178892881604</v>
      </c>
      <c r="G4845">
        <v>0.98280579420067504</v>
      </c>
      <c r="H4845">
        <v>0.81204643268926502</v>
      </c>
      <c r="I4845">
        <v>0.57160021723997001</v>
      </c>
      <c r="J4845">
        <v>0.70188732035738199</v>
      </c>
      <c r="K4845">
        <v>0.253261793243788</v>
      </c>
      <c r="L4845">
        <v>1043.59271136043</v>
      </c>
      <c r="M4845">
        <v>16.2469163753732</v>
      </c>
      <c r="N4845">
        <v>64.233282666726396</v>
      </c>
      <c r="O4845">
        <v>63.283804405891203</v>
      </c>
      <c r="P4845">
        <v>-6.4187504165605702E-2</v>
      </c>
      <c r="Q4845">
        <v>0</v>
      </c>
      <c r="R4845">
        <v>0.66493406729544802</v>
      </c>
      <c r="S4845" t="s">
        <v>10428</v>
      </c>
      <c r="T4845" t="s">
        <v>11164</v>
      </c>
      <c r="U4845" t="s">
        <v>11164</v>
      </c>
      <c r="V4845" t="s">
        <v>11164</v>
      </c>
      <c r="W4845" t="s">
        <v>15964</v>
      </c>
      <c r="X4845">
        <v>3</v>
      </c>
      <c r="Y4845" t="s">
        <v>21433</v>
      </c>
      <c r="Z4845" t="s">
        <v>26995</v>
      </c>
      <c r="AA4845">
        <v>0.86602117942417711</v>
      </c>
      <c r="AB4845" t="str">
        <f>HYPERLINK("Melting_Curves/meltCurve_Q9H7J1_PPP1R3E.pdf", "Melting_Curves/meltCurve_Q9H7J1_PPP1R3E.pdf")</f>
        <v>Melting_Curves/meltCurve_Q9H7J1_PPP1R3E.pdf</v>
      </c>
    </row>
    <row r="4846" spans="1:28" x14ac:dyDescent="0.25">
      <c r="A4846" t="s">
        <v>4850</v>
      </c>
      <c r="B4846">
        <v>0.99796759195183404</v>
      </c>
      <c r="C4846">
        <v>1.1786725150294901</v>
      </c>
      <c r="D4846">
        <v>1.01856115833061</v>
      </c>
      <c r="E4846">
        <v>1.12103976667473</v>
      </c>
      <c r="F4846">
        <v>0.64737285639151998</v>
      </c>
      <c r="G4846">
        <v>0.29674879537283799</v>
      </c>
      <c r="H4846">
        <v>0.24417641954111799</v>
      </c>
      <c r="I4846">
        <v>0.17691968876598901</v>
      </c>
      <c r="J4846">
        <v>0.14662324519216999</v>
      </c>
      <c r="K4846">
        <v>8.7390859930480499E-2</v>
      </c>
      <c r="L4846">
        <v>1896.1401185550001</v>
      </c>
      <c r="M4846">
        <v>37.266881540766597</v>
      </c>
      <c r="N4846">
        <v>51.433097476181501</v>
      </c>
      <c r="O4846">
        <v>50.734189731977601</v>
      </c>
      <c r="P4846">
        <v>-0.153321534720222</v>
      </c>
      <c r="Q4846">
        <v>0.165090059451274</v>
      </c>
      <c r="R4846">
        <v>0.96253984308990204</v>
      </c>
      <c r="S4846" t="s">
        <v>10429</v>
      </c>
      <c r="T4846" t="s">
        <v>11164</v>
      </c>
      <c r="U4846" t="s">
        <v>11164</v>
      </c>
      <c r="V4846" t="s">
        <v>11164</v>
      </c>
      <c r="W4846" t="s">
        <v>15965</v>
      </c>
      <c r="X4846">
        <v>1</v>
      </c>
      <c r="Y4846" t="s">
        <v>21434</v>
      </c>
      <c r="Z4846" t="s">
        <v>26996</v>
      </c>
      <c r="AA4846">
        <v>0.55475530863843292</v>
      </c>
      <c r="AB4846" t="str">
        <f>HYPERLINK("Melting_Curves/meltCurve_Q9H7N4_SCAF1.pdf", "Melting_Curves/meltCurve_Q9H7N4_SCAF1.pdf")</f>
        <v>Melting_Curves/meltCurve_Q9H7N4_SCAF1.pdf</v>
      </c>
    </row>
    <row r="4847" spans="1:28" x14ac:dyDescent="0.25">
      <c r="A4847" t="s">
        <v>4851</v>
      </c>
      <c r="B4847">
        <v>0.99796759195183404</v>
      </c>
      <c r="C4847">
        <v>1.0167853435832901</v>
      </c>
      <c r="D4847">
        <v>1.3221850710684899</v>
      </c>
      <c r="E4847">
        <v>1.0029580154875299</v>
      </c>
      <c r="F4847">
        <v>0.94848744213859304</v>
      </c>
      <c r="G4847">
        <v>0.53240236058963097</v>
      </c>
      <c r="H4847">
        <v>0.84889574277455004</v>
      </c>
      <c r="I4847">
        <v>0.682296191210925</v>
      </c>
      <c r="J4847">
        <v>0.90469734821586001</v>
      </c>
      <c r="K4847">
        <v>0.66273000763461098</v>
      </c>
      <c r="L4847">
        <v>12623.398433308599</v>
      </c>
      <c r="M4847">
        <v>250</v>
      </c>
      <c r="O4847">
        <v>50.490362500995197</v>
      </c>
      <c r="P4847">
        <v>-0.33892070066774099</v>
      </c>
      <c r="Q4847">
        <v>0.72620433587191002</v>
      </c>
      <c r="R4847">
        <v>0.57268641885965899</v>
      </c>
      <c r="S4847" t="s">
        <v>10430</v>
      </c>
      <c r="T4847" t="s">
        <v>11164</v>
      </c>
      <c r="U4847" t="s">
        <v>11164</v>
      </c>
      <c r="V4847" t="s">
        <v>11164</v>
      </c>
      <c r="W4847" t="s">
        <v>15966</v>
      </c>
      <c r="X4847">
        <v>4</v>
      </c>
      <c r="Y4847" t="s">
        <v>21435</v>
      </c>
      <c r="Z4847" t="s">
        <v>26997</v>
      </c>
      <c r="AA4847">
        <v>0.84937818032586976</v>
      </c>
      <c r="AB4847" t="str">
        <f>HYPERLINK("Melting_Curves/meltCurve_Q9H7S9_ZNF703.pdf", "Melting_Curves/meltCurve_Q9H7S9_ZNF703.pdf")</f>
        <v>Melting_Curves/meltCurve_Q9H7S9_ZNF703.pdf</v>
      </c>
    </row>
    <row r="4848" spans="1:28" x14ac:dyDescent="0.25">
      <c r="A4848" t="s">
        <v>4852</v>
      </c>
      <c r="B4848">
        <v>0.99796759195183404</v>
      </c>
      <c r="C4848">
        <v>0.94914827369232901</v>
      </c>
      <c r="D4848">
        <v>0.93078533259854601</v>
      </c>
      <c r="E4848">
        <v>0.79473057669190605</v>
      </c>
      <c r="F4848">
        <v>0.67699002729983404</v>
      </c>
      <c r="G4848">
        <v>0.48084756500775599</v>
      </c>
      <c r="H4848">
        <v>0.25071761221702699</v>
      </c>
      <c r="I4848">
        <v>0.171967988246258</v>
      </c>
      <c r="J4848">
        <v>0.186910740237551</v>
      </c>
      <c r="K4848">
        <v>0.207983097858285</v>
      </c>
      <c r="L4848">
        <v>686.97969802158798</v>
      </c>
      <c r="M4848">
        <v>13.3129242879237</v>
      </c>
      <c r="N4848">
        <v>52.684820794288903</v>
      </c>
      <c r="O4848">
        <v>50.479838904486002</v>
      </c>
      <c r="P4848">
        <v>-5.8052730181555601E-2</v>
      </c>
      <c r="Q4848">
        <v>0.11964627392765501</v>
      </c>
      <c r="R4848">
        <v>0.98819178545644304</v>
      </c>
      <c r="S4848" t="s">
        <v>10431</v>
      </c>
      <c r="T4848" t="s">
        <v>11164</v>
      </c>
      <c r="U4848" t="s">
        <v>11164</v>
      </c>
      <c r="V4848" t="s">
        <v>11164</v>
      </c>
      <c r="W4848" t="s">
        <v>15967</v>
      </c>
      <c r="X4848">
        <v>1</v>
      </c>
      <c r="Y4848" t="s">
        <v>21436</v>
      </c>
      <c r="Z4848" t="s">
        <v>26998</v>
      </c>
      <c r="AA4848">
        <v>0.56785672816900745</v>
      </c>
      <c r="AB4848" t="str">
        <f>HYPERLINK("Melting_Curves/meltCurve_Q9H7X3_ZNF696.pdf", "Melting_Curves/meltCurve_Q9H7X3_ZNF696.pdf")</f>
        <v>Melting_Curves/meltCurve_Q9H7X3_ZNF696.pdf</v>
      </c>
    </row>
    <row r="4849" spans="1:28" x14ac:dyDescent="0.25">
      <c r="A4849" t="s">
        <v>4853</v>
      </c>
      <c r="B4849">
        <v>0.99796759195183404</v>
      </c>
      <c r="C4849">
        <v>0.98890350803300198</v>
      </c>
      <c r="D4849">
        <v>0.86511596785738998</v>
      </c>
      <c r="E4849">
        <v>0.873013998589103</v>
      </c>
      <c r="F4849">
        <v>0.69669718175732798</v>
      </c>
      <c r="G4849">
        <v>0.423903509738696</v>
      </c>
      <c r="H4849">
        <v>0.39814264856119302</v>
      </c>
      <c r="I4849">
        <v>0.330388572882783</v>
      </c>
      <c r="J4849">
        <v>0.285962265363501</v>
      </c>
      <c r="K4849">
        <v>0.19612404842248199</v>
      </c>
      <c r="L4849">
        <v>621.00139380577298</v>
      </c>
      <c r="M4849">
        <v>12.0161146957076</v>
      </c>
      <c r="N4849">
        <v>53.788528565357801</v>
      </c>
      <c r="O4849">
        <v>50.3117743098502</v>
      </c>
      <c r="P4849">
        <v>-4.85083357740307E-2</v>
      </c>
      <c r="Q4849">
        <v>0.187772441368175</v>
      </c>
      <c r="R4849">
        <v>0.97992004098560004</v>
      </c>
      <c r="S4849" t="s">
        <v>10432</v>
      </c>
      <c r="T4849" t="s">
        <v>11164</v>
      </c>
      <c r="U4849" t="s">
        <v>11164</v>
      </c>
      <c r="V4849" t="s">
        <v>11164</v>
      </c>
      <c r="W4849" t="s">
        <v>15968</v>
      </c>
      <c r="X4849">
        <v>1</v>
      </c>
      <c r="Y4849" t="s">
        <v>21437</v>
      </c>
      <c r="Z4849" t="s">
        <v>26999</v>
      </c>
      <c r="AA4849">
        <v>0.60513690779193297</v>
      </c>
      <c r="AB4849" t="str">
        <f>HYPERLINK("Melting_Curves/meltCurve_Q9H7X7_2_RABL5.pdf", "Melting_Curves/meltCurve_Q9H7X7_2_RABL5.pdf")</f>
        <v>Melting_Curves/meltCurve_Q9H7X7_2_RABL5.pdf</v>
      </c>
    </row>
    <row r="4850" spans="1:28" x14ac:dyDescent="0.25">
      <c r="A4850" t="s">
        <v>4854</v>
      </c>
      <c r="B4850">
        <v>0.99796759195183404</v>
      </c>
      <c r="C4850">
        <v>0.98581761190532702</v>
      </c>
      <c r="D4850">
        <v>1.02760841071788</v>
      </c>
      <c r="E4850">
        <v>0.95123806113744702</v>
      </c>
      <c r="F4850">
        <v>0.69598929409117005</v>
      </c>
      <c r="G4850">
        <v>0.49788882858664102</v>
      </c>
      <c r="H4850">
        <v>0.43917557380787697</v>
      </c>
      <c r="I4850">
        <v>0.34421864462354501</v>
      </c>
      <c r="J4850">
        <v>0.33926032179054899</v>
      </c>
      <c r="K4850">
        <v>0.33083946399284198</v>
      </c>
      <c r="L4850">
        <v>1113.09057001523</v>
      </c>
      <c r="M4850">
        <v>21.856108712695502</v>
      </c>
      <c r="N4850">
        <v>53.744327256585301</v>
      </c>
      <c r="O4850">
        <v>50.507525963731098</v>
      </c>
      <c r="P4850">
        <v>-7.1301515879940297E-2</v>
      </c>
      <c r="Q4850">
        <v>0.34092922288558902</v>
      </c>
      <c r="R4850">
        <v>0.99300871186037698</v>
      </c>
      <c r="S4850" t="s">
        <v>10433</v>
      </c>
      <c r="T4850" t="s">
        <v>11164</v>
      </c>
      <c r="U4850" t="s">
        <v>11164</v>
      </c>
      <c r="V4850" t="s">
        <v>11164</v>
      </c>
      <c r="W4850" t="s">
        <v>15969</v>
      </c>
      <c r="X4850">
        <v>7</v>
      </c>
      <c r="Y4850" t="s">
        <v>21438</v>
      </c>
      <c r="Z4850" t="s">
        <v>27000</v>
      </c>
      <c r="AA4850">
        <v>0.65433122879178462</v>
      </c>
      <c r="AB4850" t="str">
        <f>HYPERLINK("Melting_Curves/meltCurve_Q9H7Z6_KAT8.pdf", "Melting_Curves/meltCurve_Q9H7Z6_KAT8.pdf")</f>
        <v>Melting_Curves/meltCurve_Q9H7Z6_KAT8.pdf</v>
      </c>
    </row>
    <row r="4851" spans="1:28" x14ac:dyDescent="0.25">
      <c r="A4851" t="s">
        <v>4855</v>
      </c>
      <c r="B4851">
        <v>0.99796759195183404</v>
      </c>
      <c r="C4851">
        <v>0.93814806246333704</v>
      </c>
      <c r="D4851">
        <v>0.95502853192797699</v>
      </c>
      <c r="E4851">
        <v>0.886432202827379</v>
      </c>
      <c r="F4851">
        <v>0.739804953522467</v>
      </c>
      <c r="G4851">
        <v>0.67070499391747995</v>
      </c>
      <c r="H4851">
        <v>0.51258666999069602</v>
      </c>
      <c r="I4851">
        <v>0.28648823876740098</v>
      </c>
      <c r="J4851">
        <v>0.14018317299517899</v>
      </c>
      <c r="K4851">
        <v>0.13527296999220201</v>
      </c>
      <c r="L4851">
        <v>626.822221935833</v>
      </c>
      <c r="M4851">
        <v>11.130827879398399</v>
      </c>
      <c r="N4851">
        <v>56.314070173019402</v>
      </c>
      <c r="O4851">
        <v>54.588095093582503</v>
      </c>
      <c r="P4851">
        <v>-5.09928766352351E-2</v>
      </c>
      <c r="Q4851">
        <v>0</v>
      </c>
      <c r="R4851">
        <v>0.98339269882895597</v>
      </c>
      <c r="S4851" t="s">
        <v>10434</v>
      </c>
      <c r="T4851" t="s">
        <v>11164</v>
      </c>
      <c r="U4851" t="s">
        <v>11164</v>
      </c>
      <c r="V4851" t="s">
        <v>11164</v>
      </c>
      <c r="W4851" t="s">
        <v>15970</v>
      </c>
      <c r="X4851">
        <v>10</v>
      </c>
      <c r="Y4851" t="s">
        <v>21439</v>
      </c>
      <c r="Z4851" t="s">
        <v>27001</v>
      </c>
      <c r="AA4851">
        <v>0.65058420889214885</v>
      </c>
      <c r="AB4851" t="str">
        <f>HYPERLINK("Melting_Curves/meltCurve_Q9H7Z7_PTGES2.pdf", "Melting_Curves/meltCurve_Q9H7Z7_PTGES2.pdf")</f>
        <v>Melting_Curves/meltCurve_Q9H7Z7_PTGES2.pdf</v>
      </c>
    </row>
    <row r="4852" spans="1:28" x14ac:dyDescent="0.25">
      <c r="A4852" t="s">
        <v>4856</v>
      </c>
      <c r="B4852">
        <v>0.99796759195183404</v>
      </c>
      <c r="C4852">
        <v>1.1493394079563199</v>
      </c>
      <c r="D4852">
        <v>1.2689978589376301</v>
      </c>
      <c r="E4852">
        <v>0.92641384536014204</v>
      </c>
      <c r="F4852">
        <v>1.2084555291665899</v>
      </c>
      <c r="G4852">
        <v>0.63330718153306198</v>
      </c>
      <c r="H4852">
        <v>0.69527513849274802</v>
      </c>
      <c r="I4852">
        <v>0.46533155935707499</v>
      </c>
      <c r="J4852">
        <v>0.67468594278383098</v>
      </c>
      <c r="K4852">
        <v>0.54726109897183695</v>
      </c>
      <c r="L4852">
        <v>13327.5686454075</v>
      </c>
      <c r="M4852">
        <v>250</v>
      </c>
      <c r="O4852">
        <v>53.306863500690902</v>
      </c>
      <c r="P4852">
        <v>-0.47409663983467598</v>
      </c>
      <c r="Q4852">
        <v>0.59563832582968601</v>
      </c>
      <c r="R4852">
        <v>0.76510927350073099</v>
      </c>
      <c r="S4852" t="s">
        <v>10435</v>
      </c>
      <c r="T4852" t="s">
        <v>11164</v>
      </c>
      <c r="U4852" t="s">
        <v>11164</v>
      </c>
      <c r="V4852" t="s">
        <v>11164</v>
      </c>
      <c r="W4852" t="s">
        <v>15971</v>
      </c>
      <c r="X4852">
        <v>5</v>
      </c>
      <c r="Y4852" t="s">
        <v>21440</v>
      </c>
      <c r="Z4852" t="s">
        <v>27002</v>
      </c>
      <c r="AA4852">
        <v>0.81551782191665489</v>
      </c>
      <c r="AB4852" t="str">
        <f>HYPERLINK("Melting_Curves/meltCurve_Q9H814_PHAX.pdf", "Melting_Curves/meltCurve_Q9H814_PHAX.pdf")</f>
        <v>Melting_Curves/meltCurve_Q9H814_PHAX.pdf</v>
      </c>
    </row>
    <row r="4853" spans="1:28" x14ac:dyDescent="0.25">
      <c r="A4853" t="s">
        <v>4857</v>
      </c>
      <c r="B4853">
        <v>0.99796759195183404</v>
      </c>
      <c r="C4853">
        <v>0.97714743836984597</v>
      </c>
      <c r="D4853">
        <v>0.98127599249882103</v>
      </c>
      <c r="E4853">
        <v>0.96381454314938897</v>
      </c>
      <c r="F4853">
        <v>0.80162345563485604</v>
      </c>
      <c r="G4853">
        <v>0.64038157257982298</v>
      </c>
      <c r="H4853">
        <v>0.44191879128609401</v>
      </c>
      <c r="I4853">
        <v>0.21360375956687899</v>
      </c>
      <c r="J4853">
        <v>0.170235272499316</v>
      </c>
      <c r="K4853">
        <v>0.12254035627639</v>
      </c>
      <c r="L4853">
        <v>781.62967907184998</v>
      </c>
      <c r="M4853">
        <v>14.031216464077399</v>
      </c>
      <c r="N4853">
        <v>55.953282010975101</v>
      </c>
      <c r="O4853">
        <v>54.611559742990202</v>
      </c>
      <c r="P4853">
        <v>-6.2312689282523197E-2</v>
      </c>
      <c r="Q4853">
        <v>3.0006669390048601E-2</v>
      </c>
      <c r="R4853">
        <v>0.99673451878989405</v>
      </c>
      <c r="S4853" t="s">
        <v>10436</v>
      </c>
      <c r="T4853" t="s">
        <v>11164</v>
      </c>
      <c r="U4853" t="s">
        <v>11164</v>
      </c>
      <c r="V4853" t="s">
        <v>11164</v>
      </c>
      <c r="W4853" t="s">
        <v>15972</v>
      </c>
      <c r="X4853">
        <v>12</v>
      </c>
      <c r="Y4853" t="s">
        <v>21441</v>
      </c>
      <c r="Z4853" t="s">
        <v>27003</v>
      </c>
      <c r="AA4853">
        <v>0.64672000297998855</v>
      </c>
      <c r="AB4853" t="str">
        <f>HYPERLINK("Melting_Curves/meltCurve_Q9H832_UBE2Z.pdf", "Melting_Curves/meltCurve_Q9H832_UBE2Z.pdf")</f>
        <v>Melting_Curves/meltCurve_Q9H832_UBE2Z.pdf</v>
      </c>
    </row>
    <row r="4854" spans="1:28" x14ac:dyDescent="0.25">
      <c r="A4854" t="s">
        <v>4858</v>
      </c>
      <c r="B4854">
        <v>0.99796759195183404</v>
      </c>
      <c r="C4854">
        <v>1.13013608340342</v>
      </c>
      <c r="D4854">
        <v>1.0440772084747101</v>
      </c>
      <c r="E4854">
        <v>0.91038142657376597</v>
      </c>
      <c r="F4854">
        <v>0.867916189285319</v>
      </c>
      <c r="G4854">
        <v>0.77537276607372096</v>
      </c>
      <c r="H4854">
        <v>0.61282045448922495</v>
      </c>
      <c r="I4854">
        <v>0.461981904072025</v>
      </c>
      <c r="J4854">
        <v>0.26593540495203699</v>
      </c>
      <c r="K4854">
        <v>0.122653498718463</v>
      </c>
      <c r="L4854">
        <v>756.14744394925799</v>
      </c>
      <c r="M4854">
        <v>12.771920586502899</v>
      </c>
      <c r="N4854">
        <v>59.2038949253377</v>
      </c>
      <c r="O4854">
        <v>57.808778530226498</v>
      </c>
      <c r="P4854">
        <v>-5.52439174923176E-2</v>
      </c>
      <c r="Q4854">
        <v>0</v>
      </c>
      <c r="R4854">
        <v>0.96918349420554195</v>
      </c>
      <c r="S4854" t="s">
        <v>10437</v>
      </c>
      <c r="T4854" t="s">
        <v>11164</v>
      </c>
      <c r="U4854" t="s">
        <v>11164</v>
      </c>
      <c r="V4854" t="s">
        <v>11164</v>
      </c>
      <c r="W4854" t="s">
        <v>15973</v>
      </c>
      <c r="X4854">
        <v>5</v>
      </c>
      <c r="Y4854" t="s">
        <v>21442</v>
      </c>
      <c r="Z4854" t="s">
        <v>27004</v>
      </c>
      <c r="AA4854">
        <v>0.73288753070141666</v>
      </c>
      <c r="AB4854" t="str">
        <f>HYPERLINK("Melting_Curves/meltCurve_Q9H840_GEMIN7.pdf", "Melting_Curves/meltCurve_Q9H840_GEMIN7.pdf")</f>
        <v>Melting_Curves/meltCurve_Q9H840_GEMIN7.pdf</v>
      </c>
    </row>
    <row r="4855" spans="1:28" x14ac:dyDescent="0.25">
      <c r="A4855" t="s">
        <v>4859</v>
      </c>
      <c r="B4855">
        <v>0.99796759195183404</v>
      </c>
      <c r="C4855">
        <v>1.0213757522696301</v>
      </c>
      <c r="D4855">
        <v>0.97297293152074604</v>
      </c>
      <c r="E4855">
        <v>0.90630167664920502</v>
      </c>
      <c r="F4855">
        <v>0.83294176807564302</v>
      </c>
      <c r="G4855">
        <v>0.90574507115804204</v>
      </c>
      <c r="H4855">
        <v>0.74377122598762002</v>
      </c>
      <c r="I4855">
        <v>0.649972884849224</v>
      </c>
      <c r="J4855">
        <v>0.39569341129979302</v>
      </c>
      <c r="K4855">
        <v>0.21538759331813001</v>
      </c>
      <c r="L4855">
        <v>826.72005319619495</v>
      </c>
      <c r="M4855">
        <v>13.2877236890899</v>
      </c>
      <c r="N4855">
        <v>62.216830615076297</v>
      </c>
      <c r="O4855">
        <v>60.858333235394099</v>
      </c>
      <c r="P4855">
        <v>-5.45935071970075E-2</v>
      </c>
      <c r="Q4855">
        <v>0</v>
      </c>
      <c r="R4855">
        <v>0.94607082935680498</v>
      </c>
      <c r="S4855" t="s">
        <v>10438</v>
      </c>
      <c r="T4855" t="s">
        <v>11164</v>
      </c>
      <c r="U4855" t="s">
        <v>11164</v>
      </c>
      <c r="V4855" t="s">
        <v>11164</v>
      </c>
      <c r="W4855" t="s">
        <v>15974</v>
      </c>
      <c r="X4855">
        <v>12</v>
      </c>
      <c r="Y4855" t="s">
        <v>21443</v>
      </c>
      <c r="Z4855" t="s">
        <v>27005</v>
      </c>
      <c r="AA4855">
        <v>0.80907416441083668</v>
      </c>
      <c r="AB4855" t="str">
        <f>HYPERLINK("Melting_Curves/meltCurve_Q9H845_ACAD9.pdf", "Melting_Curves/meltCurve_Q9H845_ACAD9.pdf")</f>
        <v>Melting_Curves/meltCurve_Q9H845_ACAD9.pdf</v>
      </c>
    </row>
    <row r="4856" spans="1:28" x14ac:dyDescent="0.25">
      <c r="A4856" t="s">
        <v>4860</v>
      </c>
      <c r="B4856">
        <v>0.99796759195183404</v>
      </c>
      <c r="C4856">
        <v>0.99199254666764203</v>
      </c>
      <c r="D4856">
        <v>0.88714841196118799</v>
      </c>
      <c r="E4856">
        <v>0.91250277769105603</v>
      </c>
      <c r="F4856">
        <v>0.73066904139635802</v>
      </c>
      <c r="G4856">
        <v>0.92617954707870098</v>
      </c>
      <c r="H4856">
        <v>0.64717239660890602</v>
      </c>
      <c r="I4856">
        <v>0.39771438949842902</v>
      </c>
      <c r="J4856">
        <v>0.25508792536194802</v>
      </c>
      <c r="K4856">
        <v>0.19024582091193601</v>
      </c>
      <c r="L4856">
        <v>741.47133266972696</v>
      </c>
      <c r="M4856">
        <v>12.4668051956121</v>
      </c>
      <c r="N4856">
        <v>59.475649248142702</v>
      </c>
      <c r="O4856">
        <v>58.0075545562351</v>
      </c>
      <c r="P4856">
        <v>-5.3740424541243198E-2</v>
      </c>
      <c r="Q4856">
        <v>0</v>
      </c>
      <c r="R4856">
        <v>0.92053397233757095</v>
      </c>
      <c r="S4856" t="s">
        <v>10439</v>
      </c>
      <c r="T4856" t="s">
        <v>11164</v>
      </c>
      <c r="U4856" t="s">
        <v>11164</v>
      </c>
      <c r="V4856" t="s">
        <v>11164</v>
      </c>
      <c r="W4856" t="s">
        <v>15975</v>
      </c>
      <c r="X4856">
        <v>6</v>
      </c>
      <c r="Y4856" t="s">
        <v>21444</v>
      </c>
      <c r="Z4856" t="s">
        <v>27006</v>
      </c>
      <c r="AA4856">
        <v>0.73895100135257541</v>
      </c>
      <c r="AB4856" t="str">
        <f>HYPERLINK("Melting_Curves/meltCurve_Q9H857_2_NT5DC2.pdf", "Melting_Curves/meltCurve_Q9H857_2_NT5DC2.pdf")</f>
        <v>Melting_Curves/meltCurve_Q9H857_2_NT5DC2.pdf</v>
      </c>
    </row>
    <row r="4857" spans="1:28" x14ac:dyDescent="0.25">
      <c r="A4857" t="s">
        <v>4861</v>
      </c>
      <c r="B4857">
        <v>0.99796759195183404</v>
      </c>
      <c r="C4857">
        <v>0.97656020399364396</v>
      </c>
      <c r="D4857">
        <v>0.95322380087833403</v>
      </c>
      <c r="E4857">
        <v>0.88303317033167406</v>
      </c>
      <c r="F4857">
        <v>0.88714983685858295</v>
      </c>
      <c r="G4857">
        <v>0.73607134447028</v>
      </c>
      <c r="H4857">
        <v>0.93156543914545198</v>
      </c>
      <c r="I4857">
        <v>0.842762423587748</v>
      </c>
      <c r="J4857">
        <v>1.0271444056108301</v>
      </c>
      <c r="K4857">
        <v>0.92605192602512698</v>
      </c>
      <c r="L4857">
        <v>1714.8316607458401</v>
      </c>
      <c r="M4857">
        <v>39.779931323403602</v>
      </c>
      <c r="O4857">
        <v>42.999450925871002</v>
      </c>
      <c r="P4857">
        <v>-2.5423783976572301E-2</v>
      </c>
      <c r="Q4857">
        <v>0.89007457867398498</v>
      </c>
      <c r="R4857">
        <v>0.24625500582651999</v>
      </c>
      <c r="S4857" t="s">
        <v>10440</v>
      </c>
      <c r="T4857" t="s">
        <v>11164</v>
      </c>
      <c r="U4857" t="s">
        <v>11164</v>
      </c>
      <c r="V4857" t="s">
        <v>11164</v>
      </c>
      <c r="W4857" t="s">
        <v>15976</v>
      </c>
      <c r="X4857">
        <v>3</v>
      </c>
      <c r="Y4857" t="s">
        <v>21445</v>
      </c>
      <c r="Z4857" t="s">
        <v>27007</v>
      </c>
      <c r="AA4857">
        <v>0.91279049402246903</v>
      </c>
      <c r="AB4857" t="str">
        <f>HYPERLINK("Melting_Curves/meltCurve_Q9H8G2_CAAP1.pdf", "Melting_Curves/meltCurve_Q9H8G2_CAAP1.pdf")</f>
        <v>Melting_Curves/meltCurve_Q9H8G2_CAAP1.pdf</v>
      </c>
    </row>
    <row r="4858" spans="1:28" x14ac:dyDescent="0.25">
      <c r="A4858" t="s">
        <v>4862</v>
      </c>
      <c r="B4858">
        <v>0.99796759195183404</v>
      </c>
      <c r="C4858">
        <v>2.1546184841129699</v>
      </c>
      <c r="D4858">
        <v>0.72336808122182505</v>
      </c>
      <c r="E4858">
        <v>0.49462334412323899</v>
      </c>
      <c r="F4858">
        <v>0.89451935236966795</v>
      </c>
      <c r="G4858">
        <v>0.65922250463243504</v>
      </c>
      <c r="H4858">
        <v>1.16546792284359</v>
      </c>
      <c r="I4858">
        <v>0</v>
      </c>
      <c r="J4858">
        <v>0</v>
      </c>
      <c r="K4858">
        <v>0</v>
      </c>
      <c r="L4858">
        <v>14903.309651002301</v>
      </c>
      <c r="M4858">
        <v>250</v>
      </c>
      <c r="N4858">
        <v>59.613215308033503</v>
      </c>
      <c r="O4858">
        <v>59.609412854608998</v>
      </c>
      <c r="P4858">
        <v>-1.0484919347722901</v>
      </c>
      <c r="Q4858">
        <v>0</v>
      </c>
      <c r="R4858">
        <v>0.54194622483507504</v>
      </c>
      <c r="S4858" t="s">
        <v>10441</v>
      </c>
      <c r="T4858" t="s">
        <v>11164</v>
      </c>
      <c r="U4858" t="s">
        <v>11164</v>
      </c>
      <c r="V4858" t="s">
        <v>11164</v>
      </c>
      <c r="W4858" t="s">
        <v>15977</v>
      </c>
      <c r="X4858">
        <v>3</v>
      </c>
      <c r="Y4858" t="s">
        <v>21446</v>
      </c>
      <c r="Z4858" t="s">
        <v>27008</v>
      </c>
      <c r="AA4858">
        <v>0.75387924043959242</v>
      </c>
      <c r="AB4858" t="str">
        <f>HYPERLINK("Melting_Curves/meltCurve_Q9H8H0_NOL11.pdf", "Melting_Curves/meltCurve_Q9H8H0_NOL11.pdf")</f>
        <v>Melting_Curves/meltCurve_Q9H8H0_NOL11.pdf</v>
      </c>
    </row>
    <row r="4859" spans="1:28" x14ac:dyDescent="0.25">
      <c r="A4859" t="s">
        <v>4863</v>
      </c>
      <c r="B4859">
        <v>0.99796759195183404</v>
      </c>
      <c r="C4859">
        <v>0.97223102281343299</v>
      </c>
      <c r="D4859">
        <v>0.98043969132738895</v>
      </c>
      <c r="E4859">
        <v>0.86323039610819297</v>
      </c>
      <c r="F4859">
        <v>0.77516431663594298</v>
      </c>
      <c r="G4859">
        <v>0.59882882288612405</v>
      </c>
      <c r="H4859">
        <v>0.37034552555091999</v>
      </c>
      <c r="I4859">
        <v>0.149115894094419</v>
      </c>
      <c r="J4859">
        <v>0.12377307104374199</v>
      </c>
      <c r="K4859">
        <v>8.1128877692437998E-2</v>
      </c>
      <c r="L4859">
        <v>744.46644090749101</v>
      </c>
      <c r="M4859">
        <v>13.5795446630794</v>
      </c>
      <c r="N4859">
        <v>54.822636600797402</v>
      </c>
      <c r="O4859">
        <v>53.674728992911703</v>
      </c>
      <c r="P4859">
        <v>-6.3258674261927703E-2</v>
      </c>
      <c r="Q4859">
        <v>0</v>
      </c>
      <c r="R4859">
        <v>0.99408834355964204</v>
      </c>
      <c r="S4859" t="s">
        <v>10442</v>
      </c>
      <c r="T4859" t="s">
        <v>11164</v>
      </c>
      <c r="U4859" t="s">
        <v>11164</v>
      </c>
      <c r="V4859" t="s">
        <v>11164</v>
      </c>
      <c r="W4859" t="s">
        <v>15978</v>
      </c>
      <c r="X4859">
        <v>5</v>
      </c>
      <c r="Y4859" t="s">
        <v>21447</v>
      </c>
      <c r="Z4859" t="s">
        <v>27009</v>
      </c>
      <c r="AA4859">
        <v>0.60905682629078828</v>
      </c>
      <c r="AB4859" t="str">
        <f>HYPERLINK("Melting_Curves/meltCurve_Q9H8M7_FAM188A.pdf", "Melting_Curves/meltCurve_Q9H8M7_FAM188A.pdf")</f>
        <v>Melting_Curves/meltCurve_Q9H8M7_FAM188A.pdf</v>
      </c>
    </row>
    <row r="4860" spans="1:28" x14ac:dyDescent="0.25">
      <c r="A4860" t="s">
        <v>4864</v>
      </c>
      <c r="B4860">
        <v>0.99796759195183404</v>
      </c>
      <c r="C4860">
        <v>1.03353968612844</v>
      </c>
      <c r="D4860">
        <v>1.02206953010778</v>
      </c>
      <c r="E4860">
        <v>0.97991687322312404</v>
      </c>
      <c r="F4860">
        <v>0.85780660549654097</v>
      </c>
      <c r="G4860">
        <v>0.63673541706572601</v>
      </c>
      <c r="H4860">
        <v>0.59853334530897695</v>
      </c>
      <c r="I4860">
        <v>0.37454507594331099</v>
      </c>
      <c r="J4860">
        <v>0.244208801172585</v>
      </c>
      <c r="K4860">
        <v>0.14967342520163299</v>
      </c>
      <c r="L4860">
        <v>677.81173260180799</v>
      </c>
      <c r="M4860">
        <v>11.672993154943599</v>
      </c>
      <c r="N4860">
        <v>58.06666075367</v>
      </c>
      <c r="O4860">
        <v>56.441027064290402</v>
      </c>
      <c r="P4860">
        <v>-5.1718250775494301E-2</v>
      </c>
      <c r="Q4860">
        <v>0</v>
      </c>
      <c r="R4860">
        <v>0.98518553651929497</v>
      </c>
      <c r="S4860" t="s">
        <v>10443</v>
      </c>
      <c r="T4860" t="s">
        <v>11164</v>
      </c>
      <c r="U4860" t="s">
        <v>11164</v>
      </c>
      <c r="V4860" t="s">
        <v>11164</v>
      </c>
      <c r="W4860" t="s">
        <v>15979</v>
      </c>
      <c r="X4860">
        <v>5</v>
      </c>
      <c r="Y4860" t="s">
        <v>21448</v>
      </c>
      <c r="Z4860" t="s">
        <v>27010</v>
      </c>
      <c r="AA4860">
        <v>0.6994968057983656</v>
      </c>
      <c r="AB4860" t="str">
        <f>HYPERLINK("Melting_Curves/meltCurve_Q9H8S9_MOB1A.pdf", "Melting_Curves/meltCurve_Q9H8S9_MOB1A.pdf")</f>
        <v>Melting_Curves/meltCurve_Q9H8S9_MOB1A.pdf</v>
      </c>
    </row>
    <row r="4861" spans="1:28" x14ac:dyDescent="0.25">
      <c r="A4861" t="s">
        <v>4865</v>
      </c>
      <c r="B4861">
        <v>0.99796759195183404</v>
      </c>
      <c r="C4861">
        <v>1.11261501583152</v>
      </c>
      <c r="D4861">
        <v>1.07956890071387</v>
      </c>
      <c r="E4861">
        <v>1.02400381161486</v>
      </c>
      <c r="F4861">
        <v>0.969336413935451</v>
      </c>
      <c r="G4861">
        <v>0.72645551376628503</v>
      </c>
      <c r="H4861">
        <v>0.81992111666132095</v>
      </c>
      <c r="I4861">
        <v>0.68554635976455303</v>
      </c>
      <c r="J4861">
        <v>0.76762335143703997</v>
      </c>
      <c r="K4861">
        <v>0.66932920398279105</v>
      </c>
      <c r="L4861">
        <v>12652.3525064431</v>
      </c>
      <c r="M4861">
        <v>250</v>
      </c>
      <c r="O4861">
        <v>50.606171590835402</v>
      </c>
      <c r="P4861">
        <v>-0.32879501442789</v>
      </c>
      <c r="Q4861">
        <v>0.73377509083687598</v>
      </c>
      <c r="R4861">
        <v>0.86568887862833399</v>
      </c>
      <c r="S4861" t="s">
        <v>10444</v>
      </c>
      <c r="T4861" t="s">
        <v>11164</v>
      </c>
      <c r="U4861" t="s">
        <v>11164</v>
      </c>
      <c r="V4861" t="s">
        <v>11164</v>
      </c>
      <c r="W4861" t="s">
        <v>15980</v>
      </c>
      <c r="X4861">
        <v>4</v>
      </c>
      <c r="Y4861" t="s">
        <v>21449</v>
      </c>
      <c r="Z4861" t="s">
        <v>27011</v>
      </c>
      <c r="AA4861">
        <v>0.85457086819021932</v>
      </c>
      <c r="AB4861" t="str">
        <f>HYPERLINK("Melting_Curves/meltCurve_Q9H8U3_ZFAND3.pdf", "Melting_Curves/meltCurve_Q9H8U3_ZFAND3.pdf")</f>
        <v>Melting_Curves/meltCurve_Q9H8U3_ZFAND3.pdf</v>
      </c>
    </row>
    <row r="4862" spans="1:28" x14ac:dyDescent="0.25">
      <c r="A4862" t="s">
        <v>4866</v>
      </c>
      <c r="B4862">
        <v>0.99796759195183404</v>
      </c>
      <c r="C4862">
        <v>0.91630217236034694</v>
      </c>
      <c r="D4862">
        <v>0.86571740465781499</v>
      </c>
      <c r="E4862">
        <v>0.90752778211235596</v>
      </c>
      <c r="F4862">
        <v>0.75522575989166696</v>
      </c>
      <c r="G4862">
        <v>0.28119222109269798</v>
      </c>
      <c r="H4862">
        <v>0.18590652463962501</v>
      </c>
      <c r="I4862">
        <v>0.18761682309790201</v>
      </c>
      <c r="J4862">
        <v>0.118531935683566</v>
      </c>
      <c r="K4862">
        <v>0.16499479449027499</v>
      </c>
      <c r="L4862">
        <v>1702.8146597121599</v>
      </c>
      <c r="M4862">
        <v>33.163351596830999</v>
      </c>
      <c r="N4862">
        <v>51.917576904631801</v>
      </c>
      <c r="O4862">
        <v>51.160655487357303</v>
      </c>
      <c r="P4862">
        <v>-0.137281073716294</v>
      </c>
      <c r="Q4862">
        <v>0.15287705527967699</v>
      </c>
      <c r="R4862">
        <v>0.97449678497238001</v>
      </c>
      <c r="S4862" t="s">
        <v>10445</v>
      </c>
      <c r="T4862" t="s">
        <v>11164</v>
      </c>
      <c r="U4862" t="s">
        <v>11164</v>
      </c>
      <c r="V4862" t="s">
        <v>11164</v>
      </c>
      <c r="W4862" t="s">
        <v>15981</v>
      </c>
      <c r="X4862">
        <v>2</v>
      </c>
      <c r="Y4862" t="s">
        <v>21450</v>
      </c>
      <c r="Z4862" t="s">
        <v>27012</v>
      </c>
      <c r="AA4862">
        <v>0.56233733108538442</v>
      </c>
      <c r="AB4862" t="str">
        <f>HYPERLINK("Melting_Curves/meltCurve_Q9H8W4_PLEKHF2.pdf", "Melting_Curves/meltCurve_Q9H8W4_PLEKHF2.pdf")</f>
        <v>Melting_Curves/meltCurve_Q9H8W4_PLEKHF2.pdf</v>
      </c>
    </row>
    <row r="4863" spans="1:28" x14ac:dyDescent="0.25">
      <c r="A4863" t="s">
        <v>4867</v>
      </c>
      <c r="B4863">
        <v>0.99796759195183404</v>
      </c>
      <c r="C4863">
        <v>0.96769025482464599</v>
      </c>
      <c r="D4863">
        <v>0.96949493082312599</v>
      </c>
      <c r="E4863">
        <v>0.75795695607536995</v>
      </c>
      <c r="F4863">
        <v>0.73132769928216002</v>
      </c>
      <c r="G4863">
        <v>0.30629284321349998</v>
      </c>
      <c r="H4863">
        <v>0.33784493333759502</v>
      </c>
      <c r="I4863">
        <v>0.24304282542178399</v>
      </c>
      <c r="J4863">
        <v>0.20170984630386099</v>
      </c>
      <c r="K4863">
        <v>0.160184417767605</v>
      </c>
      <c r="L4863">
        <v>742.72399937961495</v>
      </c>
      <c r="M4863">
        <v>14.589174847370099</v>
      </c>
      <c r="N4863">
        <v>52.244319377731301</v>
      </c>
      <c r="O4863">
        <v>49.981414279751696</v>
      </c>
      <c r="P4863">
        <v>-6.1625035726473397E-2</v>
      </c>
      <c r="Q4863">
        <v>0.15560381113129401</v>
      </c>
      <c r="R4863">
        <v>0.96940973673895103</v>
      </c>
      <c r="S4863" t="s">
        <v>10446</v>
      </c>
      <c r="T4863" t="s">
        <v>11164</v>
      </c>
      <c r="U4863" t="s">
        <v>11164</v>
      </c>
      <c r="V4863" t="s">
        <v>11164</v>
      </c>
      <c r="W4863" t="s">
        <v>15982</v>
      </c>
      <c r="X4863">
        <v>6</v>
      </c>
      <c r="Y4863" t="s">
        <v>21451</v>
      </c>
      <c r="Z4863" t="s">
        <v>27013</v>
      </c>
      <c r="AA4863">
        <v>0.56479555617723087</v>
      </c>
      <c r="AB4863" t="str">
        <f>HYPERLINK("Melting_Curves/meltCurve_Q9H8Y5_ANKZF1.pdf", "Melting_Curves/meltCurve_Q9H8Y5_ANKZF1.pdf")</f>
        <v>Melting_Curves/meltCurve_Q9H8Y5_ANKZF1.pdf</v>
      </c>
    </row>
    <row r="4864" spans="1:28" x14ac:dyDescent="0.25">
      <c r="A4864" t="s">
        <v>4868</v>
      </c>
      <c r="B4864">
        <v>0.99796759195183404</v>
      </c>
      <c r="C4864">
        <v>1.0194569729604499</v>
      </c>
      <c r="D4864">
        <v>1.08743805740496</v>
      </c>
      <c r="E4864">
        <v>1.0390112716139901</v>
      </c>
      <c r="F4864">
        <v>0.71683032020065995</v>
      </c>
      <c r="G4864">
        <v>0.159615706561541</v>
      </c>
      <c r="H4864">
        <v>0.12292899802431401</v>
      </c>
      <c r="I4864">
        <v>9.2231779509651293E-2</v>
      </c>
      <c r="J4864">
        <v>0.11211373457151801</v>
      </c>
      <c r="K4864">
        <v>7.5161560296896301E-2</v>
      </c>
      <c r="L4864">
        <v>2671.0002370431498</v>
      </c>
      <c r="M4864">
        <v>52.413601266751101</v>
      </c>
      <c r="N4864">
        <v>51.180473638847701</v>
      </c>
      <c r="O4864">
        <v>50.886039702725</v>
      </c>
      <c r="P4864">
        <v>-0.231488995619998</v>
      </c>
      <c r="Q4864">
        <v>0.10103106351069401</v>
      </c>
      <c r="R4864">
        <v>0.99411313223537301</v>
      </c>
      <c r="S4864" t="s">
        <v>10447</v>
      </c>
      <c r="T4864" t="s">
        <v>11164</v>
      </c>
      <c r="U4864" t="s">
        <v>11164</v>
      </c>
      <c r="V4864" t="s">
        <v>11164</v>
      </c>
      <c r="W4864" t="s">
        <v>15983</v>
      </c>
      <c r="X4864">
        <v>6</v>
      </c>
      <c r="Y4864" t="s">
        <v>21452</v>
      </c>
      <c r="Z4864" t="s">
        <v>27014</v>
      </c>
      <c r="AA4864">
        <v>0.52119087881150727</v>
      </c>
      <c r="AB4864" t="str">
        <f>HYPERLINK("Melting_Curves/meltCurve_Q9H8Y8_GORASP2.pdf", "Melting_Curves/meltCurve_Q9H8Y8_GORASP2.pdf")</f>
        <v>Melting_Curves/meltCurve_Q9H8Y8_GORASP2.pdf</v>
      </c>
    </row>
    <row r="4865" spans="1:28" x14ac:dyDescent="0.25">
      <c r="A4865" t="s">
        <v>4869</v>
      </c>
      <c r="B4865">
        <v>0.99796759195183404</v>
      </c>
      <c r="C4865">
        <v>0.88813080765018804</v>
      </c>
      <c r="D4865">
        <v>0.87325338205500602</v>
      </c>
      <c r="E4865">
        <v>0.77301282604864996</v>
      </c>
      <c r="F4865">
        <v>0.86823127900436503</v>
      </c>
      <c r="G4865">
        <v>0.72969978984627704</v>
      </c>
      <c r="H4865">
        <v>0.40930733309047701</v>
      </c>
      <c r="I4865">
        <v>0.27349010341194901</v>
      </c>
      <c r="J4865">
        <v>0.25796555836357898</v>
      </c>
      <c r="K4865">
        <v>0.18054845636783001</v>
      </c>
      <c r="L4865">
        <v>548.92010732908102</v>
      </c>
      <c r="M4865">
        <v>9.6978926881560295</v>
      </c>
      <c r="N4865">
        <v>56.601980083764097</v>
      </c>
      <c r="O4865">
        <v>54.352485618738903</v>
      </c>
      <c r="P4865">
        <v>-4.4630873575579502E-2</v>
      </c>
      <c r="Q4865">
        <v>0</v>
      </c>
      <c r="R4865">
        <v>0.93510061494309105</v>
      </c>
      <c r="S4865" t="s">
        <v>10448</v>
      </c>
      <c r="T4865" t="s">
        <v>11164</v>
      </c>
      <c r="U4865" t="s">
        <v>11164</v>
      </c>
      <c r="V4865" t="s">
        <v>11164</v>
      </c>
      <c r="W4865" t="s">
        <v>15984</v>
      </c>
      <c r="X4865">
        <v>2</v>
      </c>
      <c r="Y4865" t="s">
        <v>21453</v>
      </c>
      <c r="Z4865" t="s">
        <v>27015</v>
      </c>
      <c r="AA4865">
        <v>0.65435789563538238</v>
      </c>
      <c r="AB4865" t="str">
        <f>HYPERLINK("Melting_Curves/meltCurve_Q9H900_ZWILCH.pdf", "Melting_Curves/meltCurve_Q9H900_ZWILCH.pdf")</f>
        <v>Melting_Curves/meltCurve_Q9H900_ZWILCH.pdf</v>
      </c>
    </row>
    <row r="4866" spans="1:28" x14ac:dyDescent="0.25">
      <c r="A4866" t="s">
        <v>4870</v>
      </c>
      <c r="B4866">
        <v>0.99796759195183404</v>
      </c>
      <c r="C4866">
        <v>1.10023024460263</v>
      </c>
      <c r="D4866">
        <v>1.0425658521810499</v>
      </c>
      <c r="E4866">
        <v>1.0226684966262101</v>
      </c>
      <c r="F4866">
        <v>0.90316821705123196</v>
      </c>
      <c r="G4866">
        <v>0.69888504989073597</v>
      </c>
      <c r="H4866">
        <v>0.76350324899861599</v>
      </c>
      <c r="I4866">
        <v>0.65665303975299905</v>
      </c>
      <c r="J4866">
        <v>0.90241866844053398</v>
      </c>
      <c r="K4866">
        <v>0.85348341794154903</v>
      </c>
      <c r="L4866">
        <v>12564.078903063901</v>
      </c>
      <c r="M4866">
        <v>250</v>
      </c>
      <c r="O4866">
        <v>50.253099558414</v>
      </c>
      <c r="P4866">
        <v>-0.279847558764105</v>
      </c>
      <c r="Q4866">
        <v>0.77498868463190196</v>
      </c>
      <c r="R4866">
        <v>0.73341296227717201</v>
      </c>
      <c r="S4866" t="s">
        <v>10449</v>
      </c>
      <c r="T4866" t="s">
        <v>11164</v>
      </c>
      <c r="U4866" t="s">
        <v>11164</v>
      </c>
      <c r="V4866" t="s">
        <v>11164</v>
      </c>
      <c r="W4866" t="s">
        <v>15985</v>
      </c>
      <c r="X4866">
        <v>25</v>
      </c>
      <c r="Y4866" t="s">
        <v>16732</v>
      </c>
      <c r="Z4866" t="s">
        <v>27016</v>
      </c>
      <c r="AA4866">
        <v>0.87443589751149109</v>
      </c>
      <c r="AB4866" t="str">
        <f>HYPERLINK("Melting_Curves/meltCurve_Q9H910_2_HN1L.pdf", "Melting_Curves/meltCurve_Q9H910_2_HN1L.pdf")</f>
        <v>Melting_Curves/meltCurve_Q9H910_2_HN1L.pdf</v>
      </c>
    </row>
    <row r="4867" spans="1:28" x14ac:dyDescent="0.25">
      <c r="A4867" t="s">
        <v>4871</v>
      </c>
      <c r="B4867">
        <v>0.99796759195183404</v>
      </c>
      <c r="C4867">
        <v>0.99909181330347596</v>
      </c>
      <c r="D4867">
        <v>0.93180915890904503</v>
      </c>
      <c r="E4867">
        <v>0.95520931281000698</v>
      </c>
      <c r="F4867">
        <v>0.84553420653399103</v>
      </c>
      <c r="G4867">
        <v>0.69381358795958004</v>
      </c>
      <c r="H4867">
        <v>0.65499320516651605</v>
      </c>
      <c r="I4867">
        <v>0.57833293626962501</v>
      </c>
      <c r="J4867">
        <v>0.64663643929222403</v>
      </c>
      <c r="K4867">
        <v>0.42423770990080201</v>
      </c>
      <c r="L4867">
        <v>509.01169011770298</v>
      </c>
      <c r="M4867">
        <v>9.1653198570337295</v>
      </c>
      <c r="O4867">
        <v>53.084608372880901</v>
      </c>
      <c r="P4867">
        <v>-2.5878824374548699E-2</v>
      </c>
      <c r="Q4867">
        <v>0.400856174072653</v>
      </c>
      <c r="R4867">
        <v>0.933251702267338</v>
      </c>
      <c r="S4867" t="s">
        <v>10450</v>
      </c>
      <c r="T4867" t="s">
        <v>11164</v>
      </c>
      <c r="U4867" t="s">
        <v>11164</v>
      </c>
      <c r="V4867" t="s">
        <v>11164</v>
      </c>
      <c r="W4867" t="s">
        <v>15986</v>
      </c>
      <c r="X4867">
        <v>6</v>
      </c>
      <c r="Y4867" t="s">
        <v>21454</v>
      </c>
      <c r="Z4867" t="s">
        <v>27017</v>
      </c>
      <c r="AA4867">
        <v>0.77512066160908832</v>
      </c>
      <c r="AB4867" t="str">
        <f>HYPERLINK("Melting_Curves/meltCurve_Q9H936_SLC25A22.pdf", "Melting_Curves/meltCurve_Q9H936_SLC25A22.pdf")</f>
        <v>Melting_Curves/meltCurve_Q9H936_SLC25A22.pdf</v>
      </c>
    </row>
    <row r="4868" spans="1:28" x14ac:dyDescent="0.25">
      <c r="A4868" t="s">
        <v>4872</v>
      </c>
      <c r="B4868">
        <v>0.99796759195183404</v>
      </c>
      <c r="C4868">
        <v>1.0476712887288799</v>
      </c>
      <c r="D4868">
        <v>1.0552066347971001</v>
      </c>
      <c r="E4868">
        <v>0.94607378291829003</v>
      </c>
      <c r="F4868">
        <v>0.44648674263254001</v>
      </c>
      <c r="G4868">
        <v>0.25702174458333998</v>
      </c>
      <c r="H4868">
        <v>0.15952263589040899</v>
      </c>
      <c r="I4868">
        <v>0.123887497789821</v>
      </c>
      <c r="J4868">
        <v>0.119879075880931</v>
      </c>
      <c r="K4868">
        <v>8.1454734934253495E-2</v>
      </c>
      <c r="L4868">
        <v>1670.63376073257</v>
      </c>
      <c r="M4868">
        <v>33.676858021373</v>
      </c>
      <c r="N4868">
        <v>50.056192461294501</v>
      </c>
      <c r="O4868">
        <v>49.433826487529402</v>
      </c>
      <c r="P4868">
        <v>-0.148135818545239</v>
      </c>
      <c r="Q4868">
        <v>0.13021693029758499</v>
      </c>
      <c r="R4868">
        <v>0.99061075225898898</v>
      </c>
      <c r="S4868" t="s">
        <v>10451</v>
      </c>
      <c r="T4868" t="s">
        <v>11164</v>
      </c>
      <c r="U4868" t="s">
        <v>11164</v>
      </c>
      <c r="V4868" t="s">
        <v>11164</v>
      </c>
      <c r="W4868" t="s">
        <v>15987</v>
      </c>
      <c r="X4868">
        <v>7</v>
      </c>
      <c r="Y4868" t="s">
        <v>21455</v>
      </c>
      <c r="Z4868" t="s">
        <v>27018</v>
      </c>
      <c r="AA4868">
        <v>0.4999620932004587</v>
      </c>
      <c r="AB4868" t="str">
        <f>HYPERLINK("Melting_Curves/meltCurve_Q9H939_PSTPIP2.pdf", "Melting_Curves/meltCurve_Q9H939_PSTPIP2.pdf")</f>
        <v>Melting_Curves/meltCurve_Q9H939_PSTPIP2.pdf</v>
      </c>
    </row>
    <row r="4869" spans="1:28" x14ac:dyDescent="0.25">
      <c r="A4869" t="s">
        <v>4873</v>
      </c>
      <c r="B4869">
        <v>0.99796759195183404</v>
      </c>
      <c r="C4869">
        <v>1.0109604749996901</v>
      </c>
      <c r="D4869">
        <v>0.995081550837421</v>
      </c>
      <c r="E4869">
        <v>0.96192145238520499</v>
      </c>
      <c r="F4869">
        <v>0.74326904089623602</v>
      </c>
      <c r="G4869">
        <v>0.53948395459813403</v>
      </c>
      <c r="H4869">
        <v>0.471810209366885</v>
      </c>
      <c r="I4869">
        <v>0.35527486062128999</v>
      </c>
      <c r="J4869">
        <v>0.14512399126154399</v>
      </c>
      <c r="K4869">
        <v>8.1501028129648601E-2</v>
      </c>
      <c r="L4869">
        <v>636.802744852974</v>
      </c>
      <c r="M4869">
        <v>11.4082449255743</v>
      </c>
      <c r="N4869">
        <v>55.8195190691346</v>
      </c>
      <c r="O4869">
        <v>54.186932696886302</v>
      </c>
      <c r="P4869">
        <v>-5.2649159867033703E-2</v>
      </c>
      <c r="Q4869">
        <v>0</v>
      </c>
      <c r="R4869">
        <v>0.98037518751980401</v>
      </c>
      <c r="S4869" t="s">
        <v>10452</v>
      </c>
      <c r="T4869" t="s">
        <v>11164</v>
      </c>
      <c r="U4869" t="s">
        <v>11164</v>
      </c>
      <c r="V4869" t="s">
        <v>11164</v>
      </c>
      <c r="W4869" t="s">
        <v>15988</v>
      </c>
      <c r="X4869">
        <v>6</v>
      </c>
      <c r="Y4869" t="s">
        <v>21456</v>
      </c>
      <c r="Z4869" t="s">
        <v>27019</v>
      </c>
      <c r="AA4869">
        <v>0.63723188450683343</v>
      </c>
      <c r="AB4869" t="str">
        <f>HYPERLINK("Melting_Curves/meltCurve_Q9H944_MED20.pdf", "Melting_Curves/meltCurve_Q9H944_MED20.pdf")</f>
        <v>Melting_Curves/meltCurve_Q9H944_MED20.pdf</v>
      </c>
    </row>
    <row r="4870" spans="1:28" x14ac:dyDescent="0.25">
      <c r="A4870" t="s">
        <v>4874</v>
      </c>
      <c r="B4870">
        <v>0.99796759195183404</v>
      </c>
      <c r="C4870">
        <v>0.96627507133379797</v>
      </c>
      <c r="D4870">
        <v>0.96793490934696402</v>
      </c>
      <c r="E4870">
        <v>0.91830864237212195</v>
      </c>
      <c r="F4870">
        <v>0.89249714187347595</v>
      </c>
      <c r="G4870">
        <v>0.96610824425356201</v>
      </c>
      <c r="H4870">
        <v>0.80218230901423604</v>
      </c>
      <c r="I4870">
        <v>0.54480020230811099</v>
      </c>
      <c r="J4870">
        <v>0.24514883240813201</v>
      </c>
      <c r="K4870">
        <v>0.15120013717405101</v>
      </c>
      <c r="L4870">
        <v>1309.8190337170699</v>
      </c>
      <c r="M4870">
        <v>21.388394567555899</v>
      </c>
      <c r="N4870">
        <v>61.239716047305699</v>
      </c>
      <c r="O4870">
        <v>60.711887941820301</v>
      </c>
      <c r="P4870">
        <v>-8.8075503664823293E-2</v>
      </c>
      <c r="Q4870">
        <v>0</v>
      </c>
      <c r="R4870">
        <v>0.97750469617147495</v>
      </c>
      <c r="S4870" t="s">
        <v>10453</v>
      </c>
      <c r="T4870" t="s">
        <v>11164</v>
      </c>
      <c r="U4870" t="s">
        <v>11164</v>
      </c>
      <c r="V4870" t="s">
        <v>11164</v>
      </c>
      <c r="W4870" t="s">
        <v>15989</v>
      </c>
      <c r="X4870">
        <v>12</v>
      </c>
      <c r="Y4870" t="s">
        <v>21457</v>
      </c>
      <c r="Z4870" t="s">
        <v>27020</v>
      </c>
      <c r="AA4870">
        <v>0.80414307900316018</v>
      </c>
      <c r="AB4870" t="str">
        <f>HYPERLINK("Melting_Curves/meltCurve_Q9H974_4_QTRTD1.pdf", "Melting_Curves/meltCurve_Q9H974_4_QTRTD1.pdf")</f>
        <v>Melting_Curves/meltCurve_Q9H974_4_QTRTD1.pdf</v>
      </c>
    </row>
    <row r="4871" spans="1:28" x14ac:dyDescent="0.25">
      <c r="A4871" t="s">
        <v>4875</v>
      </c>
      <c r="B4871">
        <v>0.99796759195183404</v>
      </c>
      <c r="C4871">
        <v>1.0316010810348299</v>
      </c>
      <c r="D4871">
        <v>1.0643875960770901</v>
      </c>
      <c r="E4871">
        <v>0.94640596393082899</v>
      </c>
      <c r="F4871">
        <v>0.89945319372005905</v>
      </c>
      <c r="G4871">
        <v>0.62152345583175606</v>
      </c>
      <c r="H4871">
        <v>0.35182793193077</v>
      </c>
      <c r="I4871">
        <v>0.21028607449457001</v>
      </c>
      <c r="J4871">
        <v>0.14996364411125199</v>
      </c>
      <c r="K4871">
        <v>0.116346690496119</v>
      </c>
      <c r="L4871">
        <v>1140.67114760806</v>
      </c>
      <c r="M4871">
        <v>20.847472214111999</v>
      </c>
      <c r="N4871">
        <v>55.353882283455398</v>
      </c>
      <c r="O4871">
        <v>54.219101628430103</v>
      </c>
      <c r="P4871">
        <v>-8.5850915635793196E-2</v>
      </c>
      <c r="Q4871">
        <v>0.106916962825507</v>
      </c>
      <c r="R4871">
        <v>0.99491538582307504</v>
      </c>
      <c r="S4871" t="s">
        <v>10454</v>
      </c>
      <c r="T4871" t="s">
        <v>11164</v>
      </c>
      <c r="U4871" t="s">
        <v>11164</v>
      </c>
      <c r="V4871" t="s">
        <v>11164</v>
      </c>
      <c r="W4871" t="s">
        <v>15990</v>
      </c>
      <c r="X4871">
        <v>8</v>
      </c>
      <c r="Y4871" t="s">
        <v>21458</v>
      </c>
      <c r="Z4871" t="s">
        <v>27021</v>
      </c>
      <c r="AA4871">
        <v>0.64413543032604204</v>
      </c>
      <c r="AB4871" t="str">
        <f>HYPERLINK("Melting_Curves/meltCurve_Q9H977_WDR54.pdf", "Melting_Curves/meltCurve_Q9H977_WDR54.pdf")</f>
        <v>Melting_Curves/meltCurve_Q9H977_WDR54.pdf</v>
      </c>
    </row>
    <row r="4872" spans="1:28" x14ac:dyDescent="0.25">
      <c r="A4872" t="s">
        <v>4876</v>
      </c>
      <c r="B4872">
        <v>0.99796759195183404</v>
      </c>
      <c r="C4872">
        <v>1.0654830400358599</v>
      </c>
      <c r="D4872">
        <v>0.86843239493554603</v>
      </c>
      <c r="E4872">
        <v>0.70785856479115505</v>
      </c>
      <c r="F4872">
        <v>0.49611415438915502</v>
      </c>
      <c r="G4872">
        <v>0.69180957975031399</v>
      </c>
      <c r="H4872">
        <v>0.36142889309832299</v>
      </c>
      <c r="I4872">
        <v>0.37783288566814799</v>
      </c>
      <c r="J4872">
        <v>0.241235704419097</v>
      </c>
      <c r="K4872">
        <v>0.32274365135865501</v>
      </c>
      <c r="L4872">
        <v>493.362857772734</v>
      </c>
      <c r="M4872">
        <v>9.8320789514690894</v>
      </c>
      <c r="N4872">
        <v>53.704966158293701</v>
      </c>
      <c r="O4872">
        <v>48.235294556132999</v>
      </c>
      <c r="P4872">
        <v>-3.88605033348597E-2</v>
      </c>
      <c r="Q4872">
        <v>0.237810961121936</v>
      </c>
      <c r="R4872">
        <v>0.89855763842900405</v>
      </c>
      <c r="S4872" t="s">
        <v>10455</v>
      </c>
      <c r="T4872" t="s">
        <v>11164</v>
      </c>
      <c r="U4872" t="s">
        <v>11164</v>
      </c>
      <c r="V4872" t="s">
        <v>11164</v>
      </c>
      <c r="W4872" t="s">
        <v>15991</v>
      </c>
      <c r="X4872">
        <v>4</v>
      </c>
      <c r="Y4872" t="s">
        <v>21459</v>
      </c>
      <c r="Z4872" t="s">
        <v>27022</v>
      </c>
      <c r="AA4872">
        <v>0.59844013356784098</v>
      </c>
      <c r="AB4872" t="str">
        <f>HYPERLINK("Melting_Curves/meltCurve_Q9H981_ACTR8.pdf", "Melting_Curves/meltCurve_Q9H981_ACTR8.pdf")</f>
        <v>Melting_Curves/meltCurve_Q9H981_ACTR8.pdf</v>
      </c>
    </row>
    <row r="4873" spans="1:28" x14ac:dyDescent="0.25">
      <c r="A4873" t="s">
        <v>4877</v>
      </c>
      <c r="B4873">
        <v>0.99796759195183404</v>
      </c>
      <c r="C4873">
        <v>1.0177845245752399</v>
      </c>
      <c r="D4873">
        <v>1.08607352415569</v>
      </c>
      <c r="E4873">
        <v>0.90411028278418404</v>
      </c>
      <c r="F4873">
        <v>0.80286387260969905</v>
      </c>
      <c r="G4873">
        <v>0.28089999788873499</v>
      </c>
      <c r="H4873">
        <v>0.147791061146129</v>
      </c>
      <c r="I4873">
        <v>0.10617461887276899</v>
      </c>
      <c r="J4873">
        <v>5.93609175417859E-2</v>
      </c>
      <c r="K4873">
        <v>4.0330963922218299E-2</v>
      </c>
      <c r="L4873">
        <v>1668.5727658155699</v>
      </c>
      <c r="M4873">
        <v>32.090498717160202</v>
      </c>
      <c r="N4873">
        <v>52.244286194088602</v>
      </c>
      <c r="O4873">
        <v>51.7951836518127</v>
      </c>
      <c r="P4873">
        <v>-0.14393048686031601</v>
      </c>
      <c r="Q4873">
        <v>7.0769344082752095E-2</v>
      </c>
      <c r="R4873">
        <v>0.99025247819504802</v>
      </c>
      <c r="S4873" t="s">
        <v>10456</v>
      </c>
      <c r="T4873" t="s">
        <v>11164</v>
      </c>
      <c r="U4873" t="s">
        <v>11164</v>
      </c>
      <c r="V4873" t="s">
        <v>11164</v>
      </c>
      <c r="W4873" t="s">
        <v>15992</v>
      </c>
      <c r="X4873">
        <v>4</v>
      </c>
      <c r="Y4873" t="s">
        <v>21460</v>
      </c>
      <c r="Z4873" t="s">
        <v>27023</v>
      </c>
      <c r="AA4873">
        <v>0.54040373981033218</v>
      </c>
      <c r="AB4873" t="str">
        <f>HYPERLINK("Melting_Curves/meltCurve_Q9H993_C6orf211.pdf", "Melting_Curves/meltCurve_Q9H993_C6orf211.pdf")</f>
        <v>Melting_Curves/meltCurve_Q9H993_C6orf211.pdf</v>
      </c>
    </row>
    <row r="4874" spans="1:28" x14ac:dyDescent="0.25">
      <c r="A4874" t="s">
        <v>4878</v>
      </c>
      <c r="B4874">
        <v>0.99796759195183404</v>
      </c>
      <c r="C4874">
        <v>0.98523836630768402</v>
      </c>
      <c r="D4874">
        <v>0.952341596974421</v>
      </c>
      <c r="E4874">
        <v>0.900614845223486</v>
      </c>
      <c r="F4874">
        <v>0.75696371746262803</v>
      </c>
      <c r="G4874">
        <v>0.17449010468427201</v>
      </c>
      <c r="H4874">
        <v>0.119713377240213</v>
      </c>
      <c r="I4874">
        <v>0.100232280666594</v>
      </c>
      <c r="J4874">
        <v>7.1682903125630401E-2</v>
      </c>
      <c r="K4874">
        <v>5.8669332921099902E-2</v>
      </c>
      <c r="L4874">
        <v>2198.6181567489498</v>
      </c>
      <c r="M4874">
        <v>42.849838500131803</v>
      </c>
      <c r="N4874">
        <v>51.523680872887901</v>
      </c>
      <c r="O4874">
        <v>51.198459983910801</v>
      </c>
      <c r="P4874">
        <v>-0.192188641445248</v>
      </c>
      <c r="Q4874">
        <v>8.1467065110492398E-2</v>
      </c>
      <c r="R4874">
        <v>0.99272133682767405</v>
      </c>
      <c r="S4874" t="s">
        <v>10457</v>
      </c>
      <c r="T4874" t="s">
        <v>11164</v>
      </c>
      <c r="U4874" t="s">
        <v>11164</v>
      </c>
      <c r="V4874" t="s">
        <v>11164</v>
      </c>
      <c r="W4874" t="s">
        <v>15993</v>
      </c>
      <c r="X4874">
        <v>29</v>
      </c>
      <c r="Y4874" t="s">
        <v>21461</v>
      </c>
      <c r="Z4874" t="s">
        <v>27024</v>
      </c>
      <c r="AA4874">
        <v>0.5224357058877267</v>
      </c>
      <c r="AB4874" t="str">
        <f>HYPERLINK("Melting_Curves/meltCurve_Q9H9A6_LRRC40.pdf", "Melting_Curves/meltCurve_Q9H9A6_LRRC40.pdf")</f>
        <v>Melting_Curves/meltCurve_Q9H9A6_LRRC40.pdf</v>
      </c>
    </row>
    <row r="4875" spans="1:28" x14ac:dyDescent="0.25">
      <c r="A4875" t="s">
        <v>4879</v>
      </c>
      <c r="B4875">
        <v>0.99796759195183404</v>
      </c>
      <c r="C4875">
        <v>0.84009128050211201</v>
      </c>
      <c r="D4875">
        <v>0.94249919756191902</v>
      </c>
      <c r="E4875">
        <v>0.83453199830621005</v>
      </c>
      <c r="F4875">
        <v>0.75074461856970698</v>
      </c>
      <c r="G4875">
        <v>0.47934018892615798</v>
      </c>
      <c r="H4875">
        <v>0.36490445719362402</v>
      </c>
      <c r="I4875">
        <v>0.34885791440506903</v>
      </c>
      <c r="J4875">
        <v>0.27923431915248997</v>
      </c>
      <c r="K4875">
        <v>0.29368767976210503</v>
      </c>
      <c r="L4875">
        <v>633.92397681645002</v>
      </c>
      <c r="M4875">
        <v>12.277878016207</v>
      </c>
      <c r="N4875">
        <v>54.303981190705997</v>
      </c>
      <c r="O4875">
        <v>50.319040428272999</v>
      </c>
      <c r="P4875">
        <v>-4.7178184969392002E-2</v>
      </c>
      <c r="Q4875">
        <v>0.22675980932112599</v>
      </c>
      <c r="R4875">
        <v>0.96142895196684697</v>
      </c>
      <c r="S4875" t="s">
        <v>10458</v>
      </c>
      <c r="T4875" t="s">
        <v>11164</v>
      </c>
      <c r="U4875" t="s">
        <v>11164</v>
      </c>
      <c r="V4875" t="s">
        <v>11164</v>
      </c>
      <c r="W4875" t="s">
        <v>15994</v>
      </c>
      <c r="X4875">
        <v>1</v>
      </c>
      <c r="Y4875" t="s">
        <v>21462</v>
      </c>
      <c r="Z4875" t="s">
        <v>27025</v>
      </c>
      <c r="AA4875">
        <v>0.62254842228201868</v>
      </c>
      <c r="AB4875" t="str">
        <f>HYPERLINK("Melting_Curves/meltCurve_Q9H9B1_3_EHMT1.pdf", "Melting_Curves/meltCurve_Q9H9B1_3_EHMT1.pdf")</f>
        <v>Melting_Curves/meltCurve_Q9H9B1_3_EHMT1.pdf</v>
      </c>
    </row>
    <row r="4876" spans="1:28" x14ac:dyDescent="0.25">
      <c r="A4876" t="s">
        <v>4880</v>
      </c>
      <c r="B4876">
        <v>0.99796759195183404</v>
      </c>
      <c r="C4876">
        <v>0.96101817407795997</v>
      </c>
      <c r="D4876">
        <v>0.99122324896982905</v>
      </c>
      <c r="E4876">
        <v>0.93263030997652896</v>
      </c>
      <c r="F4876">
        <v>0.80995510976422003</v>
      </c>
      <c r="G4876">
        <v>0.67027122137311701</v>
      </c>
      <c r="H4876">
        <v>0.58902406488330405</v>
      </c>
      <c r="I4876">
        <v>0.26110100661392299</v>
      </c>
      <c r="J4876">
        <v>0.145012966253035</v>
      </c>
      <c r="K4876">
        <v>0.114494555492337</v>
      </c>
      <c r="L4876">
        <v>752.03490218631305</v>
      </c>
      <c r="M4876">
        <v>13.1790036234407</v>
      </c>
      <c r="N4876">
        <v>57.063107839620201</v>
      </c>
      <c r="O4876">
        <v>55.797260174185602</v>
      </c>
      <c r="P4876">
        <v>-5.9058512279936901E-2</v>
      </c>
      <c r="Q4876">
        <v>0</v>
      </c>
      <c r="R4876">
        <v>0.98267248800798301</v>
      </c>
      <c r="S4876" t="s">
        <v>10459</v>
      </c>
      <c r="T4876" t="s">
        <v>11164</v>
      </c>
      <c r="U4876" t="s">
        <v>11164</v>
      </c>
      <c r="V4876" t="s">
        <v>11164</v>
      </c>
      <c r="W4876" t="s">
        <v>15995</v>
      </c>
      <c r="X4876">
        <v>21</v>
      </c>
      <c r="Y4876" t="s">
        <v>21463</v>
      </c>
      <c r="Z4876" t="s">
        <v>27026</v>
      </c>
      <c r="AA4876">
        <v>0.67500380206483424</v>
      </c>
      <c r="AB4876" t="str">
        <f>HYPERLINK("Melting_Curves/meltCurve_Q9H9B4_SFXN1.pdf", "Melting_Curves/meltCurve_Q9H9B4_SFXN1.pdf")</f>
        <v>Melting_Curves/meltCurve_Q9H9B4_SFXN1.pdf</v>
      </c>
    </row>
    <row r="4877" spans="1:28" x14ac:dyDescent="0.25">
      <c r="A4877" t="s">
        <v>4881</v>
      </c>
      <c r="B4877">
        <v>0.99796759195183404</v>
      </c>
      <c r="C4877">
        <v>0.97479539322271802</v>
      </c>
      <c r="D4877">
        <v>0.943175443973024</v>
      </c>
      <c r="E4877">
        <v>0.85053099203414495</v>
      </c>
      <c r="F4877">
        <v>0.53028677548678305</v>
      </c>
      <c r="G4877">
        <v>0.41191963868147102</v>
      </c>
      <c r="H4877">
        <v>0.33433581524214701</v>
      </c>
      <c r="I4877">
        <v>0.22414992384759</v>
      </c>
      <c r="J4877">
        <v>0.21609802957246199</v>
      </c>
      <c r="K4877">
        <v>0.121540447801132</v>
      </c>
      <c r="L4877">
        <v>700.37437902171496</v>
      </c>
      <c r="M4877">
        <v>13.8365339882083</v>
      </c>
      <c r="N4877">
        <v>51.919456418506002</v>
      </c>
      <c r="O4877">
        <v>49.595605450824401</v>
      </c>
      <c r="P4877">
        <v>-5.95327677463168E-2</v>
      </c>
      <c r="Q4877">
        <v>0.146562409756892</v>
      </c>
      <c r="R4877">
        <v>0.98811903241536803</v>
      </c>
      <c r="S4877" t="s">
        <v>10460</v>
      </c>
      <c r="T4877" t="s">
        <v>11164</v>
      </c>
      <c r="U4877" t="s">
        <v>11164</v>
      </c>
      <c r="V4877" t="s">
        <v>11164</v>
      </c>
      <c r="W4877" t="s">
        <v>15996</v>
      </c>
      <c r="X4877">
        <v>3</v>
      </c>
      <c r="Y4877" t="s">
        <v>21464</v>
      </c>
      <c r="Z4877" t="s">
        <v>27027</v>
      </c>
      <c r="AA4877">
        <v>0.5533595268862288</v>
      </c>
      <c r="AB4877" t="str">
        <f>HYPERLINK("Melting_Curves/meltCurve_Q9H9F9_ACTR5.pdf", "Melting_Curves/meltCurve_Q9H9F9_ACTR5.pdf")</f>
        <v>Melting_Curves/meltCurve_Q9H9F9_ACTR5.pdf</v>
      </c>
    </row>
    <row r="4878" spans="1:28" x14ac:dyDescent="0.25">
      <c r="A4878" t="s">
        <v>4882</v>
      </c>
      <c r="B4878">
        <v>0.99796759195183404</v>
      </c>
      <c r="C4878">
        <v>0.94542066114796697</v>
      </c>
      <c r="D4878">
        <v>1.0517960207866</v>
      </c>
      <c r="E4878">
        <v>0.99976766332362199</v>
      </c>
      <c r="F4878">
        <v>0.93400398983944</v>
      </c>
      <c r="G4878">
        <v>0.38953118222218502</v>
      </c>
      <c r="H4878">
        <v>0.247616438411805</v>
      </c>
      <c r="I4878">
        <v>0.186483137304538</v>
      </c>
      <c r="J4878">
        <v>0.12712175221925701</v>
      </c>
      <c r="K4878">
        <v>0.15107506986090299</v>
      </c>
      <c r="L4878">
        <v>2400.60516986331</v>
      </c>
      <c r="M4878">
        <v>45.571770171873297</v>
      </c>
      <c r="N4878">
        <v>53.164307136445899</v>
      </c>
      <c r="O4878">
        <v>52.576326462080402</v>
      </c>
      <c r="P4878">
        <v>-0.17972698721882499</v>
      </c>
      <c r="Q4878">
        <v>0.17059415646105699</v>
      </c>
      <c r="R4878">
        <v>0.99219167112762097</v>
      </c>
      <c r="S4878" t="s">
        <v>10461</v>
      </c>
      <c r="T4878" t="s">
        <v>11164</v>
      </c>
      <c r="U4878" t="s">
        <v>11164</v>
      </c>
      <c r="V4878" t="s">
        <v>11164</v>
      </c>
      <c r="W4878" t="s">
        <v>15997</v>
      </c>
      <c r="X4878">
        <v>2</v>
      </c>
      <c r="Y4878" t="s">
        <v>21465</v>
      </c>
      <c r="Z4878" t="s">
        <v>27028</v>
      </c>
      <c r="AA4878">
        <v>0.60634617796369794</v>
      </c>
      <c r="AB4878" t="str">
        <f>HYPERLINK("Melting_Curves/meltCurve_Q9H9H4_VPS37B.pdf", "Melting_Curves/meltCurve_Q9H9H4_VPS37B.pdf")</f>
        <v>Melting_Curves/meltCurve_Q9H9H4_VPS37B.pdf</v>
      </c>
    </row>
    <row r="4879" spans="1:28" x14ac:dyDescent="0.25">
      <c r="A4879" t="s">
        <v>4883</v>
      </c>
      <c r="B4879">
        <v>0.99796759195183404</v>
      </c>
      <c r="C4879">
        <v>1.0420881067180501</v>
      </c>
      <c r="D4879">
        <v>1.0258608846371999</v>
      </c>
      <c r="E4879">
        <v>0.96955152271798895</v>
      </c>
      <c r="F4879">
        <v>0.87051889074768796</v>
      </c>
      <c r="G4879">
        <v>0.74062173543814303</v>
      </c>
      <c r="H4879">
        <v>0.49921044591387898</v>
      </c>
      <c r="I4879">
        <v>0.30733489739912001</v>
      </c>
      <c r="J4879">
        <v>0.17896576882461299</v>
      </c>
      <c r="K4879">
        <v>0.121964330442438</v>
      </c>
      <c r="L4879">
        <v>839.901282011636</v>
      </c>
      <c r="M4879">
        <v>14.640123288166301</v>
      </c>
      <c r="N4879">
        <v>57.456411902280699</v>
      </c>
      <c r="O4879">
        <v>56.331312941054897</v>
      </c>
      <c r="P4879">
        <v>-6.4271527949524093E-2</v>
      </c>
      <c r="Q4879">
        <v>1.09107509433001E-2</v>
      </c>
      <c r="R4879">
        <v>0.99693950406773302</v>
      </c>
      <c r="S4879" t="s">
        <v>10462</v>
      </c>
      <c r="T4879" t="s">
        <v>11164</v>
      </c>
      <c r="U4879" t="s">
        <v>11164</v>
      </c>
      <c r="V4879" t="s">
        <v>11164</v>
      </c>
      <c r="W4879" t="s">
        <v>15998</v>
      </c>
      <c r="X4879">
        <v>9</v>
      </c>
      <c r="Y4879" t="s">
        <v>21466</v>
      </c>
      <c r="Z4879" t="s">
        <v>27029</v>
      </c>
      <c r="AA4879">
        <v>0.68891271538667553</v>
      </c>
      <c r="AB4879" t="str">
        <f>HYPERLINK("Melting_Curves/meltCurve_Q9H9P8_L2HGDH.pdf", "Melting_Curves/meltCurve_Q9H9P8_L2HGDH.pdf")</f>
        <v>Melting_Curves/meltCurve_Q9H9P8_L2HGDH.pdf</v>
      </c>
    </row>
    <row r="4880" spans="1:28" x14ac:dyDescent="0.25">
      <c r="A4880" t="s">
        <v>4884</v>
      </c>
      <c r="B4880">
        <v>0.99796759195183404</v>
      </c>
      <c r="C4880">
        <v>1.1494040752427099</v>
      </c>
      <c r="D4880">
        <v>1.02805690270266</v>
      </c>
      <c r="E4880">
        <v>1.00132307256268</v>
      </c>
      <c r="F4880">
        <v>1.1685978464126201</v>
      </c>
      <c r="G4880">
        <v>0.65451159736454201</v>
      </c>
      <c r="H4880">
        <v>0.78639058828581498</v>
      </c>
      <c r="I4880">
        <v>0.56434742588641496</v>
      </c>
      <c r="J4880">
        <v>0.43300250311764299</v>
      </c>
      <c r="K4880">
        <v>0.149502247770566</v>
      </c>
      <c r="L4880">
        <v>870.54131915216897</v>
      </c>
      <c r="M4880">
        <v>14.132406813799101</v>
      </c>
      <c r="N4880">
        <v>61.5989430648386</v>
      </c>
      <c r="O4880">
        <v>60.404925279494698</v>
      </c>
      <c r="P4880">
        <v>-5.8497752344575799E-2</v>
      </c>
      <c r="Q4880">
        <v>0</v>
      </c>
      <c r="R4880">
        <v>0.86669957349830096</v>
      </c>
      <c r="S4880" t="s">
        <v>10463</v>
      </c>
      <c r="T4880" t="s">
        <v>11164</v>
      </c>
      <c r="U4880" t="s">
        <v>11164</v>
      </c>
      <c r="V4880" t="s">
        <v>11164</v>
      </c>
      <c r="W4880" t="s">
        <v>15999</v>
      </c>
      <c r="X4880">
        <v>3</v>
      </c>
      <c r="Y4880" t="s">
        <v>21467</v>
      </c>
      <c r="Z4880" t="s">
        <v>27030</v>
      </c>
      <c r="AA4880">
        <v>0.79810901260701417</v>
      </c>
      <c r="AB4880" t="str">
        <f>HYPERLINK("Melting_Curves/meltCurve_Q9H9S5_FKRP.pdf", "Melting_Curves/meltCurve_Q9H9S5_FKRP.pdf")</f>
        <v>Melting_Curves/meltCurve_Q9H9S5_FKRP.pdf</v>
      </c>
    </row>
    <row r="4881" spans="1:28" x14ac:dyDescent="0.25">
      <c r="A4881" t="s">
        <v>4885</v>
      </c>
      <c r="B4881">
        <v>0.99796759195183404</v>
      </c>
      <c r="C4881">
        <v>0.94066595232398298</v>
      </c>
      <c r="D4881">
        <v>0.95177457933335696</v>
      </c>
      <c r="E4881">
        <v>0.842427586640635</v>
      </c>
      <c r="F4881">
        <v>0.60766732119950695</v>
      </c>
      <c r="G4881">
        <v>0.42797057601831401</v>
      </c>
      <c r="H4881">
        <v>0.398603123695983</v>
      </c>
      <c r="I4881">
        <v>0.42619151956628998</v>
      </c>
      <c r="J4881">
        <v>0.147778603671712</v>
      </c>
      <c r="K4881">
        <v>9.0847976877477907E-2</v>
      </c>
      <c r="L4881">
        <v>474.04369025553501</v>
      </c>
      <c r="M4881">
        <v>8.7826685905877895</v>
      </c>
      <c r="N4881">
        <v>53.974912869662802</v>
      </c>
      <c r="O4881">
        <v>51.396062932486601</v>
      </c>
      <c r="P4881">
        <v>-4.27545603070279E-2</v>
      </c>
      <c r="Q4881">
        <v>0</v>
      </c>
      <c r="R4881">
        <v>0.95456311201598298</v>
      </c>
      <c r="S4881" t="s">
        <v>10464</v>
      </c>
      <c r="T4881" t="s">
        <v>11164</v>
      </c>
      <c r="U4881" t="s">
        <v>11164</v>
      </c>
      <c r="V4881" t="s">
        <v>11164</v>
      </c>
      <c r="W4881" t="s">
        <v>16000</v>
      </c>
      <c r="X4881">
        <v>8</v>
      </c>
      <c r="Y4881" t="s">
        <v>21468</v>
      </c>
      <c r="Z4881" t="s">
        <v>27031</v>
      </c>
      <c r="AA4881">
        <v>0.58219790754986855</v>
      </c>
      <c r="AB4881" t="str">
        <f>HYPERLINK("Melting_Curves/meltCurve_Q9H9V9_2_JMJD4.pdf", "Melting_Curves/meltCurve_Q9H9V9_2_JMJD4.pdf")</f>
        <v>Melting_Curves/meltCurve_Q9H9V9_2_JMJD4.pdf</v>
      </c>
    </row>
    <row r="4882" spans="1:28" x14ac:dyDescent="0.25">
      <c r="A4882" t="s">
        <v>4886</v>
      </c>
      <c r="B4882">
        <v>0.99796759195183404</v>
      </c>
      <c r="C4882">
        <v>0.96396644346156901</v>
      </c>
      <c r="D4882">
        <v>0.94143908828175205</v>
      </c>
      <c r="E4882">
        <v>0.885642069515578</v>
      </c>
      <c r="F4882">
        <v>0.78401219910184405</v>
      </c>
      <c r="G4882">
        <v>0.69109486922527996</v>
      </c>
      <c r="H4882">
        <v>0.49104911289449299</v>
      </c>
      <c r="I4882">
        <v>0.46925966018552001</v>
      </c>
      <c r="J4882">
        <v>0.32245973694369501</v>
      </c>
      <c r="K4882">
        <v>0.159285986254255</v>
      </c>
      <c r="L4882">
        <v>510.398030301848</v>
      </c>
      <c r="M4882">
        <v>8.7904801634070608</v>
      </c>
      <c r="N4882">
        <v>58.062577237376203</v>
      </c>
      <c r="O4882">
        <v>55.292994765722902</v>
      </c>
      <c r="P4882">
        <v>-3.97765549839382E-2</v>
      </c>
      <c r="Q4882">
        <v>0</v>
      </c>
      <c r="R4882">
        <v>0.98167496870543902</v>
      </c>
      <c r="S4882" t="s">
        <v>10465</v>
      </c>
      <c r="T4882" t="s">
        <v>11164</v>
      </c>
      <c r="U4882" t="s">
        <v>11164</v>
      </c>
      <c r="V4882" t="s">
        <v>11164</v>
      </c>
      <c r="W4882" t="s">
        <v>16001</v>
      </c>
      <c r="X4882">
        <v>6</v>
      </c>
      <c r="Y4882" t="s">
        <v>21469</v>
      </c>
      <c r="Z4882" t="s">
        <v>27032</v>
      </c>
      <c r="AA4882">
        <v>0.68624872111439406</v>
      </c>
      <c r="AB4882" t="str">
        <f>HYPERLINK("Melting_Curves/meltCurve_Q9HA47_3_UCK1.pdf", "Melting_Curves/meltCurve_Q9HA47_3_UCK1.pdf")</f>
        <v>Melting_Curves/meltCurve_Q9HA47_3_UCK1.pdf</v>
      </c>
    </row>
    <row r="4883" spans="1:28" x14ac:dyDescent="0.25">
      <c r="A4883" t="s">
        <v>4887</v>
      </c>
      <c r="B4883">
        <v>0.99796759195183404</v>
      </c>
      <c r="C4883">
        <v>1.00331644254284</v>
      </c>
      <c r="D4883">
        <v>0.94779490599467997</v>
      </c>
      <c r="E4883">
        <v>0.93964638576189796</v>
      </c>
      <c r="F4883">
        <v>0.83745698411963099</v>
      </c>
      <c r="G4883">
        <v>0.70913644838469103</v>
      </c>
      <c r="H4883">
        <v>0.75827353058490998</v>
      </c>
      <c r="I4883">
        <v>0.793835724284357</v>
      </c>
      <c r="J4883">
        <v>0.94904461069451795</v>
      </c>
      <c r="K4883">
        <v>0.63121933214544701</v>
      </c>
      <c r="L4883">
        <v>1481.08316656801</v>
      </c>
      <c r="M4883">
        <v>30.797932658437301</v>
      </c>
      <c r="O4883">
        <v>47.888957788595398</v>
      </c>
      <c r="P4883">
        <v>-3.7061928818035599E-2</v>
      </c>
      <c r="Q4883">
        <v>0.76948496819219603</v>
      </c>
      <c r="R4883">
        <v>0.609225855960286</v>
      </c>
      <c r="S4883" t="s">
        <v>10466</v>
      </c>
      <c r="T4883" t="s">
        <v>11164</v>
      </c>
      <c r="U4883" t="s">
        <v>11164</v>
      </c>
      <c r="V4883" t="s">
        <v>11164</v>
      </c>
      <c r="W4883" t="s">
        <v>16002</v>
      </c>
      <c r="X4883">
        <v>8</v>
      </c>
      <c r="Y4883" t="s">
        <v>21470</v>
      </c>
      <c r="Z4883" t="s">
        <v>27033</v>
      </c>
      <c r="AA4883">
        <v>0.85599865388158336</v>
      </c>
      <c r="AB4883" t="str">
        <f>HYPERLINK("Melting_Curves/meltCurve_Q9HA64_FN3KRP.pdf", "Melting_Curves/meltCurve_Q9HA64_FN3KRP.pdf")</f>
        <v>Melting_Curves/meltCurve_Q9HA64_FN3KRP.pdf</v>
      </c>
    </row>
    <row r="4884" spans="1:28" x14ac:dyDescent="0.25">
      <c r="A4884" t="s">
        <v>4888</v>
      </c>
      <c r="B4884">
        <v>0.99796759195183404</v>
      </c>
      <c r="C4884">
        <v>1.0307781394736399</v>
      </c>
      <c r="D4884">
        <v>0.99841083336136505</v>
      </c>
      <c r="E4884">
        <v>0.88488494984560495</v>
      </c>
      <c r="F4884">
        <v>0.89241871309046905</v>
      </c>
      <c r="G4884">
        <v>1.0030691777968499</v>
      </c>
      <c r="H4884">
        <v>0.75993714238374899</v>
      </c>
      <c r="I4884">
        <v>0.73499403989159695</v>
      </c>
      <c r="J4884">
        <v>0.63164724711933296</v>
      </c>
      <c r="K4884">
        <v>0.30067628608267999</v>
      </c>
      <c r="L4884">
        <v>871.32953917232601</v>
      </c>
      <c r="M4884">
        <v>13.448254984307299</v>
      </c>
      <c r="N4884">
        <v>64.791274026942205</v>
      </c>
      <c r="O4884">
        <v>63.408955857512602</v>
      </c>
      <c r="P4884">
        <v>-5.3030117152709597E-2</v>
      </c>
      <c r="Q4884">
        <v>0</v>
      </c>
      <c r="R4884">
        <v>0.88970986302391797</v>
      </c>
      <c r="S4884" t="s">
        <v>10467</v>
      </c>
      <c r="T4884" t="s">
        <v>11164</v>
      </c>
      <c r="U4884" t="s">
        <v>11164</v>
      </c>
      <c r="V4884" t="s">
        <v>11164</v>
      </c>
      <c r="W4884" t="s">
        <v>16003</v>
      </c>
      <c r="X4884">
        <v>6</v>
      </c>
      <c r="Y4884" t="s">
        <v>21471</v>
      </c>
      <c r="Z4884" t="s">
        <v>27034</v>
      </c>
      <c r="AA4884">
        <v>0.86372314169385223</v>
      </c>
      <c r="AB4884" t="str">
        <f>HYPERLINK("Melting_Curves/meltCurve_Q9HA77_CARS2.pdf", "Melting_Curves/meltCurve_Q9HA77_CARS2.pdf")</f>
        <v>Melting_Curves/meltCurve_Q9HA77_CARS2.pdf</v>
      </c>
    </row>
    <row r="4885" spans="1:28" x14ac:dyDescent="0.25">
      <c r="A4885" t="s">
        <v>4889</v>
      </c>
      <c r="B4885">
        <v>0.99796759195183404</v>
      </c>
      <c r="C4885">
        <v>0.96851427706983895</v>
      </c>
      <c r="D4885">
        <v>0.90782524567852896</v>
      </c>
      <c r="E4885">
        <v>0.91043326167308902</v>
      </c>
      <c r="F4885">
        <v>0.80947748425067101</v>
      </c>
      <c r="G4885">
        <v>0.65354772822743101</v>
      </c>
      <c r="H4885">
        <v>0.384034471342732</v>
      </c>
      <c r="I4885">
        <v>0.21356083620001301</v>
      </c>
      <c r="J4885">
        <v>0.189747100724836</v>
      </c>
      <c r="K4885">
        <v>0.17922940308986099</v>
      </c>
      <c r="L4885">
        <v>794.19933742503201</v>
      </c>
      <c r="M4885">
        <v>14.4863967892445</v>
      </c>
      <c r="N4885">
        <v>55.562888357626697</v>
      </c>
      <c r="O4885">
        <v>53.810847606734399</v>
      </c>
      <c r="P4885">
        <v>-6.1411572168868299E-2</v>
      </c>
      <c r="Q4885">
        <v>8.7633396606923195E-2</v>
      </c>
      <c r="R4885">
        <v>0.98831177713546303</v>
      </c>
      <c r="S4885" t="s">
        <v>10468</v>
      </c>
      <c r="T4885" t="s">
        <v>11164</v>
      </c>
      <c r="U4885" t="s">
        <v>11164</v>
      </c>
      <c r="V4885" t="s">
        <v>11164</v>
      </c>
      <c r="W4885" t="s">
        <v>16004</v>
      </c>
      <c r="X4885">
        <v>5</v>
      </c>
      <c r="Y4885" t="s">
        <v>21472</v>
      </c>
      <c r="Z4885" t="s">
        <v>27035</v>
      </c>
      <c r="AA4885">
        <v>0.64311921420822382</v>
      </c>
      <c r="AB4885" t="str">
        <f>HYPERLINK("Melting_Curves/meltCurve_Q9HAB8_PPCS.pdf", "Melting_Curves/meltCurve_Q9HAB8_PPCS.pdf")</f>
        <v>Melting_Curves/meltCurve_Q9HAB8_PPCS.pdf</v>
      </c>
    </row>
    <row r="4886" spans="1:28" x14ac:dyDescent="0.25">
      <c r="A4886" t="s">
        <v>4890</v>
      </c>
      <c r="B4886">
        <v>0.99796759195183404</v>
      </c>
      <c r="C4886">
        <v>1.01148504820606</v>
      </c>
      <c r="D4886">
        <v>1.04953897264802</v>
      </c>
      <c r="E4886">
        <v>0.89743748070993201</v>
      </c>
      <c r="F4886">
        <v>0.80052174791970598</v>
      </c>
      <c r="G4886">
        <v>0.55165037654138305</v>
      </c>
      <c r="H4886">
        <v>0.45466703312648798</v>
      </c>
      <c r="I4886">
        <v>0.31371744774141402</v>
      </c>
      <c r="J4886">
        <v>0.15962315937529301</v>
      </c>
      <c r="K4886">
        <v>0.106093372410755</v>
      </c>
      <c r="L4886">
        <v>655.56592401809201</v>
      </c>
      <c r="M4886">
        <v>11.734592991213701</v>
      </c>
      <c r="N4886">
        <v>55.8660982144293</v>
      </c>
      <c r="O4886">
        <v>54.317703038484602</v>
      </c>
      <c r="P4886">
        <v>-5.4023260613020999E-2</v>
      </c>
      <c r="Q4886">
        <v>0</v>
      </c>
      <c r="R4886">
        <v>0.98818818770049</v>
      </c>
      <c r="S4886" t="s">
        <v>10469</v>
      </c>
      <c r="T4886" t="s">
        <v>11164</v>
      </c>
      <c r="U4886" t="s">
        <v>11164</v>
      </c>
      <c r="V4886" t="s">
        <v>11164</v>
      </c>
      <c r="W4886" t="s">
        <v>16005</v>
      </c>
      <c r="X4886">
        <v>5</v>
      </c>
      <c r="Y4886" t="s">
        <v>21473</v>
      </c>
      <c r="Z4886" t="s">
        <v>27036</v>
      </c>
      <c r="AA4886">
        <v>0.63898348585789222</v>
      </c>
      <c r="AB4886" t="str">
        <f>HYPERLINK("Melting_Curves/meltCurve_Q9HAD4_WDR41.pdf", "Melting_Curves/meltCurve_Q9HAD4_WDR41.pdf")</f>
        <v>Melting_Curves/meltCurve_Q9HAD4_WDR41.pdf</v>
      </c>
    </row>
    <row r="4887" spans="1:28" x14ac:dyDescent="0.25">
      <c r="A4887" t="s">
        <v>4891</v>
      </c>
      <c r="B4887">
        <v>0.99796759195183404</v>
      </c>
      <c r="C4887">
        <v>1.01950041033564</v>
      </c>
      <c r="D4887">
        <v>0.73391797633334699</v>
      </c>
      <c r="E4887">
        <v>0.92457863204034296</v>
      </c>
      <c r="F4887">
        <v>0.82925642718501402</v>
      </c>
      <c r="G4887">
        <v>0.96923600461839998</v>
      </c>
      <c r="H4887">
        <v>1.0690825637588399</v>
      </c>
      <c r="I4887">
        <v>0.70243377289641395</v>
      </c>
      <c r="J4887">
        <v>0.65761277899589099</v>
      </c>
      <c r="K4887">
        <v>0.61215354108882503</v>
      </c>
      <c r="L4887">
        <v>666.19515338196004</v>
      </c>
      <c r="M4887">
        <v>9.5878146209394792</v>
      </c>
      <c r="O4887">
        <v>66.662540352906205</v>
      </c>
      <c r="P4887">
        <v>-3.5977076461959398E-2</v>
      </c>
      <c r="Q4887">
        <v>0</v>
      </c>
      <c r="R4887">
        <v>0.432031894752617</v>
      </c>
      <c r="S4887" t="s">
        <v>10470</v>
      </c>
      <c r="T4887" t="s">
        <v>11164</v>
      </c>
      <c r="U4887" t="s">
        <v>11164</v>
      </c>
      <c r="V4887" t="s">
        <v>11164</v>
      </c>
      <c r="W4887" t="s">
        <v>16006</v>
      </c>
      <c r="X4887">
        <v>4</v>
      </c>
      <c r="Y4887" t="s">
        <v>21474</v>
      </c>
      <c r="Z4887" t="s">
        <v>27037</v>
      </c>
      <c r="AA4887">
        <v>0.90172180710614036</v>
      </c>
      <c r="AB4887" t="str">
        <f>HYPERLINK("Melting_Curves/meltCurve_Q9HAF1_2_MEAF6.pdf", "Melting_Curves/meltCurve_Q9HAF1_2_MEAF6.pdf")</f>
        <v>Melting_Curves/meltCurve_Q9HAF1_2_MEAF6.pdf</v>
      </c>
    </row>
    <row r="4888" spans="1:28" x14ac:dyDescent="0.25">
      <c r="A4888" t="s">
        <v>4892</v>
      </c>
      <c r="B4888">
        <v>0.99796759195183404</v>
      </c>
      <c r="C4888">
        <v>1.0696225898110101</v>
      </c>
      <c r="D4888">
        <v>1.0197142318928401</v>
      </c>
      <c r="E4888">
        <v>0.88428365120951802</v>
      </c>
      <c r="F4888">
        <v>0.81451625702516395</v>
      </c>
      <c r="G4888">
        <v>0.40485101257707401</v>
      </c>
      <c r="H4888">
        <v>0.27518222014817201</v>
      </c>
      <c r="I4888">
        <v>0.25655013079262601</v>
      </c>
      <c r="J4888">
        <v>0.24117471158532899</v>
      </c>
      <c r="K4888">
        <v>0.15989401251537799</v>
      </c>
      <c r="L4888">
        <v>1365.3434358073901</v>
      </c>
      <c r="M4888">
        <v>26.289624956282001</v>
      </c>
      <c r="N4888">
        <v>53.025062780318599</v>
      </c>
      <c r="O4888">
        <v>51.636983723290498</v>
      </c>
      <c r="P4888">
        <v>-0.100705800195001</v>
      </c>
      <c r="Q4888">
        <v>0.208800226368069</v>
      </c>
      <c r="R4888">
        <v>0.985209271811604</v>
      </c>
      <c r="S4888" t="s">
        <v>10471</v>
      </c>
      <c r="T4888" t="s">
        <v>11164</v>
      </c>
      <c r="U4888" t="s">
        <v>11164</v>
      </c>
      <c r="V4888" t="s">
        <v>11164</v>
      </c>
      <c r="W4888" t="s">
        <v>16007</v>
      </c>
      <c r="X4888">
        <v>3</v>
      </c>
      <c r="Y4888" t="s">
        <v>21475</v>
      </c>
      <c r="Z4888" t="s">
        <v>27038</v>
      </c>
      <c r="AA4888">
        <v>0.6090728949566645</v>
      </c>
      <c r="AB4888" t="str">
        <f>HYPERLINK("Melting_Curves/meltCurve_Q9HAT8_PELI2.pdf", "Melting_Curves/meltCurve_Q9HAT8_PELI2.pdf")</f>
        <v>Melting_Curves/meltCurve_Q9HAT8_PELI2.pdf</v>
      </c>
    </row>
    <row r="4889" spans="1:28" x14ac:dyDescent="0.25">
      <c r="A4889" t="s">
        <v>4893</v>
      </c>
      <c r="B4889">
        <v>0.99796759195183404</v>
      </c>
      <c r="C4889">
        <v>1.0091081633194701</v>
      </c>
      <c r="D4889">
        <v>1.0262225938085801</v>
      </c>
      <c r="E4889">
        <v>1.05737538895795</v>
      </c>
      <c r="F4889">
        <v>0.89498667380554298</v>
      </c>
      <c r="G4889">
        <v>0.79152592516213305</v>
      </c>
      <c r="H4889">
        <v>0.78479775654573702</v>
      </c>
      <c r="I4889">
        <v>0.28426516185566902</v>
      </c>
      <c r="J4889">
        <v>6.4250359840984705E-2</v>
      </c>
      <c r="K4889">
        <v>5.5345517694889303E-2</v>
      </c>
      <c r="L4889">
        <v>1616.2422073437599</v>
      </c>
      <c r="M4889">
        <v>27.3100171200504</v>
      </c>
      <c r="N4889">
        <v>59.181274509628501</v>
      </c>
      <c r="O4889">
        <v>58.866708866819302</v>
      </c>
      <c r="P4889">
        <v>-0.115983533677638</v>
      </c>
      <c r="Q4889">
        <v>0</v>
      </c>
      <c r="R4889">
        <v>0.96903060213126702</v>
      </c>
      <c r="S4889" t="s">
        <v>10472</v>
      </c>
      <c r="T4889" t="s">
        <v>11164</v>
      </c>
      <c r="U4889" t="s">
        <v>11164</v>
      </c>
      <c r="V4889" t="s">
        <v>11164</v>
      </c>
      <c r="W4889" t="s">
        <v>16008</v>
      </c>
      <c r="X4889">
        <v>7</v>
      </c>
      <c r="Y4889" t="s">
        <v>21476</v>
      </c>
      <c r="Z4889" t="s">
        <v>27039</v>
      </c>
      <c r="AA4889">
        <v>0.74413895420381004</v>
      </c>
      <c r="AB4889" t="str">
        <f>HYPERLINK("Melting_Curves/meltCurve_Q9HAV0_GNB4.pdf", "Melting_Curves/meltCurve_Q9HAV0_GNB4.pdf")</f>
        <v>Melting_Curves/meltCurve_Q9HAV0_GNB4.pdf</v>
      </c>
    </row>
    <row r="4890" spans="1:28" x14ac:dyDescent="0.25">
      <c r="A4890" t="s">
        <v>4894</v>
      </c>
      <c r="B4890">
        <v>0.99796759195183404</v>
      </c>
      <c r="C4890">
        <v>1.0119241835516399</v>
      </c>
      <c r="D4890">
        <v>0.99382676992974806</v>
      </c>
      <c r="E4890">
        <v>0.939582388383983</v>
      </c>
      <c r="F4890">
        <v>0.84761499458183298</v>
      </c>
      <c r="G4890">
        <v>0.31872921386912501</v>
      </c>
      <c r="H4890">
        <v>0.20255764421005401</v>
      </c>
      <c r="I4890">
        <v>0.16043605412287301</v>
      </c>
      <c r="J4890">
        <v>0.13222102082414899</v>
      </c>
      <c r="K4890">
        <v>9.1582323613573005E-2</v>
      </c>
      <c r="L4890">
        <v>1972.0529952465899</v>
      </c>
      <c r="M4890">
        <v>37.858838232543697</v>
      </c>
      <c r="N4890">
        <v>52.531328173836002</v>
      </c>
      <c r="O4890">
        <v>51.944935084194299</v>
      </c>
      <c r="P4890">
        <v>-0.15736976777547601</v>
      </c>
      <c r="Q4890">
        <v>0.136313561707498</v>
      </c>
      <c r="R4890">
        <v>0.99525077604834999</v>
      </c>
      <c r="S4890" t="s">
        <v>10473</v>
      </c>
      <c r="T4890" t="s">
        <v>11164</v>
      </c>
      <c r="U4890" t="s">
        <v>11164</v>
      </c>
      <c r="V4890" t="s">
        <v>11164</v>
      </c>
      <c r="W4890" t="s">
        <v>16009</v>
      </c>
      <c r="X4890">
        <v>31</v>
      </c>
      <c r="Y4890" t="s">
        <v>21477</v>
      </c>
      <c r="Z4890" t="s">
        <v>27040</v>
      </c>
      <c r="AA4890">
        <v>0.57419791154327626</v>
      </c>
      <c r="AB4890" t="str">
        <f>HYPERLINK("Melting_Curves/meltCurve_Q9HAV4_XPO5.pdf", "Melting_Curves/meltCurve_Q9HAV4_XPO5.pdf")</f>
        <v>Melting_Curves/meltCurve_Q9HAV4_XPO5.pdf</v>
      </c>
    </row>
    <row r="4891" spans="1:28" x14ac:dyDescent="0.25">
      <c r="A4891" t="s">
        <v>4895</v>
      </c>
      <c r="B4891">
        <v>0.99796759195183404</v>
      </c>
      <c r="C4891">
        <v>1.1229832061257199</v>
      </c>
      <c r="D4891">
        <v>1.09115318970216</v>
      </c>
      <c r="E4891">
        <v>0.870939780254537</v>
      </c>
      <c r="F4891">
        <v>0.80071379713747703</v>
      </c>
      <c r="G4891">
        <v>0.74857956017465199</v>
      </c>
      <c r="H4891">
        <v>0.68928482247535405</v>
      </c>
      <c r="I4891">
        <v>0.50568225861973104</v>
      </c>
      <c r="J4891">
        <v>0.66447427610947996</v>
      </c>
      <c r="K4891">
        <v>0.40521540176063198</v>
      </c>
      <c r="L4891">
        <v>598.12302545843295</v>
      </c>
      <c r="M4891">
        <v>10.8871565498052</v>
      </c>
      <c r="N4891">
        <v>66.625641450655905</v>
      </c>
      <c r="O4891">
        <v>53.1823738850699</v>
      </c>
      <c r="P4891">
        <v>-2.93895807158094E-2</v>
      </c>
      <c r="Q4891">
        <v>0.42594407874708501</v>
      </c>
      <c r="R4891">
        <v>0.86092401214384795</v>
      </c>
      <c r="S4891" t="s">
        <v>10474</v>
      </c>
      <c r="T4891" t="s">
        <v>11164</v>
      </c>
      <c r="U4891" t="s">
        <v>11164</v>
      </c>
      <c r="V4891" t="s">
        <v>11164</v>
      </c>
      <c r="W4891" t="s">
        <v>16010</v>
      </c>
      <c r="X4891">
        <v>1</v>
      </c>
      <c r="Y4891" t="s">
        <v>21478</v>
      </c>
      <c r="Z4891" t="s">
        <v>27041</v>
      </c>
      <c r="AA4891">
        <v>0.77704715871623631</v>
      </c>
      <c r="AB4891" t="str">
        <f>HYPERLINK("Melting_Curves/meltCurve_Q9HAV5_EDA2R.pdf", "Melting_Curves/meltCurve_Q9HAV5_EDA2R.pdf")</f>
        <v>Melting_Curves/meltCurve_Q9HAV5_EDA2R.pdf</v>
      </c>
    </row>
    <row r="4892" spans="1:28" x14ac:dyDescent="0.25">
      <c r="A4892" t="s">
        <v>4896</v>
      </c>
      <c r="B4892">
        <v>0.99796759195183404</v>
      </c>
      <c r="C4892">
        <v>1.2124813169920801</v>
      </c>
      <c r="D4892">
        <v>1.0938121217114001</v>
      </c>
      <c r="E4892">
        <v>1.0408689261338899</v>
      </c>
      <c r="F4892">
        <v>0.98518042415373897</v>
      </c>
      <c r="G4892">
        <v>0.67131198278570603</v>
      </c>
      <c r="H4892">
        <v>0.215642930505723</v>
      </c>
      <c r="I4892">
        <v>0.134176852092382</v>
      </c>
      <c r="J4892">
        <v>0.11406205677390301</v>
      </c>
      <c r="K4892">
        <v>0.101065355968879</v>
      </c>
      <c r="L4892">
        <v>2226.4409084203598</v>
      </c>
      <c r="M4892">
        <v>40.8378475741155</v>
      </c>
      <c r="N4892">
        <v>54.860324974660699</v>
      </c>
      <c r="O4892">
        <v>54.3888352996062</v>
      </c>
      <c r="P4892">
        <v>-0.166657261024896</v>
      </c>
      <c r="Q4892">
        <v>0.112169316705742</v>
      </c>
      <c r="R4892">
        <v>0.97113844456046206</v>
      </c>
      <c r="S4892" t="s">
        <v>10475</v>
      </c>
      <c r="T4892" t="s">
        <v>11164</v>
      </c>
      <c r="U4892" t="s">
        <v>11164</v>
      </c>
      <c r="V4892" t="s">
        <v>11164</v>
      </c>
      <c r="W4892" t="s">
        <v>16011</v>
      </c>
      <c r="X4892">
        <v>18</v>
      </c>
      <c r="Y4892" t="s">
        <v>21479</v>
      </c>
      <c r="Z4892" t="s">
        <v>27042</v>
      </c>
      <c r="AA4892">
        <v>0.63381259016742442</v>
      </c>
      <c r="AB4892" t="str">
        <f>HYPERLINK("Melting_Curves/meltCurve_Q9HAV7_GRPEL1.pdf", "Melting_Curves/meltCurve_Q9HAV7_GRPEL1.pdf")</f>
        <v>Melting_Curves/meltCurve_Q9HAV7_GRPEL1.pdf</v>
      </c>
    </row>
    <row r="4893" spans="1:28" x14ac:dyDescent="0.25">
      <c r="A4893" t="s">
        <v>4897</v>
      </c>
      <c r="B4893">
        <v>0.99796759195183404</v>
      </c>
      <c r="C4893">
        <v>1.00892381504717</v>
      </c>
      <c r="D4893">
        <v>1.0205784321206799</v>
      </c>
      <c r="E4893">
        <v>0.96718815330775598</v>
      </c>
      <c r="F4893">
        <v>0.833729577681806</v>
      </c>
      <c r="G4893">
        <v>0.65637399451563305</v>
      </c>
      <c r="H4893">
        <v>0.55722878698305101</v>
      </c>
      <c r="I4893">
        <v>0.36009438521187198</v>
      </c>
      <c r="J4893">
        <v>0.236411160688306</v>
      </c>
      <c r="K4893">
        <v>0.14052357966968401</v>
      </c>
      <c r="L4893">
        <v>673.88298427325697</v>
      </c>
      <c r="M4893">
        <v>11.6762429966991</v>
      </c>
      <c r="N4893">
        <v>57.714025431558198</v>
      </c>
      <c r="O4893">
        <v>56.099123206285199</v>
      </c>
      <c r="P4893">
        <v>-5.2047927312392703E-2</v>
      </c>
      <c r="Q4893">
        <v>0</v>
      </c>
      <c r="R4893">
        <v>0.99316829761924696</v>
      </c>
      <c r="S4893" t="s">
        <v>10476</v>
      </c>
      <c r="T4893" t="s">
        <v>11164</v>
      </c>
      <c r="U4893" t="s">
        <v>11164</v>
      </c>
      <c r="V4893" t="s">
        <v>11164</v>
      </c>
      <c r="W4893" t="s">
        <v>16012</v>
      </c>
      <c r="X4893">
        <v>17</v>
      </c>
      <c r="Y4893" t="s">
        <v>21480</v>
      </c>
      <c r="Z4893" t="s">
        <v>27043</v>
      </c>
      <c r="AA4893">
        <v>0.69008096519846229</v>
      </c>
      <c r="AB4893" t="str">
        <f>HYPERLINK("Melting_Curves/meltCurve_Q9HB07_C12orf10.pdf", "Melting_Curves/meltCurve_Q9HB07_C12orf10.pdf")</f>
        <v>Melting_Curves/meltCurve_Q9HB07_C12orf10.pdf</v>
      </c>
    </row>
    <row r="4894" spans="1:28" x14ac:dyDescent="0.25">
      <c r="A4894" t="s">
        <v>4898</v>
      </c>
      <c r="B4894">
        <v>0.99796759195183404</v>
      </c>
      <c r="C4894">
        <v>0.986049850020709</v>
      </c>
      <c r="D4894">
        <v>1.0919418964671599</v>
      </c>
      <c r="E4894">
        <v>0.90835100295322602</v>
      </c>
      <c r="F4894">
        <v>0.78398224680796402</v>
      </c>
      <c r="G4894">
        <v>0.45957570254293301</v>
      </c>
      <c r="H4894">
        <v>0.35084378310300501</v>
      </c>
      <c r="I4894">
        <v>0.27796320218423798</v>
      </c>
      <c r="J4894">
        <v>0.25896708374386701</v>
      </c>
      <c r="K4894">
        <v>0.260077535191238</v>
      </c>
      <c r="L4894">
        <v>1210.0749807307</v>
      </c>
      <c r="M4894">
        <v>23.342278974731101</v>
      </c>
      <c r="N4894">
        <v>53.503500978745699</v>
      </c>
      <c r="O4894">
        <v>51.464489538648799</v>
      </c>
      <c r="P4894">
        <v>-8.4140724760359401E-2</v>
      </c>
      <c r="Q4894">
        <v>0.25796729832052501</v>
      </c>
      <c r="R4894">
        <v>0.98806191350126404</v>
      </c>
      <c r="S4894" t="s">
        <v>10477</v>
      </c>
      <c r="T4894" t="s">
        <v>11164</v>
      </c>
      <c r="U4894" t="s">
        <v>11164</v>
      </c>
      <c r="V4894" t="s">
        <v>11164</v>
      </c>
      <c r="W4894" t="s">
        <v>16013</v>
      </c>
      <c r="X4894">
        <v>2</v>
      </c>
      <c r="Y4894" t="s">
        <v>21481</v>
      </c>
      <c r="Z4894" t="s">
        <v>27044</v>
      </c>
      <c r="AA4894">
        <v>0.63246319750445468</v>
      </c>
      <c r="AB4894" t="str">
        <f>HYPERLINK("Melting_Curves/meltCurve_Q9HB09_BCL2L12.pdf", "Melting_Curves/meltCurve_Q9HB09_BCL2L12.pdf")</f>
        <v>Melting_Curves/meltCurve_Q9HB09_BCL2L12.pdf</v>
      </c>
    </row>
    <row r="4895" spans="1:28" x14ac:dyDescent="0.25">
      <c r="A4895" t="s">
        <v>4899</v>
      </c>
      <c r="B4895">
        <v>0.99796759195183404</v>
      </c>
      <c r="C4895">
        <v>1.2608854169236501</v>
      </c>
      <c r="D4895">
        <v>1.0855609112639799</v>
      </c>
      <c r="E4895">
        <v>0.89386848431769395</v>
      </c>
      <c r="F4895">
        <v>0.62561075651320297</v>
      </c>
      <c r="G4895">
        <v>0.31249298618549898</v>
      </c>
      <c r="H4895">
        <v>0.23258054487510299</v>
      </c>
      <c r="I4895">
        <v>0.20699437151508801</v>
      </c>
      <c r="J4895">
        <v>0.198843350419353</v>
      </c>
      <c r="K4895">
        <v>0.109588295569381</v>
      </c>
      <c r="L4895">
        <v>1284.82446966928</v>
      </c>
      <c r="M4895">
        <v>25.4070765533254</v>
      </c>
      <c r="N4895">
        <v>51.419891325216298</v>
      </c>
      <c r="O4895">
        <v>50.259403905107298</v>
      </c>
      <c r="P4895">
        <v>-0.104703202036122</v>
      </c>
      <c r="Q4895">
        <v>0.17152955949554499</v>
      </c>
      <c r="R4895">
        <v>0.95046314477987504</v>
      </c>
      <c r="S4895" t="s">
        <v>10478</v>
      </c>
      <c r="T4895" t="s">
        <v>11164</v>
      </c>
      <c r="U4895" t="s">
        <v>11164</v>
      </c>
      <c r="V4895" t="s">
        <v>11164</v>
      </c>
      <c r="W4895" t="s">
        <v>16014</v>
      </c>
      <c r="X4895">
        <v>3</v>
      </c>
      <c r="Y4895" t="s">
        <v>21482</v>
      </c>
      <c r="Z4895" t="s">
        <v>27045</v>
      </c>
      <c r="AA4895">
        <v>0.55332870984108307</v>
      </c>
      <c r="AB4895" t="str">
        <f>HYPERLINK("Melting_Curves/meltCurve_Q9HB20_PLEKHA3.pdf", "Melting_Curves/meltCurve_Q9HB20_PLEKHA3.pdf")</f>
        <v>Melting_Curves/meltCurve_Q9HB20_PLEKHA3.pdf</v>
      </c>
    </row>
    <row r="4896" spans="1:28" x14ac:dyDescent="0.25">
      <c r="A4896" t="s">
        <v>4900</v>
      </c>
      <c r="B4896">
        <v>0.99796759195183404</v>
      </c>
      <c r="C4896">
        <v>0.95588835959436103</v>
      </c>
      <c r="D4896">
        <v>0.93485154467697495</v>
      </c>
      <c r="E4896">
        <v>0.89715541290918799</v>
      </c>
      <c r="F4896">
        <v>0.761573621062828</v>
      </c>
      <c r="G4896">
        <v>0.69620209028809898</v>
      </c>
      <c r="H4896">
        <v>0.68765074692627104</v>
      </c>
      <c r="I4896">
        <v>0.63910335447288102</v>
      </c>
      <c r="J4896">
        <v>0.53835201195944504</v>
      </c>
      <c r="K4896">
        <v>0.18947063411932799</v>
      </c>
      <c r="L4896">
        <v>414.78636711694799</v>
      </c>
      <c r="M4896">
        <v>6.6859165399656204</v>
      </c>
      <c r="N4896">
        <v>62.038818983132998</v>
      </c>
      <c r="O4896">
        <v>57.195060848357301</v>
      </c>
      <c r="P4896">
        <v>-2.9288256674899801E-2</v>
      </c>
      <c r="Q4896">
        <v>0</v>
      </c>
      <c r="R4896">
        <v>0.87554280293722897</v>
      </c>
      <c r="S4896" t="s">
        <v>10479</v>
      </c>
      <c r="T4896" t="s">
        <v>11164</v>
      </c>
      <c r="U4896" t="s">
        <v>11164</v>
      </c>
      <c r="V4896" t="s">
        <v>11164</v>
      </c>
      <c r="W4896" t="s">
        <v>16015</v>
      </c>
      <c r="X4896">
        <v>4</v>
      </c>
      <c r="Y4896" t="s">
        <v>21483</v>
      </c>
      <c r="Z4896" t="s">
        <v>27046</v>
      </c>
      <c r="AA4896">
        <v>0.74596252815654496</v>
      </c>
      <c r="AB4896" t="str">
        <f>HYPERLINK("Melting_Curves/meltCurve_Q9HB40_SCPEP1.pdf", "Melting_Curves/meltCurve_Q9HB40_SCPEP1.pdf")</f>
        <v>Melting_Curves/meltCurve_Q9HB40_SCPEP1.pdf</v>
      </c>
    </row>
    <row r="4897" spans="1:28" x14ac:dyDescent="0.25">
      <c r="A4897" t="s">
        <v>4901</v>
      </c>
      <c r="B4897">
        <v>0.99796759195183404</v>
      </c>
      <c r="C4897">
        <v>1.0590042979086001</v>
      </c>
      <c r="D4897">
        <v>1.0580214320438299</v>
      </c>
      <c r="E4897">
        <v>1.04131745681933</v>
      </c>
      <c r="F4897">
        <v>0.85640237211303205</v>
      </c>
      <c r="G4897">
        <v>0.59856315789278003</v>
      </c>
      <c r="H4897">
        <v>0.37288441168348002</v>
      </c>
      <c r="I4897">
        <v>0.14872297089032199</v>
      </c>
      <c r="J4897">
        <v>0.111977611459632</v>
      </c>
      <c r="K4897">
        <v>9.0356431076664204E-2</v>
      </c>
      <c r="L4897">
        <v>1098.9105474789501</v>
      </c>
      <c r="M4897">
        <v>20.035485138940999</v>
      </c>
      <c r="N4897">
        <v>55.216850315339997</v>
      </c>
      <c r="O4897">
        <v>54.310578155811903</v>
      </c>
      <c r="P4897">
        <v>-8.6456013958288905E-2</v>
      </c>
      <c r="Q4897">
        <v>6.25983249031411E-2</v>
      </c>
      <c r="R4897">
        <v>0.990689244304507</v>
      </c>
      <c r="S4897" t="s">
        <v>10480</v>
      </c>
      <c r="T4897" t="s">
        <v>11164</v>
      </c>
      <c r="U4897" t="s">
        <v>11164</v>
      </c>
      <c r="V4897" t="s">
        <v>11164</v>
      </c>
      <c r="W4897" t="s">
        <v>16016</v>
      </c>
      <c r="X4897">
        <v>16</v>
      </c>
      <c r="Y4897" t="s">
        <v>21484</v>
      </c>
      <c r="Z4897" t="s">
        <v>27047</v>
      </c>
      <c r="AA4897">
        <v>0.6310337250795357</v>
      </c>
      <c r="AB4897" t="str">
        <f>HYPERLINK("Melting_Curves/meltCurve_Q9HB71_CACYBP.pdf", "Melting_Curves/meltCurve_Q9HB71_CACYBP.pdf")</f>
        <v>Melting_Curves/meltCurve_Q9HB71_CACYBP.pdf</v>
      </c>
    </row>
    <row r="4898" spans="1:28" x14ac:dyDescent="0.25">
      <c r="A4898" t="s">
        <v>4902</v>
      </c>
      <c r="B4898">
        <v>0.99796759195183404</v>
      </c>
      <c r="C4898">
        <v>1.0434645752460801</v>
      </c>
      <c r="D4898">
        <v>1.06782584645463</v>
      </c>
      <c r="E4898">
        <v>1.03303788933069</v>
      </c>
      <c r="F4898">
        <v>0.989811364501475</v>
      </c>
      <c r="G4898">
        <v>0.79525018038495399</v>
      </c>
      <c r="H4898">
        <v>0.98484633960096102</v>
      </c>
      <c r="I4898">
        <v>1.01572290571712</v>
      </c>
      <c r="J4898">
        <v>1.174818766522</v>
      </c>
      <c r="K4898">
        <v>0.67163627477234</v>
      </c>
      <c r="L4898">
        <v>15000</v>
      </c>
      <c r="M4898">
        <v>223.16493184831299</v>
      </c>
      <c r="Q4898">
        <v>0</v>
      </c>
      <c r="R4898">
        <v>0.56017168878017498</v>
      </c>
      <c r="S4898" t="s">
        <v>10481</v>
      </c>
      <c r="T4898" t="s">
        <v>11164</v>
      </c>
      <c r="U4898" t="s">
        <v>11164</v>
      </c>
      <c r="V4898" t="s">
        <v>11164</v>
      </c>
      <c r="W4898" t="s">
        <v>16017</v>
      </c>
      <c r="X4898">
        <v>5</v>
      </c>
      <c r="Y4898" t="s">
        <v>21485</v>
      </c>
      <c r="Z4898" t="s">
        <v>27048</v>
      </c>
      <c r="AA4898">
        <v>0.99606818792189922</v>
      </c>
      <c r="AB4898" t="str">
        <f>HYPERLINK("Melting_Curves/meltCurve_Q9HB90_RRAGC.pdf", "Melting_Curves/meltCurve_Q9HB90_RRAGC.pdf")</f>
        <v>Melting_Curves/meltCurve_Q9HB90_RRAGC.pdf</v>
      </c>
    </row>
    <row r="4899" spans="1:28" x14ac:dyDescent="0.25">
      <c r="A4899" t="s">
        <v>4903</v>
      </c>
      <c r="B4899">
        <v>0.99796759195183404</v>
      </c>
      <c r="C4899">
        <v>0.88920820383203003</v>
      </c>
      <c r="D4899">
        <v>0.91754995389395699</v>
      </c>
      <c r="E4899">
        <v>0.838724989645242</v>
      </c>
      <c r="F4899">
        <v>0.67122692640206705</v>
      </c>
      <c r="G4899">
        <v>0.54834837256312796</v>
      </c>
      <c r="H4899">
        <v>0.52642529625372003</v>
      </c>
      <c r="I4899">
        <v>0.44869046047968297</v>
      </c>
      <c r="J4899">
        <v>0.483136747054772</v>
      </c>
      <c r="K4899">
        <v>0.39364022470000198</v>
      </c>
      <c r="L4899">
        <v>516.448589081318</v>
      </c>
      <c r="M4899">
        <v>10.338166792038701</v>
      </c>
      <c r="N4899">
        <v>57.962699393538799</v>
      </c>
      <c r="O4899">
        <v>48.1947247576243</v>
      </c>
      <c r="P4899">
        <v>-3.3256359044456001E-2</v>
      </c>
      <c r="Q4899">
        <v>0.38012404181236997</v>
      </c>
      <c r="R4899">
        <v>0.97484110486632203</v>
      </c>
      <c r="S4899" t="s">
        <v>10482</v>
      </c>
      <c r="T4899" t="s">
        <v>11164</v>
      </c>
      <c r="U4899" t="s">
        <v>11164</v>
      </c>
      <c r="V4899" t="s">
        <v>11164</v>
      </c>
      <c r="W4899" t="s">
        <v>16018</v>
      </c>
      <c r="X4899">
        <v>2</v>
      </c>
      <c r="Y4899" t="s">
        <v>21486</v>
      </c>
      <c r="Z4899" t="s">
        <v>27049</v>
      </c>
      <c r="AA4899">
        <v>0.6682723845059606</v>
      </c>
      <c r="AB4899" t="str">
        <f>HYPERLINK("Melting_Curves/meltCurve_Q9HBD4_SMARCA4.pdf", "Melting_Curves/meltCurve_Q9HBD4_SMARCA4.pdf")</f>
        <v>Melting_Curves/meltCurve_Q9HBD4_SMARCA4.pdf</v>
      </c>
    </row>
    <row r="4900" spans="1:28" x14ac:dyDescent="0.25">
      <c r="A4900" t="s">
        <v>4904</v>
      </c>
      <c r="B4900">
        <v>0.99796759195183404</v>
      </c>
      <c r="C4900">
        <v>0.98997386430635204</v>
      </c>
      <c r="D4900">
        <v>0.91905966999247801</v>
      </c>
      <c r="E4900">
        <v>0.90245207039505904</v>
      </c>
      <c r="F4900">
        <v>0.77652070725051503</v>
      </c>
      <c r="G4900">
        <v>0.62698028850344401</v>
      </c>
      <c r="H4900">
        <v>0.51383730891718704</v>
      </c>
      <c r="I4900">
        <v>0.37170128517310203</v>
      </c>
      <c r="J4900">
        <v>0.29096612169066399</v>
      </c>
      <c r="K4900">
        <v>0.16445169018376099</v>
      </c>
      <c r="L4900">
        <v>523.94763207080496</v>
      </c>
      <c r="M4900">
        <v>9.15825558534954</v>
      </c>
      <c r="N4900">
        <v>57.210405775117501</v>
      </c>
      <c r="O4900">
        <v>54.680773918314301</v>
      </c>
      <c r="P4900">
        <v>-4.1899919525458698E-2</v>
      </c>
      <c r="Q4900">
        <v>0</v>
      </c>
      <c r="R4900">
        <v>0.99470142517903304</v>
      </c>
      <c r="S4900" t="s">
        <v>10483</v>
      </c>
      <c r="T4900" t="s">
        <v>11164</v>
      </c>
      <c r="U4900" t="s">
        <v>11164</v>
      </c>
      <c r="V4900" t="s">
        <v>11164</v>
      </c>
      <c r="W4900" t="s">
        <v>16019</v>
      </c>
      <c r="X4900">
        <v>11</v>
      </c>
      <c r="Y4900" t="s">
        <v>21487</v>
      </c>
      <c r="Z4900" t="s">
        <v>27050</v>
      </c>
      <c r="AA4900">
        <v>0.66756567794350885</v>
      </c>
      <c r="AB4900" t="str">
        <f>HYPERLINK("Melting_Curves/meltCurve_Q9HBH1_PDF.pdf", "Melting_Curves/meltCurve_Q9HBH1_PDF.pdf")</f>
        <v>Melting_Curves/meltCurve_Q9HBH1_PDF.pdf</v>
      </c>
    </row>
    <row r="4901" spans="1:28" x14ac:dyDescent="0.25">
      <c r="A4901" t="s">
        <v>4905</v>
      </c>
      <c r="B4901">
        <v>0.99796759195183404</v>
      </c>
      <c r="C4901">
        <v>1.07658158730241</v>
      </c>
      <c r="D4901">
        <v>1.0380566925019401</v>
      </c>
      <c r="E4901">
        <v>1.0273600715659399</v>
      </c>
      <c r="F4901">
        <v>0.89457137024838795</v>
      </c>
      <c r="G4901">
        <v>0.42286423648523502</v>
      </c>
      <c r="H4901">
        <v>0.150789060314969</v>
      </c>
      <c r="I4901">
        <v>0.109559783354228</v>
      </c>
      <c r="J4901">
        <v>9.4685632567279604E-2</v>
      </c>
      <c r="K4901">
        <v>6.2300684374244797E-2</v>
      </c>
      <c r="L4901">
        <v>1912.67297885888</v>
      </c>
      <c r="M4901">
        <v>36.075010610233001</v>
      </c>
      <c r="N4901">
        <v>53.3031016674569</v>
      </c>
      <c r="O4901">
        <v>52.857205637102801</v>
      </c>
      <c r="P4901">
        <v>-0.15571775347717301</v>
      </c>
      <c r="Q4901">
        <v>8.73705747061789E-2</v>
      </c>
      <c r="R4901">
        <v>0.99493213222293397</v>
      </c>
      <c r="S4901" t="s">
        <v>10484</v>
      </c>
      <c r="T4901" t="s">
        <v>11164</v>
      </c>
      <c r="U4901" t="s">
        <v>11164</v>
      </c>
      <c r="V4901" t="s">
        <v>11164</v>
      </c>
      <c r="W4901" t="s">
        <v>16020</v>
      </c>
      <c r="X4901">
        <v>13</v>
      </c>
      <c r="Y4901" t="s">
        <v>21488</v>
      </c>
      <c r="Z4901" t="s">
        <v>27051</v>
      </c>
      <c r="AA4901">
        <v>0.57877463930353101</v>
      </c>
      <c r="AB4901" t="str">
        <f>HYPERLINK("Melting_Curves/meltCurve_Q9HBH5_RDH14.pdf", "Melting_Curves/meltCurve_Q9HBH5_RDH14.pdf")</f>
        <v>Melting_Curves/meltCurve_Q9HBH5_RDH14.pdf</v>
      </c>
    </row>
    <row r="4902" spans="1:28" x14ac:dyDescent="0.25">
      <c r="A4902" t="s">
        <v>4906</v>
      </c>
      <c r="B4902">
        <v>0.99796759195183404</v>
      </c>
      <c r="C4902">
        <v>0.99374276545549101</v>
      </c>
      <c r="D4902">
        <v>0.99996986705722402</v>
      </c>
      <c r="E4902">
        <v>0.89678704394102104</v>
      </c>
      <c r="F4902">
        <v>0.99499398648330295</v>
      </c>
      <c r="G4902">
        <v>0.33917572792072098</v>
      </c>
      <c r="H4902">
        <v>0.30893755307369603</v>
      </c>
      <c r="I4902">
        <v>0.25696129035699</v>
      </c>
      <c r="J4902">
        <v>0.27233805606443801</v>
      </c>
      <c r="K4902">
        <v>0.180011735870727</v>
      </c>
      <c r="L4902">
        <v>5035.5310092916197</v>
      </c>
      <c r="M4902">
        <v>95.645922590579502</v>
      </c>
      <c r="N4902">
        <v>53.041896633419498</v>
      </c>
      <c r="O4902">
        <v>52.6246254262511</v>
      </c>
      <c r="P4902">
        <v>-0.33877916444787098</v>
      </c>
      <c r="Q4902">
        <v>0.25441148017002801</v>
      </c>
      <c r="R4902">
        <v>0.98459047854913795</v>
      </c>
      <c r="S4902" t="s">
        <v>10485</v>
      </c>
      <c r="T4902" t="s">
        <v>11164</v>
      </c>
      <c r="U4902" t="s">
        <v>11164</v>
      </c>
      <c r="V4902" t="s">
        <v>11164</v>
      </c>
      <c r="W4902" t="s">
        <v>16021</v>
      </c>
      <c r="X4902">
        <v>2</v>
      </c>
      <c r="Y4902" t="s">
        <v>21489</v>
      </c>
      <c r="Z4902" t="s">
        <v>27052</v>
      </c>
      <c r="AA4902">
        <v>0.64377248103957774</v>
      </c>
      <c r="AB4902" t="str">
        <f>HYPERLINK("Melting_Curves/meltCurve_Q9HBI1_3_PARVB.pdf", "Melting_Curves/meltCurve_Q9HBI1_3_PARVB.pdf")</f>
        <v>Melting_Curves/meltCurve_Q9HBI1_3_PARVB.pdf</v>
      </c>
    </row>
    <row r="4903" spans="1:28" x14ac:dyDescent="0.25">
      <c r="A4903" t="s">
        <v>4907</v>
      </c>
      <c r="B4903">
        <v>0.99796759195183404</v>
      </c>
      <c r="C4903">
        <v>1.07901581840178</v>
      </c>
      <c r="D4903">
        <v>1.03725211943469</v>
      </c>
      <c r="E4903">
        <v>0.94649933456141899</v>
      </c>
      <c r="F4903">
        <v>0.44412109130542599</v>
      </c>
      <c r="G4903">
        <v>0.26733490039994801</v>
      </c>
      <c r="H4903">
        <v>0.17330107214850299</v>
      </c>
      <c r="I4903">
        <v>0.151977091558229</v>
      </c>
      <c r="J4903">
        <v>0.11605713982754</v>
      </c>
      <c r="K4903">
        <v>7.5703798044937695E-2</v>
      </c>
      <c r="L4903">
        <v>1655.2604525440199</v>
      </c>
      <c r="M4903">
        <v>33.3930388096679</v>
      </c>
      <c r="N4903">
        <v>50.055302573911298</v>
      </c>
      <c r="O4903">
        <v>49.392272487399801</v>
      </c>
      <c r="P4903">
        <v>-0.145607312885073</v>
      </c>
      <c r="Q4903">
        <v>0.138521596567732</v>
      </c>
      <c r="R4903">
        <v>0.98738050027896895</v>
      </c>
      <c r="S4903" t="s">
        <v>10486</v>
      </c>
      <c r="T4903" t="s">
        <v>11164</v>
      </c>
      <c r="U4903" t="s">
        <v>11164</v>
      </c>
      <c r="V4903" t="s">
        <v>11164</v>
      </c>
      <c r="W4903" t="s">
        <v>16022</v>
      </c>
      <c r="X4903">
        <v>8</v>
      </c>
      <c r="Y4903" t="s">
        <v>21490</v>
      </c>
      <c r="Z4903" t="s">
        <v>27053</v>
      </c>
      <c r="AA4903">
        <v>0.50369213309248617</v>
      </c>
      <c r="AB4903" t="str">
        <f>HYPERLINK("Melting_Curves/meltCurve_Q9HBK9_AS3MT.pdf", "Melting_Curves/meltCurve_Q9HBK9_AS3MT.pdf")</f>
        <v>Melting_Curves/meltCurve_Q9HBK9_AS3MT.pdf</v>
      </c>
    </row>
    <row r="4904" spans="1:28" x14ac:dyDescent="0.25">
      <c r="A4904" t="s">
        <v>4908</v>
      </c>
      <c r="B4904">
        <v>0.99796759195183404</v>
      </c>
      <c r="C4904">
        <v>1.02932160966668</v>
      </c>
      <c r="D4904">
        <v>1.06143188821866</v>
      </c>
      <c r="E4904">
        <v>0.92379795938685105</v>
      </c>
      <c r="F4904">
        <v>0.79007601478970202</v>
      </c>
      <c r="G4904">
        <v>0.65015291205417103</v>
      </c>
      <c r="H4904">
        <v>0.617377246174867</v>
      </c>
      <c r="I4904">
        <v>0.50856133973930295</v>
      </c>
      <c r="J4904">
        <v>0.54197294119188999</v>
      </c>
      <c r="K4904">
        <v>0.54032877905856402</v>
      </c>
      <c r="L4904">
        <v>1022.26112738116</v>
      </c>
      <c r="M4904">
        <v>20.0774139951805</v>
      </c>
      <c r="O4904">
        <v>50.418935849714998</v>
      </c>
      <c r="P4904">
        <v>-4.6551808935795302E-2</v>
      </c>
      <c r="Q4904">
        <v>0.53240643795866505</v>
      </c>
      <c r="R4904">
        <v>0.97753970939194701</v>
      </c>
      <c r="S4904" t="s">
        <v>10487</v>
      </c>
      <c r="T4904" t="s">
        <v>11164</v>
      </c>
      <c r="U4904" t="s">
        <v>11164</v>
      </c>
      <c r="V4904" t="s">
        <v>11164</v>
      </c>
      <c r="W4904" t="s">
        <v>16023</v>
      </c>
      <c r="X4904">
        <v>5</v>
      </c>
      <c r="Y4904" t="s">
        <v>21491</v>
      </c>
      <c r="Z4904" t="s">
        <v>27054</v>
      </c>
      <c r="AA4904">
        <v>0.75539427243378887</v>
      </c>
      <c r="AB4904" t="str">
        <f>HYPERLINK("Melting_Curves/meltCurve_Q9HBL7_PLGRKT.pdf", "Melting_Curves/meltCurve_Q9HBL7_PLGRKT.pdf")</f>
        <v>Melting_Curves/meltCurve_Q9HBL7_PLGRKT.pdf</v>
      </c>
    </row>
    <row r="4905" spans="1:28" x14ac:dyDescent="0.25">
      <c r="A4905" t="s">
        <v>4909</v>
      </c>
      <c r="B4905">
        <v>0.99796759195183404</v>
      </c>
      <c r="C4905">
        <v>0.94104894650499904</v>
      </c>
      <c r="D4905">
        <v>0.845113873579171</v>
      </c>
      <c r="E4905">
        <v>0.51554214923188901</v>
      </c>
      <c r="F4905">
        <v>0.65168463366058604</v>
      </c>
      <c r="G4905">
        <v>0.43141666184211702</v>
      </c>
      <c r="H4905">
        <v>0.24376587763312599</v>
      </c>
      <c r="I4905">
        <v>0.210105819097789</v>
      </c>
      <c r="J4905">
        <v>0.21209432920853799</v>
      </c>
      <c r="K4905">
        <v>6.4085225472126806E-2</v>
      </c>
      <c r="L4905">
        <v>414.71476559098699</v>
      </c>
      <c r="M4905">
        <v>8.1244642114063392</v>
      </c>
      <c r="N4905">
        <v>51.045183124811103</v>
      </c>
      <c r="O4905">
        <v>48.231913790540801</v>
      </c>
      <c r="P4905">
        <v>-4.2156388797662703E-2</v>
      </c>
      <c r="Q4905">
        <v>0</v>
      </c>
      <c r="R4905">
        <v>0.94491160741306301</v>
      </c>
      <c r="S4905" t="s">
        <v>10488</v>
      </c>
      <c r="T4905" t="s">
        <v>11164</v>
      </c>
      <c r="U4905" t="s">
        <v>11164</v>
      </c>
      <c r="V4905" t="s">
        <v>11164</v>
      </c>
      <c r="W4905" t="s">
        <v>16024</v>
      </c>
      <c r="X4905">
        <v>1</v>
      </c>
      <c r="Y4905" t="s">
        <v>21492</v>
      </c>
      <c r="Z4905" t="s">
        <v>27055</v>
      </c>
      <c r="AA4905">
        <v>0.50248069410433738</v>
      </c>
      <c r="AB4905" t="str">
        <f>HYPERLINK("Melting_Curves/meltCurve_Q9HBL8_NMRAL1.pdf", "Melting_Curves/meltCurve_Q9HBL8_NMRAL1.pdf")</f>
        <v>Melting_Curves/meltCurve_Q9HBL8_NMRAL1.pdf</v>
      </c>
    </row>
    <row r="4906" spans="1:28" x14ac:dyDescent="0.25">
      <c r="A4906" t="s">
        <v>4910</v>
      </c>
      <c r="B4906">
        <v>0.99796759195183404</v>
      </c>
      <c r="C4906">
        <v>0.97030240679962798</v>
      </c>
      <c r="D4906">
        <v>0.93672003619397304</v>
      </c>
      <c r="E4906">
        <v>0.87408244734650797</v>
      </c>
      <c r="F4906">
        <v>0.74027502108212195</v>
      </c>
      <c r="G4906">
        <v>0.43974460217469402</v>
      </c>
      <c r="H4906">
        <v>0.28716215236134002</v>
      </c>
      <c r="I4906">
        <v>0.13482967684338401</v>
      </c>
      <c r="J4906">
        <v>0.120804568515475</v>
      </c>
      <c r="K4906">
        <v>4.0035437602315899E-2</v>
      </c>
      <c r="L4906">
        <v>735.06457908638095</v>
      </c>
      <c r="M4906">
        <v>13.777739754675</v>
      </c>
      <c r="N4906">
        <v>53.351603534196499</v>
      </c>
      <c r="O4906">
        <v>52.2653207100632</v>
      </c>
      <c r="P4906">
        <v>-6.5912135822711701E-2</v>
      </c>
      <c r="Q4906">
        <v>0</v>
      </c>
      <c r="R4906">
        <v>0.99617922124608205</v>
      </c>
      <c r="S4906" t="s">
        <v>10489</v>
      </c>
      <c r="T4906" t="s">
        <v>11164</v>
      </c>
      <c r="U4906" t="s">
        <v>11164</v>
      </c>
      <c r="V4906" t="s">
        <v>11164</v>
      </c>
      <c r="W4906" t="s">
        <v>16025</v>
      </c>
      <c r="X4906">
        <v>5</v>
      </c>
      <c r="Y4906" t="s">
        <v>21493</v>
      </c>
      <c r="Z4906" t="s">
        <v>27056</v>
      </c>
      <c r="AA4906">
        <v>0.56358104244839036</v>
      </c>
      <c r="AB4906" t="str">
        <f>HYPERLINK("Melting_Curves/meltCurve_Q9HBM1_SPC25.pdf", "Melting_Curves/meltCurve_Q9HBM1_SPC25.pdf")</f>
        <v>Melting_Curves/meltCurve_Q9HBM1_SPC25.pdf</v>
      </c>
    </row>
    <row r="4907" spans="1:28" x14ac:dyDescent="0.25">
      <c r="A4907" t="s">
        <v>4911</v>
      </c>
      <c r="B4907">
        <v>0.99796759195183404</v>
      </c>
      <c r="C4907">
        <v>1.0271714774561</v>
      </c>
      <c r="D4907">
        <v>0.89900464638088495</v>
      </c>
      <c r="E4907">
        <v>1.02611705054679</v>
      </c>
      <c r="F4907">
        <v>0.79648009821809995</v>
      </c>
      <c r="G4907">
        <v>0.61191117040653498</v>
      </c>
      <c r="H4907">
        <v>0.858694351931787</v>
      </c>
      <c r="I4907">
        <v>0.78862616789815398</v>
      </c>
      <c r="J4907">
        <v>0.93423557903290799</v>
      </c>
      <c r="K4907">
        <v>1.1756267709250501</v>
      </c>
      <c r="L4907">
        <v>12063.0776175635</v>
      </c>
      <c r="M4907">
        <v>250</v>
      </c>
      <c r="O4907">
        <v>48.249222676997498</v>
      </c>
      <c r="P4907">
        <v>-0.18014684359187</v>
      </c>
      <c r="Q4907">
        <v>0.860928877526275</v>
      </c>
      <c r="R4907">
        <v>0.16807666596955301</v>
      </c>
      <c r="S4907" t="s">
        <v>10490</v>
      </c>
      <c r="T4907" t="s">
        <v>11164</v>
      </c>
      <c r="U4907" t="s">
        <v>11164</v>
      </c>
      <c r="V4907" t="s">
        <v>11164</v>
      </c>
      <c r="W4907" t="s">
        <v>16026</v>
      </c>
      <c r="X4907">
        <v>4</v>
      </c>
      <c r="Y4907" t="s">
        <v>21494</v>
      </c>
      <c r="Z4907" t="s">
        <v>27057</v>
      </c>
      <c r="AA4907">
        <v>0.91310303593860054</v>
      </c>
      <c r="AB4907" t="str">
        <f>HYPERLINK("Melting_Curves/meltCurve_Q9HBM6_TAF9B.pdf", "Melting_Curves/meltCurve_Q9HBM6_TAF9B.pdf")</f>
        <v>Melting_Curves/meltCurve_Q9HBM6_TAF9B.pdf</v>
      </c>
    </row>
    <row r="4908" spans="1:28" x14ac:dyDescent="0.25">
      <c r="A4908" t="s">
        <v>4912</v>
      </c>
      <c r="B4908">
        <v>0.99796759195183404</v>
      </c>
      <c r="C4908">
        <v>1.0366027083835501</v>
      </c>
      <c r="D4908">
        <v>0.98663600873225199</v>
      </c>
      <c r="E4908">
        <v>0.98785090033153999</v>
      </c>
      <c r="F4908">
        <v>0.89339536815883902</v>
      </c>
      <c r="G4908">
        <v>0.51539371680526502</v>
      </c>
      <c r="H4908">
        <v>0.27935308808359599</v>
      </c>
      <c r="I4908">
        <v>0.222583360239789</v>
      </c>
      <c r="J4908">
        <v>0.16754317819834399</v>
      </c>
      <c r="K4908">
        <v>0.114657334500194</v>
      </c>
      <c r="L4908">
        <v>1435.7223291163</v>
      </c>
      <c r="M4908">
        <v>26.877429708255399</v>
      </c>
      <c r="N4908">
        <v>54.161477868157903</v>
      </c>
      <c r="O4908">
        <v>53.124295369735997</v>
      </c>
      <c r="P4908">
        <v>-0.10695915743879</v>
      </c>
      <c r="Q4908">
        <v>0.154372254254103</v>
      </c>
      <c r="R4908">
        <v>0.99572515332477396</v>
      </c>
      <c r="S4908" t="s">
        <v>10491</v>
      </c>
      <c r="T4908" t="s">
        <v>11164</v>
      </c>
      <c r="U4908" t="s">
        <v>11164</v>
      </c>
      <c r="V4908" t="s">
        <v>11164</v>
      </c>
      <c r="W4908" t="s">
        <v>16027</v>
      </c>
      <c r="X4908">
        <v>5</v>
      </c>
      <c r="Y4908" t="s">
        <v>21495</v>
      </c>
      <c r="Z4908" t="s">
        <v>27058</v>
      </c>
      <c r="AA4908">
        <v>0.62371394970720406</v>
      </c>
      <c r="AB4908" t="str">
        <f>HYPERLINK("Melting_Curves/meltCurve_Q9HBM8_AGPAT1.pdf", "Melting_Curves/meltCurve_Q9HBM8_AGPAT1.pdf")</f>
        <v>Melting_Curves/meltCurve_Q9HBM8_AGPAT1.pdf</v>
      </c>
    </row>
    <row r="4909" spans="1:28" x14ac:dyDescent="0.25">
      <c r="A4909" t="s">
        <v>4913</v>
      </c>
      <c r="B4909">
        <v>0.99796759195183404</v>
      </c>
      <c r="C4909">
        <v>1.03343239177768</v>
      </c>
      <c r="D4909">
        <v>0.97602016724095297</v>
      </c>
      <c r="E4909">
        <v>0.99693265848980095</v>
      </c>
      <c r="F4909">
        <v>0.92482111322685001</v>
      </c>
      <c r="G4909">
        <v>0.83832631770409305</v>
      </c>
      <c r="H4909">
        <v>0.86010952997214696</v>
      </c>
      <c r="I4909">
        <v>0.76277734021231403</v>
      </c>
      <c r="J4909">
        <v>0.71547476941485999</v>
      </c>
      <c r="K4909">
        <v>0.31873991965118098</v>
      </c>
      <c r="L4909">
        <v>893.94821957082502</v>
      </c>
      <c r="M4909">
        <v>13.607020933754701</v>
      </c>
      <c r="N4909">
        <v>65.697570865823806</v>
      </c>
      <c r="O4909">
        <v>64.327336720574095</v>
      </c>
      <c r="P4909">
        <v>-5.28897906323074E-2</v>
      </c>
      <c r="Q4909">
        <v>0</v>
      </c>
      <c r="R4909">
        <v>0.87716001380751796</v>
      </c>
      <c r="S4909" t="s">
        <v>10492</v>
      </c>
      <c r="T4909" t="s">
        <v>11164</v>
      </c>
      <c r="U4909" t="s">
        <v>11164</v>
      </c>
      <c r="V4909" t="s">
        <v>11164</v>
      </c>
      <c r="W4909" t="s">
        <v>16028</v>
      </c>
      <c r="X4909">
        <v>5</v>
      </c>
      <c r="Y4909" t="s">
        <v>21496</v>
      </c>
      <c r="Z4909" t="s">
        <v>27059</v>
      </c>
      <c r="AA4909">
        <v>0.88112006625449435</v>
      </c>
      <c r="AB4909" t="str">
        <f>HYPERLINK("Melting_Curves/meltCurve_Q9HBR0_SLC38A10.pdf", "Melting_Curves/meltCurve_Q9HBR0_SLC38A10.pdf")</f>
        <v>Melting_Curves/meltCurve_Q9HBR0_SLC38A10.pdf</v>
      </c>
    </row>
    <row r="4910" spans="1:28" x14ac:dyDescent="0.25">
      <c r="A4910" t="s">
        <v>4914</v>
      </c>
      <c r="B4910">
        <v>0.99796759195183404</v>
      </c>
      <c r="C4910">
        <v>1.0975024875564601</v>
      </c>
      <c r="D4910">
        <v>1.10293830545327</v>
      </c>
      <c r="E4910">
        <v>1.04423203226509</v>
      </c>
      <c r="F4910">
        <v>0.88191200317241003</v>
      </c>
      <c r="G4910">
        <v>0.811936872924652</v>
      </c>
      <c r="H4910">
        <v>0.84232065349918095</v>
      </c>
      <c r="I4910">
        <v>0.872379469186919</v>
      </c>
      <c r="J4910">
        <v>0.95920133798671303</v>
      </c>
      <c r="K4910">
        <v>0.88331545089701202</v>
      </c>
      <c r="L4910">
        <v>12415.3698446703</v>
      </c>
      <c r="M4910">
        <v>250</v>
      </c>
      <c r="O4910">
        <v>49.658300500016303</v>
      </c>
      <c r="P4910">
        <v>-0.158796778977259</v>
      </c>
      <c r="Q4910">
        <v>0.87383074722602205</v>
      </c>
      <c r="R4910">
        <v>0.66461024789109702</v>
      </c>
      <c r="S4910" t="s">
        <v>10493</v>
      </c>
      <c r="T4910" t="s">
        <v>11164</v>
      </c>
      <c r="U4910" t="s">
        <v>11164</v>
      </c>
      <c r="V4910" t="s">
        <v>11164</v>
      </c>
      <c r="W4910" t="s">
        <v>16029</v>
      </c>
      <c r="X4910">
        <v>8</v>
      </c>
      <c r="Y4910" t="s">
        <v>21497</v>
      </c>
      <c r="Z4910" t="s">
        <v>27060</v>
      </c>
      <c r="AA4910">
        <v>0.9270913899301958</v>
      </c>
      <c r="AB4910" t="str">
        <f>HYPERLINK("Melting_Curves/meltCurve_Q9HC21_SLC25A19.pdf", "Melting_Curves/meltCurve_Q9HC21_SLC25A19.pdf")</f>
        <v>Melting_Curves/meltCurve_Q9HC21_SLC25A19.pdf</v>
      </c>
    </row>
    <row r="4911" spans="1:28" x14ac:dyDescent="0.25">
      <c r="A4911" t="s">
        <v>4915</v>
      </c>
      <c r="B4911">
        <v>0.99796759195183404</v>
      </c>
      <c r="C4911">
        <v>0.949045885561974</v>
      </c>
      <c r="D4911">
        <v>0.97986930717616105</v>
      </c>
      <c r="E4911">
        <v>0.88306066528594795</v>
      </c>
      <c r="F4911">
        <v>0.72675813439002901</v>
      </c>
      <c r="G4911">
        <v>0.408056294456008</v>
      </c>
      <c r="H4911">
        <v>0.17947369757921899</v>
      </c>
      <c r="I4911">
        <v>0.120241609940215</v>
      </c>
      <c r="J4911">
        <v>9.3294564750983397E-2</v>
      </c>
      <c r="K4911">
        <v>7.3649750602501202E-2</v>
      </c>
      <c r="L4911">
        <v>990.02579559674803</v>
      </c>
      <c r="M4911">
        <v>18.937113401093502</v>
      </c>
      <c r="N4911">
        <v>52.614821981358297</v>
      </c>
      <c r="O4911">
        <v>51.707141543839001</v>
      </c>
      <c r="P4911">
        <v>-8.6360533336926101E-2</v>
      </c>
      <c r="Q4911">
        <v>5.6820155010432999E-2</v>
      </c>
      <c r="R4911">
        <v>0.99688723104945798</v>
      </c>
      <c r="S4911" t="s">
        <v>10494</v>
      </c>
      <c r="T4911" t="s">
        <v>11164</v>
      </c>
      <c r="U4911" t="s">
        <v>11164</v>
      </c>
      <c r="V4911" t="s">
        <v>11164</v>
      </c>
      <c r="W4911" t="s">
        <v>16030</v>
      </c>
      <c r="X4911">
        <v>25</v>
      </c>
      <c r="Y4911" t="s">
        <v>21498</v>
      </c>
      <c r="Z4911" t="s">
        <v>27061</v>
      </c>
      <c r="AA4911">
        <v>0.55034576157449988</v>
      </c>
      <c r="AB4911" t="str">
        <f>HYPERLINK("Melting_Curves/meltCurve_Q9HC38_2_GLOD4.pdf", "Melting_Curves/meltCurve_Q9HC38_2_GLOD4.pdf")</f>
        <v>Melting_Curves/meltCurve_Q9HC38_2_GLOD4.pdf</v>
      </c>
    </row>
    <row r="4912" spans="1:28" x14ac:dyDescent="0.25">
      <c r="A4912" t="s">
        <v>4916</v>
      </c>
      <c r="B4912">
        <v>0.99796759195183404</v>
      </c>
      <c r="C4912">
        <v>1.20826432382624</v>
      </c>
      <c r="D4912">
        <v>1.3080983158485899</v>
      </c>
      <c r="E4912">
        <v>1.2585732978965201</v>
      </c>
      <c r="F4912">
        <v>0.91358979848063204</v>
      </c>
      <c r="G4912">
        <v>0.69476379701219104</v>
      </c>
      <c r="H4912">
        <v>0.96075441715851195</v>
      </c>
      <c r="I4912">
        <v>1.1001276163982701</v>
      </c>
      <c r="J4912">
        <v>1.0247889669488499</v>
      </c>
      <c r="K4912">
        <v>0.85988808142133899</v>
      </c>
      <c r="L4912">
        <v>15000</v>
      </c>
      <c r="M4912">
        <v>222.06622518403199</v>
      </c>
      <c r="Q4912">
        <v>0</v>
      </c>
      <c r="R4912">
        <v>2.7376376388449999E-2</v>
      </c>
      <c r="S4912" t="s">
        <v>10495</v>
      </c>
      <c r="T4912" t="s">
        <v>11164</v>
      </c>
      <c r="U4912" t="s">
        <v>11164</v>
      </c>
      <c r="V4912" t="s">
        <v>11164</v>
      </c>
      <c r="W4912" t="s">
        <v>16031</v>
      </c>
      <c r="X4912">
        <v>1</v>
      </c>
      <c r="Y4912" t="s">
        <v>21499</v>
      </c>
      <c r="Z4912" t="s">
        <v>27062</v>
      </c>
      <c r="AA4912">
        <v>0.99850795590643371</v>
      </c>
      <c r="AB4912" t="str">
        <f>HYPERLINK("Melting_Curves/meltCurve_Q9HC44_GPBP1L1.pdf", "Melting_Curves/meltCurve_Q9HC44_GPBP1L1.pdf")</f>
        <v>Melting_Curves/meltCurve_Q9HC44_GPBP1L1.pdf</v>
      </c>
    </row>
    <row r="4913" spans="1:28" x14ac:dyDescent="0.25">
      <c r="A4913" t="s">
        <v>4917</v>
      </c>
      <c r="B4913">
        <v>0.99796759195183404</v>
      </c>
      <c r="C4913">
        <v>0.98746200512331594</v>
      </c>
      <c r="D4913">
        <v>0.97879474503650399</v>
      </c>
      <c r="E4913">
        <v>0.898034140792626</v>
      </c>
      <c r="F4913">
        <v>0.74028411526890103</v>
      </c>
      <c r="G4913">
        <v>0.59583098596631601</v>
      </c>
      <c r="H4913">
        <v>0.54813282941149599</v>
      </c>
      <c r="I4913">
        <v>0.51519292606786304</v>
      </c>
      <c r="J4913">
        <v>0.561106023473537</v>
      </c>
      <c r="K4913">
        <v>0.54740667504237195</v>
      </c>
      <c r="L4913">
        <v>1090.76486820425</v>
      </c>
      <c r="M4913">
        <v>22.054723281912601</v>
      </c>
      <c r="O4913">
        <v>49.055976389777697</v>
      </c>
      <c r="P4913">
        <v>-5.22858818182661E-2</v>
      </c>
      <c r="Q4913">
        <v>0.53481559953722702</v>
      </c>
      <c r="R4913">
        <v>0.99546207178369295</v>
      </c>
      <c r="S4913" t="s">
        <v>10496</v>
      </c>
      <c r="T4913" t="s">
        <v>11164</v>
      </c>
      <c r="U4913" t="s">
        <v>11164</v>
      </c>
      <c r="V4913" t="s">
        <v>11164</v>
      </c>
      <c r="W4913" t="s">
        <v>16032</v>
      </c>
      <c r="X4913">
        <v>21</v>
      </c>
      <c r="Y4913" t="s">
        <v>21500</v>
      </c>
      <c r="Z4913" t="s">
        <v>27063</v>
      </c>
      <c r="AA4913">
        <v>0.73310641338667681</v>
      </c>
      <c r="AB4913" t="str">
        <f>HYPERLINK("Melting_Curves/meltCurve_Q9HCC0_MCCC2.pdf", "Melting_Curves/meltCurve_Q9HCC0_MCCC2.pdf")</f>
        <v>Melting_Curves/meltCurve_Q9HCC0_MCCC2.pdf</v>
      </c>
    </row>
    <row r="4914" spans="1:28" x14ac:dyDescent="0.25">
      <c r="A4914" t="s">
        <v>4918</v>
      </c>
      <c r="B4914">
        <v>0.99796759195183404</v>
      </c>
      <c r="C4914">
        <v>0.83741864706185398</v>
      </c>
      <c r="D4914">
        <v>0.95901703715948805</v>
      </c>
      <c r="E4914">
        <v>0.74724648699862095</v>
      </c>
      <c r="F4914">
        <v>0.83461513397731601</v>
      </c>
      <c r="G4914">
        <v>0.86813735125629798</v>
      </c>
      <c r="H4914">
        <v>1.0886506662434401</v>
      </c>
      <c r="I4914">
        <v>0.82857066894290898</v>
      </c>
      <c r="J4914">
        <v>1.1302337672823499</v>
      </c>
      <c r="K4914">
        <v>0.24580381508178301</v>
      </c>
      <c r="L4914">
        <v>15000</v>
      </c>
      <c r="M4914">
        <v>225.00125180210799</v>
      </c>
      <c r="N4914">
        <v>66.666311117110396</v>
      </c>
      <c r="O4914">
        <v>66.661018954334395</v>
      </c>
      <c r="P4914">
        <v>-0.84382605320765602</v>
      </c>
      <c r="Q4914">
        <v>0</v>
      </c>
      <c r="R4914">
        <v>0.65016583223687097</v>
      </c>
      <c r="S4914" t="s">
        <v>10497</v>
      </c>
      <c r="T4914" t="s">
        <v>11164</v>
      </c>
      <c r="U4914" t="s">
        <v>11164</v>
      </c>
      <c r="V4914" t="s">
        <v>11164</v>
      </c>
      <c r="W4914" t="s">
        <v>16033</v>
      </c>
      <c r="X4914">
        <v>1</v>
      </c>
      <c r="Y4914" t="s">
        <v>21501</v>
      </c>
      <c r="Z4914" t="s">
        <v>27064</v>
      </c>
      <c r="AA4914">
        <v>0.98617834246392422</v>
      </c>
      <c r="AB4914" t="str">
        <f>HYPERLINK("Melting_Curves/meltCurve_Q9HCC9_5_ZFYVE28.pdf", "Melting_Curves/meltCurve_Q9HCC9_5_ZFYVE28.pdf")</f>
        <v>Melting_Curves/meltCurve_Q9HCC9_5_ZFYVE28.pdf</v>
      </c>
    </row>
    <row r="4915" spans="1:28" x14ac:dyDescent="0.25">
      <c r="A4915" t="s">
        <v>4919</v>
      </c>
      <c r="B4915">
        <v>0.99796759195183404</v>
      </c>
      <c r="C4915">
        <v>1.0261953242905399</v>
      </c>
      <c r="D4915">
        <v>0.99636311270641398</v>
      </c>
      <c r="E4915">
        <v>0.92864825658105199</v>
      </c>
      <c r="F4915">
        <v>0.80295669916686596</v>
      </c>
      <c r="G4915">
        <v>0.50381746617646195</v>
      </c>
      <c r="H4915">
        <v>0.26970514458197298</v>
      </c>
      <c r="I4915">
        <v>0.12864056539709501</v>
      </c>
      <c r="J4915">
        <v>6.2175687580840598E-2</v>
      </c>
      <c r="K4915">
        <v>6.0672932517540197E-2</v>
      </c>
      <c r="L4915">
        <v>975.41724245637499</v>
      </c>
      <c r="M4915">
        <v>18.128560532016699</v>
      </c>
      <c r="N4915">
        <v>53.9579898357159</v>
      </c>
      <c r="O4915">
        <v>53.163656795636797</v>
      </c>
      <c r="P4915">
        <v>-8.31247865870402E-2</v>
      </c>
      <c r="Q4915">
        <v>2.4962700815455301E-2</v>
      </c>
      <c r="R4915">
        <v>0.99897819896378004</v>
      </c>
      <c r="S4915" t="s">
        <v>10498</v>
      </c>
      <c r="T4915" t="s">
        <v>11164</v>
      </c>
      <c r="U4915" t="s">
        <v>11164</v>
      </c>
      <c r="V4915" t="s">
        <v>11164</v>
      </c>
      <c r="W4915" t="s">
        <v>16034</v>
      </c>
      <c r="X4915">
        <v>3</v>
      </c>
      <c r="Y4915" t="s">
        <v>21502</v>
      </c>
      <c r="Z4915" t="s">
        <v>27065</v>
      </c>
      <c r="AA4915">
        <v>0.58460454028356912</v>
      </c>
      <c r="AB4915" t="str">
        <f>HYPERLINK("Melting_Curves/meltCurve_Q9HCD6_TANC2.pdf", "Melting_Curves/meltCurve_Q9HCD6_TANC2.pdf")</f>
        <v>Melting_Curves/meltCurve_Q9HCD6_TANC2.pdf</v>
      </c>
    </row>
    <row r="4916" spans="1:28" x14ac:dyDescent="0.25">
      <c r="A4916" t="s">
        <v>4920</v>
      </c>
      <c r="B4916">
        <v>0.99796759195183404</v>
      </c>
      <c r="C4916">
        <v>0.94577423892108903</v>
      </c>
      <c r="D4916">
        <v>0.987040864718843</v>
      </c>
      <c r="E4916">
        <v>0.97987210371988698</v>
      </c>
      <c r="F4916">
        <v>0.87510209131361005</v>
      </c>
      <c r="G4916">
        <v>0.87052776639042795</v>
      </c>
      <c r="H4916">
        <v>0.33770718056619897</v>
      </c>
      <c r="I4916">
        <v>0.117760143409566</v>
      </c>
      <c r="J4916">
        <v>0.120233112036705</v>
      </c>
      <c r="K4916">
        <v>0.100020419569038</v>
      </c>
      <c r="L4916">
        <v>2283.1988413598701</v>
      </c>
      <c r="M4916">
        <v>40.784437111807399</v>
      </c>
      <c r="N4916">
        <v>56.291004786698103</v>
      </c>
      <c r="O4916">
        <v>55.848033238619003</v>
      </c>
      <c r="P4916">
        <v>-0.16426412212080699</v>
      </c>
      <c r="Q4916">
        <v>0.100263762448782</v>
      </c>
      <c r="R4916">
        <v>0.98808822827083498</v>
      </c>
      <c r="S4916" t="s">
        <v>10499</v>
      </c>
      <c r="T4916" t="s">
        <v>11164</v>
      </c>
      <c r="U4916" t="s">
        <v>11164</v>
      </c>
      <c r="V4916" t="s">
        <v>11164</v>
      </c>
      <c r="W4916" t="s">
        <v>16035</v>
      </c>
      <c r="X4916">
        <v>8</v>
      </c>
      <c r="Y4916" t="s">
        <v>21503</v>
      </c>
      <c r="Z4916" t="s">
        <v>27066</v>
      </c>
      <c r="AA4916">
        <v>0.67283231688293199</v>
      </c>
      <c r="AB4916" t="str">
        <f>HYPERLINK("Melting_Curves/meltCurve_Q9HCE5_METTL14.pdf", "Melting_Curves/meltCurve_Q9HCE5_METTL14.pdf")</f>
        <v>Melting_Curves/meltCurve_Q9HCE5_METTL14.pdf</v>
      </c>
    </row>
    <row r="4917" spans="1:28" x14ac:dyDescent="0.25">
      <c r="A4917" t="s">
        <v>4921</v>
      </c>
      <c r="B4917">
        <v>0.99796759195183404</v>
      </c>
      <c r="C4917">
        <v>0.89192780010493899</v>
      </c>
      <c r="D4917">
        <v>0.84069257370897899</v>
      </c>
      <c r="E4917">
        <v>0.76140763422095303</v>
      </c>
      <c r="F4917">
        <v>0.41416320445955501</v>
      </c>
      <c r="G4917">
        <v>0.21042694868904599</v>
      </c>
      <c r="H4917">
        <v>0.12958280481134099</v>
      </c>
      <c r="I4917">
        <v>0.12458264380521</v>
      </c>
      <c r="J4917">
        <v>0.101996121252031</v>
      </c>
      <c r="K4917">
        <v>6.5198218263718993E-2</v>
      </c>
      <c r="L4917">
        <v>739.63187758723404</v>
      </c>
      <c r="M4917">
        <v>15.165352160927</v>
      </c>
      <c r="N4917">
        <v>49.1726083113046</v>
      </c>
      <c r="O4917">
        <v>47.946742544149899</v>
      </c>
      <c r="P4917">
        <v>-7.4477035259626401E-2</v>
      </c>
      <c r="Q4917">
        <v>5.82258864654688E-2</v>
      </c>
      <c r="R4917">
        <v>0.98736109073741696</v>
      </c>
      <c r="S4917" t="s">
        <v>10500</v>
      </c>
      <c r="T4917" t="s">
        <v>11164</v>
      </c>
      <c r="U4917" t="s">
        <v>11164</v>
      </c>
      <c r="V4917" t="s">
        <v>11164</v>
      </c>
      <c r="W4917" t="s">
        <v>16036</v>
      </c>
      <c r="X4917">
        <v>3</v>
      </c>
      <c r="Y4917" t="s">
        <v>21504</v>
      </c>
      <c r="Z4917" t="s">
        <v>27067</v>
      </c>
      <c r="AA4917">
        <v>0.44777319355830619</v>
      </c>
      <c r="AB4917" t="str">
        <f>HYPERLINK("Melting_Curves/meltCurve_Q9HCJ3_2_RAVER2.pdf", "Melting_Curves/meltCurve_Q9HCJ3_2_RAVER2.pdf")</f>
        <v>Melting_Curves/meltCurve_Q9HCJ3_2_RAVER2.pdf</v>
      </c>
    </row>
    <row r="4918" spans="1:28" x14ac:dyDescent="0.25">
      <c r="A4918" t="s">
        <v>4922</v>
      </c>
      <c r="B4918">
        <v>0.99796759195183404</v>
      </c>
      <c r="C4918">
        <v>1.0041125157698401</v>
      </c>
      <c r="D4918">
        <v>1.1169755531277801</v>
      </c>
      <c r="E4918">
        <v>1.03939995274578</v>
      </c>
      <c r="F4918">
        <v>1.1337280866266599</v>
      </c>
      <c r="G4918">
        <v>3.41022204755037</v>
      </c>
      <c r="H4918">
        <v>2.0465217577188302</v>
      </c>
      <c r="I4918">
        <v>0.56879446507639697</v>
      </c>
      <c r="J4918">
        <v>0.43174446593175198</v>
      </c>
      <c r="K4918">
        <v>0.30551412443875597</v>
      </c>
      <c r="L4918">
        <v>15000</v>
      </c>
      <c r="M4918">
        <v>246.66904973117499</v>
      </c>
      <c r="N4918">
        <v>61.141515731396701</v>
      </c>
      <c r="O4918">
        <v>60.806226157093597</v>
      </c>
      <c r="P4918">
        <v>-0.6403130620252</v>
      </c>
      <c r="Q4918">
        <v>0.36862738474467499</v>
      </c>
      <c r="R4918">
        <v>7.4723211473705003E-2</v>
      </c>
      <c r="S4918" t="s">
        <v>10501</v>
      </c>
      <c r="T4918" t="s">
        <v>11164</v>
      </c>
      <c r="U4918" t="s">
        <v>11164</v>
      </c>
      <c r="V4918" t="s">
        <v>11164</v>
      </c>
      <c r="W4918" t="s">
        <v>16037</v>
      </c>
      <c r="X4918">
        <v>1</v>
      </c>
      <c r="Y4918" t="s">
        <v>21505</v>
      </c>
      <c r="Z4918" t="s">
        <v>27068</v>
      </c>
      <c r="AA4918">
        <v>0.86980069682979311</v>
      </c>
      <c r="AB4918" t="str">
        <f>HYPERLINK("Melting_Curves/meltCurve_Q9HCK1_ZDBF2.pdf", "Melting_Curves/meltCurve_Q9HCK1_ZDBF2.pdf")</f>
        <v>Melting_Curves/meltCurve_Q9HCK1_ZDBF2.pdf</v>
      </c>
    </row>
    <row r="4919" spans="1:28" x14ac:dyDescent="0.25">
      <c r="A4919" t="s">
        <v>4923</v>
      </c>
      <c r="B4919">
        <v>0.99796759195183404</v>
      </c>
      <c r="C4919">
        <v>0.985348621826032</v>
      </c>
      <c r="D4919">
        <v>1.0386811286158399</v>
      </c>
      <c r="E4919">
        <v>0.79810197217113299</v>
      </c>
      <c r="F4919">
        <v>0.71901917337644194</v>
      </c>
      <c r="G4919">
        <v>0.60086790281350499</v>
      </c>
      <c r="H4919">
        <v>0.43679397146152099</v>
      </c>
      <c r="I4919">
        <v>0.21597920910350599</v>
      </c>
      <c r="J4919">
        <v>0.24285608110121401</v>
      </c>
      <c r="K4919">
        <v>0</v>
      </c>
      <c r="L4919">
        <v>615.94448554739301</v>
      </c>
      <c r="M4919">
        <v>11.185616899126099</v>
      </c>
      <c r="N4919">
        <v>55.065734532340898</v>
      </c>
      <c r="O4919">
        <v>53.393715212372797</v>
      </c>
      <c r="P4919">
        <v>-5.2389851088748801E-2</v>
      </c>
      <c r="Q4919">
        <v>0</v>
      </c>
      <c r="R4919">
        <v>0.96782041754027803</v>
      </c>
      <c r="S4919" t="s">
        <v>10502</v>
      </c>
      <c r="T4919" t="s">
        <v>11164</v>
      </c>
      <c r="U4919" t="s">
        <v>11164</v>
      </c>
      <c r="V4919" t="s">
        <v>11164</v>
      </c>
      <c r="W4919" t="s">
        <v>16038</v>
      </c>
      <c r="X4919">
        <v>2</v>
      </c>
      <c r="Y4919" t="s">
        <v>21506</v>
      </c>
      <c r="Z4919" t="s">
        <v>27069</v>
      </c>
      <c r="AA4919">
        <v>0.61553701639149694</v>
      </c>
      <c r="AB4919" t="str">
        <f>HYPERLINK("Melting_Curves/meltCurve_Q9HCM4_4_EPB41L5.pdf", "Melting_Curves/meltCurve_Q9HCM4_4_EPB41L5.pdf")</f>
        <v>Melting_Curves/meltCurve_Q9HCM4_4_EPB41L5.pdf</v>
      </c>
    </row>
    <row r="4920" spans="1:28" x14ac:dyDescent="0.25">
      <c r="A4920" t="s">
        <v>4924</v>
      </c>
      <c r="B4920">
        <v>0.99796759195183404</v>
      </c>
      <c r="C4920">
        <v>1.06228514399011</v>
      </c>
      <c r="D4920">
        <v>1.04004290839777</v>
      </c>
      <c r="E4920">
        <v>0.98432511336730399</v>
      </c>
      <c r="F4920">
        <v>1.00818873742255</v>
      </c>
      <c r="G4920">
        <v>1.1233900720582599</v>
      </c>
      <c r="H4920">
        <v>1.2784956483871699</v>
      </c>
      <c r="I4920">
        <v>0.99075806663098098</v>
      </c>
      <c r="J4920">
        <v>1.11960830755453</v>
      </c>
      <c r="K4920">
        <v>0.86177472187603599</v>
      </c>
      <c r="L4920">
        <v>15000</v>
      </c>
      <c r="M4920">
        <v>222.050433957064</v>
      </c>
      <c r="Q4920">
        <v>0</v>
      </c>
      <c r="R4920">
        <v>-2.4380684344477599E-2</v>
      </c>
      <c r="S4920" t="s">
        <v>10503</v>
      </c>
      <c r="T4920" t="s">
        <v>11164</v>
      </c>
      <c r="U4920" t="s">
        <v>11164</v>
      </c>
      <c r="V4920" t="s">
        <v>11164</v>
      </c>
      <c r="W4920" t="s">
        <v>16039</v>
      </c>
      <c r="X4920">
        <v>6</v>
      </c>
      <c r="Y4920" t="s">
        <v>21507</v>
      </c>
      <c r="Z4920" t="s">
        <v>27070</v>
      </c>
      <c r="AA4920">
        <v>0.99852966972743629</v>
      </c>
      <c r="AB4920" t="str">
        <f>HYPERLINK("Melting_Curves/meltCurve_Q9HCN4_3_GPN1.pdf", "Melting_Curves/meltCurve_Q9HCN4_3_GPN1.pdf")</f>
        <v>Melting_Curves/meltCurve_Q9HCN4_3_GPN1.pdf</v>
      </c>
    </row>
    <row r="4921" spans="1:28" x14ac:dyDescent="0.25">
      <c r="A4921" t="s">
        <v>4925</v>
      </c>
      <c r="B4921">
        <v>0.99796759195183404</v>
      </c>
      <c r="C4921">
        <v>0.995852360560882</v>
      </c>
      <c r="D4921">
        <v>0.95312798760971595</v>
      </c>
      <c r="E4921">
        <v>0.89114128937398196</v>
      </c>
      <c r="F4921">
        <v>0.68692243027703703</v>
      </c>
      <c r="G4921">
        <v>0.75142200789267499</v>
      </c>
      <c r="H4921">
        <v>0.50774767984776603</v>
      </c>
      <c r="I4921">
        <v>0.41154912762673501</v>
      </c>
      <c r="J4921">
        <v>0.374340416857745</v>
      </c>
      <c r="K4921">
        <v>0.23199593832211499</v>
      </c>
      <c r="L4921">
        <v>456.07520144658002</v>
      </c>
      <c r="M4921">
        <v>7.8071885871087199</v>
      </c>
      <c r="N4921">
        <v>58.417339755542997</v>
      </c>
      <c r="O4921">
        <v>54.956429994318697</v>
      </c>
      <c r="P4921">
        <v>-3.5559360452356199E-2</v>
      </c>
      <c r="Q4921">
        <v>0</v>
      </c>
      <c r="R4921">
        <v>0.969835483141683</v>
      </c>
      <c r="S4921" t="s">
        <v>10504</v>
      </c>
      <c r="T4921" t="s">
        <v>11164</v>
      </c>
      <c r="U4921" t="s">
        <v>11164</v>
      </c>
      <c r="V4921" t="s">
        <v>11164</v>
      </c>
      <c r="W4921" t="s">
        <v>16040</v>
      </c>
      <c r="X4921">
        <v>3</v>
      </c>
      <c r="Y4921" t="s">
        <v>21508</v>
      </c>
      <c r="Z4921" t="s">
        <v>27071</v>
      </c>
      <c r="AA4921">
        <v>0.68693045284902088</v>
      </c>
      <c r="AB4921" t="str">
        <f>HYPERLINK("Melting_Curves/meltCurve_Q9HCN8_SDF2L1.pdf", "Melting_Curves/meltCurve_Q9HCN8_SDF2L1.pdf")</f>
        <v>Melting_Curves/meltCurve_Q9HCN8_SDF2L1.pdf</v>
      </c>
    </row>
    <row r="4922" spans="1:28" x14ac:dyDescent="0.25">
      <c r="A4922" t="s">
        <v>4926</v>
      </c>
      <c r="B4922">
        <v>0.99796759195183404</v>
      </c>
      <c r="C4922">
        <v>0.97966920358356202</v>
      </c>
      <c r="D4922">
        <v>1.0074762060237701</v>
      </c>
      <c r="E4922">
        <v>0.97354216796941795</v>
      </c>
      <c r="F4922">
        <v>0.84113542952377496</v>
      </c>
      <c r="G4922">
        <v>0.64288430924066098</v>
      </c>
      <c r="H4922">
        <v>0.49022956445328902</v>
      </c>
      <c r="I4922">
        <v>0.36185298010781602</v>
      </c>
      <c r="J4922">
        <v>0.21236101109378899</v>
      </c>
      <c r="K4922">
        <v>0.13199926952837801</v>
      </c>
      <c r="L4922">
        <v>680.90197617265801</v>
      </c>
      <c r="M4922">
        <v>11.9023616503457</v>
      </c>
      <c r="N4922">
        <v>57.207300315340198</v>
      </c>
      <c r="O4922">
        <v>55.664147882838101</v>
      </c>
      <c r="P4922">
        <v>-5.3469439990261901E-2</v>
      </c>
      <c r="Q4922">
        <v>0</v>
      </c>
      <c r="R4922">
        <v>0.99489528481701905</v>
      </c>
      <c r="S4922" t="s">
        <v>10505</v>
      </c>
      <c r="T4922" t="s">
        <v>11164</v>
      </c>
      <c r="U4922" t="s">
        <v>11164</v>
      </c>
      <c r="V4922" t="s">
        <v>11164</v>
      </c>
      <c r="W4922" t="s">
        <v>16041</v>
      </c>
      <c r="X4922">
        <v>6</v>
      </c>
      <c r="Y4922" t="s">
        <v>21509</v>
      </c>
      <c r="Z4922" t="s">
        <v>27072</v>
      </c>
      <c r="AA4922">
        <v>0.67684695324598465</v>
      </c>
      <c r="AB4922" t="str">
        <f>HYPERLINK("Melting_Curves/meltCurve_Q9HCU5_PREB.pdf", "Melting_Curves/meltCurve_Q9HCU5_PREB.pdf")</f>
        <v>Melting_Curves/meltCurve_Q9HCU5_PREB.pdf</v>
      </c>
    </row>
    <row r="4923" spans="1:28" x14ac:dyDescent="0.25">
      <c r="A4923" t="s">
        <v>4927</v>
      </c>
      <c r="B4923">
        <v>0.99796759195183404</v>
      </c>
      <c r="C4923">
        <v>1.0274530292384001</v>
      </c>
      <c r="D4923">
        <v>0.97296327935298499</v>
      </c>
      <c r="E4923">
        <v>0.92573178023268599</v>
      </c>
      <c r="F4923">
        <v>0.85462993333297899</v>
      </c>
      <c r="G4923">
        <v>0.56900074170090897</v>
      </c>
      <c r="H4923">
        <v>0.48181991787122502</v>
      </c>
      <c r="I4923">
        <v>0.31363026939551197</v>
      </c>
      <c r="J4923">
        <v>0.27872214217347402</v>
      </c>
      <c r="K4923">
        <v>0.21691440715570501</v>
      </c>
      <c r="L4923">
        <v>794.26688312630699</v>
      </c>
      <c r="M4923">
        <v>14.5995341217935</v>
      </c>
      <c r="N4923">
        <v>56.1590782575947</v>
      </c>
      <c r="O4923">
        <v>53.413440590924303</v>
      </c>
      <c r="P4923">
        <v>-5.5819628447829797E-2</v>
      </c>
      <c r="Q4923">
        <v>0.18321131726454901</v>
      </c>
      <c r="R4923">
        <v>0.99164821272132597</v>
      </c>
      <c r="S4923" t="s">
        <v>10506</v>
      </c>
      <c r="T4923" t="s">
        <v>11164</v>
      </c>
      <c r="U4923" t="s">
        <v>11164</v>
      </c>
      <c r="V4923" t="s">
        <v>11164</v>
      </c>
      <c r="W4923" t="s">
        <v>16042</v>
      </c>
      <c r="X4923">
        <v>16</v>
      </c>
      <c r="Y4923" t="s">
        <v>21510</v>
      </c>
      <c r="Z4923" t="s">
        <v>27073</v>
      </c>
      <c r="AA4923">
        <v>0.66982688053500239</v>
      </c>
      <c r="AB4923" t="str">
        <f>HYPERLINK("Melting_Curves/meltCurve_Q9HD15_SRA1.pdf", "Melting_Curves/meltCurve_Q9HD15_SRA1.pdf")</f>
        <v>Melting_Curves/meltCurve_Q9HD15_SRA1.pdf</v>
      </c>
    </row>
    <row r="4924" spans="1:28" x14ac:dyDescent="0.25">
      <c r="A4924" t="s">
        <v>4928</v>
      </c>
      <c r="B4924">
        <v>0.99796759195183404</v>
      </c>
      <c r="C4924">
        <v>0.95380754271427204</v>
      </c>
      <c r="D4924">
        <v>0.97613024391412995</v>
      </c>
      <c r="E4924">
        <v>0.90314264728375304</v>
      </c>
      <c r="F4924">
        <v>0.796780212498861</v>
      </c>
      <c r="G4924">
        <v>0.71741858337828501</v>
      </c>
      <c r="H4924">
        <v>0.37422875347337098</v>
      </c>
      <c r="I4924">
        <v>0.19846063551050799</v>
      </c>
      <c r="J4924">
        <v>0.172501073350708</v>
      </c>
      <c r="K4924">
        <v>0.13686559685688601</v>
      </c>
      <c r="L4924">
        <v>825.71037437001598</v>
      </c>
      <c r="M4924">
        <v>14.8818175414861</v>
      </c>
      <c r="N4924">
        <v>55.845855126664198</v>
      </c>
      <c r="O4924">
        <v>54.511564293391501</v>
      </c>
      <c r="P4924">
        <v>-6.5124829251752905E-2</v>
      </c>
      <c r="Q4924">
        <v>4.5900041741181001E-2</v>
      </c>
      <c r="R4924">
        <v>0.98600990482954098</v>
      </c>
      <c r="S4924" t="s">
        <v>10507</v>
      </c>
      <c r="T4924" t="s">
        <v>11164</v>
      </c>
      <c r="U4924" t="s">
        <v>11164</v>
      </c>
      <c r="V4924" t="s">
        <v>11164</v>
      </c>
      <c r="W4924" t="s">
        <v>16043</v>
      </c>
      <c r="X4924">
        <v>20</v>
      </c>
      <c r="Y4924" t="s">
        <v>21511</v>
      </c>
      <c r="Z4924" t="s">
        <v>27074</v>
      </c>
      <c r="AA4924">
        <v>0.64609120438801626</v>
      </c>
      <c r="AB4924" t="str">
        <f>HYPERLINK("Melting_Curves/meltCurve_Q9HD20_2_ATP13A1.pdf", "Melting_Curves/meltCurve_Q9HD20_2_ATP13A1.pdf")</f>
        <v>Melting_Curves/meltCurve_Q9HD20_2_ATP13A1.pdf</v>
      </c>
    </row>
    <row r="4925" spans="1:28" x14ac:dyDescent="0.25">
      <c r="A4925" t="s">
        <v>4929</v>
      </c>
      <c r="B4925">
        <v>0.99796759195183404</v>
      </c>
      <c r="C4925">
        <v>0.96700495360296301</v>
      </c>
      <c r="D4925">
        <v>0.996579665540826</v>
      </c>
      <c r="E4925">
        <v>0.94394499903612505</v>
      </c>
      <c r="F4925">
        <v>0.38399071499112702</v>
      </c>
      <c r="G4925">
        <v>0.226003355106106</v>
      </c>
      <c r="H4925">
        <v>0.15076750405777301</v>
      </c>
      <c r="I4925">
        <v>0.111515045663328</v>
      </c>
      <c r="J4925">
        <v>9.6445238875822403E-2</v>
      </c>
      <c r="K4925">
        <v>5.88266817445059E-2</v>
      </c>
      <c r="L4925">
        <v>1923.4443155185299</v>
      </c>
      <c r="M4925">
        <v>39.0319769523785</v>
      </c>
      <c r="N4925">
        <v>49.621857664069204</v>
      </c>
      <c r="O4925">
        <v>49.1498769050296</v>
      </c>
      <c r="P4925">
        <v>-0.175051901284139</v>
      </c>
      <c r="Q4925">
        <v>0.118286333788662</v>
      </c>
      <c r="R4925">
        <v>0.99194803805293297</v>
      </c>
      <c r="S4925" t="s">
        <v>10508</v>
      </c>
      <c r="T4925" t="s">
        <v>11164</v>
      </c>
      <c r="U4925" t="s">
        <v>11164</v>
      </c>
      <c r="V4925" t="s">
        <v>11164</v>
      </c>
      <c r="W4925" t="s">
        <v>16044</v>
      </c>
      <c r="X4925">
        <v>7</v>
      </c>
      <c r="Y4925" t="s">
        <v>21512</v>
      </c>
      <c r="Z4925" t="s">
        <v>27075</v>
      </c>
      <c r="AA4925">
        <v>0.48231647071618577</v>
      </c>
      <c r="AB4925" t="str">
        <f>HYPERLINK("Melting_Curves/meltCurve_Q9HD26_2_GOPC.pdf", "Melting_Curves/meltCurve_Q9HD26_2_GOPC.pdf")</f>
        <v>Melting_Curves/meltCurve_Q9HD26_2_GOPC.pdf</v>
      </c>
    </row>
    <row r="4926" spans="1:28" x14ac:dyDescent="0.25">
      <c r="A4926" t="s">
        <v>4930</v>
      </c>
      <c r="B4926">
        <v>0.99796759195183404</v>
      </c>
      <c r="C4926">
        <v>0.99979982050323501</v>
      </c>
      <c r="D4926">
        <v>0.95511546713600104</v>
      </c>
      <c r="E4926">
        <v>0.95402769478500205</v>
      </c>
      <c r="F4926">
        <v>0.85642334448305601</v>
      </c>
      <c r="G4926">
        <v>0.75241597135867599</v>
      </c>
      <c r="H4926">
        <v>0.66634879866877905</v>
      </c>
      <c r="I4926">
        <v>0.45690888776578797</v>
      </c>
      <c r="J4926">
        <v>0.29903903696672102</v>
      </c>
      <c r="K4926">
        <v>0.24875665150473</v>
      </c>
      <c r="L4926">
        <v>630.76776536817499</v>
      </c>
      <c r="M4926">
        <v>10.528525873691899</v>
      </c>
      <c r="N4926">
        <v>59.910359067988402</v>
      </c>
      <c r="O4926">
        <v>57.870128596215501</v>
      </c>
      <c r="P4926">
        <v>-4.5501580286853999E-2</v>
      </c>
      <c r="Q4926">
        <v>0</v>
      </c>
      <c r="R4926">
        <v>0.99205499852479795</v>
      </c>
      <c r="S4926" t="s">
        <v>10509</v>
      </c>
      <c r="T4926" t="s">
        <v>11164</v>
      </c>
      <c r="U4926" t="s">
        <v>11164</v>
      </c>
      <c r="V4926" t="s">
        <v>11164</v>
      </c>
      <c r="W4926" t="s">
        <v>11199</v>
      </c>
      <c r="X4926">
        <v>10</v>
      </c>
      <c r="Y4926" t="s">
        <v>16729</v>
      </c>
      <c r="Z4926" t="s">
        <v>27076</v>
      </c>
      <c r="AA4926">
        <v>0.74091208313812329</v>
      </c>
      <c r="AB4926" t="str">
        <f>HYPERLINK("Melting_Curves/meltCurve_Q9HD42_CHMP1A.pdf", "Melting_Curves/meltCurve_Q9HD42_CHMP1A.pdf")</f>
        <v>Melting_Curves/meltCurve_Q9HD42_CHMP1A.pdf</v>
      </c>
    </row>
    <row r="4927" spans="1:28" x14ac:dyDescent="0.25">
      <c r="A4927" t="s">
        <v>4931</v>
      </c>
      <c r="B4927">
        <v>0.99796759195183404</v>
      </c>
      <c r="C4927">
        <v>1.06965315125563</v>
      </c>
      <c r="D4927">
        <v>1.1182368634208399</v>
      </c>
      <c r="E4927">
        <v>1.02899874205834</v>
      </c>
      <c r="F4927">
        <v>0.92015505186218005</v>
      </c>
      <c r="G4927">
        <v>0.57046759365264998</v>
      </c>
      <c r="H4927">
        <v>0.30126964018277702</v>
      </c>
      <c r="I4927">
        <v>0.212743513167962</v>
      </c>
      <c r="J4927">
        <v>0.15977344591525899</v>
      </c>
      <c r="K4927">
        <v>0.143227239599932</v>
      </c>
      <c r="L4927">
        <v>1529.4242852873499</v>
      </c>
      <c r="M4927">
        <v>28.387439943177899</v>
      </c>
      <c r="N4927">
        <v>54.619371342357397</v>
      </c>
      <c r="O4927">
        <v>53.611557854211497</v>
      </c>
      <c r="P4927">
        <v>-0.111183855974648</v>
      </c>
      <c r="Q4927">
        <v>0.16009456525721599</v>
      </c>
      <c r="R4927">
        <v>0.98560801780799101</v>
      </c>
      <c r="S4927" t="s">
        <v>10510</v>
      </c>
      <c r="T4927" t="s">
        <v>11164</v>
      </c>
      <c r="U4927" t="s">
        <v>11164</v>
      </c>
      <c r="V4927" t="s">
        <v>11164</v>
      </c>
      <c r="W4927" t="s">
        <v>16045</v>
      </c>
      <c r="X4927">
        <v>6</v>
      </c>
      <c r="Y4927" t="s">
        <v>21513</v>
      </c>
      <c r="Z4927" t="s">
        <v>27077</v>
      </c>
      <c r="AA4927">
        <v>0.6385119103633502</v>
      </c>
      <c r="AB4927" t="str">
        <f>HYPERLINK("Melting_Curves/meltCurve_Q9HD45_TM9SF3.pdf", "Melting_Curves/meltCurve_Q9HD45_TM9SF3.pdf")</f>
        <v>Melting_Curves/meltCurve_Q9HD45_TM9SF3.pdf</v>
      </c>
    </row>
    <row r="4928" spans="1:28" x14ac:dyDescent="0.25">
      <c r="A4928" t="s">
        <v>4932</v>
      </c>
      <c r="B4928">
        <v>0.99796759195183404</v>
      </c>
      <c r="C4928">
        <v>1.0093619150078199</v>
      </c>
      <c r="D4928">
        <v>1.00151333182393</v>
      </c>
      <c r="E4928">
        <v>0.923277209148194</v>
      </c>
      <c r="F4928">
        <v>0.81100691410312697</v>
      </c>
      <c r="G4928">
        <v>0.36772427925397599</v>
      </c>
      <c r="H4928">
        <v>0.34966718441431999</v>
      </c>
      <c r="I4928">
        <v>0.26220427308871702</v>
      </c>
      <c r="J4928">
        <v>0.21601871942492201</v>
      </c>
      <c r="K4928">
        <v>0.23287383293462899</v>
      </c>
      <c r="L4928">
        <v>1681.26959187068</v>
      </c>
      <c r="M4928">
        <v>32.584042607187499</v>
      </c>
      <c r="N4928">
        <v>52.719635939116998</v>
      </c>
      <c r="O4928">
        <v>51.404761367212998</v>
      </c>
      <c r="P4928">
        <v>-0.118846484376119</v>
      </c>
      <c r="Q4928">
        <v>0.25003209376865099</v>
      </c>
      <c r="R4928">
        <v>0.98935582989592896</v>
      </c>
      <c r="S4928" t="s">
        <v>10511</v>
      </c>
      <c r="T4928" t="s">
        <v>11164</v>
      </c>
      <c r="U4928" t="s">
        <v>11164</v>
      </c>
      <c r="V4928" t="s">
        <v>11164</v>
      </c>
      <c r="W4928" t="s">
        <v>16046</v>
      </c>
      <c r="X4928">
        <v>7</v>
      </c>
      <c r="Y4928" t="s">
        <v>21514</v>
      </c>
      <c r="Z4928" t="s">
        <v>27078</v>
      </c>
      <c r="AA4928">
        <v>0.61897498743040202</v>
      </c>
      <c r="AB4928" t="str">
        <f>HYPERLINK("Melting_Curves/meltCurve_Q9HD47_2_RANGRF.pdf", "Melting_Curves/meltCurve_Q9HD47_2_RANGRF.pdf")</f>
        <v>Melting_Curves/meltCurve_Q9HD47_2_RANGRF.pdf</v>
      </c>
    </row>
    <row r="4929" spans="1:28" x14ac:dyDescent="0.25">
      <c r="A4929" t="s">
        <v>4933</v>
      </c>
      <c r="B4929">
        <v>0.99796759195183404</v>
      </c>
      <c r="C4929">
        <v>0.99261247003356901</v>
      </c>
      <c r="D4929">
        <v>1.0132230730723399</v>
      </c>
      <c r="E4929">
        <v>0.93286428744462901</v>
      </c>
      <c r="F4929">
        <v>0.80443617305153503</v>
      </c>
      <c r="G4929">
        <v>0.68304880398053702</v>
      </c>
      <c r="H4929">
        <v>0.65886771325211801</v>
      </c>
      <c r="I4929">
        <v>0.66646508279025296</v>
      </c>
      <c r="J4929">
        <v>0.50656386542714804</v>
      </c>
      <c r="K4929">
        <v>0.23827797390870301</v>
      </c>
      <c r="L4929">
        <v>458.87515667403699</v>
      </c>
      <c r="M4929">
        <v>7.3734437222970604</v>
      </c>
      <c r="N4929">
        <v>62.2334920647845</v>
      </c>
      <c r="O4929">
        <v>58.147277686311298</v>
      </c>
      <c r="P4929">
        <v>-3.1750128355709797E-2</v>
      </c>
      <c r="Q4929">
        <v>0</v>
      </c>
      <c r="R4929">
        <v>0.91307295639993402</v>
      </c>
      <c r="S4929" t="s">
        <v>10512</v>
      </c>
      <c r="T4929" t="s">
        <v>11164</v>
      </c>
      <c r="U4929" t="s">
        <v>11164</v>
      </c>
      <c r="V4929" t="s">
        <v>11164</v>
      </c>
      <c r="W4929" t="s">
        <v>16047</v>
      </c>
      <c r="X4929">
        <v>5</v>
      </c>
      <c r="Y4929" t="s">
        <v>21515</v>
      </c>
      <c r="Z4929" t="s">
        <v>27079</v>
      </c>
      <c r="AA4929">
        <v>0.76001173072871209</v>
      </c>
      <c r="AB4929" t="str">
        <f>HYPERLINK("Melting_Curves/meltCurve_Q9HDC9_APMAP.pdf", "Melting_Curves/meltCurve_Q9HDC9_APMAP.pdf")</f>
        <v>Melting_Curves/meltCurve_Q9HDC9_APMAP.pdf</v>
      </c>
    </row>
    <row r="4930" spans="1:28" x14ac:dyDescent="0.25">
      <c r="A4930" t="s">
        <v>4934</v>
      </c>
      <c r="B4930">
        <v>0.99796759195183404</v>
      </c>
      <c r="C4930">
        <v>0.81115159307309204</v>
      </c>
      <c r="D4930">
        <v>0.98830148106781002</v>
      </c>
      <c r="E4930">
        <v>0.94749900226047101</v>
      </c>
      <c r="F4930">
        <v>0.87999175518040396</v>
      </c>
      <c r="G4930">
        <v>0.71125249129064805</v>
      </c>
      <c r="H4930">
        <v>0.36424836853933201</v>
      </c>
      <c r="I4930">
        <v>0.29180404569350699</v>
      </c>
      <c r="J4930">
        <v>0.172106440703401</v>
      </c>
      <c r="K4930">
        <v>9.7505183332605994E-2</v>
      </c>
      <c r="L4930">
        <v>936.07014165418002</v>
      </c>
      <c r="M4930">
        <v>16.771286607484001</v>
      </c>
      <c r="N4930">
        <v>56.2847793840726</v>
      </c>
      <c r="O4930">
        <v>55.038446454411599</v>
      </c>
      <c r="P4930">
        <v>-7.1197744263829604E-2</v>
      </c>
      <c r="Q4930">
        <v>6.5460454908447402E-2</v>
      </c>
      <c r="R4930">
        <v>0.96200854803272695</v>
      </c>
      <c r="S4930" t="s">
        <v>10513</v>
      </c>
      <c r="T4930" t="s">
        <v>11164</v>
      </c>
      <c r="U4930" t="s">
        <v>11164</v>
      </c>
      <c r="V4930" t="s">
        <v>11164</v>
      </c>
      <c r="W4930" t="s">
        <v>16048</v>
      </c>
      <c r="X4930">
        <v>12</v>
      </c>
      <c r="Y4930" t="s">
        <v>17297</v>
      </c>
      <c r="Z4930" t="s">
        <v>27080</v>
      </c>
      <c r="AA4930">
        <v>0.66251353910659616</v>
      </c>
      <c r="AB4930" t="str">
        <f>HYPERLINK("Melting_Curves/meltCurve_Q9NNW7_2_TXNRD2.pdf", "Melting_Curves/meltCurve_Q9NNW7_2_TXNRD2.pdf")</f>
        <v>Melting_Curves/meltCurve_Q9NNW7_2_TXNRD2.pdf</v>
      </c>
    </row>
    <row r="4931" spans="1:28" x14ac:dyDescent="0.25">
      <c r="A4931" t="s">
        <v>4935</v>
      </c>
      <c r="B4931">
        <v>0.99796759195183404</v>
      </c>
      <c r="C4931">
        <v>0.95340127706998601</v>
      </c>
      <c r="D4931">
        <v>0.93924865881651498</v>
      </c>
      <c r="E4931">
        <v>0.91093810818681697</v>
      </c>
      <c r="F4931">
        <v>0.69273536778462497</v>
      </c>
      <c r="G4931">
        <v>0.43372215590484797</v>
      </c>
      <c r="H4931">
        <v>0.34948940984749899</v>
      </c>
      <c r="I4931">
        <v>0.26139933800022602</v>
      </c>
      <c r="J4931">
        <v>0.25448051965088098</v>
      </c>
      <c r="K4931">
        <v>0.25631779936003501</v>
      </c>
      <c r="L4931">
        <v>965.19451438033298</v>
      </c>
      <c r="M4931">
        <v>18.882403488807402</v>
      </c>
      <c r="N4931">
        <v>52.9639331791929</v>
      </c>
      <c r="O4931">
        <v>50.553120416817301</v>
      </c>
      <c r="P4931">
        <v>-7.0853278567601305E-2</v>
      </c>
      <c r="Q4931">
        <v>0.241260148101722</v>
      </c>
      <c r="R4931">
        <v>0.99479923137483295</v>
      </c>
      <c r="S4931" t="s">
        <v>10514</v>
      </c>
      <c r="T4931" t="s">
        <v>11164</v>
      </c>
      <c r="U4931" t="s">
        <v>11164</v>
      </c>
      <c r="V4931" t="s">
        <v>11164</v>
      </c>
      <c r="W4931" t="s">
        <v>16049</v>
      </c>
      <c r="X4931">
        <v>8</v>
      </c>
      <c r="Y4931" t="s">
        <v>21516</v>
      </c>
      <c r="Z4931" t="s">
        <v>27081</v>
      </c>
      <c r="AA4931">
        <v>0.60916817442137727</v>
      </c>
      <c r="AB4931" t="str">
        <f>HYPERLINK("Melting_Curves/meltCurve_Q9NNX1_2_TUFT1.pdf", "Melting_Curves/meltCurve_Q9NNX1_2_TUFT1.pdf")</f>
        <v>Melting_Curves/meltCurve_Q9NNX1_2_TUFT1.pdf</v>
      </c>
    </row>
    <row r="4932" spans="1:28" x14ac:dyDescent="0.25">
      <c r="A4932" t="s">
        <v>4936</v>
      </c>
      <c r="B4932">
        <v>0.99796759195183404</v>
      </c>
      <c r="C4932">
        <v>0.87756233556670504</v>
      </c>
      <c r="D4932">
        <v>0.86698831889667205</v>
      </c>
      <c r="E4932">
        <v>0.83912848699954801</v>
      </c>
      <c r="F4932">
        <v>0.878031681090095</v>
      </c>
      <c r="G4932">
        <v>0.72957733509321998</v>
      </c>
      <c r="H4932">
        <v>0.46272670653900599</v>
      </c>
      <c r="I4932">
        <v>0.50129030031977995</v>
      </c>
      <c r="J4932">
        <v>0.30089593024330502</v>
      </c>
      <c r="K4932">
        <v>0.40721054879978802</v>
      </c>
      <c r="L4932">
        <v>381.25592550354799</v>
      </c>
      <c r="M4932">
        <v>6.3790316657771298</v>
      </c>
      <c r="N4932">
        <v>59.767053266644403</v>
      </c>
      <c r="O4932">
        <v>54.703178025016797</v>
      </c>
      <c r="P4932">
        <v>-2.92287078041489E-2</v>
      </c>
      <c r="Q4932">
        <v>0</v>
      </c>
      <c r="R4932">
        <v>0.90502661349935498</v>
      </c>
      <c r="S4932" t="s">
        <v>10515</v>
      </c>
      <c r="T4932" t="s">
        <v>11164</v>
      </c>
      <c r="U4932" t="s">
        <v>11164</v>
      </c>
      <c r="V4932" t="s">
        <v>11164</v>
      </c>
      <c r="W4932" t="s">
        <v>16050</v>
      </c>
      <c r="X4932">
        <v>2</v>
      </c>
      <c r="Y4932" t="s">
        <v>21517</v>
      </c>
      <c r="Z4932" t="s">
        <v>27082</v>
      </c>
      <c r="AA4932">
        <v>0.69853216593826439</v>
      </c>
      <c r="AB4932" t="str">
        <f>HYPERLINK("Melting_Curves/meltCurve_Q9NP58_4_ABCB6.pdf", "Melting_Curves/meltCurve_Q9NP58_4_ABCB6.pdf")</f>
        <v>Melting_Curves/meltCurve_Q9NP58_4_ABCB6.pdf</v>
      </c>
    </row>
    <row r="4933" spans="1:28" x14ac:dyDescent="0.25">
      <c r="A4933" t="s">
        <v>4937</v>
      </c>
      <c r="B4933">
        <v>0.99796759195183404</v>
      </c>
      <c r="C4933">
        <v>1.0427019777014801</v>
      </c>
      <c r="D4933">
        <v>0.99454407336309503</v>
      </c>
      <c r="E4933">
        <v>0.95558439339736301</v>
      </c>
      <c r="F4933">
        <v>0.83087525856357802</v>
      </c>
      <c r="G4933">
        <v>0.52217950520842205</v>
      </c>
      <c r="H4933">
        <v>0.35051671577221599</v>
      </c>
      <c r="I4933">
        <v>0.188709819527976</v>
      </c>
      <c r="J4933">
        <v>0.14508071806268899</v>
      </c>
      <c r="K4933">
        <v>0.109372347113379</v>
      </c>
      <c r="L4933">
        <v>979.07694198226898</v>
      </c>
      <c r="M4933">
        <v>18.157596651911</v>
      </c>
      <c r="N4933">
        <v>54.547081747164</v>
      </c>
      <c r="O4933">
        <v>53.279816252613799</v>
      </c>
      <c r="P4933">
        <v>-7.7189586787143202E-2</v>
      </c>
      <c r="Q4933">
        <v>9.4054092871116296E-2</v>
      </c>
      <c r="R4933">
        <v>0.99670413284750703</v>
      </c>
      <c r="S4933" t="s">
        <v>10516</v>
      </c>
      <c r="T4933" t="s">
        <v>11164</v>
      </c>
      <c r="U4933" t="s">
        <v>11164</v>
      </c>
      <c r="V4933" t="s">
        <v>11164</v>
      </c>
      <c r="W4933" t="s">
        <v>16051</v>
      </c>
      <c r="X4933">
        <v>13</v>
      </c>
      <c r="Y4933" t="s">
        <v>17503</v>
      </c>
      <c r="Z4933" t="s">
        <v>27083</v>
      </c>
      <c r="AA4933">
        <v>0.61741085982398514</v>
      </c>
      <c r="AB4933" t="str">
        <f>HYPERLINK("Melting_Curves/meltCurve_Q9NP61_ARFGAP3.pdf", "Melting_Curves/meltCurve_Q9NP61_ARFGAP3.pdf")</f>
        <v>Melting_Curves/meltCurve_Q9NP61_ARFGAP3.pdf</v>
      </c>
    </row>
    <row r="4934" spans="1:28" x14ac:dyDescent="0.25">
      <c r="A4934" t="s">
        <v>4938</v>
      </c>
      <c r="B4934">
        <v>0.99796759195183404</v>
      </c>
      <c r="C4934">
        <v>0.906718008948735</v>
      </c>
      <c r="D4934">
        <v>0.70252573644613003</v>
      </c>
      <c r="E4934">
        <v>0.96267454557965604</v>
      </c>
      <c r="F4934">
        <v>1.0117261310990999</v>
      </c>
      <c r="G4934">
        <v>0.83401509569430798</v>
      </c>
      <c r="H4934">
        <v>0.68633074410386896</v>
      </c>
      <c r="I4934">
        <v>0.72583477697326604</v>
      </c>
      <c r="J4934">
        <v>0.60831488836987302</v>
      </c>
      <c r="K4934">
        <v>0.71531347077033303</v>
      </c>
      <c r="L4934">
        <v>204.80012701580301</v>
      </c>
      <c r="M4934">
        <v>2.3942905663040501</v>
      </c>
      <c r="O4934">
        <v>56.377438513243</v>
      </c>
      <c r="P4934">
        <v>-1.12258569098941E-2</v>
      </c>
      <c r="Q4934">
        <v>0</v>
      </c>
      <c r="R4934">
        <v>0.48523498503032098</v>
      </c>
      <c r="S4934" t="s">
        <v>10517</v>
      </c>
      <c r="T4934" t="s">
        <v>11164</v>
      </c>
      <c r="U4934" t="s">
        <v>11164</v>
      </c>
      <c r="V4934" t="s">
        <v>11164</v>
      </c>
      <c r="W4934" t="s">
        <v>16052</v>
      </c>
      <c r="X4934">
        <v>3</v>
      </c>
      <c r="Y4934" t="s">
        <v>21518</v>
      </c>
      <c r="Z4934" t="s">
        <v>27084</v>
      </c>
      <c r="AA4934">
        <v>0.81930832508485851</v>
      </c>
      <c r="AB4934" t="str">
        <f>HYPERLINK("Melting_Curves/meltCurve_Q9NP66_HMG20A.pdf", "Melting_Curves/meltCurve_Q9NP66_HMG20A.pdf")</f>
        <v>Melting_Curves/meltCurve_Q9NP66_HMG20A.pdf</v>
      </c>
    </row>
    <row r="4935" spans="1:28" x14ac:dyDescent="0.25">
      <c r="A4935" t="s">
        <v>4939</v>
      </c>
      <c r="B4935">
        <v>0.99796759195183404</v>
      </c>
      <c r="C4935">
        <v>0.98418257384126795</v>
      </c>
      <c r="D4935">
        <v>0.96700214009918295</v>
      </c>
      <c r="E4935">
        <v>0.90730489600048803</v>
      </c>
      <c r="F4935">
        <v>0.80555615548749504</v>
      </c>
      <c r="G4935">
        <v>0.59867666551638599</v>
      </c>
      <c r="H4935">
        <v>0.54753346679205295</v>
      </c>
      <c r="I4935">
        <v>0.43900563200467102</v>
      </c>
      <c r="J4935">
        <v>0.413428619381913</v>
      </c>
      <c r="K4935">
        <v>0.268990028442744</v>
      </c>
      <c r="L4935">
        <v>545.57623667515202</v>
      </c>
      <c r="M4935">
        <v>9.8317609494194507</v>
      </c>
      <c r="N4935">
        <v>58.359072358649797</v>
      </c>
      <c r="O4935">
        <v>53.3417288478649</v>
      </c>
      <c r="P4935">
        <v>-3.7270536956873303E-2</v>
      </c>
      <c r="Q4935">
        <v>0.19158208879244901</v>
      </c>
      <c r="R4935">
        <v>0.98555290881361901</v>
      </c>
      <c r="S4935" t="s">
        <v>10518</v>
      </c>
      <c r="T4935" t="s">
        <v>11164</v>
      </c>
      <c r="U4935" t="s">
        <v>11164</v>
      </c>
      <c r="V4935" t="s">
        <v>11164</v>
      </c>
      <c r="W4935" t="s">
        <v>16053</v>
      </c>
      <c r="X4935">
        <v>11</v>
      </c>
      <c r="Y4935" t="s">
        <v>21519</v>
      </c>
      <c r="Z4935" t="s">
        <v>27085</v>
      </c>
      <c r="AA4935">
        <v>0.69704630722534922</v>
      </c>
      <c r="AB4935" t="str">
        <f>HYPERLINK("Melting_Curves/meltCurve_Q9NP72_RAB18.pdf", "Melting_Curves/meltCurve_Q9NP72_RAB18.pdf")</f>
        <v>Melting_Curves/meltCurve_Q9NP72_RAB18.pdf</v>
      </c>
    </row>
    <row r="4936" spans="1:28" x14ac:dyDescent="0.25">
      <c r="A4936" t="s">
        <v>4940</v>
      </c>
      <c r="B4936">
        <v>0.99796759195183404</v>
      </c>
      <c r="C4936">
        <v>1.03334691001159</v>
      </c>
      <c r="D4936">
        <v>1.0705376078184701</v>
      </c>
      <c r="E4936">
        <v>0.98411916722458803</v>
      </c>
      <c r="F4936">
        <v>0.75611936518065004</v>
      </c>
      <c r="G4936">
        <v>0.38298356424940899</v>
      </c>
      <c r="H4936">
        <v>0.25833096283725598</v>
      </c>
      <c r="I4936">
        <v>0.19764532478484201</v>
      </c>
      <c r="J4936">
        <v>0.16706154527311501</v>
      </c>
      <c r="K4936">
        <v>0.11543017190758099</v>
      </c>
      <c r="L4936">
        <v>1372.33364289214</v>
      </c>
      <c r="M4936">
        <v>26.422075529143601</v>
      </c>
      <c r="N4936">
        <v>52.703467671989799</v>
      </c>
      <c r="O4936">
        <v>51.644125233886101</v>
      </c>
      <c r="P4936">
        <v>-0.107543742592431</v>
      </c>
      <c r="Q4936">
        <v>0.15919663933040801</v>
      </c>
      <c r="R4936">
        <v>0.99236837110385501</v>
      </c>
      <c r="S4936" t="s">
        <v>10519</v>
      </c>
      <c r="T4936" t="s">
        <v>11164</v>
      </c>
      <c r="U4936" t="s">
        <v>11164</v>
      </c>
      <c r="V4936" t="s">
        <v>11164</v>
      </c>
      <c r="W4936" t="s">
        <v>16054</v>
      </c>
      <c r="X4936">
        <v>7</v>
      </c>
      <c r="Y4936" t="s">
        <v>21520</v>
      </c>
      <c r="Z4936" t="s">
        <v>27086</v>
      </c>
      <c r="AA4936">
        <v>0.58461978282420901</v>
      </c>
      <c r="AB4936" t="str">
        <f>HYPERLINK("Melting_Curves/meltCurve_Q9NP77_SSU72.pdf", "Melting_Curves/meltCurve_Q9NP77_SSU72.pdf")</f>
        <v>Melting_Curves/meltCurve_Q9NP77_SSU72.pdf</v>
      </c>
    </row>
    <row r="4937" spans="1:28" x14ac:dyDescent="0.25">
      <c r="A4937" t="s">
        <v>4941</v>
      </c>
      <c r="B4937">
        <v>0.99796759195183404</v>
      </c>
      <c r="C4937">
        <v>0.967633945236959</v>
      </c>
      <c r="D4937">
        <v>0.81552303226899003</v>
      </c>
      <c r="E4937">
        <v>0.75399938290470803</v>
      </c>
      <c r="F4937">
        <v>0.72557544391960904</v>
      </c>
      <c r="G4937">
        <v>0.35295416421311099</v>
      </c>
      <c r="H4937">
        <v>0.14349842530585699</v>
      </c>
      <c r="I4937">
        <v>0.107082189302243</v>
      </c>
      <c r="J4937">
        <v>7.9496590004231205E-2</v>
      </c>
      <c r="K4937">
        <v>6.4677076898112598E-2</v>
      </c>
      <c r="L4937">
        <v>664.99284844904003</v>
      </c>
      <c r="M4937">
        <v>12.878889124323999</v>
      </c>
      <c r="N4937">
        <v>51.634332955670601</v>
      </c>
      <c r="O4937">
        <v>50.436972010330599</v>
      </c>
      <c r="P4937">
        <v>-6.3848253770164898E-2</v>
      </c>
      <c r="Q4937">
        <v>0</v>
      </c>
      <c r="R4937">
        <v>0.97073520660659396</v>
      </c>
      <c r="S4937" t="s">
        <v>10520</v>
      </c>
      <c r="T4937" t="s">
        <v>11164</v>
      </c>
      <c r="U4937" t="s">
        <v>11164</v>
      </c>
      <c r="V4937" t="s">
        <v>11164</v>
      </c>
      <c r="W4937" t="s">
        <v>16055</v>
      </c>
      <c r="X4937">
        <v>6</v>
      </c>
      <c r="Y4937" t="s">
        <v>21521</v>
      </c>
      <c r="Z4937" t="s">
        <v>27087</v>
      </c>
      <c r="AA4937">
        <v>0.51088978501967586</v>
      </c>
      <c r="AB4937" t="str">
        <f>HYPERLINK("Melting_Curves/meltCurve_Q9NP79_VTA1.pdf", "Melting_Curves/meltCurve_Q9NP79_VTA1.pdf")</f>
        <v>Melting_Curves/meltCurve_Q9NP79_VTA1.pdf</v>
      </c>
    </row>
    <row r="4938" spans="1:28" x14ac:dyDescent="0.25">
      <c r="A4938" t="s">
        <v>4942</v>
      </c>
      <c r="B4938">
        <v>0.99796759195183404</v>
      </c>
      <c r="C4938">
        <v>0.88238191105278796</v>
      </c>
      <c r="D4938">
        <v>0.83359469292444899</v>
      </c>
      <c r="E4938">
        <v>0.66324216842651795</v>
      </c>
      <c r="F4938">
        <v>0.58543677628361701</v>
      </c>
      <c r="G4938">
        <v>0.227243776882051</v>
      </c>
      <c r="H4938">
        <v>0.2104405812224</v>
      </c>
      <c r="I4938">
        <v>0.218689840238317</v>
      </c>
      <c r="J4938">
        <v>0.37795212838951697</v>
      </c>
      <c r="K4938">
        <v>7.2495486817122298E-2</v>
      </c>
      <c r="L4938">
        <v>581.49275962230104</v>
      </c>
      <c r="M4938">
        <v>12.0537957783372</v>
      </c>
      <c r="N4938">
        <v>49.746942416640898</v>
      </c>
      <c r="O4938">
        <v>46.971229076140197</v>
      </c>
      <c r="P4938">
        <v>-5.4363603438724997E-2</v>
      </c>
      <c r="Q4938">
        <v>0.15282406387257699</v>
      </c>
      <c r="R4938">
        <v>0.92169124582860096</v>
      </c>
      <c r="S4938" t="s">
        <v>10521</v>
      </c>
      <c r="T4938" t="s">
        <v>11164</v>
      </c>
      <c r="U4938" t="s">
        <v>11164</v>
      </c>
      <c r="V4938" t="s">
        <v>11164</v>
      </c>
      <c r="W4938" t="s">
        <v>16056</v>
      </c>
      <c r="X4938">
        <v>1</v>
      </c>
      <c r="Y4938" t="s">
        <v>21522</v>
      </c>
      <c r="Z4938" t="s">
        <v>27088</v>
      </c>
      <c r="AA4938">
        <v>0.49631093358964617</v>
      </c>
      <c r="AB4938" t="str">
        <f>HYPERLINK("Melting_Curves/meltCurve_Q9NPA3_MID1IP1.pdf", "Melting_Curves/meltCurve_Q9NPA3_MID1IP1.pdf")</f>
        <v>Melting_Curves/meltCurve_Q9NPA3_MID1IP1.pdf</v>
      </c>
    </row>
    <row r="4939" spans="1:28" x14ac:dyDescent="0.25">
      <c r="A4939" t="s">
        <v>4943</v>
      </c>
      <c r="B4939">
        <v>0.99796759195183404</v>
      </c>
      <c r="C4939">
        <v>1.0402329926638001</v>
      </c>
      <c r="D4939">
        <v>0.975203026544189</v>
      </c>
      <c r="E4939">
        <v>1.0046270389885199</v>
      </c>
      <c r="F4939">
        <v>0.93576271765723595</v>
      </c>
      <c r="G4939">
        <v>0.69595073966915699</v>
      </c>
      <c r="H4939">
        <v>0.78841320415667704</v>
      </c>
      <c r="I4939">
        <v>0.64419185488040698</v>
      </c>
      <c r="J4939">
        <v>0.745888179669422</v>
      </c>
      <c r="K4939">
        <v>0.77691466325896696</v>
      </c>
      <c r="L4939">
        <v>12608.373457194901</v>
      </c>
      <c r="M4939">
        <v>250</v>
      </c>
      <c r="O4939">
        <v>50.430266730930597</v>
      </c>
      <c r="P4939">
        <v>-0.33428372649240201</v>
      </c>
      <c r="Q4939">
        <v>0.73027172212753599</v>
      </c>
      <c r="R4939">
        <v>0.91237658964069501</v>
      </c>
      <c r="S4939" t="s">
        <v>10522</v>
      </c>
      <c r="T4939" t="s">
        <v>11164</v>
      </c>
      <c r="U4939" t="s">
        <v>11164</v>
      </c>
      <c r="V4939" t="s">
        <v>11164</v>
      </c>
      <c r="W4939" t="s">
        <v>16057</v>
      </c>
      <c r="X4939">
        <v>10</v>
      </c>
      <c r="Y4939" t="s">
        <v>21523</v>
      </c>
      <c r="Z4939" t="s">
        <v>27089</v>
      </c>
      <c r="AA4939">
        <v>0.85107536765143721</v>
      </c>
      <c r="AB4939" t="str">
        <f>HYPERLINK("Melting_Curves/meltCurve_Q9NPA8_2_ENY2.pdf", "Melting_Curves/meltCurve_Q9NPA8_2_ENY2.pdf")</f>
        <v>Melting_Curves/meltCurve_Q9NPA8_2_ENY2.pdf</v>
      </c>
    </row>
    <row r="4940" spans="1:28" x14ac:dyDescent="0.25">
      <c r="A4940" t="s">
        <v>4944</v>
      </c>
      <c r="B4940">
        <v>0.99796759195183404</v>
      </c>
      <c r="C4940">
        <v>0.80219841163635097</v>
      </c>
      <c r="D4940">
        <v>0.97043410959241805</v>
      </c>
      <c r="E4940">
        <v>0.76419731304783201</v>
      </c>
      <c r="F4940">
        <v>0.80539679570797895</v>
      </c>
      <c r="G4940">
        <v>0.229460294704457</v>
      </c>
      <c r="H4940">
        <v>0.20669077385507401</v>
      </c>
      <c r="I4940">
        <v>0.21424512683898</v>
      </c>
      <c r="J4940">
        <v>5.0442885191689803E-2</v>
      </c>
      <c r="K4940">
        <v>4.3196561540674402E-2</v>
      </c>
      <c r="L4940">
        <v>814.93796217808404</v>
      </c>
      <c r="M4940">
        <v>15.7496737715318</v>
      </c>
      <c r="N4940">
        <v>51.989350762207501</v>
      </c>
      <c r="O4940">
        <v>50.930525956804097</v>
      </c>
      <c r="P4940">
        <v>-7.4537831739480406E-2</v>
      </c>
      <c r="Q4940">
        <v>3.5933237631545802E-2</v>
      </c>
      <c r="R4940">
        <v>0.92246990545874397</v>
      </c>
      <c r="S4940" t="s">
        <v>10523</v>
      </c>
      <c r="T4940" t="s">
        <v>11164</v>
      </c>
      <c r="U4940" t="s">
        <v>11164</v>
      </c>
      <c r="V4940" t="s">
        <v>11164</v>
      </c>
      <c r="W4940" t="s">
        <v>16058</v>
      </c>
      <c r="X4940">
        <v>4</v>
      </c>
      <c r="Y4940" t="s">
        <v>21524</v>
      </c>
      <c r="Z4940" t="s">
        <v>27090</v>
      </c>
      <c r="AA4940">
        <v>0.52734047545232554</v>
      </c>
      <c r="AB4940" t="str">
        <f>HYPERLINK("Melting_Curves/meltCurve_Q9NPB8_GPCPD1.pdf", "Melting_Curves/meltCurve_Q9NPB8_GPCPD1.pdf")</f>
        <v>Melting_Curves/meltCurve_Q9NPB8_GPCPD1.pdf</v>
      </c>
    </row>
    <row r="4941" spans="1:28" x14ac:dyDescent="0.25">
      <c r="A4941" t="s">
        <v>4945</v>
      </c>
      <c r="B4941">
        <v>0.99796759195183404</v>
      </c>
      <c r="C4941">
        <v>1.1518292103279</v>
      </c>
      <c r="D4941">
        <v>0.92625616483943796</v>
      </c>
      <c r="E4941">
        <v>1.02159077079361</v>
      </c>
      <c r="F4941">
        <v>0.98749866882796</v>
      </c>
      <c r="G4941">
        <v>2.6449540544640402</v>
      </c>
      <c r="H4941">
        <v>2.5012908525410702</v>
      </c>
      <c r="I4941">
        <v>1.8955574885661499</v>
      </c>
      <c r="J4941">
        <v>1.14960483408282</v>
      </c>
      <c r="K4941">
        <v>0.39900477487951602</v>
      </c>
      <c r="L4941">
        <v>12870.515234251599</v>
      </c>
      <c r="M4941">
        <v>250</v>
      </c>
      <c r="O4941">
        <v>51.478766450217499</v>
      </c>
      <c r="P4941">
        <v>0.60704640390322695</v>
      </c>
      <c r="Q4941">
        <v>1.5</v>
      </c>
      <c r="R4941">
        <v>0.20512018441948501</v>
      </c>
      <c r="S4941" t="s">
        <v>10524</v>
      </c>
      <c r="T4941" t="s">
        <v>11164</v>
      </c>
      <c r="U4941" t="s">
        <v>11164</v>
      </c>
      <c r="V4941" t="s">
        <v>11164</v>
      </c>
      <c r="W4941" t="s">
        <v>16059</v>
      </c>
      <c r="X4941">
        <v>7</v>
      </c>
      <c r="Y4941" t="s">
        <v>21525</v>
      </c>
      <c r="Z4941" t="s">
        <v>27091</v>
      </c>
      <c r="AA4941">
        <v>1.258587142608707</v>
      </c>
      <c r="AB4941" t="str">
        <f>HYPERLINK("Melting_Curves/meltCurve_Q9NPD3_EXOSC4.pdf", "Melting_Curves/meltCurve_Q9NPD3_EXOSC4.pdf")</f>
        <v>Melting_Curves/meltCurve_Q9NPD3_EXOSC4.pdf</v>
      </c>
    </row>
    <row r="4942" spans="1:28" x14ac:dyDescent="0.25">
      <c r="A4942" t="s">
        <v>4946</v>
      </c>
      <c r="B4942">
        <v>0.99796759195183404</v>
      </c>
      <c r="C4942">
        <v>1.0295074425202999</v>
      </c>
      <c r="D4942">
        <v>1.0722823937394199</v>
      </c>
      <c r="E4942">
        <v>1.05353151773695</v>
      </c>
      <c r="F4942">
        <v>0.84729409227788499</v>
      </c>
      <c r="G4942">
        <v>0.30076196453854998</v>
      </c>
      <c r="H4942">
        <v>0.229996294615672</v>
      </c>
      <c r="I4942">
        <v>0.17263101645002299</v>
      </c>
      <c r="J4942">
        <v>0.140117745813988</v>
      </c>
      <c r="K4942">
        <v>0.120225819461036</v>
      </c>
      <c r="L4942">
        <v>2290.7520907428798</v>
      </c>
      <c r="M4942">
        <v>44.122861407387198</v>
      </c>
      <c r="N4942">
        <v>52.377574980744598</v>
      </c>
      <c r="O4942">
        <v>51.811272283663001</v>
      </c>
      <c r="P4942">
        <v>-0.178704817276369</v>
      </c>
      <c r="Q4942">
        <v>0.16062464073427599</v>
      </c>
      <c r="R4942">
        <v>0.99103409167137102</v>
      </c>
      <c r="S4942" t="s">
        <v>10525</v>
      </c>
      <c r="T4942" t="s">
        <v>11164</v>
      </c>
      <c r="U4942" t="s">
        <v>11164</v>
      </c>
      <c r="V4942" t="s">
        <v>11164</v>
      </c>
      <c r="W4942" t="s">
        <v>16060</v>
      </c>
      <c r="X4942">
        <v>6</v>
      </c>
      <c r="Y4942" t="s">
        <v>21526</v>
      </c>
      <c r="Z4942" t="s">
        <v>27092</v>
      </c>
      <c r="AA4942">
        <v>0.58047580353936101</v>
      </c>
      <c r="AB4942" t="str">
        <f>HYPERLINK("Melting_Curves/meltCurve_Q9NPD8_UBE2T.pdf", "Melting_Curves/meltCurve_Q9NPD8_UBE2T.pdf")</f>
        <v>Melting_Curves/meltCurve_Q9NPD8_UBE2T.pdf</v>
      </c>
    </row>
    <row r="4943" spans="1:28" x14ac:dyDescent="0.25">
      <c r="A4943" t="s">
        <v>4947</v>
      </c>
      <c r="B4943">
        <v>0.99796759195183404</v>
      </c>
      <c r="C4943">
        <v>1.1018892840116199</v>
      </c>
      <c r="D4943">
        <v>0.89698480596586505</v>
      </c>
      <c r="E4943">
        <v>0.92323662110515603</v>
      </c>
      <c r="F4943">
        <v>0.82265187217104896</v>
      </c>
      <c r="G4943">
        <v>1.0057023867781001</v>
      </c>
      <c r="H4943">
        <v>1.02675124342899</v>
      </c>
      <c r="I4943">
        <v>0.79076169824595</v>
      </c>
      <c r="J4943">
        <v>0.77661280325331195</v>
      </c>
      <c r="K4943">
        <v>0.86311191605381599</v>
      </c>
      <c r="L4943">
        <v>245.636366580377</v>
      </c>
      <c r="M4943">
        <v>2.1481610504581798</v>
      </c>
      <c r="Q4943">
        <v>0</v>
      </c>
      <c r="R4943">
        <v>0.33135290903817199</v>
      </c>
      <c r="S4943" t="s">
        <v>10526</v>
      </c>
      <c r="T4943" t="s">
        <v>11164</v>
      </c>
      <c r="U4943" t="s">
        <v>11164</v>
      </c>
      <c r="V4943" t="s">
        <v>11164</v>
      </c>
      <c r="W4943" t="s">
        <v>16061</v>
      </c>
      <c r="X4943">
        <v>1</v>
      </c>
      <c r="Y4943" t="s">
        <v>21527</v>
      </c>
      <c r="Z4943" t="s">
        <v>27093</v>
      </c>
      <c r="AA4943">
        <v>0.92079854849762133</v>
      </c>
      <c r="AB4943" t="str">
        <f>HYPERLINK("Melting_Curves/meltCurve_Q9NPE3_NOP10.pdf", "Melting_Curves/meltCurve_Q9NPE3_NOP10.pdf")</f>
        <v>Melting_Curves/meltCurve_Q9NPE3_NOP10.pdf</v>
      </c>
    </row>
    <row r="4944" spans="1:28" x14ac:dyDescent="0.25">
      <c r="A4944" t="s">
        <v>4948</v>
      </c>
      <c r="B4944">
        <v>0.99796759195183404</v>
      </c>
      <c r="C4944">
        <v>1.0922100211632499</v>
      </c>
      <c r="D4944">
        <v>1.0488653154193699</v>
      </c>
      <c r="E4944">
        <v>0.957843275479071</v>
      </c>
      <c r="F4944">
        <v>0.88971531600119602</v>
      </c>
      <c r="G4944">
        <v>0.62912252208421904</v>
      </c>
      <c r="H4944">
        <v>0.61339268177617101</v>
      </c>
      <c r="I4944">
        <v>0.62368280393125097</v>
      </c>
      <c r="J4944">
        <v>0.85064651263520896</v>
      </c>
      <c r="K4944">
        <v>1.1486204532545501</v>
      </c>
      <c r="L4944">
        <v>12552.804927965301</v>
      </c>
      <c r="M4944">
        <v>250</v>
      </c>
      <c r="O4944">
        <v>50.208015095173799</v>
      </c>
      <c r="P4944">
        <v>-0.28245868921112399</v>
      </c>
      <c r="Q4944">
        <v>0.77309299677931897</v>
      </c>
      <c r="R4944">
        <v>0.37647526592801001</v>
      </c>
      <c r="S4944" t="s">
        <v>10527</v>
      </c>
      <c r="T4944" t="s">
        <v>11164</v>
      </c>
      <c r="U4944" t="s">
        <v>11164</v>
      </c>
      <c r="V4944" t="s">
        <v>11164</v>
      </c>
      <c r="W4944" t="s">
        <v>16062</v>
      </c>
      <c r="X4944">
        <v>3</v>
      </c>
      <c r="Y4944" t="s">
        <v>21528</v>
      </c>
      <c r="Z4944" t="s">
        <v>27094</v>
      </c>
      <c r="AA4944">
        <v>0.87303693426077222</v>
      </c>
      <c r="AB4944" t="str">
        <f>HYPERLINK("Melting_Curves/meltCurve_Q9NPF0_CD320.pdf", "Melting_Curves/meltCurve_Q9NPF0_CD320.pdf")</f>
        <v>Melting_Curves/meltCurve_Q9NPF0_CD320.pdf</v>
      </c>
    </row>
    <row r="4945" spans="1:28" x14ac:dyDescent="0.25">
      <c r="A4945" t="s">
        <v>4949</v>
      </c>
      <c r="B4945">
        <v>0.99796759195183404</v>
      </c>
      <c r="C4945">
        <v>1.0790854491549799</v>
      </c>
      <c r="D4945">
        <v>1.09940773164971</v>
      </c>
      <c r="E4945">
        <v>1.05748466844125</v>
      </c>
      <c r="F4945">
        <v>0.91385155626107495</v>
      </c>
      <c r="G4945">
        <v>0.84822280697465202</v>
      </c>
      <c r="H4945">
        <v>0.72160633057228496</v>
      </c>
      <c r="I4945">
        <v>0.51313431679696797</v>
      </c>
      <c r="J4945">
        <v>0.34737220645963102</v>
      </c>
      <c r="K4945">
        <v>0.198853392557996</v>
      </c>
      <c r="L4945">
        <v>868.10024258978899</v>
      </c>
      <c r="M4945">
        <v>14.2200789312224</v>
      </c>
      <c r="N4945">
        <v>61.047498189257801</v>
      </c>
      <c r="O4945">
        <v>59.878241669005398</v>
      </c>
      <c r="P4945">
        <v>-5.9378188016057099E-2</v>
      </c>
      <c r="Q4945">
        <v>0</v>
      </c>
      <c r="R4945">
        <v>0.97371656757220604</v>
      </c>
      <c r="S4945" t="s">
        <v>10528</v>
      </c>
      <c r="T4945" t="s">
        <v>11164</v>
      </c>
      <c r="U4945" t="s">
        <v>11164</v>
      </c>
      <c r="V4945" t="s">
        <v>11164</v>
      </c>
      <c r="W4945" t="s">
        <v>16063</v>
      </c>
      <c r="X4945">
        <v>11</v>
      </c>
      <c r="Y4945" t="s">
        <v>21529</v>
      </c>
      <c r="Z4945" t="s">
        <v>27095</v>
      </c>
      <c r="AA4945">
        <v>0.78485789108693826</v>
      </c>
      <c r="AB4945" t="str">
        <f>HYPERLINK("Melting_Curves/meltCurve_Q9NPF4_OSGEP.pdf", "Melting_Curves/meltCurve_Q9NPF4_OSGEP.pdf")</f>
        <v>Melting_Curves/meltCurve_Q9NPF4_OSGEP.pdf</v>
      </c>
    </row>
    <row r="4946" spans="1:28" x14ac:dyDescent="0.25">
      <c r="A4946" t="s">
        <v>4950</v>
      </c>
      <c r="B4946">
        <v>0.99796759195183404</v>
      </c>
      <c r="C4946">
        <v>0.85000901444895105</v>
      </c>
      <c r="D4946">
        <v>0.91678424229828104</v>
      </c>
      <c r="E4946">
        <v>0.82449204978575896</v>
      </c>
      <c r="F4946">
        <v>0.89625083952063</v>
      </c>
      <c r="G4946">
        <v>0.52290503497590302</v>
      </c>
      <c r="H4946">
        <v>0.487225435531915</v>
      </c>
      <c r="I4946">
        <v>0.48094742627553699</v>
      </c>
      <c r="J4946">
        <v>0.27886829389161699</v>
      </c>
      <c r="K4946">
        <v>0.26581069840433902</v>
      </c>
      <c r="L4946">
        <v>417.07170021015497</v>
      </c>
      <c r="M4946">
        <v>7.2329729171553501</v>
      </c>
      <c r="N4946">
        <v>57.662555162197499</v>
      </c>
      <c r="O4946">
        <v>53.744234249905404</v>
      </c>
      <c r="P4946">
        <v>-3.3700650402386602E-2</v>
      </c>
      <c r="Q4946">
        <v>0</v>
      </c>
      <c r="R4946">
        <v>0.91818700281867405</v>
      </c>
      <c r="S4946" t="s">
        <v>10529</v>
      </c>
      <c r="T4946" t="s">
        <v>11164</v>
      </c>
      <c r="U4946" t="s">
        <v>11164</v>
      </c>
      <c r="V4946" t="s">
        <v>11164</v>
      </c>
      <c r="W4946" t="s">
        <v>16064</v>
      </c>
      <c r="X4946">
        <v>2</v>
      </c>
      <c r="Y4946" t="s">
        <v>21530</v>
      </c>
      <c r="Z4946" t="s">
        <v>27096</v>
      </c>
      <c r="AA4946">
        <v>0.66491041962672315</v>
      </c>
      <c r="AB4946" t="str">
        <f>HYPERLINK("Melting_Curves/meltCurve_Q9NPG8_ZDHHC4.pdf", "Melting_Curves/meltCurve_Q9NPG8_ZDHHC4.pdf")</f>
        <v>Melting_Curves/meltCurve_Q9NPG8_ZDHHC4.pdf</v>
      </c>
    </row>
    <row r="4947" spans="1:28" x14ac:dyDescent="0.25">
      <c r="A4947" t="s">
        <v>4951</v>
      </c>
      <c r="B4947">
        <v>0.99796759195183404</v>
      </c>
      <c r="C4947">
        <v>1.1547436568185501</v>
      </c>
      <c r="D4947">
        <v>1.1923976021267499</v>
      </c>
      <c r="E4947">
        <v>1.1625625638992001</v>
      </c>
      <c r="F4947">
        <v>1.0903309920998101</v>
      </c>
      <c r="G4947">
        <v>0.76628436834825697</v>
      </c>
      <c r="H4947">
        <v>0.50190800040060302</v>
      </c>
      <c r="I4947">
        <v>0.41965078816745199</v>
      </c>
      <c r="J4947">
        <v>0.25267779308663602</v>
      </c>
      <c r="K4947">
        <v>0.111171614287117</v>
      </c>
      <c r="L4947">
        <v>1183.5395602757601</v>
      </c>
      <c r="M4947">
        <v>20.661030924523399</v>
      </c>
      <c r="N4947">
        <v>58.1917920569405</v>
      </c>
      <c r="O4947">
        <v>56.755134634606499</v>
      </c>
      <c r="P4947">
        <v>-7.8470011528432596E-2</v>
      </c>
      <c r="Q4947">
        <v>0.13780714511558501</v>
      </c>
      <c r="R4947">
        <v>0.91612397079324304</v>
      </c>
      <c r="S4947" t="s">
        <v>10530</v>
      </c>
      <c r="T4947" t="s">
        <v>11164</v>
      </c>
      <c r="U4947" t="s">
        <v>11164</v>
      </c>
      <c r="V4947" t="s">
        <v>11164</v>
      </c>
      <c r="W4947" t="s">
        <v>16065</v>
      </c>
      <c r="X4947">
        <v>1</v>
      </c>
      <c r="Y4947" t="s">
        <v>21531</v>
      </c>
      <c r="Z4947" t="s">
        <v>27097</v>
      </c>
      <c r="AA4947">
        <v>0.72782562026216246</v>
      </c>
      <c r="AB4947" t="str">
        <f>HYPERLINK("Melting_Curves/meltCurve_Q9NPH0_ACP6.pdf", "Melting_Curves/meltCurve_Q9NPH0_ACP6.pdf")</f>
        <v>Melting_Curves/meltCurve_Q9NPH0_ACP6.pdf</v>
      </c>
    </row>
    <row r="4948" spans="1:28" x14ac:dyDescent="0.25">
      <c r="A4948" t="s">
        <v>4952</v>
      </c>
      <c r="B4948">
        <v>0.99796759195183404</v>
      </c>
      <c r="C4948">
        <v>0.95605200945645197</v>
      </c>
      <c r="D4948">
        <v>0.93586666752514003</v>
      </c>
      <c r="E4948">
        <v>0.84362238557990799</v>
      </c>
      <c r="F4948">
        <v>0.72325479351434496</v>
      </c>
      <c r="G4948">
        <v>0.43675613812811698</v>
      </c>
      <c r="H4948">
        <v>0.34348585416268901</v>
      </c>
      <c r="I4948">
        <v>0.21521797488826599</v>
      </c>
      <c r="J4948">
        <v>0.14929798347399001</v>
      </c>
      <c r="K4948">
        <v>0.152223624823317</v>
      </c>
      <c r="L4948">
        <v>668.46131727484305</v>
      </c>
      <c r="M4948">
        <v>12.685072732139099</v>
      </c>
      <c r="N4948">
        <v>53.427973246146102</v>
      </c>
      <c r="O4948">
        <v>51.438537768680803</v>
      </c>
      <c r="P4948">
        <v>-5.6749377913050097E-2</v>
      </c>
      <c r="Q4948">
        <v>7.9693792195408203E-2</v>
      </c>
      <c r="R4948">
        <v>0.99465403148034104</v>
      </c>
      <c r="S4948" t="s">
        <v>10531</v>
      </c>
      <c r="T4948" t="s">
        <v>11164</v>
      </c>
      <c r="U4948" t="s">
        <v>11164</v>
      </c>
      <c r="V4948" t="s">
        <v>11164</v>
      </c>
      <c r="W4948" t="s">
        <v>16066</v>
      </c>
      <c r="X4948">
        <v>4</v>
      </c>
      <c r="Y4948" t="s">
        <v>21532</v>
      </c>
      <c r="Z4948" t="s">
        <v>27098</v>
      </c>
      <c r="AA4948">
        <v>0.58067946200926823</v>
      </c>
      <c r="AB4948" t="str">
        <f>HYPERLINK("Melting_Curves/meltCurve_Q9NPI6_DCP1A.pdf", "Melting_Curves/meltCurve_Q9NPI6_DCP1A.pdf")</f>
        <v>Melting_Curves/meltCurve_Q9NPI6_DCP1A.pdf</v>
      </c>
    </row>
    <row r="4949" spans="1:28" x14ac:dyDescent="0.25">
      <c r="A4949" t="s">
        <v>4953</v>
      </c>
      <c r="B4949">
        <v>0.99796759195183404</v>
      </c>
      <c r="C4949">
        <v>1.03307478290057</v>
      </c>
      <c r="D4949">
        <v>1.0046638409056301</v>
      </c>
      <c r="E4949">
        <v>0.95864477688323801</v>
      </c>
      <c r="F4949">
        <v>0.91710027079634904</v>
      </c>
      <c r="G4949">
        <v>0.73909455325401396</v>
      </c>
      <c r="H4949">
        <v>0.72323098978228895</v>
      </c>
      <c r="I4949">
        <v>0.64056108724782501</v>
      </c>
      <c r="J4949">
        <v>0.77465490710390195</v>
      </c>
      <c r="K4949">
        <v>0.54411878605682495</v>
      </c>
      <c r="L4949">
        <v>1032.14075320094</v>
      </c>
      <c r="M4949">
        <v>19.724627146865501</v>
      </c>
      <c r="O4949">
        <v>51.7985724186887</v>
      </c>
      <c r="P4949">
        <v>-3.3918022893927098E-2</v>
      </c>
      <c r="Q4949">
        <v>0.643725657757237</v>
      </c>
      <c r="R4949">
        <v>0.88566842162901005</v>
      </c>
      <c r="S4949" t="s">
        <v>10532</v>
      </c>
      <c r="T4949" t="s">
        <v>11164</v>
      </c>
      <c r="U4949" t="s">
        <v>11164</v>
      </c>
      <c r="V4949" t="s">
        <v>11164</v>
      </c>
      <c r="W4949" t="s">
        <v>16067</v>
      </c>
      <c r="X4949">
        <v>7</v>
      </c>
      <c r="Y4949" t="s">
        <v>21533</v>
      </c>
      <c r="Z4949" t="s">
        <v>27099</v>
      </c>
      <c r="AA4949">
        <v>0.8304197329319104</v>
      </c>
      <c r="AB4949" t="str">
        <f>HYPERLINK("Melting_Curves/meltCurve_Q9NPJ3_ACOT13.pdf", "Melting_Curves/meltCurve_Q9NPJ3_ACOT13.pdf")</f>
        <v>Melting_Curves/meltCurve_Q9NPJ3_ACOT13.pdf</v>
      </c>
    </row>
    <row r="4950" spans="1:28" x14ac:dyDescent="0.25">
      <c r="A4950" t="s">
        <v>4954</v>
      </c>
      <c r="B4950">
        <v>0.99796759195183404</v>
      </c>
      <c r="C4950">
        <v>1.02121190811856</v>
      </c>
      <c r="D4950">
        <v>1.04274428533943</v>
      </c>
      <c r="E4950">
        <v>0.90105134981705004</v>
      </c>
      <c r="F4950">
        <v>0.98901935902623805</v>
      </c>
      <c r="G4950">
        <v>1.61745987383019</v>
      </c>
      <c r="H4950">
        <v>1.5160283047155001</v>
      </c>
      <c r="I4950">
        <v>0.99909682137647204</v>
      </c>
      <c r="J4950">
        <v>0.94506582586632704</v>
      </c>
      <c r="K4950">
        <v>0.75401379754721398</v>
      </c>
      <c r="L4950">
        <v>7274.9205002245999</v>
      </c>
      <c r="M4950">
        <v>112.213450746975</v>
      </c>
      <c r="O4950">
        <v>64.810508980806702</v>
      </c>
      <c r="P4950">
        <v>-0.10929167042837</v>
      </c>
      <c r="Q4950">
        <v>0.74750804365484502</v>
      </c>
      <c r="R4950">
        <v>3.1956393845468099E-3</v>
      </c>
      <c r="S4950" t="s">
        <v>10533</v>
      </c>
      <c r="T4950" t="s">
        <v>11164</v>
      </c>
      <c r="U4950" t="s">
        <v>11164</v>
      </c>
      <c r="V4950" t="s">
        <v>11164</v>
      </c>
      <c r="W4950" t="s">
        <v>16068</v>
      </c>
      <c r="X4950">
        <v>2</v>
      </c>
      <c r="Y4950" t="s">
        <v>21534</v>
      </c>
      <c r="Z4950" t="s">
        <v>27100</v>
      </c>
      <c r="AA4950">
        <v>0.98175016095708334</v>
      </c>
      <c r="AB4950" t="str">
        <f>HYPERLINK("Melting_Curves/meltCurve_Q9NPJ6_MED4.pdf", "Melting_Curves/meltCurve_Q9NPJ6_MED4.pdf")</f>
        <v>Melting_Curves/meltCurve_Q9NPJ6_MED4.pdf</v>
      </c>
    </row>
    <row r="4951" spans="1:28" x14ac:dyDescent="0.25">
      <c r="A4951" t="s">
        <v>4955</v>
      </c>
      <c r="B4951">
        <v>0.99796759195183404</v>
      </c>
      <c r="C4951">
        <v>0.97608628186701496</v>
      </c>
      <c r="D4951">
        <v>0.94875100450138306</v>
      </c>
      <c r="E4951">
        <v>0.92138937629838102</v>
      </c>
      <c r="F4951">
        <v>0.84027658155806795</v>
      </c>
      <c r="G4951">
        <v>0.68046662719418705</v>
      </c>
      <c r="H4951">
        <v>0.915723812569745</v>
      </c>
      <c r="I4951">
        <v>0.78731453807053298</v>
      </c>
      <c r="J4951">
        <v>1.02044004196469</v>
      </c>
      <c r="K4951">
        <v>0.820124991596338</v>
      </c>
      <c r="L4951">
        <v>1153.8835764760699</v>
      </c>
      <c r="M4951">
        <v>25.6519171592643</v>
      </c>
      <c r="O4951">
        <v>44.711669402418003</v>
      </c>
      <c r="P4951">
        <v>-2.2181476569923399E-2</v>
      </c>
      <c r="Q4951">
        <v>0.84535138154479605</v>
      </c>
      <c r="R4951">
        <v>0.32781957423868102</v>
      </c>
      <c r="S4951" t="s">
        <v>10534</v>
      </c>
      <c r="T4951" t="s">
        <v>11164</v>
      </c>
      <c r="U4951" t="s">
        <v>11164</v>
      </c>
      <c r="V4951" t="s">
        <v>11164</v>
      </c>
      <c r="W4951" t="s">
        <v>16069</v>
      </c>
      <c r="X4951">
        <v>11</v>
      </c>
      <c r="Y4951" t="s">
        <v>21535</v>
      </c>
      <c r="Z4951" t="s">
        <v>27101</v>
      </c>
      <c r="AA4951">
        <v>0.88770267227327981</v>
      </c>
      <c r="AB4951" t="str">
        <f>HYPERLINK("Melting_Curves/meltCurve_Q9NPL8_TIMMDC1.pdf", "Melting_Curves/meltCurve_Q9NPL8_TIMMDC1.pdf")</f>
        <v>Melting_Curves/meltCurve_Q9NPL8_TIMMDC1.pdf</v>
      </c>
    </row>
    <row r="4952" spans="1:28" x14ac:dyDescent="0.25">
      <c r="A4952" t="s">
        <v>4956</v>
      </c>
      <c r="B4952">
        <v>0.99796759195183404</v>
      </c>
      <c r="C4952">
        <v>0.92759315895274896</v>
      </c>
      <c r="D4952">
        <v>0.94429174674404803</v>
      </c>
      <c r="E4952">
        <v>0.89907382506689404</v>
      </c>
      <c r="F4952">
        <v>0.70103294908526104</v>
      </c>
      <c r="G4952">
        <v>0.25832539303248397</v>
      </c>
      <c r="H4952">
        <v>0.17479733686292001</v>
      </c>
      <c r="I4952">
        <v>0.13000005763538899</v>
      </c>
      <c r="J4952">
        <v>0.108701256182031</v>
      </c>
      <c r="K4952">
        <v>7.6030470039307296E-2</v>
      </c>
      <c r="L4952">
        <v>1340.3221555617399</v>
      </c>
      <c r="M4952">
        <v>26.170944046744101</v>
      </c>
      <c r="N4952">
        <v>51.649714706129899</v>
      </c>
      <c r="O4952">
        <v>50.917914536136998</v>
      </c>
      <c r="P4952">
        <v>-0.115772671044513</v>
      </c>
      <c r="Q4952">
        <v>9.9025733615766304E-2</v>
      </c>
      <c r="R4952">
        <v>0.99072086862081798</v>
      </c>
      <c r="S4952" t="s">
        <v>10535</v>
      </c>
      <c r="T4952" t="s">
        <v>11164</v>
      </c>
      <c r="U4952" t="s">
        <v>11164</v>
      </c>
      <c r="V4952" t="s">
        <v>11164</v>
      </c>
      <c r="W4952" t="s">
        <v>16070</v>
      </c>
      <c r="X4952">
        <v>11</v>
      </c>
      <c r="Y4952" t="s">
        <v>21536</v>
      </c>
      <c r="Z4952" t="s">
        <v>27102</v>
      </c>
      <c r="AA4952">
        <v>0.53322083913103102</v>
      </c>
      <c r="AB4952" t="str">
        <f>HYPERLINK("Melting_Curves/meltCurve_Q9NPQ8_4_RIC8A.pdf", "Melting_Curves/meltCurve_Q9NPQ8_4_RIC8A.pdf")</f>
        <v>Melting_Curves/meltCurve_Q9NPQ8_4_RIC8A.pdf</v>
      </c>
    </row>
    <row r="4953" spans="1:28" x14ac:dyDescent="0.25">
      <c r="A4953" t="s">
        <v>4957</v>
      </c>
      <c r="B4953">
        <v>0.99796759195183404</v>
      </c>
      <c r="C4953">
        <v>1.02860176929696</v>
      </c>
      <c r="D4953">
        <v>0.96958374044836204</v>
      </c>
      <c r="E4953">
        <v>0.93736775706644604</v>
      </c>
      <c r="F4953">
        <v>0.74187133207767797</v>
      </c>
      <c r="G4953">
        <v>0.59144535847515001</v>
      </c>
      <c r="H4953">
        <v>0.23665964893521599</v>
      </c>
      <c r="I4953">
        <v>0.12775621435284301</v>
      </c>
      <c r="J4953">
        <v>9.0699956964208406E-2</v>
      </c>
      <c r="K4953">
        <v>5.9905710259676503E-2</v>
      </c>
      <c r="L4953">
        <v>901.94660081463405</v>
      </c>
      <c r="M4953">
        <v>16.688746654469899</v>
      </c>
      <c r="N4953">
        <v>54.122092704496097</v>
      </c>
      <c r="O4953">
        <v>53.287064703942796</v>
      </c>
      <c r="P4953">
        <v>-7.7384213531141402E-2</v>
      </c>
      <c r="Q4953">
        <v>1.1716030962431401E-2</v>
      </c>
      <c r="R4953">
        <v>0.99336050837227297</v>
      </c>
      <c r="S4953" t="s">
        <v>10536</v>
      </c>
      <c r="T4953" t="s">
        <v>11164</v>
      </c>
      <c r="U4953" t="s">
        <v>11164</v>
      </c>
      <c r="V4953" t="s">
        <v>11164</v>
      </c>
      <c r="W4953" t="s">
        <v>16071</v>
      </c>
      <c r="X4953">
        <v>1</v>
      </c>
      <c r="Y4953" t="s">
        <v>21537</v>
      </c>
      <c r="Z4953" t="s">
        <v>27103</v>
      </c>
      <c r="AA4953">
        <v>0.58781758219803115</v>
      </c>
      <c r="AB4953" t="str">
        <f>HYPERLINK("Melting_Curves/meltCurve_Q9NPR9_GPR108.pdf", "Melting_Curves/meltCurve_Q9NPR9_GPR108.pdf")</f>
        <v>Melting_Curves/meltCurve_Q9NPR9_GPR108.pdf</v>
      </c>
    </row>
    <row r="4954" spans="1:28" x14ac:dyDescent="0.25">
      <c r="A4954" t="s">
        <v>4958</v>
      </c>
      <c r="B4954">
        <v>0.99796759195183404</v>
      </c>
      <c r="C4954">
        <v>0.82879293197280501</v>
      </c>
      <c r="D4954">
        <v>0.94936973179065998</v>
      </c>
      <c r="E4954">
        <v>0.958397207866721</v>
      </c>
      <c r="F4954">
        <v>1.03288717313802</v>
      </c>
      <c r="G4954">
        <v>0.39291347195910298</v>
      </c>
      <c r="H4954">
        <v>0.62149527511045999</v>
      </c>
      <c r="I4954">
        <v>0.268452633079584</v>
      </c>
      <c r="J4954">
        <v>0</v>
      </c>
      <c r="K4954">
        <v>0.23650517612583599</v>
      </c>
      <c r="L4954">
        <v>868.59476200684401</v>
      </c>
      <c r="M4954">
        <v>15.646067812522199</v>
      </c>
      <c r="N4954">
        <v>56.110453981697098</v>
      </c>
      <c r="O4954">
        <v>54.632075705559103</v>
      </c>
      <c r="P4954">
        <v>-6.6128208686775602E-2</v>
      </c>
      <c r="Q4954">
        <v>7.6468178131377906E-2</v>
      </c>
      <c r="R4954">
        <v>0.83571198031949501</v>
      </c>
      <c r="S4954" t="s">
        <v>10537</v>
      </c>
      <c r="T4954" t="s">
        <v>11164</v>
      </c>
      <c r="U4954" t="s">
        <v>11164</v>
      </c>
      <c r="V4954" t="s">
        <v>11164</v>
      </c>
      <c r="W4954" t="s">
        <v>16072</v>
      </c>
      <c r="X4954">
        <v>1</v>
      </c>
      <c r="Y4954" t="s">
        <v>21538</v>
      </c>
      <c r="Z4954" t="s">
        <v>27104</v>
      </c>
      <c r="AA4954">
        <v>0.65817264894725569</v>
      </c>
      <c r="AB4954" t="str">
        <f>HYPERLINK("Melting_Curves/meltCurve_Q9NQ11_3_ATP13A2.pdf", "Melting_Curves/meltCurve_Q9NQ11_3_ATP13A2.pdf")</f>
        <v>Melting_Curves/meltCurve_Q9NQ11_3_ATP13A2.pdf</v>
      </c>
    </row>
    <row r="4955" spans="1:28" x14ac:dyDescent="0.25">
      <c r="A4955" t="s">
        <v>4959</v>
      </c>
      <c r="B4955">
        <v>0.99796759195183404</v>
      </c>
      <c r="C4955">
        <v>1.05834192847023</v>
      </c>
      <c r="D4955">
        <v>0.95528208070435805</v>
      </c>
      <c r="E4955">
        <v>0.87931717517986596</v>
      </c>
      <c r="F4955">
        <v>0.76977727125196604</v>
      </c>
      <c r="G4955">
        <v>0.50361441354306702</v>
      </c>
      <c r="H4955">
        <v>0.26304508287003903</v>
      </c>
      <c r="I4955">
        <v>0.18528594157037601</v>
      </c>
      <c r="J4955">
        <v>0.16174589463162201</v>
      </c>
      <c r="K4955">
        <v>0.13700848498898499</v>
      </c>
      <c r="L4955">
        <v>910.035422621934</v>
      </c>
      <c r="M4955">
        <v>17.204042337183999</v>
      </c>
      <c r="N4955">
        <v>53.655208220236702</v>
      </c>
      <c r="O4955">
        <v>52.197431641648897</v>
      </c>
      <c r="P4955">
        <v>-7.3507606734281597E-2</v>
      </c>
      <c r="Q4955">
        <v>0.10795803227692</v>
      </c>
      <c r="R4955">
        <v>0.99383959301991298</v>
      </c>
      <c r="S4955" t="s">
        <v>10538</v>
      </c>
      <c r="T4955" t="s">
        <v>11164</v>
      </c>
      <c r="U4955" t="s">
        <v>11164</v>
      </c>
      <c r="V4955" t="s">
        <v>11164</v>
      </c>
      <c r="W4955" t="s">
        <v>16073</v>
      </c>
      <c r="X4955">
        <v>18</v>
      </c>
      <c r="Y4955" t="s">
        <v>21539</v>
      </c>
      <c r="Z4955" t="s">
        <v>27105</v>
      </c>
      <c r="AA4955">
        <v>0.59443746228452177</v>
      </c>
      <c r="AB4955" t="str">
        <f>HYPERLINK("Melting_Curves/meltCurve_Q9NQ29_LUC7L.pdf", "Melting_Curves/meltCurve_Q9NQ29_LUC7L.pdf")</f>
        <v>Melting_Curves/meltCurve_Q9NQ29_LUC7L.pdf</v>
      </c>
    </row>
    <row r="4956" spans="1:28" x14ac:dyDescent="0.25">
      <c r="A4956" t="s">
        <v>4960</v>
      </c>
      <c r="B4956">
        <v>0.99796759195183404</v>
      </c>
      <c r="C4956">
        <v>1.2231359693435799</v>
      </c>
      <c r="D4956">
        <v>1.1035920324741599</v>
      </c>
      <c r="E4956">
        <v>1.0147078274532599</v>
      </c>
      <c r="F4956">
        <v>0.94388399277806401</v>
      </c>
      <c r="G4956">
        <v>0.37768631463358099</v>
      </c>
      <c r="H4956">
        <v>0.173309885278144</v>
      </c>
      <c r="I4956">
        <v>0.12588590594788299</v>
      </c>
      <c r="J4956">
        <v>0.10152997601262501</v>
      </c>
      <c r="K4956">
        <v>8.6968285353396194E-2</v>
      </c>
      <c r="L4956">
        <v>2503.57810954047</v>
      </c>
      <c r="M4956">
        <v>47.3569671089518</v>
      </c>
      <c r="N4956">
        <v>53.1594735583367</v>
      </c>
      <c r="O4956">
        <v>52.772087485076</v>
      </c>
      <c r="P4956">
        <v>-0.198548047497076</v>
      </c>
      <c r="Q4956">
        <v>0.114995363657939</v>
      </c>
      <c r="R4956">
        <v>0.969147831076828</v>
      </c>
      <c r="S4956" t="s">
        <v>10539</v>
      </c>
      <c r="T4956" t="s">
        <v>11164</v>
      </c>
      <c r="U4956" t="s">
        <v>11164</v>
      </c>
      <c r="V4956" t="s">
        <v>11164</v>
      </c>
      <c r="W4956" t="s">
        <v>16074</v>
      </c>
      <c r="X4956">
        <v>12</v>
      </c>
      <c r="Y4956" t="s">
        <v>21540</v>
      </c>
      <c r="Z4956" t="s">
        <v>27106</v>
      </c>
      <c r="AA4956">
        <v>0.58534723448017634</v>
      </c>
      <c r="AB4956" t="str">
        <f>HYPERLINK("Melting_Curves/meltCurve_Q9NQ88_TIGAR.pdf", "Melting_Curves/meltCurve_Q9NQ88_TIGAR.pdf")</f>
        <v>Melting_Curves/meltCurve_Q9NQ88_TIGAR.pdf</v>
      </c>
    </row>
    <row r="4957" spans="1:28" x14ac:dyDescent="0.25">
      <c r="A4957" t="s">
        <v>4961</v>
      </c>
      <c r="B4957">
        <v>0.99796759195183404</v>
      </c>
      <c r="C4957">
        <v>1.00634788647907</v>
      </c>
      <c r="D4957">
        <v>1.0940821529600899</v>
      </c>
      <c r="E4957">
        <v>1.05530864007636</v>
      </c>
      <c r="F4957">
        <v>0.92578495993962096</v>
      </c>
      <c r="G4957">
        <v>0.50491698940881602</v>
      </c>
      <c r="H4957">
        <v>0.50671768064612599</v>
      </c>
      <c r="I4957">
        <v>0.55502586799112796</v>
      </c>
      <c r="J4957">
        <v>0.72141311511364303</v>
      </c>
      <c r="K4957">
        <v>0.48424719695081297</v>
      </c>
      <c r="L4957">
        <v>12630.8269327334</v>
      </c>
      <c r="M4957">
        <v>250</v>
      </c>
      <c r="O4957">
        <v>50.520074521962499</v>
      </c>
      <c r="P4957">
        <v>-0.55118664556307095</v>
      </c>
      <c r="Q4957">
        <v>0.55446415351048195</v>
      </c>
      <c r="R4957">
        <v>0.91554794241662996</v>
      </c>
      <c r="S4957" t="s">
        <v>10540</v>
      </c>
      <c r="T4957" t="s">
        <v>11164</v>
      </c>
      <c r="U4957" t="s">
        <v>11164</v>
      </c>
      <c r="V4957" t="s">
        <v>11164</v>
      </c>
      <c r="W4957" t="s">
        <v>16075</v>
      </c>
      <c r="X4957">
        <v>7</v>
      </c>
      <c r="Y4957" t="s">
        <v>21541</v>
      </c>
      <c r="Z4957" t="s">
        <v>27107</v>
      </c>
      <c r="AA4957">
        <v>0.75534093668771651</v>
      </c>
      <c r="AB4957" t="str">
        <f>HYPERLINK("Melting_Curves/meltCurve_Q9NQC3_RTN4.pdf", "Melting_Curves/meltCurve_Q9NQC3_RTN4.pdf")</f>
        <v>Melting_Curves/meltCurve_Q9NQC3_RTN4.pdf</v>
      </c>
    </row>
    <row r="4958" spans="1:28" x14ac:dyDescent="0.25">
      <c r="A4958" t="s">
        <v>4962</v>
      </c>
      <c r="B4958">
        <v>0.99796759195183404</v>
      </c>
      <c r="C4958">
        <v>0.951256263937999</v>
      </c>
      <c r="D4958">
        <v>0.99204909692633403</v>
      </c>
      <c r="E4958">
        <v>0.89959087434672702</v>
      </c>
      <c r="F4958">
        <v>0.84716932954754398</v>
      </c>
      <c r="G4958">
        <v>0.64308039293164299</v>
      </c>
      <c r="H4958">
        <v>0.51356823228419402</v>
      </c>
      <c r="I4958">
        <v>0.34424190591551002</v>
      </c>
      <c r="J4958">
        <v>0.16744427380096599</v>
      </c>
      <c r="K4958">
        <v>9.1739186992627494E-2</v>
      </c>
      <c r="L4958">
        <v>700.95891783741695</v>
      </c>
      <c r="M4958">
        <v>12.313880645562501</v>
      </c>
      <c r="N4958">
        <v>56.924290538501701</v>
      </c>
      <c r="O4958">
        <v>55.485493682860401</v>
      </c>
      <c r="P4958">
        <v>-5.5494534223448598E-2</v>
      </c>
      <c r="Q4958">
        <v>0</v>
      </c>
      <c r="R4958">
        <v>0.99030619648626705</v>
      </c>
      <c r="S4958" t="s">
        <v>10541</v>
      </c>
      <c r="T4958" t="s">
        <v>11164</v>
      </c>
      <c r="U4958" t="s">
        <v>11164</v>
      </c>
      <c r="V4958" t="s">
        <v>11164</v>
      </c>
      <c r="W4958" t="s">
        <v>16076</v>
      </c>
      <c r="X4958">
        <v>8</v>
      </c>
      <c r="Y4958" t="s">
        <v>21542</v>
      </c>
      <c r="Z4958" t="s">
        <v>27108</v>
      </c>
      <c r="AA4958">
        <v>0.66977162381914424</v>
      </c>
      <c r="AB4958" t="str">
        <f>HYPERLINK("Melting_Curves/meltCurve_Q9NQE9_HINT3.pdf", "Melting_Curves/meltCurve_Q9NQE9_HINT3.pdf")</f>
        <v>Melting_Curves/meltCurve_Q9NQE9_HINT3.pdf</v>
      </c>
    </row>
    <row r="4959" spans="1:28" x14ac:dyDescent="0.25">
      <c r="A4959" t="s">
        <v>4963</v>
      </c>
      <c r="B4959">
        <v>0.99796759195183404</v>
      </c>
      <c r="C4959">
        <v>0.78594286499643096</v>
      </c>
      <c r="D4959">
        <v>0.45341133699027902</v>
      </c>
      <c r="E4959">
        <v>0.73701539590210197</v>
      </c>
      <c r="F4959">
        <v>0.77163233116636698</v>
      </c>
      <c r="G4959">
        <v>0.79976026333879302</v>
      </c>
      <c r="H4959">
        <v>0.56542775396143197</v>
      </c>
      <c r="I4959">
        <v>0.63013815974137999</v>
      </c>
      <c r="J4959">
        <v>0.48451689196908199</v>
      </c>
      <c r="K4959">
        <v>0.16145776968403999</v>
      </c>
      <c r="L4959">
        <v>185.854440209491</v>
      </c>
      <c r="M4959">
        <v>3.0406308888439799</v>
      </c>
      <c r="N4959">
        <v>61.123646509981498</v>
      </c>
      <c r="O4959">
        <v>45.2715735825671</v>
      </c>
      <c r="P4959">
        <v>-1.7289978299823601E-2</v>
      </c>
      <c r="Q4959">
        <v>0</v>
      </c>
      <c r="R4959">
        <v>0.45856953790965999</v>
      </c>
      <c r="S4959" t="s">
        <v>10542</v>
      </c>
      <c r="T4959" t="s">
        <v>11164</v>
      </c>
      <c r="U4959" t="s">
        <v>11164</v>
      </c>
      <c r="V4959" t="s">
        <v>11164</v>
      </c>
      <c r="W4959" t="s">
        <v>16077</v>
      </c>
      <c r="X4959">
        <v>1</v>
      </c>
      <c r="Y4959" t="s">
        <v>21543</v>
      </c>
      <c r="Z4959" t="s">
        <v>27109</v>
      </c>
      <c r="AA4959">
        <v>0.64038844762653357</v>
      </c>
      <c r="AB4959" t="str">
        <f>HYPERLINK("Melting_Curves/meltCurve_Q9NQG1_MANBAL.pdf", "Melting_Curves/meltCurve_Q9NQG1_MANBAL.pdf")</f>
        <v>Melting_Curves/meltCurve_Q9NQG1_MANBAL.pdf</v>
      </c>
    </row>
    <row r="4960" spans="1:28" x14ac:dyDescent="0.25">
      <c r="A4960" t="s">
        <v>4964</v>
      </c>
      <c r="B4960">
        <v>0.99796759195183404</v>
      </c>
      <c r="C4960">
        <v>1.0573624738226599</v>
      </c>
      <c r="D4960">
        <v>1.02962966600266</v>
      </c>
      <c r="E4960">
        <v>0.96741731442685797</v>
      </c>
      <c r="F4960">
        <v>0.86160245980969796</v>
      </c>
      <c r="G4960">
        <v>0.40579197756489199</v>
      </c>
      <c r="H4960">
        <v>0.212056207072879</v>
      </c>
      <c r="I4960">
        <v>0.135304404803399</v>
      </c>
      <c r="J4960">
        <v>0.106742245339745</v>
      </c>
      <c r="K4960">
        <v>7.8521706160170401E-2</v>
      </c>
      <c r="L4960">
        <v>1582.6884543997</v>
      </c>
      <c r="M4960">
        <v>29.989684645932201</v>
      </c>
      <c r="N4960">
        <v>53.196852776311303</v>
      </c>
      <c r="O4960">
        <v>52.541450492239299</v>
      </c>
      <c r="P4960">
        <v>-0.12757702734588899</v>
      </c>
      <c r="Q4960">
        <v>0.105954341567747</v>
      </c>
      <c r="R4960">
        <v>0.99549811709326397</v>
      </c>
      <c r="S4960" t="s">
        <v>10543</v>
      </c>
      <c r="T4960" t="s">
        <v>11164</v>
      </c>
      <c r="U4960" t="s">
        <v>11164</v>
      </c>
      <c r="V4960" t="s">
        <v>11164</v>
      </c>
      <c r="W4960" t="s">
        <v>16078</v>
      </c>
      <c r="X4960">
        <v>13</v>
      </c>
      <c r="Y4960" t="s">
        <v>21544</v>
      </c>
      <c r="Z4960" t="s">
        <v>27110</v>
      </c>
      <c r="AA4960">
        <v>0.58174192963241433</v>
      </c>
      <c r="AB4960" t="str">
        <f>HYPERLINK("Melting_Curves/meltCurve_Q9NQG5_RPRD1B.pdf", "Melting_Curves/meltCurve_Q9NQG5_RPRD1B.pdf")</f>
        <v>Melting_Curves/meltCurve_Q9NQG5_RPRD1B.pdf</v>
      </c>
    </row>
    <row r="4961" spans="1:28" x14ac:dyDescent="0.25">
      <c r="A4961" t="s">
        <v>4965</v>
      </c>
      <c r="B4961">
        <v>0.99796759195183404</v>
      </c>
      <c r="C4961">
        <v>1.1480560519765699</v>
      </c>
      <c r="D4961">
        <v>0.96729820516105303</v>
      </c>
      <c r="E4961">
        <v>0.85698461784206004</v>
      </c>
      <c r="F4961">
        <v>0.930222497462177</v>
      </c>
      <c r="G4961">
        <v>0.86571183389139095</v>
      </c>
      <c r="H4961">
        <v>0.72256154623120705</v>
      </c>
      <c r="I4961">
        <v>0.56666130071032195</v>
      </c>
      <c r="J4961">
        <v>0.20314520594476401</v>
      </c>
      <c r="K4961">
        <v>0.13050334199928701</v>
      </c>
      <c r="L4961">
        <v>1078.0962836799299</v>
      </c>
      <c r="M4961">
        <v>17.790138868536701</v>
      </c>
      <c r="N4961">
        <v>60.600781915262402</v>
      </c>
      <c r="O4961">
        <v>59.850618280752002</v>
      </c>
      <c r="P4961">
        <v>-7.4314429300982393E-2</v>
      </c>
      <c r="Q4961">
        <v>0</v>
      </c>
      <c r="R4961">
        <v>0.94179004611908801</v>
      </c>
      <c r="S4961" t="s">
        <v>10544</v>
      </c>
      <c r="T4961" t="s">
        <v>11164</v>
      </c>
      <c r="U4961" t="s">
        <v>11164</v>
      </c>
      <c r="V4961" t="s">
        <v>11164</v>
      </c>
      <c r="W4961" t="s">
        <v>16079</v>
      </c>
      <c r="X4961">
        <v>4</v>
      </c>
      <c r="Y4961" t="s">
        <v>21545</v>
      </c>
      <c r="Z4961" t="s">
        <v>27111</v>
      </c>
      <c r="AA4961">
        <v>0.78159719751844647</v>
      </c>
      <c r="AB4961" t="str">
        <f>HYPERLINK("Melting_Curves/meltCurve_Q9NQH7_2_XPNPEP3.pdf", "Melting_Curves/meltCurve_Q9NQH7_2_XPNPEP3.pdf")</f>
        <v>Melting_Curves/meltCurve_Q9NQH7_2_XPNPEP3.pdf</v>
      </c>
    </row>
    <row r="4962" spans="1:28" x14ac:dyDescent="0.25">
      <c r="A4962" t="s">
        <v>4966</v>
      </c>
      <c r="B4962">
        <v>0.99796759195183404</v>
      </c>
      <c r="C4962">
        <v>1.08942006617749</v>
      </c>
      <c r="D4962">
        <v>0.91928682620116198</v>
      </c>
      <c r="E4962">
        <v>0.66296359199544797</v>
      </c>
      <c r="F4962">
        <v>0.80356849082732995</v>
      </c>
      <c r="G4962">
        <v>0.88086634524137097</v>
      </c>
      <c r="H4962">
        <v>0.85565867254183603</v>
      </c>
      <c r="I4962">
        <v>0.59925658404826398</v>
      </c>
      <c r="J4962">
        <v>0.63560336972824505</v>
      </c>
      <c r="K4962">
        <v>0.51579383537299905</v>
      </c>
      <c r="L4962">
        <v>275.45856812517201</v>
      </c>
      <c r="M4962">
        <v>3.83777765370077</v>
      </c>
      <c r="O4962">
        <v>58.134992828021097</v>
      </c>
      <c r="P4962">
        <v>-1.6745787102158401E-2</v>
      </c>
      <c r="Q4962">
        <v>0</v>
      </c>
      <c r="R4962">
        <v>0.66483778320578601</v>
      </c>
      <c r="S4962" t="s">
        <v>10545</v>
      </c>
      <c r="T4962" t="s">
        <v>11164</v>
      </c>
      <c r="U4962" t="s">
        <v>11164</v>
      </c>
      <c r="V4962" t="s">
        <v>11164</v>
      </c>
      <c r="W4962" t="s">
        <v>16080</v>
      </c>
      <c r="X4962">
        <v>4</v>
      </c>
      <c r="Y4962" t="s">
        <v>21546</v>
      </c>
      <c r="Z4962" t="s">
        <v>27112</v>
      </c>
      <c r="AA4962">
        <v>0.79744294040134867</v>
      </c>
      <c r="AB4962" t="str">
        <f>HYPERLINK("Melting_Curves/meltCurve_Q9NQL2_RRAGD.pdf", "Melting_Curves/meltCurve_Q9NQL2_RRAGD.pdf")</f>
        <v>Melting_Curves/meltCurve_Q9NQL2_RRAGD.pdf</v>
      </c>
    </row>
    <row r="4963" spans="1:28" x14ac:dyDescent="0.25">
      <c r="A4963" t="s">
        <v>4967</v>
      </c>
      <c r="B4963">
        <v>0.99796759195183404</v>
      </c>
      <c r="C4963">
        <v>1.0345254301080999</v>
      </c>
      <c r="D4963">
        <v>1.02742538453316</v>
      </c>
      <c r="E4963">
        <v>0.99978446956984501</v>
      </c>
      <c r="F4963">
        <v>1.02689439046699</v>
      </c>
      <c r="G4963">
        <v>0.80965036432227</v>
      </c>
      <c r="H4963">
        <v>0.80434300272552794</v>
      </c>
      <c r="I4963">
        <v>0.87121632930345005</v>
      </c>
      <c r="J4963">
        <v>1.1366905761089201</v>
      </c>
      <c r="K4963">
        <v>0.97135359975871904</v>
      </c>
      <c r="L4963">
        <v>4995.7933680863998</v>
      </c>
      <c r="M4963">
        <v>96.845062028803696</v>
      </c>
      <c r="O4963">
        <v>51.563437444592701</v>
      </c>
      <c r="P4963">
        <v>-3.7972429553716297E-2</v>
      </c>
      <c r="Q4963">
        <v>0.91912901637724598</v>
      </c>
      <c r="R4963">
        <v>0.21551217449129101</v>
      </c>
      <c r="S4963" t="s">
        <v>10546</v>
      </c>
      <c r="T4963" t="s">
        <v>11164</v>
      </c>
      <c r="U4963" t="s">
        <v>11164</v>
      </c>
      <c r="V4963" t="s">
        <v>11164</v>
      </c>
      <c r="W4963" t="s">
        <v>16081</v>
      </c>
      <c r="X4963">
        <v>7</v>
      </c>
      <c r="Y4963" t="s">
        <v>21547</v>
      </c>
      <c r="Z4963" t="s">
        <v>27113</v>
      </c>
      <c r="AA4963">
        <v>0.95849577967262556</v>
      </c>
      <c r="AB4963" t="str">
        <f>HYPERLINK("Melting_Curves/meltCurve_Q9NQP4_PFDN4.pdf", "Melting_Curves/meltCurve_Q9NQP4_PFDN4.pdf")</f>
        <v>Melting_Curves/meltCurve_Q9NQP4_PFDN4.pdf</v>
      </c>
    </row>
    <row r="4964" spans="1:28" x14ac:dyDescent="0.25">
      <c r="A4964" t="s">
        <v>4968</v>
      </c>
      <c r="B4964">
        <v>0.99796759195183404</v>
      </c>
      <c r="C4964">
        <v>1.0641189595806999</v>
      </c>
      <c r="D4964">
        <v>1.0779395104510301</v>
      </c>
      <c r="E4964">
        <v>0.99893067905427502</v>
      </c>
      <c r="F4964">
        <v>0.83556304159203099</v>
      </c>
      <c r="G4964">
        <v>0.719308083454122</v>
      </c>
      <c r="H4964">
        <v>0.55146160935765198</v>
      </c>
      <c r="I4964">
        <v>0.283256252164169</v>
      </c>
      <c r="J4964">
        <v>0.14387048506800801</v>
      </c>
      <c r="K4964">
        <v>0.10541052680973401</v>
      </c>
      <c r="L4964">
        <v>859.592563621213</v>
      </c>
      <c r="M4964">
        <v>14.9733402473233</v>
      </c>
      <c r="N4964">
        <v>57.408203574007203</v>
      </c>
      <c r="O4964">
        <v>56.4134273018065</v>
      </c>
      <c r="P4964">
        <v>-6.6362145166695696E-2</v>
      </c>
      <c r="Q4964">
        <v>0</v>
      </c>
      <c r="R4964">
        <v>0.98521933479442902</v>
      </c>
      <c r="S4964" t="s">
        <v>10547</v>
      </c>
      <c r="T4964" t="s">
        <v>11164</v>
      </c>
      <c r="U4964" t="s">
        <v>11164</v>
      </c>
      <c r="V4964" t="s">
        <v>11164</v>
      </c>
      <c r="W4964" t="s">
        <v>16082</v>
      </c>
      <c r="X4964">
        <v>19</v>
      </c>
      <c r="Y4964" t="s">
        <v>21548</v>
      </c>
      <c r="Z4964" t="s">
        <v>27114</v>
      </c>
      <c r="AA4964">
        <v>0.68689341809546856</v>
      </c>
      <c r="AB4964" t="str">
        <f>HYPERLINK("Melting_Curves/meltCurve_Q9NQR4_NIT2.pdf", "Melting_Curves/meltCurve_Q9NQR4_NIT2.pdf")</f>
        <v>Melting_Curves/meltCurve_Q9NQR4_NIT2.pdf</v>
      </c>
    </row>
    <row r="4965" spans="1:28" x14ac:dyDescent="0.25">
      <c r="A4965" t="s">
        <v>4969</v>
      </c>
      <c r="B4965">
        <v>0.99796759195183404</v>
      </c>
      <c r="C4965">
        <v>1.0695193867730499</v>
      </c>
      <c r="D4965">
        <v>1.0057916238848901</v>
      </c>
      <c r="E4965">
        <v>0.84849787392918796</v>
      </c>
      <c r="F4965">
        <v>0.68839209325555595</v>
      </c>
      <c r="G4965">
        <v>1.0634281251812701</v>
      </c>
      <c r="H4965">
        <v>0.55538393002815301</v>
      </c>
      <c r="I4965">
        <v>0.44122130337875398</v>
      </c>
      <c r="J4965">
        <v>0.92450502687674396</v>
      </c>
      <c r="K4965">
        <v>0.92375199654468598</v>
      </c>
      <c r="L4965">
        <v>11621.6109577026</v>
      </c>
      <c r="M4965">
        <v>250</v>
      </c>
      <c r="O4965">
        <v>46.483467225280201</v>
      </c>
      <c r="P4965">
        <v>-0.31447504256667302</v>
      </c>
      <c r="Q4965">
        <v>0.76611374595604997</v>
      </c>
      <c r="R4965">
        <v>0.30559126403013298</v>
      </c>
      <c r="S4965" t="s">
        <v>10548</v>
      </c>
      <c r="T4965" t="s">
        <v>11164</v>
      </c>
      <c r="U4965" t="s">
        <v>11164</v>
      </c>
      <c r="V4965" t="s">
        <v>11164</v>
      </c>
      <c r="W4965" t="s">
        <v>16083</v>
      </c>
      <c r="X4965">
        <v>1</v>
      </c>
      <c r="Y4965" t="s">
        <v>21549</v>
      </c>
      <c r="Z4965" t="s">
        <v>27115</v>
      </c>
      <c r="AA4965">
        <v>0.84009112082112714</v>
      </c>
      <c r="AB4965" t="str">
        <f>HYPERLINK("Melting_Curves/meltCurve_Q9NQS1_AVEN.pdf", "Melting_Curves/meltCurve_Q9NQS1_AVEN.pdf")</f>
        <v>Melting_Curves/meltCurve_Q9NQS1_AVEN.pdf</v>
      </c>
    </row>
    <row r="4966" spans="1:28" x14ac:dyDescent="0.25">
      <c r="A4966" t="s">
        <v>4970</v>
      </c>
      <c r="B4966">
        <v>0.99796759195183404</v>
      </c>
      <c r="C4966">
        <v>0.99205783284800098</v>
      </c>
      <c r="D4966">
        <v>0.95608843553863199</v>
      </c>
      <c r="E4966">
        <v>0.96438965801735499</v>
      </c>
      <c r="F4966">
        <v>1.0619209505212801</v>
      </c>
      <c r="G4966">
        <v>2.7193491464033501</v>
      </c>
      <c r="H4966">
        <v>1.9290367949610401</v>
      </c>
      <c r="I4966">
        <v>0.94620753447871297</v>
      </c>
      <c r="J4966">
        <v>0.439332227467432</v>
      </c>
      <c r="K4966">
        <v>0.38533673841746002</v>
      </c>
      <c r="L4966">
        <v>6132.8628207015199</v>
      </c>
      <c r="M4966">
        <v>98.098074932616399</v>
      </c>
      <c r="N4966">
        <v>63.478193760745498</v>
      </c>
      <c r="O4966">
        <v>62.491699304250403</v>
      </c>
      <c r="P4966">
        <v>-0.240694824722541</v>
      </c>
      <c r="Q4966">
        <v>0.38667796526704701</v>
      </c>
      <c r="R4966">
        <v>0.115801413776248</v>
      </c>
      <c r="S4966" t="s">
        <v>10549</v>
      </c>
      <c r="T4966" t="s">
        <v>11164</v>
      </c>
      <c r="U4966" t="s">
        <v>11164</v>
      </c>
      <c r="V4966" t="s">
        <v>11164</v>
      </c>
      <c r="W4966" t="s">
        <v>16084</v>
      </c>
      <c r="X4966">
        <v>5</v>
      </c>
      <c r="Y4966" t="s">
        <v>21550</v>
      </c>
      <c r="Z4966" t="s">
        <v>27116</v>
      </c>
      <c r="AA4966">
        <v>0.90877887289365256</v>
      </c>
      <c r="AB4966" t="str">
        <f>HYPERLINK("Melting_Curves/meltCurve_Q9NQT4_EXOSC5.pdf", "Melting_Curves/meltCurve_Q9NQT4_EXOSC5.pdf")</f>
        <v>Melting_Curves/meltCurve_Q9NQT4_EXOSC5.pdf</v>
      </c>
    </row>
    <row r="4967" spans="1:28" x14ac:dyDescent="0.25">
      <c r="A4967" t="s">
        <v>4971</v>
      </c>
      <c r="B4967">
        <v>0.99796759195183404</v>
      </c>
      <c r="C4967">
        <v>1.1070033084297699</v>
      </c>
      <c r="D4967">
        <v>0.76763881402518397</v>
      </c>
      <c r="E4967">
        <v>1.0503184491494</v>
      </c>
      <c r="F4967">
        <v>0.71038899183587201</v>
      </c>
      <c r="G4967">
        <v>0.236334006296052</v>
      </c>
      <c r="H4967">
        <v>0.113280590616319</v>
      </c>
      <c r="I4967">
        <v>0.117511240821048</v>
      </c>
      <c r="J4967">
        <v>5.8522338817832302E-2</v>
      </c>
      <c r="K4967">
        <v>0</v>
      </c>
      <c r="L4967">
        <v>1761.7566413048601</v>
      </c>
      <c r="M4967">
        <v>34.229724534839299</v>
      </c>
      <c r="N4967">
        <v>51.673666176904199</v>
      </c>
      <c r="O4967">
        <v>51.2939020930257</v>
      </c>
      <c r="P4967">
        <v>-0.15623751201990799</v>
      </c>
      <c r="Q4967">
        <v>6.3503910044957396E-2</v>
      </c>
      <c r="R4967">
        <v>0.95770252872689199</v>
      </c>
      <c r="S4967" t="s">
        <v>10550</v>
      </c>
      <c r="T4967" t="s">
        <v>11164</v>
      </c>
      <c r="U4967" t="s">
        <v>11164</v>
      </c>
      <c r="V4967" t="s">
        <v>11164</v>
      </c>
      <c r="W4967" t="s">
        <v>16085</v>
      </c>
      <c r="X4967">
        <v>2</v>
      </c>
      <c r="Y4967" t="s">
        <v>21551</v>
      </c>
      <c r="Z4967" t="s">
        <v>27117</v>
      </c>
      <c r="AA4967">
        <v>0.51969913795970868</v>
      </c>
      <c r="AB4967" t="str">
        <f>HYPERLINK("Melting_Curves/meltCurve_Q9NQT8_KIF13B.pdf", "Melting_Curves/meltCurve_Q9NQT8_KIF13B.pdf")</f>
        <v>Melting_Curves/meltCurve_Q9NQT8_KIF13B.pdf</v>
      </c>
    </row>
    <row r="4968" spans="1:28" x14ac:dyDescent="0.25">
      <c r="A4968" t="s">
        <v>4972</v>
      </c>
      <c r="B4968">
        <v>0.99796759195183404</v>
      </c>
      <c r="C4968">
        <v>0.94970960586164299</v>
      </c>
      <c r="D4968">
        <v>0.95542085941362198</v>
      </c>
      <c r="E4968">
        <v>0.91472319593878104</v>
      </c>
      <c r="F4968">
        <v>0.61367045543361498</v>
      </c>
      <c r="G4968">
        <v>0.356949423344604</v>
      </c>
      <c r="H4968">
        <v>0.34828026161307302</v>
      </c>
      <c r="I4968">
        <v>0.39681119482125798</v>
      </c>
      <c r="J4968">
        <v>0.168746993249421</v>
      </c>
      <c r="K4968">
        <v>0.10729659049498499</v>
      </c>
      <c r="L4968">
        <v>813.20311726874399</v>
      </c>
      <c r="M4968">
        <v>15.970128068905</v>
      </c>
      <c r="N4968">
        <v>52.4409983086491</v>
      </c>
      <c r="O4968">
        <v>50.141916894108597</v>
      </c>
      <c r="P4968">
        <v>-6.4872174334812793E-2</v>
      </c>
      <c r="Q4968">
        <v>0.18533942867001699</v>
      </c>
      <c r="R4968">
        <v>0.95442692183603395</v>
      </c>
      <c r="S4968" t="s">
        <v>10551</v>
      </c>
      <c r="T4968" t="s">
        <v>11164</v>
      </c>
      <c r="U4968" t="s">
        <v>11164</v>
      </c>
      <c r="V4968" t="s">
        <v>11164</v>
      </c>
      <c r="W4968" t="s">
        <v>16086</v>
      </c>
      <c r="X4968">
        <v>27</v>
      </c>
      <c r="Y4968" t="s">
        <v>21552</v>
      </c>
      <c r="Z4968" t="s">
        <v>27118</v>
      </c>
      <c r="AA4968">
        <v>0.57845805011125095</v>
      </c>
      <c r="AB4968" t="str">
        <f>HYPERLINK("Melting_Curves/meltCurve_Q9NQW6_ANLN.pdf", "Melting_Curves/meltCurve_Q9NQW6_ANLN.pdf")</f>
        <v>Melting_Curves/meltCurve_Q9NQW6_ANLN.pdf</v>
      </c>
    </row>
    <row r="4969" spans="1:28" x14ac:dyDescent="0.25">
      <c r="A4969" t="s">
        <v>4973</v>
      </c>
      <c r="B4969">
        <v>0.99796759195183404</v>
      </c>
      <c r="C4969">
        <v>0.99485324564212496</v>
      </c>
      <c r="D4969">
        <v>0.98959915231607798</v>
      </c>
      <c r="E4969">
        <v>0.920253388618399</v>
      </c>
      <c r="F4969">
        <v>0.90257680469297596</v>
      </c>
      <c r="G4969">
        <v>0.70944629682830596</v>
      </c>
      <c r="H4969">
        <v>0.39165515862550898</v>
      </c>
      <c r="I4969">
        <v>0.24636472851114</v>
      </c>
      <c r="J4969">
        <v>0.17335888282315901</v>
      </c>
      <c r="K4969">
        <v>0.13417137227921899</v>
      </c>
      <c r="L4969">
        <v>1077.2171758106899</v>
      </c>
      <c r="M4969">
        <v>19.404399390242201</v>
      </c>
      <c r="N4969">
        <v>56.204933340411102</v>
      </c>
      <c r="O4969">
        <v>54.934555313316501</v>
      </c>
      <c r="P4969">
        <v>-7.8940433746047006E-2</v>
      </c>
      <c r="Q4969">
        <v>0.10609984147800799</v>
      </c>
      <c r="R4969">
        <v>0.99617394698121797</v>
      </c>
      <c r="S4969" t="s">
        <v>10552</v>
      </c>
      <c r="T4969" t="s">
        <v>11164</v>
      </c>
      <c r="U4969" t="s">
        <v>11164</v>
      </c>
      <c r="V4969" t="s">
        <v>11164</v>
      </c>
      <c r="W4969" t="s">
        <v>16087</v>
      </c>
      <c r="X4969">
        <v>25</v>
      </c>
      <c r="Y4969" t="s">
        <v>21553</v>
      </c>
      <c r="Z4969" t="s">
        <v>27119</v>
      </c>
      <c r="AA4969">
        <v>0.667721715382808</v>
      </c>
      <c r="AB4969" t="str">
        <f>HYPERLINK("Melting_Curves/meltCurve_Q9NQW7_3_XPNPEP1.pdf", "Melting_Curves/meltCurve_Q9NQW7_3_XPNPEP1.pdf")</f>
        <v>Melting_Curves/meltCurve_Q9NQW7_3_XPNPEP1.pdf</v>
      </c>
    </row>
    <row r="4970" spans="1:28" x14ac:dyDescent="0.25">
      <c r="A4970" t="s">
        <v>4974</v>
      </c>
      <c r="B4970">
        <v>0.99796759195183404</v>
      </c>
      <c r="C4970">
        <v>1.07404577526675</v>
      </c>
      <c r="D4970">
        <v>1.0875479172485201</v>
      </c>
      <c r="E4970">
        <v>0.95603856240180196</v>
      </c>
      <c r="F4970">
        <v>0.77568425279951403</v>
      </c>
      <c r="G4970">
        <v>0.48051376410785901</v>
      </c>
      <c r="H4970">
        <v>0.28447839476856701</v>
      </c>
      <c r="I4970">
        <v>0.22980459591848101</v>
      </c>
      <c r="J4970">
        <v>0.15542070565583399</v>
      </c>
      <c r="K4970">
        <v>0.127522386202406</v>
      </c>
      <c r="L4970">
        <v>1100.9547019561201</v>
      </c>
      <c r="M4970">
        <v>20.851830355522399</v>
      </c>
      <c r="N4970">
        <v>53.667694698235302</v>
      </c>
      <c r="O4970">
        <v>52.320538362399397</v>
      </c>
      <c r="P4970">
        <v>-8.5365979386490598E-2</v>
      </c>
      <c r="Q4970">
        <v>0.14323677416997899</v>
      </c>
      <c r="R4970">
        <v>0.98824707908688303</v>
      </c>
      <c r="S4970" t="s">
        <v>10553</v>
      </c>
      <c r="T4970" t="s">
        <v>11164</v>
      </c>
      <c r="U4970" t="s">
        <v>11164</v>
      </c>
      <c r="V4970" t="s">
        <v>11164</v>
      </c>
      <c r="W4970" t="s">
        <v>16088</v>
      </c>
      <c r="X4970">
        <v>5</v>
      </c>
      <c r="Y4970" t="s">
        <v>21554</v>
      </c>
      <c r="Z4970" t="s">
        <v>27120</v>
      </c>
      <c r="AA4970">
        <v>0.60463602054715726</v>
      </c>
      <c r="AB4970" t="str">
        <f>HYPERLINK("Melting_Curves/meltCurve_Q9NQZ5_STARD7.pdf", "Melting_Curves/meltCurve_Q9NQZ5_STARD7.pdf")</f>
        <v>Melting_Curves/meltCurve_Q9NQZ5_STARD7.pdf</v>
      </c>
    </row>
    <row r="4971" spans="1:28" x14ac:dyDescent="0.25">
      <c r="A4971" t="s">
        <v>4975</v>
      </c>
      <c r="B4971">
        <v>0.99796759195183404</v>
      </c>
      <c r="C4971">
        <v>1.02735804403068</v>
      </c>
      <c r="D4971">
        <v>1.0157799839889601</v>
      </c>
      <c r="E4971">
        <v>0.944502656221614</v>
      </c>
      <c r="F4971">
        <v>0.67614272970399603</v>
      </c>
      <c r="G4971">
        <v>0.29169410367800902</v>
      </c>
      <c r="H4971">
        <v>0.15534022596845801</v>
      </c>
      <c r="I4971">
        <v>0.123306156711691</v>
      </c>
      <c r="J4971">
        <v>8.7947404662108902E-2</v>
      </c>
      <c r="K4971">
        <v>6.7457691466060399E-2</v>
      </c>
      <c r="L4971">
        <v>1348.0964413537399</v>
      </c>
      <c r="M4971">
        <v>26.2582019020271</v>
      </c>
      <c r="N4971">
        <v>51.722625314688699</v>
      </c>
      <c r="O4971">
        <v>51.045015533499601</v>
      </c>
      <c r="P4971">
        <v>-0.11725255490214</v>
      </c>
      <c r="Q4971">
        <v>8.8270740540042095E-2</v>
      </c>
      <c r="R4971">
        <v>0.998517574053292</v>
      </c>
      <c r="S4971" t="s">
        <v>10554</v>
      </c>
      <c r="T4971" t="s">
        <v>11164</v>
      </c>
      <c r="U4971" t="s">
        <v>11164</v>
      </c>
      <c r="V4971" t="s">
        <v>11164</v>
      </c>
      <c r="W4971" t="s">
        <v>16089</v>
      </c>
      <c r="X4971">
        <v>6</v>
      </c>
      <c r="Y4971" t="s">
        <v>21555</v>
      </c>
      <c r="Z4971" t="s">
        <v>27121</v>
      </c>
      <c r="AA4971">
        <v>0.5314359221488385</v>
      </c>
      <c r="AB4971" t="str">
        <f>HYPERLINK("Melting_Curves/meltCurve_Q9NR12_PDLIM7.pdf", "Melting_Curves/meltCurve_Q9NR12_PDLIM7.pdf")</f>
        <v>Melting_Curves/meltCurve_Q9NR12_PDLIM7.pdf</v>
      </c>
    </row>
    <row r="4972" spans="1:28" x14ac:dyDescent="0.25">
      <c r="A4972" t="s">
        <v>4976</v>
      </c>
      <c r="B4972">
        <v>0.99796759195183404</v>
      </c>
      <c r="C4972">
        <v>1.03859761409128</v>
      </c>
      <c r="D4972">
        <v>0.95089804401550804</v>
      </c>
      <c r="E4972">
        <v>0.94755718369097997</v>
      </c>
      <c r="F4972">
        <v>0.86528710054615199</v>
      </c>
      <c r="G4972">
        <v>0.606928505409421</v>
      </c>
      <c r="H4972">
        <v>0.28580824631180501</v>
      </c>
      <c r="I4972">
        <v>0.197810233409591</v>
      </c>
      <c r="J4972">
        <v>0.17283125315616599</v>
      </c>
      <c r="K4972">
        <v>0.112318282431895</v>
      </c>
      <c r="L4972">
        <v>1189.3726993069399</v>
      </c>
      <c r="M4972">
        <v>21.978008063949201</v>
      </c>
      <c r="N4972">
        <v>54.797636235181997</v>
      </c>
      <c r="O4972">
        <v>53.674441231782602</v>
      </c>
      <c r="P4972">
        <v>-9.0133664806186606E-2</v>
      </c>
      <c r="Q4972">
        <v>0.119526091105591</v>
      </c>
      <c r="R4972">
        <v>0.99497868813869805</v>
      </c>
      <c r="S4972" t="s">
        <v>10555</v>
      </c>
      <c r="T4972" t="s">
        <v>11164</v>
      </c>
      <c r="U4972" t="s">
        <v>11164</v>
      </c>
      <c r="V4972" t="s">
        <v>11164</v>
      </c>
      <c r="W4972" t="s">
        <v>16090</v>
      </c>
      <c r="X4972">
        <v>9</v>
      </c>
      <c r="Y4972" t="s">
        <v>21556</v>
      </c>
      <c r="Z4972" t="s">
        <v>27122</v>
      </c>
      <c r="AA4972">
        <v>0.63120245478301773</v>
      </c>
      <c r="AB4972" t="str">
        <f>HYPERLINK("Melting_Curves/meltCurve_Q9NR19_ACSS2.pdf", "Melting_Curves/meltCurve_Q9NR19_ACSS2.pdf")</f>
        <v>Melting_Curves/meltCurve_Q9NR19_ACSS2.pdf</v>
      </c>
    </row>
    <row r="4973" spans="1:28" x14ac:dyDescent="0.25">
      <c r="A4973" t="s">
        <v>4977</v>
      </c>
      <c r="B4973">
        <v>0.99796759195183404</v>
      </c>
      <c r="C4973">
        <v>0.94927812566551695</v>
      </c>
      <c r="D4973">
        <v>0.94388157688495899</v>
      </c>
      <c r="E4973">
        <v>0.86320391350836201</v>
      </c>
      <c r="F4973">
        <v>0.80262371822992795</v>
      </c>
      <c r="G4973">
        <v>0.78017673003925103</v>
      </c>
      <c r="H4973">
        <v>0.78763260385088196</v>
      </c>
      <c r="I4973">
        <v>0.67062615257579705</v>
      </c>
      <c r="J4973">
        <v>0.63431718550860505</v>
      </c>
      <c r="K4973">
        <v>0.39458563457386098</v>
      </c>
      <c r="L4973">
        <v>340.69681475035202</v>
      </c>
      <c r="M4973">
        <v>5.0378903683116301</v>
      </c>
      <c r="O4973">
        <v>59.126600352387598</v>
      </c>
      <c r="P4973">
        <v>-2.1428484090089999E-2</v>
      </c>
      <c r="Q4973">
        <v>0</v>
      </c>
      <c r="R4973">
        <v>0.89620945050168599</v>
      </c>
      <c r="S4973" t="s">
        <v>10556</v>
      </c>
      <c r="T4973" t="s">
        <v>11164</v>
      </c>
      <c r="U4973" t="s">
        <v>11164</v>
      </c>
      <c r="V4973" t="s">
        <v>11164</v>
      </c>
      <c r="W4973" t="s">
        <v>16091</v>
      </c>
      <c r="X4973">
        <v>8</v>
      </c>
      <c r="Y4973" t="s">
        <v>21557</v>
      </c>
      <c r="Z4973" t="s">
        <v>27123</v>
      </c>
      <c r="AA4973">
        <v>0.79377293697848927</v>
      </c>
      <c r="AB4973" t="str">
        <f>HYPERLINK("Melting_Curves/meltCurve_Q9NR28_2_DIABLO.pdf", "Melting_Curves/meltCurve_Q9NR28_2_DIABLO.pdf")</f>
        <v>Melting_Curves/meltCurve_Q9NR28_2_DIABLO.pdf</v>
      </c>
    </row>
    <row r="4974" spans="1:28" x14ac:dyDescent="0.25">
      <c r="A4974" t="s">
        <v>4978</v>
      </c>
      <c r="B4974">
        <v>0.99796759195183404</v>
      </c>
      <c r="C4974">
        <v>0.936019443702516</v>
      </c>
      <c r="D4974">
        <v>0.90622386637090102</v>
      </c>
      <c r="E4974">
        <v>0.93915213370364803</v>
      </c>
      <c r="F4974">
        <v>0.80123505672325701</v>
      </c>
      <c r="G4974">
        <v>0.50116741898294304</v>
      </c>
      <c r="H4974">
        <v>0.39839822530840302</v>
      </c>
      <c r="I4974">
        <v>0.33876651825808002</v>
      </c>
      <c r="J4974">
        <v>0.33488933092860801</v>
      </c>
      <c r="K4974">
        <v>0.28525540576983499</v>
      </c>
      <c r="L4974">
        <v>1077.2425773181899</v>
      </c>
      <c r="M4974">
        <v>20.735466540226401</v>
      </c>
      <c r="N4974">
        <v>54.377373429691097</v>
      </c>
      <c r="O4974">
        <v>51.475739610304998</v>
      </c>
      <c r="P4974">
        <v>-7.0321405143221702E-2</v>
      </c>
      <c r="Q4974">
        <v>0.30172893478385898</v>
      </c>
      <c r="R4974">
        <v>0.982331579727861</v>
      </c>
      <c r="S4974" t="s">
        <v>10557</v>
      </c>
      <c r="T4974" t="s">
        <v>11164</v>
      </c>
      <c r="U4974" t="s">
        <v>11164</v>
      </c>
      <c r="V4974" t="s">
        <v>11164</v>
      </c>
      <c r="W4974" t="s">
        <v>16092</v>
      </c>
      <c r="X4974">
        <v>10</v>
      </c>
      <c r="Y4974" t="s">
        <v>21558</v>
      </c>
      <c r="Z4974" t="s">
        <v>27124</v>
      </c>
      <c r="AA4974">
        <v>0.65826132570949125</v>
      </c>
      <c r="AB4974" t="str">
        <f>HYPERLINK("Melting_Curves/meltCurve_Q9NR30_DDX21.pdf", "Melting_Curves/meltCurve_Q9NR30_DDX21.pdf")</f>
        <v>Melting_Curves/meltCurve_Q9NR30_DDX21.pdf</v>
      </c>
    </row>
    <row r="4975" spans="1:28" x14ac:dyDescent="0.25">
      <c r="A4975" t="s">
        <v>4979</v>
      </c>
      <c r="B4975">
        <v>0.99796759195183404</v>
      </c>
      <c r="C4975">
        <v>0.98141780699565395</v>
      </c>
      <c r="D4975">
        <v>0.92089635744913401</v>
      </c>
      <c r="E4975">
        <v>0.86591309521759496</v>
      </c>
      <c r="F4975">
        <v>0.69584511806363303</v>
      </c>
      <c r="G4975">
        <v>0.36606618921402001</v>
      </c>
      <c r="H4975">
        <v>0.20112318163984699</v>
      </c>
      <c r="I4975">
        <v>0.114043868222048</v>
      </c>
      <c r="J4975">
        <v>8.7814072586338707E-2</v>
      </c>
      <c r="K4975">
        <v>5.6908741370106902E-2</v>
      </c>
      <c r="L4975">
        <v>858.74543099394702</v>
      </c>
      <c r="M4975">
        <v>16.5053077550103</v>
      </c>
      <c r="N4975">
        <v>52.262851752424403</v>
      </c>
      <c r="O4975">
        <v>51.282701177687997</v>
      </c>
      <c r="P4975">
        <v>-7.7597008284457494E-2</v>
      </c>
      <c r="Q4975">
        <v>3.5678100438246298E-2</v>
      </c>
      <c r="R4975">
        <v>0.99663088671280597</v>
      </c>
      <c r="S4975" t="s">
        <v>10558</v>
      </c>
      <c r="T4975" t="s">
        <v>11164</v>
      </c>
      <c r="U4975" t="s">
        <v>11164</v>
      </c>
      <c r="V4975" t="s">
        <v>11164</v>
      </c>
      <c r="W4975" t="s">
        <v>16093</v>
      </c>
      <c r="X4975">
        <v>10</v>
      </c>
      <c r="Y4975" t="s">
        <v>21559</v>
      </c>
      <c r="Z4975" t="s">
        <v>27125</v>
      </c>
      <c r="AA4975">
        <v>0.53514357799159695</v>
      </c>
      <c r="AB4975" t="str">
        <f>HYPERLINK("Melting_Curves/meltCurve_Q9NR31_SAR1A.pdf", "Melting_Curves/meltCurve_Q9NR31_SAR1A.pdf")</f>
        <v>Melting_Curves/meltCurve_Q9NR31_SAR1A.pdf</v>
      </c>
    </row>
    <row r="4976" spans="1:28" x14ac:dyDescent="0.25">
      <c r="A4976" t="s">
        <v>4980</v>
      </c>
      <c r="B4976">
        <v>0.99796759195183404</v>
      </c>
      <c r="C4976">
        <v>1.0371673758967399</v>
      </c>
      <c r="D4976">
        <v>1.0462850397715799</v>
      </c>
      <c r="E4976">
        <v>0.99325498747026497</v>
      </c>
      <c r="F4976">
        <v>1.0227695364778</v>
      </c>
      <c r="G4976">
        <v>0.58896474108956998</v>
      </c>
      <c r="H4976">
        <v>0.416673987169838</v>
      </c>
      <c r="I4976">
        <v>0.30473649497423599</v>
      </c>
      <c r="J4976">
        <v>0.36314580295723398</v>
      </c>
      <c r="K4976">
        <v>0.333075252584837</v>
      </c>
      <c r="L4976">
        <v>3588.1898668024401</v>
      </c>
      <c r="M4976">
        <v>67.219994955017299</v>
      </c>
      <c r="N4976">
        <v>54.365879234215797</v>
      </c>
      <c r="O4976">
        <v>53.332616959200699</v>
      </c>
      <c r="P4976">
        <v>-0.20409939531153501</v>
      </c>
      <c r="Q4976">
        <v>0.35226703466116599</v>
      </c>
      <c r="R4976">
        <v>0.98929380230483399</v>
      </c>
      <c r="S4976" t="s">
        <v>10559</v>
      </c>
      <c r="T4976" t="s">
        <v>11164</v>
      </c>
      <c r="U4976" t="s">
        <v>11164</v>
      </c>
      <c r="V4976" t="s">
        <v>11164</v>
      </c>
      <c r="W4976" t="s">
        <v>16094</v>
      </c>
      <c r="X4976">
        <v>5</v>
      </c>
      <c r="Y4976" t="s">
        <v>21560</v>
      </c>
      <c r="Z4976" t="s">
        <v>27126</v>
      </c>
      <c r="AA4976">
        <v>0.70676659816485354</v>
      </c>
      <c r="AB4976" t="str">
        <f>HYPERLINK("Melting_Curves/meltCurve_Q9NR33_POLE4.pdf", "Melting_Curves/meltCurve_Q9NR33_POLE4.pdf")</f>
        <v>Melting_Curves/meltCurve_Q9NR33_POLE4.pdf</v>
      </c>
    </row>
    <row r="4977" spans="1:28" x14ac:dyDescent="0.25">
      <c r="A4977" t="s">
        <v>4981</v>
      </c>
      <c r="B4977">
        <v>0.99796759195183404</v>
      </c>
      <c r="C4977">
        <v>1.0160986044082501</v>
      </c>
      <c r="D4977">
        <v>1.0031395707205499</v>
      </c>
      <c r="E4977">
        <v>0.93112011380965198</v>
      </c>
      <c r="F4977">
        <v>0.80660390756367795</v>
      </c>
      <c r="G4977">
        <v>0.76808055660154795</v>
      </c>
      <c r="H4977">
        <v>0.56923962144245099</v>
      </c>
      <c r="I4977">
        <v>0.15605416688450299</v>
      </c>
      <c r="J4977">
        <v>9.4685894483865496E-2</v>
      </c>
      <c r="K4977">
        <v>6.5145726197920695E-2</v>
      </c>
      <c r="L4977">
        <v>1033.15736097885</v>
      </c>
      <c r="M4977">
        <v>18.1000766172982</v>
      </c>
      <c r="N4977">
        <v>57.080276078737398</v>
      </c>
      <c r="O4977">
        <v>56.397228831122199</v>
      </c>
      <c r="P4977">
        <v>-8.0238679243166106E-2</v>
      </c>
      <c r="Q4977">
        <v>0</v>
      </c>
      <c r="R4977">
        <v>0.97626838853877496</v>
      </c>
      <c r="S4977" t="s">
        <v>10560</v>
      </c>
      <c r="T4977" t="s">
        <v>11164</v>
      </c>
      <c r="U4977" t="s">
        <v>11164</v>
      </c>
      <c r="V4977" t="s">
        <v>11164</v>
      </c>
      <c r="W4977" t="s">
        <v>16095</v>
      </c>
      <c r="X4977">
        <v>28</v>
      </c>
      <c r="Y4977" t="s">
        <v>21561</v>
      </c>
      <c r="Z4977" t="s">
        <v>27127</v>
      </c>
      <c r="AA4977">
        <v>0.67812937581323307</v>
      </c>
      <c r="AB4977" t="str">
        <f>HYPERLINK("Melting_Curves/meltCurve_Q9NR45_NANS.pdf", "Melting_Curves/meltCurve_Q9NR45_NANS.pdf")</f>
        <v>Melting_Curves/meltCurve_Q9NR45_NANS.pdf</v>
      </c>
    </row>
    <row r="4978" spans="1:28" x14ac:dyDescent="0.25">
      <c r="A4978" t="s">
        <v>4982</v>
      </c>
      <c r="B4978">
        <v>0.99796759195183404</v>
      </c>
      <c r="C4978">
        <v>1.02272457613375</v>
      </c>
      <c r="D4978">
        <v>1.0047275456298701</v>
      </c>
      <c r="E4978">
        <v>0.89266038562772898</v>
      </c>
      <c r="F4978">
        <v>0.49839187523408801</v>
      </c>
      <c r="G4978">
        <v>0.37260136910667302</v>
      </c>
      <c r="H4978">
        <v>0.23238090694585201</v>
      </c>
      <c r="I4978">
        <v>0.192311332629202</v>
      </c>
      <c r="J4978">
        <v>0.14055355058225</v>
      </c>
      <c r="K4978">
        <v>0.10452927351715</v>
      </c>
      <c r="L4978">
        <v>991.11371338174195</v>
      </c>
      <c r="M4978">
        <v>19.7439755079021</v>
      </c>
      <c r="N4978">
        <v>51.067171700078603</v>
      </c>
      <c r="O4978">
        <v>49.691838185501602</v>
      </c>
      <c r="P4978">
        <v>-8.5163909070230998E-2</v>
      </c>
      <c r="Q4978">
        <v>0.14266379840351501</v>
      </c>
      <c r="R4978">
        <v>0.98900157696901403</v>
      </c>
      <c r="S4978" t="s">
        <v>10561</v>
      </c>
      <c r="T4978" t="s">
        <v>11164</v>
      </c>
      <c r="U4978" t="s">
        <v>11164</v>
      </c>
      <c r="V4978" t="s">
        <v>11164</v>
      </c>
      <c r="W4978" t="s">
        <v>16096</v>
      </c>
      <c r="X4978">
        <v>15</v>
      </c>
      <c r="Y4978" t="s">
        <v>21562</v>
      </c>
      <c r="Z4978" t="s">
        <v>27128</v>
      </c>
      <c r="AA4978">
        <v>0.53137973613255152</v>
      </c>
      <c r="AB4978" t="str">
        <f>HYPERLINK("Melting_Curves/meltCurve_Q9NR50_EIF2B3.pdf", "Melting_Curves/meltCurve_Q9NR50_EIF2B3.pdf")</f>
        <v>Melting_Curves/meltCurve_Q9NR50_EIF2B3.pdf</v>
      </c>
    </row>
    <row r="4979" spans="1:28" x14ac:dyDescent="0.25">
      <c r="A4979" t="s">
        <v>4983</v>
      </c>
      <c r="B4979">
        <v>0.99796759195183404</v>
      </c>
      <c r="C4979">
        <v>1.0041530399293801</v>
      </c>
      <c r="D4979">
        <v>0.97382478619412505</v>
      </c>
      <c r="E4979">
        <v>0.86816333376937105</v>
      </c>
      <c r="F4979">
        <v>0.59570577529822999</v>
      </c>
      <c r="G4979">
        <v>0.37583663124286398</v>
      </c>
      <c r="H4979">
        <v>0.29760971650158302</v>
      </c>
      <c r="I4979">
        <v>0.237640512673154</v>
      </c>
      <c r="J4979">
        <v>0.17840926206716001</v>
      </c>
      <c r="K4979">
        <v>0.20680762865379401</v>
      </c>
      <c r="L4979">
        <v>950.25861638025106</v>
      </c>
      <c r="M4979">
        <v>18.875696465466302</v>
      </c>
      <c r="N4979">
        <v>51.716168050301903</v>
      </c>
      <c r="O4979">
        <v>49.788138991787001</v>
      </c>
      <c r="P4979">
        <v>-7.6102244412269399E-2</v>
      </c>
      <c r="Q4979">
        <v>0.19709796519557801</v>
      </c>
      <c r="R4979">
        <v>0.997775008215398</v>
      </c>
      <c r="S4979" t="s">
        <v>10562</v>
      </c>
      <c r="T4979" t="s">
        <v>11164</v>
      </c>
      <c r="U4979" t="s">
        <v>11164</v>
      </c>
      <c r="V4979" t="s">
        <v>11164</v>
      </c>
      <c r="W4979" t="s">
        <v>16097</v>
      </c>
      <c r="X4979">
        <v>6</v>
      </c>
      <c r="Y4979" t="s">
        <v>21563</v>
      </c>
      <c r="Z4979" t="s">
        <v>27129</v>
      </c>
      <c r="AA4979">
        <v>0.56584918103469406</v>
      </c>
      <c r="AB4979" t="str">
        <f>HYPERLINK("Melting_Curves/meltCurve_Q9NRA8_EIF4ENIF1.pdf", "Melting_Curves/meltCurve_Q9NRA8_EIF4ENIF1.pdf")</f>
        <v>Melting_Curves/meltCurve_Q9NRA8_EIF4ENIF1.pdf</v>
      </c>
    </row>
    <row r="4980" spans="1:28" x14ac:dyDescent="0.25">
      <c r="A4980" t="s">
        <v>4984</v>
      </c>
      <c r="B4980">
        <v>0.99796759195183404</v>
      </c>
      <c r="C4980">
        <v>1.03727369002435</v>
      </c>
      <c r="D4980">
        <v>1.02138843010531</v>
      </c>
      <c r="E4980">
        <v>1.0441474979277401</v>
      </c>
      <c r="F4980">
        <v>0.96102297858895602</v>
      </c>
      <c r="G4980">
        <v>0.78689693432506802</v>
      </c>
      <c r="H4980">
        <v>0.75249043818024297</v>
      </c>
      <c r="I4980">
        <v>0.718595196271128</v>
      </c>
      <c r="J4980">
        <v>0.27737511447666602</v>
      </c>
      <c r="K4980">
        <v>0.20896549535581099</v>
      </c>
      <c r="L4980">
        <v>953.97024821897105</v>
      </c>
      <c r="M4980">
        <v>15.4108259867167</v>
      </c>
      <c r="N4980">
        <v>61.902603511102697</v>
      </c>
      <c r="O4980">
        <v>60.8883488754133</v>
      </c>
      <c r="P4980">
        <v>-6.3280679864209294E-2</v>
      </c>
      <c r="Q4980">
        <v>0</v>
      </c>
      <c r="R4980">
        <v>0.93481572778017596</v>
      </c>
      <c r="S4980" t="s">
        <v>10563</v>
      </c>
      <c r="T4980" t="s">
        <v>11164</v>
      </c>
      <c r="U4980" t="s">
        <v>11164</v>
      </c>
      <c r="V4980" t="s">
        <v>11164</v>
      </c>
      <c r="W4980" t="s">
        <v>16098</v>
      </c>
      <c r="X4980">
        <v>2</v>
      </c>
      <c r="Y4980" t="s">
        <v>21564</v>
      </c>
      <c r="Z4980" t="s">
        <v>27130</v>
      </c>
      <c r="AA4980">
        <v>0.80991992577457173</v>
      </c>
      <c r="AB4980" t="str">
        <f>HYPERLINK("Melting_Curves/meltCurve_Q9NRB3_CHST12.pdf", "Melting_Curves/meltCurve_Q9NRB3_CHST12.pdf")</f>
        <v>Melting_Curves/meltCurve_Q9NRB3_CHST12.pdf</v>
      </c>
    </row>
    <row r="4981" spans="1:28" x14ac:dyDescent="0.25">
      <c r="A4981" t="s">
        <v>4985</v>
      </c>
      <c r="B4981">
        <v>0.99796759195183404</v>
      </c>
      <c r="C4981">
        <v>0.91162302582919796</v>
      </c>
      <c r="D4981">
        <v>0.767872092813911</v>
      </c>
      <c r="E4981">
        <v>0.61674844564151399</v>
      </c>
      <c r="F4981">
        <v>0.61658920235117398</v>
      </c>
      <c r="G4981">
        <v>0.53623683833482205</v>
      </c>
      <c r="H4981">
        <v>0.64247773557492804</v>
      </c>
      <c r="I4981">
        <v>0.39823113251085801</v>
      </c>
      <c r="J4981">
        <v>0.207962731804027</v>
      </c>
      <c r="K4981">
        <v>0.12688010409709799</v>
      </c>
      <c r="L4981">
        <v>313.531605698352</v>
      </c>
      <c r="M4981">
        <v>5.7546025319292298</v>
      </c>
      <c r="N4981">
        <v>54.483624881826898</v>
      </c>
      <c r="O4981">
        <v>48.9808240482025</v>
      </c>
      <c r="P4981">
        <v>-2.94820393099181E-2</v>
      </c>
      <c r="Q4981">
        <v>0</v>
      </c>
      <c r="R4981">
        <v>0.86969703029484702</v>
      </c>
      <c r="S4981" t="s">
        <v>10564</v>
      </c>
      <c r="T4981" t="s">
        <v>11164</v>
      </c>
      <c r="U4981" t="s">
        <v>11164</v>
      </c>
      <c r="V4981" t="s">
        <v>11164</v>
      </c>
      <c r="W4981" t="s">
        <v>16099</v>
      </c>
      <c r="X4981">
        <v>2</v>
      </c>
      <c r="Y4981" t="s">
        <v>21565</v>
      </c>
      <c r="Z4981" t="s">
        <v>27131</v>
      </c>
      <c r="AA4981">
        <v>0.58248550862206738</v>
      </c>
      <c r="AB4981" t="str">
        <f>HYPERLINK("Melting_Curves/meltCurve_Q9NRC6_SPTBN5.pdf", "Melting_Curves/meltCurve_Q9NRC6_SPTBN5.pdf")</f>
        <v>Melting_Curves/meltCurve_Q9NRC6_SPTBN5.pdf</v>
      </c>
    </row>
    <row r="4982" spans="1:28" x14ac:dyDescent="0.25">
      <c r="A4982" t="s">
        <v>4986</v>
      </c>
      <c r="B4982">
        <v>0.99796759195183404</v>
      </c>
      <c r="C4982">
        <v>1.27220290069832</v>
      </c>
      <c r="D4982">
        <v>1.1056125015722</v>
      </c>
      <c r="E4982">
        <v>0.88487214147507198</v>
      </c>
      <c r="F4982">
        <v>0.64227736689894599</v>
      </c>
      <c r="G4982">
        <v>0.255738140318097</v>
      </c>
      <c r="H4982">
        <v>0.17321479475961901</v>
      </c>
      <c r="I4982">
        <v>0.10036564404866501</v>
      </c>
      <c r="J4982">
        <v>9.6973186092670194E-2</v>
      </c>
      <c r="K4982">
        <v>8.0871887874468806E-2</v>
      </c>
      <c r="L4982">
        <v>1316.37574599499</v>
      </c>
      <c r="M4982">
        <v>25.856741946802899</v>
      </c>
      <c r="N4982">
        <v>51.320636875446503</v>
      </c>
      <c r="O4982">
        <v>50.608783460625702</v>
      </c>
      <c r="P4982">
        <v>-0.115803402755391</v>
      </c>
      <c r="Q4982">
        <v>9.3374157836870503E-2</v>
      </c>
      <c r="R4982">
        <v>0.954764062296375</v>
      </c>
      <c r="S4982" t="s">
        <v>10565</v>
      </c>
      <c r="T4982" t="s">
        <v>11164</v>
      </c>
      <c r="U4982" t="s">
        <v>11164</v>
      </c>
      <c r="V4982" t="s">
        <v>11164</v>
      </c>
      <c r="W4982" t="s">
        <v>16100</v>
      </c>
      <c r="X4982">
        <v>2</v>
      </c>
      <c r="Y4982" t="s">
        <v>21566</v>
      </c>
      <c r="Z4982" t="s">
        <v>27132</v>
      </c>
      <c r="AA4982">
        <v>0.52126179669491879</v>
      </c>
      <c r="AB4982" t="str">
        <f>HYPERLINK("Melting_Curves/meltCurve_Q9NRD5_PICK1.pdf", "Melting_Curves/meltCurve_Q9NRD5_PICK1.pdf")</f>
        <v>Melting_Curves/meltCurve_Q9NRD5_PICK1.pdf</v>
      </c>
    </row>
    <row r="4983" spans="1:28" x14ac:dyDescent="0.25">
      <c r="A4983" t="s">
        <v>4987</v>
      </c>
      <c r="B4983">
        <v>0.99796759195183404</v>
      </c>
      <c r="C4983">
        <v>0.71446172913820205</v>
      </c>
      <c r="D4983">
        <v>0.84898489785670594</v>
      </c>
      <c r="E4983">
        <v>0.88112175699238604</v>
      </c>
      <c r="F4983">
        <v>0.70365969045842303</v>
      </c>
      <c r="G4983">
        <v>0.25276093977036401</v>
      </c>
      <c r="H4983">
        <v>0.19440224830456301</v>
      </c>
      <c r="I4983">
        <v>0.14640346462178699</v>
      </c>
      <c r="J4983">
        <v>0.16867364733533699</v>
      </c>
      <c r="K4983">
        <v>9.2343832674962406E-2</v>
      </c>
      <c r="L4983">
        <v>1167.62764898931</v>
      </c>
      <c r="M4983">
        <v>22.902209239901399</v>
      </c>
      <c r="N4983">
        <v>51.592331643521597</v>
      </c>
      <c r="O4983">
        <v>50.599230774833799</v>
      </c>
      <c r="P4983">
        <v>-9.9751987931413794E-2</v>
      </c>
      <c r="Q4983">
        <v>0.11846407480957701</v>
      </c>
      <c r="R4983">
        <v>0.90256229166195301</v>
      </c>
      <c r="S4983" t="s">
        <v>10566</v>
      </c>
      <c r="T4983" t="s">
        <v>11164</v>
      </c>
      <c r="U4983" t="s">
        <v>11164</v>
      </c>
      <c r="V4983" t="s">
        <v>11164</v>
      </c>
      <c r="W4983" t="s">
        <v>16101</v>
      </c>
      <c r="X4983">
        <v>2</v>
      </c>
      <c r="Y4983" t="s">
        <v>21567</v>
      </c>
      <c r="Z4983" t="s">
        <v>27133</v>
      </c>
      <c r="AA4983">
        <v>0.53848079669247606</v>
      </c>
      <c r="AB4983" t="str">
        <f>HYPERLINK("Melting_Curves/meltCurve_Q9NRF2_3_SH2B1.pdf", "Melting_Curves/meltCurve_Q9NRF2_3_SH2B1.pdf")</f>
        <v>Melting_Curves/meltCurve_Q9NRF2_3_SH2B1.pdf</v>
      </c>
    </row>
    <row r="4984" spans="1:28" x14ac:dyDescent="0.25">
      <c r="A4984" t="s">
        <v>4988</v>
      </c>
      <c r="B4984">
        <v>0.99796759195183404</v>
      </c>
      <c r="C4984">
        <v>1.01287832118042</v>
      </c>
      <c r="D4984">
        <v>0.93929472850378704</v>
      </c>
      <c r="E4984">
        <v>0.87997390614957405</v>
      </c>
      <c r="F4984">
        <v>0.718647834036796</v>
      </c>
      <c r="G4984">
        <v>0.79831321032390501</v>
      </c>
      <c r="H4984">
        <v>0.51044268094694201</v>
      </c>
      <c r="I4984">
        <v>0.37063514467964997</v>
      </c>
      <c r="J4984">
        <v>0.24253332220909499</v>
      </c>
      <c r="K4984">
        <v>0.121807274011674</v>
      </c>
      <c r="L4984">
        <v>609.15641291872601</v>
      </c>
      <c r="M4984">
        <v>10.5814463078319</v>
      </c>
      <c r="N4984">
        <v>57.568350820163197</v>
      </c>
      <c r="O4984">
        <v>55.6263593542782</v>
      </c>
      <c r="P4984">
        <v>-4.7574526302330299E-2</v>
      </c>
      <c r="Q4984">
        <v>0</v>
      </c>
      <c r="R4984">
        <v>0.96471552569660302</v>
      </c>
      <c r="S4984" t="s">
        <v>10567</v>
      </c>
      <c r="T4984" t="s">
        <v>11164</v>
      </c>
      <c r="U4984" t="s">
        <v>11164</v>
      </c>
      <c r="V4984" t="s">
        <v>11164</v>
      </c>
      <c r="W4984" t="s">
        <v>16102</v>
      </c>
      <c r="X4984">
        <v>19</v>
      </c>
      <c r="Y4984" t="s">
        <v>21568</v>
      </c>
      <c r="Z4984" t="s">
        <v>27134</v>
      </c>
      <c r="AA4984">
        <v>0.68276585534755097</v>
      </c>
      <c r="AB4984" t="str">
        <f>HYPERLINK("Melting_Curves/meltCurve_Q9NRF8_CTPS2.pdf", "Melting_Curves/meltCurve_Q9NRF8_CTPS2.pdf")</f>
        <v>Melting_Curves/meltCurve_Q9NRF8_CTPS2.pdf</v>
      </c>
    </row>
    <row r="4985" spans="1:28" x14ac:dyDescent="0.25">
      <c r="A4985" t="s">
        <v>4989</v>
      </c>
      <c r="B4985">
        <v>0.99796759195183404</v>
      </c>
      <c r="C4985">
        <v>0.98788017296092301</v>
      </c>
      <c r="D4985">
        <v>0.94892440294662606</v>
      </c>
      <c r="E4985">
        <v>0.88550412804518197</v>
      </c>
      <c r="F4985">
        <v>0.76738896325823003</v>
      </c>
      <c r="G4985">
        <v>0.59600964218654295</v>
      </c>
      <c r="H4985">
        <v>0.38054859668088797</v>
      </c>
      <c r="I4985">
        <v>0.29627913833856501</v>
      </c>
      <c r="J4985">
        <v>0.24321678741922201</v>
      </c>
      <c r="K4985">
        <v>0.20951071084791101</v>
      </c>
      <c r="L4985">
        <v>691.93800981325001</v>
      </c>
      <c r="M4985">
        <v>12.844543213179699</v>
      </c>
      <c r="N4985">
        <v>55.289351041082597</v>
      </c>
      <c r="O4985">
        <v>52.614544064693902</v>
      </c>
      <c r="P4985">
        <v>-5.24705774863111E-2</v>
      </c>
      <c r="Q4985">
        <v>0.14042735108423501</v>
      </c>
      <c r="R4985">
        <v>0.99796349849663701</v>
      </c>
      <c r="S4985" t="s">
        <v>10568</v>
      </c>
      <c r="T4985" t="s">
        <v>11164</v>
      </c>
      <c r="U4985" t="s">
        <v>11164</v>
      </c>
      <c r="V4985" t="s">
        <v>11164</v>
      </c>
      <c r="W4985" t="s">
        <v>16103</v>
      </c>
      <c r="X4985">
        <v>8</v>
      </c>
      <c r="Y4985" t="s">
        <v>21569</v>
      </c>
      <c r="Z4985" t="s">
        <v>27135</v>
      </c>
      <c r="AA4985">
        <v>0.63925091378722954</v>
      </c>
      <c r="AB4985" t="str">
        <f>HYPERLINK("Melting_Curves/meltCurve_Q9NRF9_POLE3.pdf", "Melting_Curves/meltCurve_Q9NRF9_POLE3.pdf")</f>
        <v>Melting_Curves/meltCurve_Q9NRF9_POLE3.pdf</v>
      </c>
    </row>
    <row r="4986" spans="1:28" x14ac:dyDescent="0.25">
      <c r="A4986" t="s">
        <v>4990</v>
      </c>
      <c r="B4986">
        <v>0.99796759195183404</v>
      </c>
      <c r="C4986">
        <v>1.1128908677117699</v>
      </c>
      <c r="D4986">
        <v>1.0768585989558901</v>
      </c>
      <c r="E4986">
        <v>1.18052306160356</v>
      </c>
      <c r="F4986">
        <v>1.0117455446338</v>
      </c>
      <c r="G4986">
        <v>0.78743604354715702</v>
      </c>
      <c r="H4986">
        <v>0.38970679335198199</v>
      </c>
      <c r="I4986">
        <v>0.200764771896771</v>
      </c>
      <c r="J4986">
        <v>0.16327622555343799</v>
      </c>
      <c r="K4986">
        <v>0.148454318979099</v>
      </c>
      <c r="L4986">
        <v>1858.86630995889</v>
      </c>
      <c r="M4986">
        <v>33.365980850093102</v>
      </c>
      <c r="N4986">
        <v>56.324090976613199</v>
      </c>
      <c r="O4986">
        <v>55.512448619867399</v>
      </c>
      <c r="P4986">
        <v>-0.127396123107785</v>
      </c>
      <c r="Q4986">
        <v>0.15218554723828301</v>
      </c>
      <c r="R4986">
        <v>0.96829153566832005</v>
      </c>
      <c r="S4986" t="s">
        <v>10569</v>
      </c>
      <c r="T4986" t="s">
        <v>11164</v>
      </c>
      <c r="U4986" t="s">
        <v>11164</v>
      </c>
      <c r="V4986" t="s">
        <v>11164</v>
      </c>
      <c r="W4986" t="s">
        <v>16104</v>
      </c>
      <c r="X4986">
        <v>2</v>
      </c>
      <c r="Y4986" t="s">
        <v>21570</v>
      </c>
      <c r="Z4986" t="s">
        <v>27136</v>
      </c>
      <c r="AA4986">
        <v>0.68542489589068922</v>
      </c>
      <c r="AB4986" t="str">
        <f>HYPERLINK("Melting_Curves/meltCurve_Q9NRG0_CHRAC1.pdf", "Melting_Curves/meltCurve_Q9NRG0_CHRAC1.pdf")</f>
        <v>Melting_Curves/meltCurve_Q9NRG0_CHRAC1.pdf</v>
      </c>
    </row>
    <row r="4987" spans="1:28" x14ac:dyDescent="0.25">
      <c r="A4987" t="s">
        <v>4991</v>
      </c>
      <c r="B4987">
        <v>0.99796759195183404</v>
      </c>
      <c r="C4987">
        <v>0.88213632664479202</v>
      </c>
      <c r="D4987">
        <v>0.90538132767707902</v>
      </c>
      <c r="E4987">
        <v>0.86321451042349995</v>
      </c>
      <c r="F4987">
        <v>0.51824041264971799</v>
      </c>
      <c r="G4987">
        <v>0.35294239713701397</v>
      </c>
      <c r="H4987">
        <v>0.12577217655230399</v>
      </c>
      <c r="I4987">
        <v>0.120780394782719</v>
      </c>
      <c r="J4987">
        <v>9.2337912856669896E-2</v>
      </c>
      <c r="K4987">
        <v>8.5920360379132393E-2</v>
      </c>
      <c r="L4987">
        <v>812.82699030088099</v>
      </c>
      <c r="M4987">
        <v>16.088334854489101</v>
      </c>
      <c r="N4987">
        <v>50.9029287432611</v>
      </c>
      <c r="O4987">
        <v>49.761512827301502</v>
      </c>
      <c r="P4987">
        <v>-7.6257281422234396E-2</v>
      </c>
      <c r="Q4987">
        <v>5.66117643189099E-2</v>
      </c>
      <c r="R4987">
        <v>0.98391001881122098</v>
      </c>
      <c r="S4987" t="s">
        <v>10570</v>
      </c>
      <c r="T4987" t="s">
        <v>11164</v>
      </c>
      <c r="U4987" t="s">
        <v>11164</v>
      </c>
      <c r="V4987" t="s">
        <v>11164</v>
      </c>
      <c r="W4987" t="s">
        <v>16105</v>
      </c>
      <c r="X4987">
        <v>1</v>
      </c>
      <c r="Y4987" t="s">
        <v>21571</v>
      </c>
      <c r="Z4987" t="s">
        <v>27137</v>
      </c>
      <c r="AA4987">
        <v>0.49937909659729379</v>
      </c>
      <c r="AB4987" t="str">
        <f>HYPERLINK("Melting_Curves/meltCurve_Q9NRG4_SMYD2.pdf", "Melting_Curves/meltCurve_Q9NRG4_SMYD2.pdf")</f>
        <v>Melting_Curves/meltCurve_Q9NRG4_SMYD2.pdf</v>
      </c>
    </row>
    <row r="4988" spans="1:28" x14ac:dyDescent="0.25">
      <c r="A4988" t="s">
        <v>4992</v>
      </c>
      <c r="B4988">
        <v>0.99796759195183404</v>
      </c>
      <c r="C4988">
        <v>0.93599365098883303</v>
      </c>
      <c r="D4988">
        <v>0.95805233992506</v>
      </c>
      <c r="E4988">
        <v>0.89279265290986398</v>
      </c>
      <c r="F4988">
        <v>0.73946717987404997</v>
      </c>
      <c r="G4988">
        <v>0.26913950719299401</v>
      </c>
      <c r="H4988">
        <v>0.124408444843359</v>
      </c>
      <c r="I4988">
        <v>8.6356308697296005E-2</v>
      </c>
      <c r="J4988">
        <v>6.04591458025239E-2</v>
      </c>
      <c r="K4988">
        <v>3.7381433963633998E-2</v>
      </c>
      <c r="L4988">
        <v>1372.3088309529901</v>
      </c>
      <c r="M4988">
        <v>26.551919115112</v>
      </c>
      <c r="N4988">
        <v>51.8978556369822</v>
      </c>
      <c r="O4988">
        <v>51.393482006160198</v>
      </c>
      <c r="P4988">
        <v>-0.122467618255215</v>
      </c>
      <c r="Q4988">
        <v>5.1824371756915399E-2</v>
      </c>
      <c r="R4988">
        <v>0.99282724258210697</v>
      </c>
      <c r="S4988" t="s">
        <v>10571</v>
      </c>
      <c r="T4988" t="s">
        <v>11164</v>
      </c>
      <c r="U4988" t="s">
        <v>11164</v>
      </c>
      <c r="V4988" t="s">
        <v>11164</v>
      </c>
      <c r="W4988" t="s">
        <v>16106</v>
      </c>
      <c r="X4988">
        <v>3</v>
      </c>
      <c r="Y4988" t="s">
        <v>21572</v>
      </c>
      <c r="Z4988" t="s">
        <v>27138</v>
      </c>
      <c r="AA4988">
        <v>0.52343783118871745</v>
      </c>
      <c r="AB4988" t="str">
        <f>HYPERLINK("Melting_Curves/meltCurve_Q9NRG7_2_SDR39U1.pdf", "Melting_Curves/meltCurve_Q9NRG7_2_SDR39U1.pdf")</f>
        <v>Melting_Curves/meltCurve_Q9NRG7_2_SDR39U1.pdf</v>
      </c>
    </row>
    <row r="4989" spans="1:28" x14ac:dyDescent="0.25">
      <c r="A4989" t="s">
        <v>4993</v>
      </c>
      <c r="B4989">
        <v>0.99796759195183404</v>
      </c>
      <c r="C4989">
        <v>1.01021269417971</v>
      </c>
      <c r="D4989">
        <v>0.98777323478341905</v>
      </c>
      <c r="E4989">
        <v>1.01872307086156</v>
      </c>
      <c r="F4989">
        <v>0.85256912139892305</v>
      </c>
      <c r="G4989">
        <v>0.62839807185378505</v>
      </c>
      <c r="H4989">
        <v>0.62329872444058099</v>
      </c>
      <c r="I4989">
        <v>0.43186381443513</v>
      </c>
      <c r="J4989">
        <v>0.43026340199586599</v>
      </c>
      <c r="K4989">
        <v>0.35221167415041399</v>
      </c>
      <c r="L4989">
        <v>820.74123443925896</v>
      </c>
      <c r="M4989">
        <v>15.088316445368299</v>
      </c>
      <c r="N4989">
        <v>58.978954437440798</v>
      </c>
      <c r="O4989">
        <v>53.467140145844397</v>
      </c>
      <c r="P4989">
        <v>-4.6200252644986298E-2</v>
      </c>
      <c r="Q4989">
        <v>0.34520155894163401</v>
      </c>
      <c r="R4989">
        <v>0.97400901010325402</v>
      </c>
      <c r="S4989" t="s">
        <v>10572</v>
      </c>
      <c r="T4989" t="s">
        <v>11164</v>
      </c>
      <c r="U4989" t="s">
        <v>11164</v>
      </c>
      <c r="V4989" t="s">
        <v>11164</v>
      </c>
      <c r="W4989" t="s">
        <v>16107</v>
      </c>
      <c r="X4989">
        <v>7</v>
      </c>
      <c r="Y4989" t="s">
        <v>21573</v>
      </c>
      <c r="Z4989" t="s">
        <v>27139</v>
      </c>
      <c r="AA4989">
        <v>0.73495799614648172</v>
      </c>
      <c r="AB4989" t="str">
        <f>HYPERLINK("Melting_Curves/meltCurve_Q9NRH1_YAE1D1.pdf", "Melting_Curves/meltCurve_Q9NRH1_YAE1D1.pdf")</f>
        <v>Melting_Curves/meltCurve_Q9NRH1_YAE1D1.pdf</v>
      </c>
    </row>
    <row r="4990" spans="1:28" x14ac:dyDescent="0.25">
      <c r="A4990" t="s">
        <v>4994</v>
      </c>
      <c r="B4990">
        <v>0.99796759195183404</v>
      </c>
      <c r="C4990">
        <v>1.05365900738951</v>
      </c>
      <c r="D4990">
        <v>1.01531276310871</v>
      </c>
      <c r="E4990">
        <v>1.04091615996264</v>
      </c>
      <c r="F4990">
        <v>0.977874871062133</v>
      </c>
      <c r="G4990">
        <v>0.86002412433636899</v>
      </c>
      <c r="H4990">
        <v>0.41800176786500698</v>
      </c>
      <c r="I4990">
        <v>0.311423295243416</v>
      </c>
      <c r="J4990">
        <v>0.21561942475335399</v>
      </c>
      <c r="K4990">
        <v>0.19250380372067499</v>
      </c>
      <c r="L4990">
        <v>2014.6156860574299</v>
      </c>
      <c r="M4990">
        <v>36.035628468902203</v>
      </c>
      <c r="N4990">
        <v>56.816798766459797</v>
      </c>
      <c r="O4990">
        <v>55.734888912540796</v>
      </c>
      <c r="P4990">
        <v>-0.126181834951963</v>
      </c>
      <c r="Q4990">
        <v>0.219360550595153</v>
      </c>
      <c r="R4990">
        <v>0.99237083572030405</v>
      </c>
      <c r="S4990" t="s">
        <v>10573</v>
      </c>
      <c r="T4990" t="s">
        <v>11164</v>
      </c>
      <c r="U4990" t="s">
        <v>11164</v>
      </c>
      <c r="V4990" t="s">
        <v>11164</v>
      </c>
      <c r="W4990" t="s">
        <v>16108</v>
      </c>
      <c r="X4990">
        <v>8</v>
      </c>
      <c r="Y4990" t="s">
        <v>21574</v>
      </c>
      <c r="Z4990" t="s">
        <v>27140</v>
      </c>
      <c r="AA4990">
        <v>0.71489154595728766</v>
      </c>
      <c r="AB4990" t="str">
        <f>HYPERLINK("Melting_Curves/meltCurve_Q9NRK6_ABCB10.pdf", "Melting_Curves/meltCurve_Q9NRK6_ABCB10.pdf")</f>
        <v>Melting_Curves/meltCurve_Q9NRK6_ABCB10.pdf</v>
      </c>
    </row>
    <row r="4991" spans="1:28" x14ac:dyDescent="0.25">
      <c r="A4991" t="s">
        <v>4995</v>
      </c>
      <c r="B4991">
        <v>0.99796759195183404</v>
      </c>
      <c r="C4991">
        <v>1.00423588850471</v>
      </c>
      <c r="D4991">
        <v>0.94300219208174596</v>
      </c>
      <c r="E4991">
        <v>0.86163053446836502</v>
      </c>
      <c r="F4991">
        <v>0.68355245810448595</v>
      </c>
      <c r="G4991">
        <v>0.50101025676469901</v>
      </c>
      <c r="H4991">
        <v>0.27863518990181102</v>
      </c>
      <c r="I4991">
        <v>0.147040395576051</v>
      </c>
      <c r="J4991">
        <v>0.105930402691362</v>
      </c>
      <c r="K4991">
        <v>9.0952353329887797E-2</v>
      </c>
      <c r="L4991">
        <v>692.26120964906102</v>
      </c>
      <c r="M4991">
        <v>12.9926777018159</v>
      </c>
      <c r="N4991">
        <v>53.3515635693416</v>
      </c>
      <c r="O4991">
        <v>52.066069710549201</v>
      </c>
      <c r="P4991">
        <v>-6.1864095903570102E-2</v>
      </c>
      <c r="Q4991">
        <v>8.5339802550315307E-3</v>
      </c>
      <c r="R4991">
        <v>0.99828765204842296</v>
      </c>
      <c r="S4991" t="s">
        <v>10574</v>
      </c>
      <c r="T4991" t="s">
        <v>11164</v>
      </c>
      <c r="U4991" t="s">
        <v>11164</v>
      </c>
      <c r="V4991" t="s">
        <v>11164</v>
      </c>
      <c r="W4991" t="s">
        <v>16109</v>
      </c>
      <c r="X4991">
        <v>11</v>
      </c>
      <c r="Y4991" t="s">
        <v>21575</v>
      </c>
      <c r="Z4991" t="s">
        <v>27141</v>
      </c>
      <c r="AA4991">
        <v>0.5658534475110748</v>
      </c>
      <c r="AB4991" t="str">
        <f>HYPERLINK("Melting_Curves/meltCurve_Q9NRN7_AASDHPPT.pdf", "Melting_Curves/meltCurve_Q9NRN7_AASDHPPT.pdf")</f>
        <v>Melting_Curves/meltCurve_Q9NRN7_AASDHPPT.pdf</v>
      </c>
    </row>
    <row r="4992" spans="1:28" x14ac:dyDescent="0.25">
      <c r="A4992" t="s">
        <v>4996</v>
      </c>
      <c r="B4992">
        <v>0.99796759195183404</v>
      </c>
      <c r="C4992">
        <v>1.0765580443612299</v>
      </c>
      <c r="D4992">
        <v>1.0056422122381901</v>
      </c>
      <c r="E4992">
        <v>0.94393913893129799</v>
      </c>
      <c r="F4992">
        <v>0.88092552099175303</v>
      </c>
      <c r="G4992">
        <v>0.64381885237917602</v>
      </c>
      <c r="H4992">
        <v>0.58368998745400102</v>
      </c>
      <c r="I4992">
        <v>0.48911632085468898</v>
      </c>
      <c r="J4992">
        <v>0.66771718123197799</v>
      </c>
      <c r="K4992">
        <v>0.50269805417561297</v>
      </c>
      <c r="L4992">
        <v>1586.8643294881001</v>
      </c>
      <c r="M4992">
        <v>30.748104545828699</v>
      </c>
      <c r="O4992">
        <v>51.3917066481917</v>
      </c>
      <c r="P4992">
        <v>-6.6781396374622298E-2</v>
      </c>
      <c r="Q4992">
        <v>0.55353479945001904</v>
      </c>
      <c r="R4992">
        <v>0.93842930765358701</v>
      </c>
      <c r="S4992" t="s">
        <v>10575</v>
      </c>
      <c r="T4992" t="s">
        <v>11164</v>
      </c>
      <c r="U4992" t="s">
        <v>11164</v>
      </c>
      <c r="V4992" t="s">
        <v>11164</v>
      </c>
      <c r="W4992" t="s">
        <v>16110</v>
      </c>
      <c r="X4992">
        <v>5</v>
      </c>
      <c r="Y4992" t="s">
        <v>21576</v>
      </c>
      <c r="Z4992" t="s">
        <v>27142</v>
      </c>
      <c r="AA4992">
        <v>0.77361495708446337</v>
      </c>
      <c r="AB4992" t="str">
        <f>HYPERLINK("Melting_Curves/meltCurve_Q9NRN9_METTL5.pdf", "Melting_Curves/meltCurve_Q9NRN9_METTL5.pdf")</f>
        <v>Melting_Curves/meltCurve_Q9NRN9_METTL5.pdf</v>
      </c>
    </row>
    <row r="4993" spans="1:28" x14ac:dyDescent="0.25">
      <c r="A4993" t="s">
        <v>4997</v>
      </c>
      <c r="B4993">
        <v>0.99796759195183404</v>
      </c>
      <c r="C4993">
        <v>1.0158139750639901</v>
      </c>
      <c r="D4993">
        <v>0.96794099538416301</v>
      </c>
      <c r="E4993">
        <v>1.2000251341217101</v>
      </c>
      <c r="F4993">
        <v>0.94708475085592203</v>
      </c>
      <c r="G4993">
        <v>1.09891055108264</v>
      </c>
      <c r="H4993">
        <v>0.72977575449669196</v>
      </c>
      <c r="I4993">
        <v>0.40791003722129299</v>
      </c>
      <c r="J4993">
        <v>0.25176282959206597</v>
      </c>
      <c r="K4993">
        <v>0.11477904064915501</v>
      </c>
      <c r="L4993">
        <v>1806.4025103855399</v>
      </c>
      <c r="M4993">
        <v>30.387204098437699</v>
      </c>
      <c r="N4993">
        <v>60.006911111389101</v>
      </c>
      <c r="O4993">
        <v>59.190486198030897</v>
      </c>
      <c r="P4993">
        <v>-0.112481871394727</v>
      </c>
      <c r="Q4993">
        <v>0.12360276163843199</v>
      </c>
      <c r="R4993">
        <v>0.948616505917526</v>
      </c>
      <c r="S4993" t="s">
        <v>10576</v>
      </c>
      <c r="T4993" t="s">
        <v>11164</v>
      </c>
      <c r="U4993" t="s">
        <v>11164</v>
      </c>
      <c r="V4993" t="s">
        <v>11164</v>
      </c>
      <c r="W4993" t="s">
        <v>16111</v>
      </c>
      <c r="X4993">
        <v>1</v>
      </c>
      <c r="Y4993" t="s">
        <v>21577</v>
      </c>
      <c r="Z4993" t="s">
        <v>27143</v>
      </c>
      <c r="AA4993">
        <v>0.78309119177767539</v>
      </c>
      <c r="AB4993" t="str">
        <f>HYPERLINK("Melting_Curves/meltCurve_Q9NRP0_OSTC.pdf", "Melting_Curves/meltCurve_Q9NRP0_OSTC.pdf")</f>
        <v>Melting_Curves/meltCurve_Q9NRP0_OSTC.pdf</v>
      </c>
    </row>
    <row r="4994" spans="1:28" x14ac:dyDescent="0.25">
      <c r="A4994" t="s">
        <v>4998</v>
      </c>
      <c r="B4994">
        <v>0.99796759195183404</v>
      </c>
      <c r="C4994">
        <v>1.10129304921097</v>
      </c>
      <c r="D4994">
        <v>1.0851840020415799</v>
      </c>
      <c r="E4994">
        <v>1.05923167259076</v>
      </c>
      <c r="F4994">
        <v>0.87401862940823805</v>
      </c>
      <c r="G4994">
        <v>0.70715311581734497</v>
      </c>
      <c r="H4994">
        <v>0.69637369031823504</v>
      </c>
      <c r="I4994">
        <v>0.537498579972021</v>
      </c>
      <c r="J4994">
        <v>0.59553907328921696</v>
      </c>
      <c r="K4994">
        <v>0.56098342136343105</v>
      </c>
      <c r="L4994">
        <v>1279.6433804222499</v>
      </c>
      <c r="M4994">
        <v>24.341426251168699</v>
      </c>
      <c r="O4994">
        <v>52.2196362284513</v>
      </c>
      <c r="P4994">
        <v>-4.9612796545271398E-2</v>
      </c>
      <c r="Q4994">
        <v>0.57426922733921004</v>
      </c>
      <c r="R4994">
        <v>0.92841525467866504</v>
      </c>
      <c r="S4994" t="s">
        <v>10577</v>
      </c>
      <c r="T4994" t="s">
        <v>11164</v>
      </c>
      <c r="U4994" t="s">
        <v>11164</v>
      </c>
      <c r="V4994" t="s">
        <v>11164</v>
      </c>
      <c r="W4994" t="s">
        <v>16112</v>
      </c>
      <c r="X4994">
        <v>7</v>
      </c>
      <c r="Y4994" t="s">
        <v>21578</v>
      </c>
      <c r="Z4994" t="s">
        <v>27144</v>
      </c>
      <c r="AA4994">
        <v>0.79918141956965272</v>
      </c>
      <c r="AB4994" t="str">
        <f>HYPERLINK("Melting_Curves/meltCurve_Q9NRP2_CMC2.pdf", "Melting_Curves/meltCurve_Q9NRP2_CMC2.pdf")</f>
        <v>Melting_Curves/meltCurve_Q9NRP2_CMC2.pdf</v>
      </c>
    </row>
    <row r="4995" spans="1:28" x14ac:dyDescent="0.25">
      <c r="A4995" t="s">
        <v>4999</v>
      </c>
      <c r="B4995">
        <v>0.99796759195183404</v>
      </c>
      <c r="C4995">
        <v>1.1621130059162399</v>
      </c>
      <c r="D4995">
        <v>0.99525144412324396</v>
      </c>
      <c r="E4995">
        <v>0.96794340547215896</v>
      </c>
      <c r="F4995">
        <v>0.73624854728314304</v>
      </c>
      <c r="G4995">
        <v>0.70765098549277605</v>
      </c>
      <c r="H4995">
        <v>0.27071855342313</v>
      </c>
      <c r="I4995">
        <v>0.153754265318615</v>
      </c>
      <c r="J4995">
        <v>0.10122929256711399</v>
      </c>
      <c r="K4995">
        <v>0.119786342608909</v>
      </c>
      <c r="L4995">
        <v>986.30732618140098</v>
      </c>
      <c r="M4995">
        <v>18.045358782608201</v>
      </c>
      <c r="N4995">
        <v>54.967679078264801</v>
      </c>
      <c r="O4995">
        <v>53.999157662547297</v>
      </c>
      <c r="P4995">
        <v>-7.9499613114728099E-2</v>
      </c>
      <c r="Q4995">
        <v>4.8463945120667602E-2</v>
      </c>
      <c r="R4995">
        <v>0.96416266119164196</v>
      </c>
      <c r="S4995" t="s">
        <v>10578</v>
      </c>
      <c r="T4995" t="s">
        <v>11164</v>
      </c>
      <c r="U4995" t="s">
        <v>11164</v>
      </c>
      <c r="V4995" t="s">
        <v>11164</v>
      </c>
      <c r="W4995" t="s">
        <v>16113</v>
      </c>
      <c r="X4995">
        <v>1</v>
      </c>
      <c r="Y4995" t="s">
        <v>21579</v>
      </c>
      <c r="Z4995" t="s">
        <v>27145</v>
      </c>
      <c r="AA4995">
        <v>0.62085298146340762</v>
      </c>
      <c r="AB4995" t="str">
        <f>HYPERLINK("Melting_Curves/meltCurve_Q9NRP4_ACN9.pdf", "Melting_Curves/meltCurve_Q9NRP4_ACN9.pdf")</f>
        <v>Melting_Curves/meltCurve_Q9NRP4_ACN9.pdf</v>
      </c>
    </row>
    <row r="4996" spans="1:28" x14ac:dyDescent="0.25">
      <c r="A4996" t="s">
        <v>5000</v>
      </c>
      <c r="B4996">
        <v>0.99796759195183404</v>
      </c>
      <c r="C4996">
        <v>1.0641840342720701</v>
      </c>
      <c r="D4996">
        <v>1.0324672637576999</v>
      </c>
      <c r="E4996">
        <v>0.96891157506960102</v>
      </c>
      <c r="F4996">
        <v>0.81810065769613605</v>
      </c>
      <c r="G4996">
        <v>0.72669088448797003</v>
      </c>
      <c r="H4996">
        <v>0.70863753537868701</v>
      </c>
      <c r="I4996">
        <v>0.70693753610858301</v>
      </c>
      <c r="J4996">
        <v>0.81445127394901595</v>
      </c>
      <c r="K4996">
        <v>0.68103483905080797</v>
      </c>
      <c r="L4996">
        <v>1988.25225343172</v>
      </c>
      <c r="M4996">
        <v>40.344717868067796</v>
      </c>
      <c r="O4996">
        <v>49.160981991974403</v>
      </c>
      <c r="P4996">
        <v>-5.6217950530234102E-2</v>
      </c>
      <c r="Q4996">
        <v>0.72598897632320103</v>
      </c>
      <c r="R4996">
        <v>0.921163888168123</v>
      </c>
      <c r="S4996" t="s">
        <v>10579</v>
      </c>
      <c r="T4996" t="s">
        <v>11164</v>
      </c>
      <c r="U4996" t="s">
        <v>11164</v>
      </c>
      <c r="V4996" t="s">
        <v>11164</v>
      </c>
      <c r="W4996" t="s">
        <v>16114</v>
      </c>
      <c r="X4996">
        <v>9</v>
      </c>
      <c r="Y4996" t="s">
        <v>21580</v>
      </c>
      <c r="Z4996" t="s">
        <v>27146</v>
      </c>
      <c r="AA4996">
        <v>0.83908258826436821</v>
      </c>
      <c r="AB4996" t="str">
        <f>HYPERLINK("Melting_Curves/meltCurve_Q9NRR5_UBQLN4.pdf", "Melting_Curves/meltCurve_Q9NRR5_UBQLN4.pdf")</f>
        <v>Melting_Curves/meltCurve_Q9NRR5_UBQLN4.pdf</v>
      </c>
    </row>
    <row r="4997" spans="1:28" x14ac:dyDescent="0.25">
      <c r="A4997" t="s">
        <v>5001</v>
      </c>
      <c r="B4997">
        <v>0.99796759195183404</v>
      </c>
      <c r="C4997">
        <v>0.91880496717871196</v>
      </c>
      <c r="D4997">
        <v>0.84425633752884199</v>
      </c>
      <c r="E4997">
        <v>0.72851537461385296</v>
      </c>
      <c r="F4997">
        <v>0.65660362462976596</v>
      </c>
      <c r="G4997">
        <v>0.35927711368729598</v>
      </c>
      <c r="H4997">
        <v>0.27267118887199598</v>
      </c>
      <c r="I4997">
        <v>0.25291295375112999</v>
      </c>
      <c r="J4997">
        <v>0.25733615165632501</v>
      </c>
      <c r="K4997">
        <v>0.22937920412307899</v>
      </c>
      <c r="L4997">
        <v>560.53647300124601</v>
      </c>
      <c r="M4997">
        <v>11.2742903561213</v>
      </c>
      <c r="N4997">
        <v>51.5960612049345</v>
      </c>
      <c r="O4997">
        <v>48.230923860312899</v>
      </c>
      <c r="P4997">
        <v>-4.86192426588185E-2</v>
      </c>
      <c r="Q4997">
        <v>0.168290842904397</v>
      </c>
      <c r="R4997">
        <v>0.978985187202837</v>
      </c>
      <c r="S4997" t="s">
        <v>10580</v>
      </c>
      <c r="T4997" t="s">
        <v>11164</v>
      </c>
      <c r="U4997" t="s">
        <v>11164</v>
      </c>
      <c r="V4997" t="s">
        <v>11164</v>
      </c>
      <c r="W4997" t="s">
        <v>16115</v>
      </c>
      <c r="X4997">
        <v>2</v>
      </c>
      <c r="Y4997" t="s">
        <v>21581</v>
      </c>
      <c r="Z4997" t="s">
        <v>27147</v>
      </c>
      <c r="AA4997">
        <v>0.54639139601566866</v>
      </c>
      <c r="AB4997" t="str">
        <f>HYPERLINK("Melting_Curves/meltCurve_Q9NRR6_2_INPP5E.pdf", "Melting_Curves/meltCurve_Q9NRR6_2_INPP5E.pdf")</f>
        <v>Melting_Curves/meltCurve_Q9NRR6_2_INPP5E.pdf</v>
      </c>
    </row>
    <row r="4998" spans="1:28" x14ac:dyDescent="0.25">
      <c r="A4998" t="s">
        <v>5002</v>
      </c>
      <c r="B4998">
        <v>0.99796759195183404</v>
      </c>
      <c r="C4998">
        <v>0.98404493059050002</v>
      </c>
      <c r="D4998">
        <v>1.00189712941622</v>
      </c>
      <c r="E4998">
        <v>0.994333235014081</v>
      </c>
      <c r="F4998">
        <v>0.78486436244518998</v>
      </c>
      <c r="G4998">
        <v>0.59325923922203305</v>
      </c>
      <c r="H4998">
        <v>0.62745561652396398</v>
      </c>
      <c r="I4998">
        <v>0.43774854290583998</v>
      </c>
      <c r="J4998">
        <v>0.591346453806463</v>
      </c>
      <c r="K4998">
        <v>0.272143761644772</v>
      </c>
      <c r="L4998">
        <v>682.84691507913499</v>
      </c>
      <c r="M4998">
        <v>12.7177557109092</v>
      </c>
      <c r="N4998">
        <v>59.621696728565801</v>
      </c>
      <c r="O4998">
        <v>52.4168064078318</v>
      </c>
      <c r="P4998">
        <v>-3.8897825544559603E-2</v>
      </c>
      <c r="Q4998">
        <v>0.35884676414178901</v>
      </c>
      <c r="R4998">
        <v>0.89737824806048505</v>
      </c>
      <c r="S4998" t="s">
        <v>10581</v>
      </c>
      <c r="T4998" t="s">
        <v>11164</v>
      </c>
      <c r="U4998" t="s">
        <v>11164</v>
      </c>
      <c r="V4998" t="s">
        <v>11164</v>
      </c>
      <c r="W4998" t="s">
        <v>16116</v>
      </c>
      <c r="X4998">
        <v>1</v>
      </c>
      <c r="Y4998" t="s">
        <v>21582</v>
      </c>
      <c r="Z4998" t="s">
        <v>27148</v>
      </c>
      <c r="AA4998">
        <v>0.72748765923755265</v>
      </c>
      <c r="AB4998" t="str">
        <f>HYPERLINK("Melting_Curves/meltCurve_Q9NRR8_CDC42SE1.pdf", "Melting_Curves/meltCurve_Q9NRR8_CDC42SE1.pdf")</f>
        <v>Melting_Curves/meltCurve_Q9NRR8_CDC42SE1.pdf</v>
      </c>
    </row>
    <row r="4999" spans="1:28" x14ac:dyDescent="0.25">
      <c r="A4999" t="s">
        <v>5003</v>
      </c>
      <c r="B4999">
        <v>0.99796759195183404</v>
      </c>
      <c r="C4999">
        <v>0.94902779993838104</v>
      </c>
      <c r="D4999">
        <v>0.94162481801710496</v>
      </c>
      <c r="E4999">
        <v>0.95199165115241202</v>
      </c>
      <c r="F4999">
        <v>0.55022248334624302</v>
      </c>
      <c r="G4999">
        <v>0.23839132529861401</v>
      </c>
      <c r="H4999">
        <v>0.20423030104728401</v>
      </c>
      <c r="I4999">
        <v>0.181833351111723</v>
      </c>
      <c r="J4999">
        <v>0.16713266597402601</v>
      </c>
      <c r="K4999">
        <v>0.19867145057399499</v>
      </c>
      <c r="L4999">
        <v>1840.0292677534901</v>
      </c>
      <c r="M4999">
        <v>36.857702641087002</v>
      </c>
      <c r="N4999">
        <v>50.559323246100703</v>
      </c>
      <c r="O4999">
        <v>49.776239580859603</v>
      </c>
      <c r="P4999">
        <v>-0.15074284675686001</v>
      </c>
      <c r="Q4999">
        <v>0.18569091388098299</v>
      </c>
      <c r="R4999">
        <v>0.994991167993583</v>
      </c>
      <c r="S4999" t="s">
        <v>10582</v>
      </c>
      <c r="T4999" t="s">
        <v>11164</v>
      </c>
      <c r="U4999" t="s">
        <v>11164</v>
      </c>
      <c r="V4999" t="s">
        <v>11164</v>
      </c>
      <c r="W4999" t="s">
        <v>16117</v>
      </c>
      <c r="X4999">
        <v>8</v>
      </c>
      <c r="Y4999" t="s">
        <v>21583</v>
      </c>
      <c r="Z4999" t="s">
        <v>27149</v>
      </c>
      <c r="AA4999">
        <v>0.53976487510300075</v>
      </c>
      <c r="AB4999" t="str">
        <f>HYPERLINK("Melting_Curves/meltCurve_Q9NRS6_2_SNX15.pdf", "Melting_Curves/meltCurve_Q9NRS6_2_SNX15.pdf")</f>
        <v>Melting_Curves/meltCurve_Q9NRS6_2_SNX15.pdf</v>
      </c>
    </row>
    <row r="5000" spans="1:28" x14ac:dyDescent="0.25">
      <c r="A5000" t="s">
        <v>5004</v>
      </c>
      <c r="B5000">
        <v>0.99796759195183404</v>
      </c>
      <c r="C5000">
        <v>0.96425309566844597</v>
      </c>
      <c r="D5000">
        <v>0.91860297798596502</v>
      </c>
      <c r="E5000">
        <v>0.852005441945207</v>
      </c>
      <c r="F5000">
        <v>0.694138977955573</v>
      </c>
      <c r="G5000">
        <v>0.53396612569216995</v>
      </c>
      <c r="H5000">
        <v>0.335567312958094</v>
      </c>
      <c r="I5000">
        <v>0.204925947300513</v>
      </c>
      <c r="J5000">
        <v>0.122475398510596</v>
      </c>
      <c r="K5000">
        <v>7.1563101521560493E-2</v>
      </c>
      <c r="L5000">
        <v>620.64900793273296</v>
      </c>
      <c r="M5000">
        <v>11.515129258043499</v>
      </c>
      <c r="N5000">
        <v>53.898569732195199</v>
      </c>
      <c r="O5000">
        <v>52.349921367476298</v>
      </c>
      <c r="P5000">
        <v>-5.5006683048925899E-2</v>
      </c>
      <c r="Q5000">
        <v>0</v>
      </c>
      <c r="R5000">
        <v>0.99749825372769396</v>
      </c>
      <c r="S5000" t="s">
        <v>10583</v>
      </c>
      <c r="T5000" t="s">
        <v>11164</v>
      </c>
      <c r="U5000" t="s">
        <v>11164</v>
      </c>
      <c r="V5000" t="s">
        <v>11164</v>
      </c>
      <c r="W5000" t="s">
        <v>16118</v>
      </c>
      <c r="X5000">
        <v>9</v>
      </c>
      <c r="Y5000" t="s">
        <v>21584</v>
      </c>
      <c r="Z5000" t="s">
        <v>27150</v>
      </c>
      <c r="AA5000">
        <v>0.58166353377478008</v>
      </c>
      <c r="AB5000" t="str">
        <f>HYPERLINK("Melting_Curves/meltCurve_Q9NRV9_HEBP1.pdf", "Melting_Curves/meltCurve_Q9NRV9_HEBP1.pdf")</f>
        <v>Melting_Curves/meltCurve_Q9NRV9_HEBP1.pdf</v>
      </c>
    </row>
    <row r="5001" spans="1:28" x14ac:dyDescent="0.25">
      <c r="A5001" t="s">
        <v>5005</v>
      </c>
      <c r="B5001">
        <v>0.99796759195183404</v>
      </c>
      <c r="C5001">
        <v>0.94799635070386101</v>
      </c>
      <c r="D5001">
        <v>0.97559917525630602</v>
      </c>
      <c r="E5001">
        <v>0.935415183642481</v>
      </c>
      <c r="F5001">
        <v>0.87111371746215704</v>
      </c>
      <c r="G5001">
        <v>0.62860903974853399</v>
      </c>
      <c r="H5001">
        <v>0.61538351480362596</v>
      </c>
      <c r="I5001">
        <v>0.65272511951813394</v>
      </c>
      <c r="J5001">
        <v>0.59722755334446997</v>
      </c>
      <c r="K5001">
        <v>0.463219666572457</v>
      </c>
      <c r="L5001">
        <v>936.93897942772901</v>
      </c>
      <c r="M5001">
        <v>18.1786919439907</v>
      </c>
      <c r="O5001">
        <v>50.928951320118401</v>
      </c>
      <c r="P5001">
        <v>-4.0382790435125097E-2</v>
      </c>
      <c r="Q5001">
        <v>0.54747996694060197</v>
      </c>
      <c r="R5001">
        <v>0.92875562702787695</v>
      </c>
      <c r="S5001" t="s">
        <v>10584</v>
      </c>
      <c r="T5001" t="s">
        <v>11164</v>
      </c>
      <c r="U5001" t="s">
        <v>11164</v>
      </c>
      <c r="V5001" t="s">
        <v>11164</v>
      </c>
      <c r="W5001" t="s">
        <v>16119</v>
      </c>
      <c r="X5001">
        <v>10</v>
      </c>
      <c r="Y5001" t="s">
        <v>21585</v>
      </c>
      <c r="Z5001" t="s">
        <v>27151</v>
      </c>
      <c r="AA5001">
        <v>0.77364015287065158</v>
      </c>
      <c r="AB5001" t="str">
        <f>HYPERLINK("Melting_Curves/meltCurve_Q9NRW1_RAB6B.pdf", "Melting_Curves/meltCurve_Q9NRW1_RAB6B.pdf")</f>
        <v>Melting_Curves/meltCurve_Q9NRW1_RAB6B.pdf</v>
      </c>
    </row>
    <row r="5002" spans="1:28" x14ac:dyDescent="0.25">
      <c r="A5002" t="s">
        <v>5006</v>
      </c>
      <c r="B5002">
        <v>0.99796759195183404</v>
      </c>
      <c r="C5002">
        <v>1.1049223334964899</v>
      </c>
      <c r="D5002">
        <v>1.08293027078068</v>
      </c>
      <c r="E5002">
        <v>0.99345603598599996</v>
      </c>
      <c r="F5002">
        <v>0.78873101230585996</v>
      </c>
      <c r="G5002">
        <v>0.36368810097992699</v>
      </c>
      <c r="H5002">
        <v>0.25004685604402799</v>
      </c>
      <c r="I5002">
        <v>0.19176313935901801</v>
      </c>
      <c r="J5002">
        <v>0.121593257043322</v>
      </c>
      <c r="K5002">
        <v>8.9395604727539504E-2</v>
      </c>
      <c r="L5002">
        <v>1470.5364685499901</v>
      </c>
      <c r="M5002">
        <v>28.204407187306401</v>
      </c>
      <c r="N5002">
        <v>52.740560420153599</v>
      </c>
      <c r="O5002">
        <v>51.878520254910399</v>
      </c>
      <c r="P5002">
        <v>-0.117210121769381</v>
      </c>
      <c r="Q5002">
        <v>0.137632738710707</v>
      </c>
      <c r="R5002">
        <v>0.983939096560562</v>
      </c>
      <c r="S5002" t="s">
        <v>10585</v>
      </c>
      <c r="T5002" t="s">
        <v>11164</v>
      </c>
      <c r="U5002" t="s">
        <v>11164</v>
      </c>
      <c r="V5002" t="s">
        <v>11164</v>
      </c>
      <c r="W5002" t="s">
        <v>16120</v>
      </c>
      <c r="X5002">
        <v>2</v>
      </c>
      <c r="Y5002" t="s">
        <v>21586</v>
      </c>
      <c r="Z5002" t="s">
        <v>27152</v>
      </c>
      <c r="AA5002">
        <v>0.57892329823434774</v>
      </c>
      <c r="AB5002" t="str">
        <f>HYPERLINK("Melting_Curves/meltCurve_Q9NRW4_DUSP22.pdf", "Melting_Curves/meltCurve_Q9NRW4_DUSP22.pdf")</f>
        <v>Melting_Curves/meltCurve_Q9NRW4_DUSP22.pdf</v>
      </c>
    </row>
    <row r="5003" spans="1:28" x14ac:dyDescent="0.25">
      <c r="A5003" t="s">
        <v>5007</v>
      </c>
      <c r="B5003">
        <v>0.99796759195183404</v>
      </c>
      <c r="C5003">
        <v>0.94342446728168505</v>
      </c>
      <c r="D5003">
        <v>0.93631966424802004</v>
      </c>
      <c r="E5003">
        <v>0.88068914279402</v>
      </c>
      <c r="F5003">
        <v>0.68730685748145703</v>
      </c>
      <c r="G5003">
        <v>0.27610661657046898</v>
      </c>
      <c r="H5003">
        <v>0.17841845299508399</v>
      </c>
      <c r="I5003">
        <v>0.17591722834317</v>
      </c>
      <c r="J5003">
        <v>0.117459985459912</v>
      </c>
      <c r="K5003">
        <v>7.4369196197037093E-2</v>
      </c>
      <c r="L5003">
        <v>1162.9719042858901</v>
      </c>
      <c r="M5003">
        <v>22.755628779301201</v>
      </c>
      <c r="N5003">
        <v>51.643035033297998</v>
      </c>
      <c r="O5003">
        <v>50.7172210087029</v>
      </c>
      <c r="P5003">
        <v>-0.100372401831425</v>
      </c>
      <c r="Q5003">
        <v>0.105186691019671</v>
      </c>
      <c r="R5003">
        <v>0.98973219372981602</v>
      </c>
      <c r="S5003" t="s">
        <v>10586</v>
      </c>
      <c r="T5003" t="s">
        <v>11164</v>
      </c>
      <c r="U5003" t="s">
        <v>11164</v>
      </c>
      <c r="V5003" t="s">
        <v>11164</v>
      </c>
      <c r="W5003" t="s">
        <v>16121</v>
      </c>
      <c r="X5003">
        <v>10</v>
      </c>
      <c r="Y5003" t="s">
        <v>21587</v>
      </c>
      <c r="Z5003" t="s">
        <v>27153</v>
      </c>
      <c r="AA5003">
        <v>0.53533051829999756</v>
      </c>
      <c r="AB5003" t="str">
        <f>HYPERLINK("Melting_Curves/meltCurve_Q9NRW7_VPS45.pdf", "Melting_Curves/meltCurve_Q9NRW7_VPS45.pdf")</f>
        <v>Melting_Curves/meltCurve_Q9NRW7_VPS45.pdf</v>
      </c>
    </row>
    <row r="5004" spans="1:28" x14ac:dyDescent="0.25">
      <c r="A5004" t="s">
        <v>5008</v>
      </c>
      <c r="B5004">
        <v>0.99796759195183404</v>
      </c>
      <c r="C5004">
        <v>0.86796652556447795</v>
      </c>
      <c r="D5004">
        <v>0.92728922572983896</v>
      </c>
      <c r="E5004">
        <v>0.91895043996804004</v>
      </c>
      <c r="F5004">
        <v>0.75021841756039498</v>
      </c>
      <c r="G5004">
        <v>0.46997578889722902</v>
      </c>
      <c r="H5004">
        <v>0.48932862241286101</v>
      </c>
      <c r="I5004">
        <v>0.28789059202581302</v>
      </c>
      <c r="J5004">
        <v>0.21572707817022799</v>
      </c>
      <c r="K5004">
        <v>0.193105851048816</v>
      </c>
      <c r="L5004">
        <v>540.87122312557199</v>
      </c>
      <c r="M5004">
        <v>9.8874509368666192</v>
      </c>
      <c r="N5004">
        <v>55.301962286033401</v>
      </c>
      <c r="O5004">
        <v>52.6061533333299</v>
      </c>
      <c r="P5004">
        <v>-4.4624158100625297E-2</v>
      </c>
      <c r="Q5004">
        <v>5.0791280806359598E-2</v>
      </c>
      <c r="R5004">
        <v>0.96511161455627104</v>
      </c>
      <c r="S5004" t="s">
        <v>10587</v>
      </c>
      <c r="T5004" t="s">
        <v>11164</v>
      </c>
      <c r="U5004" t="s">
        <v>11164</v>
      </c>
      <c r="V5004" t="s">
        <v>11164</v>
      </c>
      <c r="W5004" t="s">
        <v>16122</v>
      </c>
      <c r="X5004">
        <v>11</v>
      </c>
      <c r="Y5004" t="s">
        <v>21588</v>
      </c>
      <c r="Z5004" t="s">
        <v>27154</v>
      </c>
      <c r="AA5004">
        <v>0.62390632852169203</v>
      </c>
      <c r="AB5004" t="str">
        <f>HYPERLINK("Melting_Curves/meltCurve_Q9NRX4_PHPT1.pdf", "Melting_Curves/meltCurve_Q9NRX4_PHPT1.pdf")</f>
        <v>Melting_Curves/meltCurve_Q9NRX4_PHPT1.pdf</v>
      </c>
    </row>
    <row r="5005" spans="1:28" x14ac:dyDescent="0.25">
      <c r="A5005" t="s">
        <v>5009</v>
      </c>
      <c r="B5005">
        <v>0.99796759195183404</v>
      </c>
      <c r="C5005">
        <v>1.1114873106741801</v>
      </c>
      <c r="D5005">
        <v>0.78710303353879496</v>
      </c>
      <c r="E5005">
        <v>0.93670614745657499</v>
      </c>
      <c r="F5005">
        <v>1.0723470252812399</v>
      </c>
      <c r="G5005">
        <v>0.38829033693485798</v>
      </c>
      <c r="H5005">
        <v>0.37294355368554499</v>
      </c>
      <c r="I5005">
        <v>0.18662554076344301</v>
      </c>
      <c r="J5005">
        <v>0.11155141220765501</v>
      </c>
      <c r="K5005">
        <v>0.43875263594945602</v>
      </c>
      <c r="L5005">
        <v>13358.0917968414</v>
      </c>
      <c r="M5005">
        <v>250</v>
      </c>
      <c r="N5005">
        <v>53.605973750732097</v>
      </c>
      <c r="O5005">
        <v>53.428947669898697</v>
      </c>
      <c r="P5005">
        <v>-0.84520162501436902</v>
      </c>
      <c r="Q5005">
        <v>0.277468263842506</v>
      </c>
      <c r="R5005">
        <v>0.89448689458625497</v>
      </c>
      <c r="S5005" t="s">
        <v>10588</v>
      </c>
      <c r="T5005" t="s">
        <v>11164</v>
      </c>
      <c r="U5005" t="s">
        <v>11164</v>
      </c>
      <c r="V5005" t="s">
        <v>11164</v>
      </c>
      <c r="W5005" t="s">
        <v>16123</v>
      </c>
      <c r="X5005">
        <v>1</v>
      </c>
      <c r="Y5005" t="s">
        <v>21589</v>
      </c>
      <c r="Z5005" t="s">
        <v>27155</v>
      </c>
      <c r="AA5005">
        <v>0.67329957756018755</v>
      </c>
      <c r="AB5005" t="str">
        <f>HYPERLINK("Melting_Curves/meltCurve_Q9NRX5_SERINC1.pdf", "Melting_Curves/meltCurve_Q9NRX5_SERINC1.pdf")</f>
        <v>Melting_Curves/meltCurve_Q9NRX5_SERINC1.pdf</v>
      </c>
    </row>
    <row r="5006" spans="1:28" x14ac:dyDescent="0.25">
      <c r="A5006" t="s">
        <v>5010</v>
      </c>
      <c r="B5006">
        <v>0.99796759195183404</v>
      </c>
      <c r="C5006">
        <v>0.972836543656179</v>
      </c>
      <c r="D5006">
        <v>0.96135173990540301</v>
      </c>
      <c r="E5006">
        <v>0.98255141599732099</v>
      </c>
      <c r="F5006">
        <v>0.51335550717270695</v>
      </c>
      <c r="G5006">
        <v>0.23795816113323001</v>
      </c>
      <c r="H5006">
        <v>0.22530404811112301</v>
      </c>
      <c r="I5006">
        <v>0.16468090317731099</v>
      </c>
      <c r="J5006">
        <v>0.137477442217284</v>
      </c>
      <c r="K5006">
        <v>8.6395968937222706E-2</v>
      </c>
      <c r="L5006">
        <v>1856.5535860976699</v>
      </c>
      <c r="M5006">
        <v>37.2045323811138</v>
      </c>
      <c r="N5006">
        <v>50.408651631516499</v>
      </c>
      <c r="O5006">
        <v>49.7577609271763</v>
      </c>
      <c r="P5006">
        <v>-0.157735628909071</v>
      </c>
      <c r="Q5006">
        <v>0.15617270974679801</v>
      </c>
      <c r="R5006">
        <v>0.99050279028560795</v>
      </c>
      <c r="S5006" t="s">
        <v>10589</v>
      </c>
      <c r="T5006" t="s">
        <v>11164</v>
      </c>
      <c r="U5006" t="s">
        <v>11164</v>
      </c>
      <c r="V5006" t="s">
        <v>11164</v>
      </c>
      <c r="W5006" t="s">
        <v>16124</v>
      </c>
      <c r="X5006">
        <v>4</v>
      </c>
      <c r="Y5006" t="s">
        <v>21590</v>
      </c>
      <c r="Z5006" t="s">
        <v>27156</v>
      </c>
      <c r="AA5006">
        <v>0.52241893014542984</v>
      </c>
      <c r="AB5006" t="str">
        <f>HYPERLINK("Melting_Curves/meltCurve_Q9NRY4_ARHGAP35.pdf", "Melting_Curves/meltCurve_Q9NRY4_ARHGAP35.pdf")</f>
        <v>Melting_Curves/meltCurve_Q9NRY4_ARHGAP35.pdf</v>
      </c>
    </row>
    <row r="5007" spans="1:28" x14ac:dyDescent="0.25">
      <c r="A5007" t="s">
        <v>5011</v>
      </c>
      <c r="B5007">
        <v>0.99796759195183404</v>
      </c>
      <c r="C5007">
        <v>1.05985398028139</v>
      </c>
      <c r="D5007">
        <v>1.04955714069797</v>
      </c>
      <c r="E5007">
        <v>0.97032359322383699</v>
      </c>
      <c r="F5007">
        <v>0.86019565670752995</v>
      </c>
      <c r="G5007">
        <v>0.63341207593481197</v>
      </c>
      <c r="H5007">
        <v>0.36690508872150501</v>
      </c>
      <c r="I5007">
        <v>0.30507509761649299</v>
      </c>
      <c r="J5007">
        <v>0.28589884593664999</v>
      </c>
      <c r="K5007">
        <v>0.15440018528154101</v>
      </c>
      <c r="L5007">
        <v>1075.6248829103299</v>
      </c>
      <c r="M5007">
        <v>19.852656508756201</v>
      </c>
      <c r="N5007">
        <v>55.583473539244899</v>
      </c>
      <c r="O5007">
        <v>53.639649024513197</v>
      </c>
      <c r="P5007">
        <v>-7.4295167619907704E-2</v>
      </c>
      <c r="Q5007">
        <v>0.19707811959155</v>
      </c>
      <c r="R5007">
        <v>0.98734957704943804</v>
      </c>
      <c r="S5007" t="s">
        <v>10590</v>
      </c>
      <c r="T5007" t="s">
        <v>11164</v>
      </c>
      <c r="U5007" t="s">
        <v>11164</v>
      </c>
      <c r="V5007" t="s">
        <v>11164</v>
      </c>
      <c r="W5007" t="s">
        <v>16125</v>
      </c>
      <c r="X5007">
        <v>13</v>
      </c>
      <c r="Y5007" t="s">
        <v>21591</v>
      </c>
      <c r="Z5007" t="s">
        <v>27157</v>
      </c>
      <c r="AA5007">
        <v>0.66660214787181238</v>
      </c>
      <c r="AB5007" t="str">
        <f>HYPERLINK("Melting_Curves/meltCurve_Q9NRY5_FAM114A2.pdf", "Melting_Curves/meltCurve_Q9NRY5_FAM114A2.pdf")</f>
        <v>Melting_Curves/meltCurve_Q9NRY5_FAM114A2.pdf</v>
      </c>
    </row>
    <row r="5008" spans="1:28" x14ac:dyDescent="0.25">
      <c r="A5008" t="s">
        <v>5012</v>
      </c>
      <c r="B5008">
        <v>0.99796759195183404</v>
      </c>
      <c r="C5008">
        <v>0.92022589447321501</v>
      </c>
      <c r="D5008">
        <v>0.88388094490504199</v>
      </c>
      <c r="E5008">
        <v>0.74692782944714697</v>
      </c>
      <c r="F5008">
        <v>0.66968994051429798</v>
      </c>
      <c r="G5008">
        <v>0.49696512386636499</v>
      </c>
      <c r="H5008">
        <v>0.42631985037181303</v>
      </c>
      <c r="I5008">
        <v>0.27228906184985302</v>
      </c>
      <c r="J5008">
        <v>0.17207673574856799</v>
      </c>
      <c r="K5008">
        <v>0.14234503969061699</v>
      </c>
      <c r="L5008">
        <v>444.44681662965399</v>
      </c>
      <c r="M5008">
        <v>8.2585384522793497</v>
      </c>
      <c r="N5008">
        <v>53.816627367100999</v>
      </c>
      <c r="O5008">
        <v>50.9378968188228</v>
      </c>
      <c r="P5008">
        <v>-4.0573088636041199E-2</v>
      </c>
      <c r="Q5008">
        <v>0</v>
      </c>
      <c r="R5008">
        <v>0.991403129332873</v>
      </c>
      <c r="S5008" t="s">
        <v>10591</v>
      </c>
      <c r="T5008" t="s">
        <v>11164</v>
      </c>
      <c r="U5008" t="s">
        <v>11164</v>
      </c>
      <c r="V5008" t="s">
        <v>11164</v>
      </c>
      <c r="W5008" t="s">
        <v>16126</v>
      </c>
      <c r="X5008">
        <v>4</v>
      </c>
      <c r="Y5008" t="s">
        <v>21592</v>
      </c>
      <c r="Z5008" t="s">
        <v>27158</v>
      </c>
      <c r="AA5008">
        <v>0.57706071896512134</v>
      </c>
      <c r="AB5008" t="str">
        <f>HYPERLINK("Melting_Curves/meltCurve_Q9NRY6_PLSCR3.pdf", "Melting_Curves/meltCurve_Q9NRY6_PLSCR3.pdf")</f>
        <v>Melting_Curves/meltCurve_Q9NRY6_PLSCR3.pdf</v>
      </c>
    </row>
    <row r="5009" spans="1:28" x14ac:dyDescent="0.25">
      <c r="A5009" t="s">
        <v>5013</v>
      </c>
      <c r="B5009">
        <v>0.99796759195183404</v>
      </c>
      <c r="C5009">
        <v>0.96499914112301799</v>
      </c>
      <c r="D5009">
        <v>1.03772617453516</v>
      </c>
      <c r="E5009">
        <v>0.94423438795141501</v>
      </c>
      <c r="F5009">
        <v>0.91143033814003105</v>
      </c>
      <c r="G5009">
        <v>0.61497736688136095</v>
      </c>
      <c r="H5009">
        <v>0.41210717532344199</v>
      </c>
      <c r="I5009">
        <v>0.33613378468565702</v>
      </c>
      <c r="J5009">
        <v>0.28581722237003299</v>
      </c>
      <c r="K5009">
        <v>0.25027190472372701</v>
      </c>
      <c r="L5009">
        <v>1225.1656554272099</v>
      </c>
      <c r="M5009">
        <v>22.7559991126294</v>
      </c>
      <c r="N5009">
        <v>55.679633096993797</v>
      </c>
      <c r="O5009">
        <v>53.4286210634667</v>
      </c>
      <c r="P5009">
        <v>-7.8334933833142703E-2</v>
      </c>
      <c r="Q5009">
        <v>0.264326415271249</v>
      </c>
      <c r="R5009">
        <v>0.99333033773058999</v>
      </c>
      <c r="S5009" t="s">
        <v>10592</v>
      </c>
      <c r="T5009" t="s">
        <v>11164</v>
      </c>
      <c r="U5009" t="s">
        <v>11164</v>
      </c>
      <c r="V5009" t="s">
        <v>11164</v>
      </c>
      <c r="W5009" t="s">
        <v>16127</v>
      </c>
      <c r="X5009">
        <v>2</v>
      </c>
      <c r="Y5009" t="s">
        <v>21593</v>
      </c>
      <c r="Z5009" t="s">
        <v>27159</v>
      </c>
      <c r="AA5009">
        <v>0.68473449371188633</v>
      </c>
      <c r="AB5009" t="str">
        <f>HYPERLINK("Melting_Curves/meltCurve_Q9NRZ5_AGPAT4.pdf", "Melting_Curves/meltCurve_Q9NRZ5_AGPAT4.pdf")</f>
        <v>Melting_Curves/meltCurve_Q9NRZ5_AGPAT4.pdf</v>
      </c>
    </row>
    <row r="5010" spans="1:28" x14ac:dyDescent="0.25">
      <c r="A5010" t="s">
        <v>5014</v>
      </c>
      <c r="B5010">
        <v>0.99796759195183404</v>
      </c>
      <c r="C5010">
        <v>1.0301885440201199</v>
      </c>
      <c r="D5010">
        <v>1.1379050658532699</v>
      </c>
      <c r="E5010">
        <v>1.17553067973303</v>
      </c>
      <c r="F5010">
        <v>0.93529557548574704</v>
      </c>
      <c r="G5010">
        <v>0.52805543622203899</v>
      </c>
      <c r="H5010">
        <v>0.306738311753953</v>
      </c>
      <c r="I5010">
        <v>0.17761534058057299</v>
      </c>
      <c r="J5010">
        <v>0.14017750901286599</v>
      </c>
      <c r="K5010">
        <v>0.108874405262324</v>
      </c>
      <c r="L5010">
        <v>1657.6785005673</v>
      </c>
      <c r="M5010">
        <v>30.830828277246798</v>
      </c>
      <c r="N5010">
        <v>54.3633831501053</v>
      </c>
      <c r="O5010">
        <v>53.542231786115899</v>
      </c>
      <c r="P5010">
        <v>-0.123298238282844</v>
      </c>
      <c r="Q5010">
        <v>0.14350350917620999</v>
      </c>
      <c r="R5010">
        <v>0.96590925455168297</v>
      </c>
      <c r="S5010" t="s">
        <v>10593</v>
      </c>
      <c r="T5010" t="s">
        <v>11164</v>
      </c>
      <c r="U5010" t="s">
        <v>11164</v>
      </c>
      <c r="V5010" t="s">
        <v>11164</v>
      </c>
      <c r="W5010" t="s">
        <v>16128</v>
      </c>
      <c r="X5010">
        <v>2</v>
      </c>
      <c r="Y5010" t="s">
        <v>21594</v>
      </c>
      <c r="Z5010" t="s">
        <v>27160</v>
      </c>
      <c r="AA5010">
        <v>0.6273984637268829</v>
      </c>
      <c r="AB5010" t="str">
        <f>HYPERLINK("Melting_Curves/meltCurve_Q9NRZ7_2_AGPAT3.pdf", "Melting_Curves/meltCurve_Q9NRZ7_2_AGPAT3.pdf")</f>
        <v>Melting_Curves/meltCurve_Q9NRZ7_2_AGPAT3.pdf</v>
      </c>
    </row>
    <row r="5011" spans="1:28" x14ac:dyDescent="0.25">
      <c r="A5011" t="s">
        <v>5015</v>
      </c>
      <c r="B5011">
        <v>0.99796759195183404</v>
      </c>
      <c r="C5011">
        <v>0.92926974309274601</v>
      </c>
      <c r="D5011">
        <v>0.91370533037729196</v>
      </c>
      <c r="E5011">
        <v>0.88488698517956099</v>
      </c>
      <c r="F5011">
        <v>0.43362055461092203</v>
      </c>
      <c r="G5011">
        <v>0.204089703676958</v>
      </c>
      <c r="H5011">
        <v>0.17851375594275701</v>
      </c>
      <c r="I5011">
        <v>0.158581515315428</v>
      </c>
      <c r="J5011">
        <v>0.13141810412494501</v>
      </c>
      <c r="K5011">
        <v>9.6113207468988202E-2</v>
      </c>
      <c r="L5011">
        <v>1439.28432886052</v>
      </c>
      <c r="M5011">
        <v>29.2478898625249</v>
      </c>
      <c r="N5011">
        <v>49.749274815421202</v>
      </c>
      <c r="O5011">
        <v>48.981524803535201</v>
      </c>
      <c r="P5011">
        <v>-0.128996639278536</v>
      </c>
      <c r="Q5011">
        <v>0.135882046409421</v>
      </c>
      <c r="R5011">
        <v>0.98968304930559603</v>
      </c>
      <c r="S5011" t="s">
        <v>10594</v>
      </c>
      <c r="T5011" t="s">
        <v>11164</v>
      </c>
      <c r="U5011" t="s">
        <v>11164</v>
      </c>
      <c r="V5011" t="s">
        <v>11164</v>
      </c>
      <c r="W5011" t="s">
        <v>16129</v>
      </c>
      <c r="X5011">
        <v>12</v>
      </c>
      <c r="Y5011" t="s">
        <v>21595</v>
      </c>
      <c r="Z5011" t="s">
        <v>27161</v>
      </c>
      <c r="AA5011">
        <v>0.4930759475446308</v>
      </c>
      <c r="AB5011" t="str">
        <f>HYPERLINK("Melting_Curves/meltCurve_Q9NRZ9_3_HELLS.pdf", "Melting_Curves/meltCurve_Q9NRZ9_3_HELLS.pdf")</f>
        <v>Melting_Curves/meltCurve_Q9NRZ9_3_HELLS.pdf</v>
      </c>
    </row>
    <row r="5012" spans="1:28" x14ac:dyDescent="0.25">
      <c r="A5012" t="s">
        <v>5016</v>
      </c>
      <c r="B5012">
        <v>0.99796759195183404</v>
      </c>
      <c r="C5012">
        <v>0.93089619731125495</v>
      </c>
      <c r="D5012">
        <v>1.0550950781906401</v>
      </c>
      <c r="E5012">
        <v>0.96225611408723</v>
      </c>
      <c r="F5012">
        <v>0.94154654397135695</v>
      </c>
      <c r="G5012">
        <v>0.76116793213561795</v>
      </c>
      <c r="H5012">
        <v>0.63557741832169601</v>
      </c>
      <c r="I5012">
        <v>0.50376104255226295</v>
      </c>
      <c r="J5012">
        <v>0.53719154367462796</v>
      </c>
      <c r="K5012">
        <v>0.40570854839488402</v>
      </c>
      <c r="L5012">
        <v>943.86075837979399</v>
      </c>
      <c r="M5012">
        <v>17.032399905706999</v>
      </c>
      <c r="N5012">
        <v>62.177849651830797</v>
      </c>
      <c r="O5012">
        <v>54.668630191909202</v>
      </c>
      <c r="P5012">
        <v>-4.5056400691064702E-2</v>
      </c>
      <c r="Q5012">
        <v>0.42156815727618102</v>
      </c>
      <c r="R5012">
        <v>0.96812642192374598</v>
      </c>
      <c r="S5012" t="s">
        <v>10595</v>
      </c>
      <c r="T5012" t="s">
        <v>11164</v>
      </c>
      <c r="U5012" t="s">
        <v>11164</v>
      </c>
      <c r="V5012" t="s">
        <v>11164</v>
      </c>
      <c r="W5012" t="s">
        <v>16130</v>
      </c>
      <c r="X5012">
        <v>3</v>
      </c>
      <c r="Y5012" t="s">
        <v>21596</v>
      </c>
      <c r="Z5012" t="s">
        <v>27162</v>
      </c>
      <c r="AA5012">
        <v>0.78382839439629037</v>
      </c>
      <c r="AB5012" t="str">
        <f>HYPERLINK("Melting_Curves/meltCurve_Q9NS69_TOMM22.pdf", "Melting_Curves/meltCurve_Q9NS69_TOMM22.pdf")</f>
        <v>Melting_Curves/meltCurve_Q9NS69_TOMM22.pdf</v>
      </c>
    </row>
    <row r="5013" spans="1:28" x14ac:dyDescent="0.25">
      <c r="A5013" t="s">
        <v>5017</v>
      </c>
      <c r="B5013">
        <v>0.99796759195183404</v>
      </c>
      <c r="C5013">
        <v>0.87212634068308104</v>
      </c>
      <c r="D5013">
        <v>0.81424266852374105</v>
      </c>
      <c r="E5013">
        <v>0.763829546090247</v>
      </c>
      <c r="F5013">
        <v>0.82683427486753502</v>
      </c>
      <c r="G5013">
        <v>0.51147417545103702</v>
      </c>
      <c r="H5013">
        <v>0.46969091676312102</v>
      </c>
      <c r="I5013">
        <v>0.42348834917456601</v>
      </c>
      <c r="J5013">
        <v>0.39961827586040699</v>
      </c>
      <c r="K5013">
        <v>0.308979067563458</v>
      </c>
      <c r="L5013">
        <v>307.67112125786201</v>
      </c>
      <c r="M5013">
        <v>5.3509853103829901</v>
      </c>
      <c r="N5013">
        <v>57.498038266373896</v>
      </c>
      <c r="O5013">
        <v>50.9451626576057</v>
      </c>
      <c r="P5013">
        <v>-2.63858615302144E-2</v>
      </c>
      <c r="Q5013">
        <v>0</v>
      </c>
      <c r="R5013">
        <v>0.93340971910846904</v>
      </c>
      <c r="S5013" t="s">
        <v>10596</v>
      </c>
      <c r="T5013" t="s">
        <v>11164</v>
      </c>
      <c r="U5013" t="s">
        <v>11164</v>
      </c>
      <c r="V5013" t="s">
        <v>11164</v>
      </c>
      <c r="W5013" t="s">
        <v>16131</v>
      </c>
      <c r="X5013">
        <v>3</v>
      </c>
      <c r="Y5013" t="s">
        <v>21597</v>
      </c>
      <c r="Z5013" t="s">
        <v>27163</v>
      </c>
      <c r="AA5013">
        <v>0.63934421866788027</v>
      </c>
      <c r="AB5013" t="str">
        <f>HYPERLINK("Melting_Curves/meltCurve_Q9NS86_LANCL2.pdf", "Melting_Curves/meltCurve_Q9NS86_LANCL2.pdf")</f>
        <v>Melting_Curves/meltCurve_Q9NS86_LANCL2.pdf</v>
      </c>
    </row>
    <row r="5014" spans="1:28" x14ac:dyDescent="0.25">
      <c r="A5014" t="s">
        <v>5018</v>
      </c>
      <c r="B5014">
        <v>0.99796759195183404</v>
      </c>
      <c r="C5014">
        <v>1.0089747568487799</v>
      </c>
      <c r="D5014">
        <v>0.82882199038249005</v>
      </c>
      <c r="E5014">
        <v>0.75107835742996198</v>
      </c>
      <c r="F5014">
        <v>0.56722106508345604</v>
      </c>
      <c r="G5014">
        <v>0.44678061044415202</v>
      </c>
      <c r="H5014">
        <v>0.320735448782209</v>
      </c>
      <c r="I5014">
        <v>0.22750803190896601</v>
      </c>
      <c r="J5014">
        <v>0.194197027730035</v>
      </c>
      <c r="K5014">
        <v>0.152415807039913</v>
      </c>
      <c r="L5014">
        <v>502.00026909686198</v>
      </c>
      <c r="M5014">
        <v>9.8080384570542893</v>
      </c>
      <c r="N5014">
        <v>52.066060506714898</v>
      </c>
      <c r="O5014">
        <v>49.190948245023797</v>
      </c>
      <c r="P5014">
        <v>-4.6049536865582302E-2</v>
      </c>
      <c r="Q5014">
        <v>7.6661624757163802E-2</v>
      </c>
      <c r="R5014">
        <v>0.99252885765889398</v>
      </c>
      <c r="S5014" t="s">
        <v>10597</v>
      </c>
      <c r="T5014" t="s">
        <v>11164</v>
      </c>
      <c r="U5014" t="s">
        <v>11164</v>
      </c>
      <c r="V5014" t="s">
        <v>11164</v>
      </c>
      <c r="W5014" t="s">
        <v>16132</v>
      </c>
      <c r="X5014">
        <v>1</v>
      </c>
      <c r="Y5014" t="s">
        <v>21598</v>
      </c>
      <c r="Z5014" t="s">
        <v>27164</v>
      </c>
      <c r="AA5014">
        <v>0.54106448924615114</v>
      </c>
      <c r="AB5014" t="str">
        <f>HYPERLINK("Melting_Curves/meltCurve_Q9NS87_4_KIF15.pdf", "Melting_Curves/meltCurve_Q9NS87_4_KIF15.pdf")</f>
        <v>Melting_Curves/meltCurve_Q9NS87_4_KIF15.pdf</v>
      </c>
    </row>
    <row r="5015" spans="1:28" x14ac:dyDescent="0.25">
      <c r="A5015" t="s">
        <v>5019</v>
      </c>
      <c r="B5015">
        <v>0.99796759195183404</v>
      </c>
      <c r="C5015">
        <v>1.2325707142059601</v>
      </c>
      <c r="D5015">
        <v>1.1342676924821899</v>
      </c>
      <c r="E5015">
        <v>1.08269720783342</v>
      </c>
      <c r="F5015">
        <v>0.57910093228528803</v>
      </c>
      <c r="G5015">
        <v>0.40823698946416798</v>
      </c>
      <c r="H5015">
        <v>0.380489262842652</v>
      </c>
      <c r="I5015">
        <v>0.31637348258028403</v>
      </c>
      <c r="J5015">
        <v>0.295670511412716</v>
      </c>
      <c r="K5015">
        <v>0.218134638184801</v>
      </c>
      <c r="L5015">
        <v>5449.3400875514899</v>
      </c>
      <c r="M5015">
        <v>109.050295838982</v>
      </c>
      <c r="N5015">
        <v>50.453140403528998</v>
      </c>
      <c r="O5015">
        <v>49.954088863169602</v>
      </c>
      <c r="P5015">
        <v>-0.36909975447045401</v>
      </c>
      <c r="Q5015">
        <v>0.32368670480567102</v>
      </c>
      <c r="R5015">
        <v>0.92962606186158803</v>
      </c>
      <c r="S5015" t="s">
        <v>10598</v>
      </c>
      <c r="T5015" t="s">
        <v>11164</v>
      </c>
      <c r="U5015" t="s">
        <v>11164</v>
      </c>
      <c r="V5015" t="s">
        <v>11164</v>
      </c>
      <c r="W5015" t="s">
        <v>16133</v>
      </c>
      <c r="X5015">
        <v>5</v>
      </c>
      <c r="Y5015" t="s">
        <v>21599</v>
      </c>
      <c r="Z5015" t="s">
        <v>27165</v>
      </c>
      <c r="AA5015">
        <v>0.61641151238483427</v>
      </c>
      <c r="AB5015" t="str">
        <f>HYPERLINK("Melting_Curves/meltCurve_Q9NS91_RAD18.pdf", "Melting_Curves/meltCurve_Q9NS91_RAD18.pdf")</f>
        <v>Melting_Curves/meltCurve_Q9NS91_RAD18.pdf</v>
      </c>
    </row>
    <row r="5016" spans="1:28" x14ac:dyDescent="0.25">
      <c r="A5016" t="s">
        <v>5020</v>
      </c>
      <c r="B5016">
        <v>0.99796759195183404</v>
      </c>
      <c r="C5016">
        <v>0.95603351601203601</v>
      </c>
      <c r="D5016">
        <v>0.95661964095873597</v>
      </c>
      <c r="E5016">
        <v>0.87086462695952305</v>
      </c>
      <c r="F5016">
        <v>0.69070959456799597</v>
      </c>
      <c r="G5016">
        <v>0.64235880582001703</v>
      </c>
      <c r="H5016">
        <v>0.61138101001379697</v>
      </c>
      <c r="I5016">
        <v>0.51049071422432302</v>
      </c>
      <c r="J5016">
        <v>0.44521452023740599</v>
      </c>
      <c r="K5016">
        <v>0.224642802129632</v>
      </c>
      <c r="L5016">
        <v>385.19749403255202</v>
      </c>
      <c r="M5016">
        <v>6.4664987950218302</v>
      </c>
      <c r="N5016">
        <v>59.5681691215282</v>
      </c>
      <c r="O5016">
        <v>54.638831136510099</v>
      </c>
      <c r="P5016">
        <v>-2.96606832076158E-2</v>
      </c>
      <c r="Q5016">
        <v>0</v>
      </c>
      <c r="R5016">
        <v>0.95346688759873699</v>
      </c>
      <c r="S5016" t="s">
        <v>10599</v>
      </c>
      <c r="T5016" t="s">
        <v>11164</v>
      </c>
      <c r="U5016" t="s">
        <v>11164</v>
      </c>
      <c r="V5016" t="s">
        <v>11164</v>
      </c>
      <c r="W5016" t="s">
        <v>16134</v>
      </c>
      <c r="X5016">
        <v>2</v>
      </c>
      <c r="Y5016" t="s">
        <v>21600</v>
      </c>
      <c r="Z5016" t="s">
        <v>27166</v>
      </c>
      <c r="AA5016">
        <v>0.69590415284472507</v>
      </c>
      <c r="AB5016" t="str">
        <f>HYPERLINK("Melting_Curves/meltCurve_Q9NS93_TM7SF3.pdf", "Melting_Curves/meltCurve_Q9NS93_TM7SF3.pdf")</f>
        <v>Melting_Curves/meltCurve_Q9NS93_TM7SF3.pdf</v>
      </c>
    </row>
    <row r="5017" spans="1:28" x14ac:dyDescent="0.25">
      <c r="A5017" t="s">
        <v>5021</v>
      </c>
      <c r="B5017">
        <v>0.99796759195183404</v>
      </c>
      <c r="C5017">
        <v>0.93107108973291397</v>
      </c>
      <c r="D5017">
        <v>0.99893606081591002</v>
      </c>
      <c r="E5017">
        <v>1.04436266499277</v>
      </c>
      <c r="F5017">
        <v>0.76782424712194597</v>
      </c>
      <c r="G5017">
        <v>0.65159112041405998</v>
      </c>
      <c r="H5017">
        <v>0.52694116687102399</v>
      </c>
      <c r="I5017">
        <v>0.46236793492962802</v>
      </c>
      <c r="J5017">
        <v>0.44888180315127602</v>
      </c>
      <c r="K5017">
        <v>0.42422656785006702</v>
      </c>
      <c r="L5017">
        <v>1070.12595027323</v>
      </c>
      <c r="M5017">
        <v>20.5080029289295</v>
      </c>
      <c r="N5017">
        <v>57.944059049660602</v>
      </c>
      <c r="O5017">
        <v>51.692346437537097</v>
      </c>
      <c r="P5017">
        <v>-5.60431201319357E-2</v>
      </c>
      <c r="Q5017">
        <v>0.434968912136668</v>
      </c>
      <c r="R5017">
        <v>0.97077176996680303</v>
      </c>
      <c r="S5017" t="s">
        <v>10600</v>
      </c>
      <c r="T5017" t="s">
        <v>11164</v>
      </c>
      <c r="U5017" t="s">
        <v>11164</v>
      </c>
      <c r="V5017" t="s">
        <v>11164</v>
      </c>
      <c r="W5017" t="s">
        <v>16135</v>
      </c>
      <c r="X5017">
        <v>2</v>
      </c>
      <c r="Y5017" t="s">
        <v>21601</v>
      </c>
      <c r="Z5017" t="s">
        <v>27167</v>
      </c>
      <c r="AA5017">
        <v>0.72788334426868129</v>
      </c>
      <c r="AB5017" t="str">
        <f>HYPERLINK("Melting_Curves/meltCurve_Q9NSA3_CTNNBIP1.pdf", "Melting_Curves/meltCurve_Q9NSA3_CTNNBIP1.pdf")</f>
        <v>Melting_Curves/meltCurve_Q9NSA3_CTNNBIP1.pdf</v>
      </c>
    </row>
    <row r="5018" spans="1:28" x14ac:dyDescent="0.25">
      <c r="A5018" t="s">
        <v>5022</v>
      </c>
      <c r="B5018">
        <v>0.99796759195183404</v>
      </c>
      <c r="C5018">
        <v>1.14043324075412</v>
      </c>
      <c r="D5018">
        <v>0.98955480404935903</v>
      </c>
      <c r="E5018">
        <v>1.03716347096132</v>
      </c>
      <c r="F5018">
        <v>0.81068724043542595</v>
      </c>
      <c r="G5018">
        <v>0.41195522259325801</v>
      </c>
      <c r="H5018">
        <v>0.29613933214221799</v>
      </c>
      <c r="I5018">
        <v>0.16226939878907401</v>
      </c>
      <c r="J5018">
        <v>0.15027219462204</v>
      </c>
      <c r="K5018">
        <v>0.11427192082568501</v>
      </c>
      <c r="L5018">
        <v>1394.3503392288501</v>
      </c>
      <c r="M5018">
        <v>26.526525882857101</v>
      </c>
      <c r="N5018">
        <v>53.255845736156502</v>
      </c>
      <c r="O5018">
        <v>52.2683852291904</v>
      </c>
      <c r="P5018">
        <v>-0.108394039038443</v>
      </c>
      <c r="Q5018">
        <v>0.14568236501693099</v>
      </c>
      <c r="R5018">
        <v>0.98051368950017204</v>
      </c>
      <c r="S5018" t="s">
        <v>10601</v>
      </c>
      <c r="T5018" t="s">
        <v>11164</v>
      </c>
      <c r="U5018" t="s">
        <v>11164</v>
      </c>
      <c r="V5018" t="s">
        <v>11164</v>
      </c>
      <c r="W5018" t="s">
        <v>16136</v>
      </c>
      <c r="X5018">
        <v>2</v>
      </c>
      <c r="Y5018" t="s">
        <v>21602</v>
      </c>
      <c r="Z5018" t="s">
        <v>27168</v>
      </c>
      <c r="AA5018">
        <v>0.59572026428193514</v>
      </c>
      <c r="AB5018" t="str">
        <f>HYPERLINK("Melting_Curves/meltCurve_Q9NSB8_2_HOMER2.pdf", "Melting_Curves/meltCurve_Q9NSB8_2_HOMER2.pdf")</f>
        <v>Melting_Curves/meltCurve_Q9NSB8_2_HOMER2.pdf</v>
      </c>
    </row>
    <row r="5019" spans="1:28" x14ac:dyDescent="0.25">
      <c r="A5019" t="s">
        <v>5023</v>
      </c>
      <c r="B5019">
        <v>0.99796759195183404</v>
      </c>
      <c r="C5019">
        <v>1.04161141342005</v>
      </c>
      <c r="D5019">
        <v>0.94342712419730201</v>
      </c>
      <c r="E5019">
        <v>1.04167321181173</v>
      </c>
      <c r="F5019">
        <v>1.0970616333123799</v>
      </c>
      <c r="G5019">
        <v>1.03105186810891</v>
      </c>
      <c r="H5019">
        <v>0.74077049362980896</v>
      </c>
      <c r="I5019">
        <v>0.47190185068099699</v>
      </c>
      <c r="J5019">
        <v>0.258692291985195</v>
      </c>
      <c r="K5019">
        <v>0.27884025356896103</v>
      </c>
      <c r="L5019">
        <v>1941.55858588975</v>
      </c>
      <c r="M5019">
        <v>32.952388315422503</v>
      </c>
      <c r="N5019">
        <v>60.178344829989797</v>
      </c>
      <c r="O5019">
        <v>58.704396615948703</v>
      </c>
      <c r="P5019">
        <v>-0.105395898564748</v>
      </c>
      <c r="Q5019">
        <v>0.24895583095655999</v>
      </c>
      <c r="R5019">
        <v>0.97462548835414997</v>
      </c>
      <c r="S5019" t="s">
        <v>10602</v>
      </c>
      <c r="T5019" t="s">
        <v>11164</v>
      </c>
      <c r="U5019" t="s">
        <v>11164</v>
      </c>
      <c r="V5019" t="s">
        <v>11164</v>
      </c>
      <c r="W5019" t="s">
        <v>16137</v>
      </c>
      <c r="X5019">
        <v>7</v>
      </c>
      <c r="Y5019" t="s">
        <v>21603</v>
      </c>
      <c r="Z5019" t="s">
        <v>27169</v>
      </c>
      <c r="AA5019">
        <v>0.80108743402241867</v>
      </c>
      <c r="AB5019" t="str">
        <f>HYPERLINK("Melting_Curves/meltCurve_Q9NSD9_FARSB.pdf", "Melting_Curves/meltCurve_Q9NSD9_FARSB.pdf")</f>
        <v>Melting_Curves/meltCurve_Q9NSD9_FARSB.pdf</v>
      </c>
    </row>
    <row r="5020" spans="1:28" x14ac:dyDescent="0.25">
      <c r="A5020" t="s">
        <v>5024</v>
      </c>
      <c r="B5020">
        <v>0.99796759195183404</v>
      </c>
      <c r="C5020">
        <v>0.99495038199555996</v>
      </c>
      <c r="D5020">
        <v>0.99948131554575004</v>
      </c>
      <c r="E5020">
        <v>0.92795909071904703</v>
      </c>
      <c r="F5020">
        <v>0.80554026171716597</v>
      </c>
      <c r="G5020">
        <v>0.68715293436275404</v>
      </c>
      <c r="H5020">
        <v>0.455287197228116</v>
      </c>
      <c r="I5020">
        <v>0.25992369828209699</v>
      </c>
      <c r="J5020">
        <v>0.13277816258085801</v>
      </c>
      <c r="K5020">
        <v>8.9357798533561406E-2</v>
      </c>
      <c r="L5020">
        <v>779.10515425292897</v>
      </c>
      <c r="M5020">
        <v>13.821129090384201</v>
      </c>
      <c r="N5020">
        <v>56.370586927124499</v>
      </c>
      <c r="O5020">
        <v>55.229803895232301</v>
      </c>
      <c r="P5020">
        <v>-6.2570619856371107E-2</v>
      </c>
      <c r="Q5020">
        <v>0</v>
      </c>
      <c r="R5020">
        <v>0.996748895944639</v>
      </c>
      <c r="S5020" t="s">
        <v>10603</v>
      </c>
      <c r="T5020" t="s">
        <v>11164</v>
      </c>
      <c r="U5020" t="s">
        <v>11164</v>
      </c>
      <c r="V5020" t="s">
        <v>11164</v>
      </c>
      <c r="W5020" t="s">
        <v>16138</v>
      </c>
      <c r="X5020">
        <v>32</v>
      </c>
      <c r="Y5020" t="s">
        <v>21604</v>
      </c>
      <c r="Z5020" t="s">
        <v>27170</v>
      </c>
      <c r="AA5020">
        <v>0.65550307693835541</v>
      </c>
      <c r="AB5020" t="str">
        <f>HYPERLINK("Melting_Curves/meltCurve_Q9NSE4_IARS2.pdf", "Melting_Curves/meltCurve_Q9NSE4_IARS2.pdf")</f>
        <v>Melting_Curves/meltCurve_Q9NSE4_IARS2.pdf</v>
      </c>
    </row>
    <row r="5021" spans="1:28" x14ac:dyDescent="0.25">
      <c r="A5021" t="s">
        <v>5025</v>
      </c>
      <c r="B5021">
        <v>0.99796759195183404</v>
      </c>
      <c r="C5021">
        <v>0.950623387425787</v>
      </c>
      <c r="D5021">
        <v>1.0188603349035701</v>
      </c>
      <c r="E5021">
        <v>0.96938081388033503</v>
      </c>
      <c r="F5021">
        <v>0.63603300214421199</v>
      </c>
      <c r="G5021">
        <v>0.514645359153449</v>
      </c>
      <c r="H5021">
        <v>0.35856476699650802</v>
      </c>
      <c r="I5021">
        <v>0.31985471623945999</v>
      </c>
      <c r="J5021">
        <v>0.23491365919034601</v>
      </c>
      <c r="K5021">
        <v>0.181117222508309</v>
      </c>
      <c r="L5021">
        <v>842.84624764265004</v>
      </c>
      <c r="M5021">
        <v>16.211602772639399</v>
      </c>
      <c r="N5021">
        <v>53.738755920259699</v>
      </c>
      <c r="O5021">
        <v>51.218520492447702</v>
      </c>
      <c r="P5021">
        <v>-6.2916721644606294E-2</v>
      </c>
      <c r="Q5021">
        <v>0.20494915718679699</v>
      </c>
      <c r="R5021">
        <v>0.980390008543499</v>
      </c>
      <c r="S5021" t="s">
        <v>10604</v>
      </c>
      <c r="T5021" t="s">
        <v>11164</v>
      </c>
      <c r="U5021" t="s">
        <v>11164</v>
      </c>
      <c r="V5021" t="s">
        <v>11164</v>
      </c>
      <c r="W5021" t="s">
        <v>16139</v>
      </c>
      <c r="X5021">
        <v>2</v>
      </c>
      <c r="Y5021" t="s">
        <v>21605</v>
      </c>
      <c r="Z5021" t="s">
        <v>27171</v>
      </c>
      <c r="AA5021">
        <v>0.61607023498919722</v>
      </c>
      <c r="AB5021" t="str">
        <f>HYPERLINK("Melting_Curves/meltCurve_Q9NSG2_3_C1orf112.pdf", "Melting_Curves/meltCurve_Q9NSG2_3_C1orf112.pdf")</f>
        <v>Melting_Curves/meltCurve_Q9NSG2_3_C1orf112.pdf</v>
      </c>
    </row>
    <row r="5022" spans="1:28" x14ac:dyDescent="0.25">
      <c r="A5022" t="s">
        <v>5026</v>
      </c>
      <c r="B5022">
        <v>0.99796759195183404</v>
      </c>
      <c r="C5022">
        <v>1.0871954422941299</v>
      </c>
      <c r="D5022">
        <v>0.98099545537186905</v>
      </c>
      <c r="E5022">
        <v>0.97382342505791697</v>
      </c>
      <c r="F5022">
        <v>0.65600845528250795</v>
      </c>
      <c r="G5022">
        <v>0.37351808475213</v>
      </c>
      <c r="H5022">
        <v>0.203263027823959</v>
      </c>
      <c r="I5022">
        <v>0.13896025340804199</v>
      </c>
      <c r="J5022">
        <v>0.102384341738427</v>
      </c>
      <c r="K5022">
        <v>5.5870394838580598E-2</v>
      </c>
      <c r="L5022">
        <v>1094.90862301941</v>
      </c>
      <c r="M5022">
        <v>21.141973638852701</v>
      </c>
      <c r="N5022">
        <v>52.237101234753801</v>
      </c>
      <c r="O5022">
        <v>51.3317363068563</v>
      </c>
      <c r="P5022">
        <v>-9.4419846327618406E-2</v>
      </c>
      <c r="Q5022">
        <v>8.3035955658420799E-2</v>
      </c>
      <c r="R5022">
        <v>0.99151350424469198</v>
      </c>
      <c r="S5022" t="s">
        <v>10605</v>
      </c>
      <c r="T5022" t="s">
        <v>11164</v>
      </c>
      <c r="U5022" t="s">
        <v>11164</v>
      </c>
      <c r="V5022" t="s">
        <v>11164</v>
      </c>
      <c r="W5022" t="s">
        <v>16140</v>
      </c>
      <c r="X5022">
        <v>4</v>
      </c>
      <c r="Y5022" t="s">
        <v>21606</v>
      </c>
      <c r="Z5022" t="s">
        <v>27172</v>
      </c>
      <c r="AA5022">
        <v>0.5459128318069052</v>
      </c>
      <c r="AB5022" t="str">
        <f>HYPERLINK("Melting_Curves/meltCurve_Q9NSI2_2_FAM207A.pdf", "Melting_Curves/meltCurve_Q9NSI2_2_FAM207A.pdf")</f>
        <v>Melting_Curves/meltCurve_Q9NSI2_2_FAM207A.pdf</v>
      </c>
    </row>
    <row r="5023" spans="1:28" x14ac:dyDescent="0.25">
      <c r="A5023" t="s">
        <v>5027</v>
      </c>
      <c r="B5023">
        <v>0.99796759195183404</v>
      </c>
      <c r="C5023">
        <v>0.97005775606964795</v>
      </c>
      <c r="D5023">
        <v>0.94953727151009704</v>
      </c>
      <c r="E5023">
        <v>0.95493499470534005</v>
      </c>
      <c r="F5023">
        <v>0.81704363802281799</v>
      </c>
      <c r="G5023">
        <v>0.60549061201958199</v>
      </c>
      <c r="H5023">
        <v>0.53408394266652803</v>
      </c>
      <c r="I5023">
        <v>0.36401581642129199</v>
      </c>
      <c r="J5023">
        <v>0.219836725951605</v>
      </c>
      <c r="K5023">
        <v>0.105268698439191</v>
      </c>
      <c r="L5023">
        <v>636.03419356621305</v>
      </c>
      <c r="M5023">
        <v>11.147114630444401</v>
      </c>
      <c r="N5023">
        <v>57.058190859693298</v>
      </c>
      <c r="O5023">
        <v>55.314259521010598</v>
      </c>
      <c r="P5023">
        <v>-5.0396985797160503E-2</v>
      </c>
      <c r="Q5023">
        <v>0</v>
      </c>
      <c r="R5023">
        <v>0.98781562159520497</v>
      </c>
      <c r="S5023" t="s">
        <v>10606</v>
      </c>
      <c r="T5023" t="s">
        <v>11164</v>
      </c>
      <c r="U5023" t="s">
        <v>11164</v>
      </c>
      <c r="V5023" t="s">
        <v>11164</v>
      </c>
      <c r="W5023" t="s">
        <v>16141</v>
      </c>
      <c r="X5023">
        <v>10</v>
      </c>
      <c r="Y5023" t="s">
        <v>21607</v>
      </c>
      <c r="Z5023" t="s">
        <v>27173</v>
      </c>
      <c r="AA5023">
        <v>0.67096972656944465</v>
      </c>
      <c r="AB5023" t="str">
        <f>HYPERLINK("Melting_Curves/meltCurve_Q9NT62_ATG3.pdf", "Melting_Curves/meltCurve_Q9NT62_ATG3.pdf")</f>
        <v>Melting_Curves/meltCurve_Q9NT62_ATG3.pdf</v>
      </c>
    </row>
    <row r="5024" spans="1:28" x14ac:dyDescent="0.25">
      <c r="A5024" t="s">
        <v>5028</v>
      </c>
      <c r="B5024">
        <v>0.99796759195183404</v>
      </c>
      <c r="C5024">
        <v>1.0383970177172299</v>
      </c>
      <c r="D5024">
        <v>1.0128491879918999</v>
      </c>
      <c r="E5024">
        <v>0.92797949711494698</v>
      </c>
      <c r="F5024">
        <v>0.793520953036849</v>
      </c>
      <c r="G5024">
        <v>0.34580364426343202</v>
      </c>
      <c r="H5024">
        <v>0.13914763788323001</v>
      </c>
      <c r="I5024">
        <v>0.11436074615009099</v>
      </c>
      <c r="J5024">
        <v>6.92417378300174E-2</v>
      </c>
      <c r="K5024">
        <v>4.1776148313691502E-2</v>
      </c>
      <c r="L5024">
        <v>1443.6248987965801</v>
      </c>
      <c r="M5024">
        <v>27.612028843654102</v>
      </c>
      <c r="N5024">
        <v>52.546502988108699</v>
      </c>
      <c r="O5024">
        <v>52.010561906101302</v>
      </c>
      <c r="P5024">
        <v>-0.124127106049086</v>
      </c>
      <c r="Q5024">
        <v>6.4775767851920005E-2</v>
      </c>
      <c r="R5024">
        <v>0.99679991753777497</v>
      </c>
      <c r="S5024" t="s">
        <v>10607</v>
      </c>
      <c r="T5024" t="s">
        <v>11164</v>
      </c>
      <c r="U5024" t="s">
        <v>11164</v>
      </c>
      <c r="V5024" t="s">
        <v>11164</v>
      </c>
      <c r="W5024" t="s">
        <v>16142</v>
      </c>
      <c r="X5024">
        <v>12</v>
      </c>
      <c r="Y5024" t="s">
        <v>21608</v>
      </c>
      <c r="Z5024" t="s">
        <v>27174</v>
      </c>
      <c r="AA5024">
        <v>0.54811043173398155</v>
      </c>
      <c r="AB5024" t="str">
        <f>HYPERLINK("Melting_Curves/meltCurve_Q9NTJ5_SACM1L.pdf", "Melting_Curves/meltCurve_Q9NTJ5_SACM1L.pdf")</f>
        <v>Melting_Curves/meltCurve_Q9NTJ5_SACM1L.pdf</v>
      </c>
    </row>
    <row r="5025" spans="1:28" x14ac:dyDescent="0.25">
      <c r="A5025" t="s">
        <v>5029</v>
      </c>
      <c r="B5025">
        <v>0.99796759195183404</v>
      </c>
      <c r="C5025">
        <v>1.0554687940287899</v>
      </c>
      <c r="D5025">
        <v>0.981038547776377</v>
      </c>
      <c r="E5025">
        <v>0.90657197605309603</v>
      </c>
      <c r="F5025">
        <v>0.827004987177273</v>
      </c>
      <c r="G5025">
        <v>0.46754220448685302</v>
      </c>
      <c r="H5025">
        <v>0.50698389900855201</v>
      </c>
      <c r="I5025">
        <v>0.60816264845687795</v>
      </c>
      <c r="J5025">
        <v>0.71938715388952801</v>
      </c>
      <c r="K5025">
        <v>0.67893229503444896</v>
      </c>
      <c r="L5025">
        <v>12564.472806044099</v>
      </c>
      <c r="M5025">
        <v>250</v>
      </c>
      <c r="O5025">
        <v>50.254675068912697</v>
      </c>
      <c r="P5025">
        <v>-0.50219004614375695</v>
      </c>
      <c r="Q5025">
        <v>0.59620163913650603</v>
      </c>
      <c r="R5025">
        <v>0.85191315881172303</v>
      </c>
      <c r="S5025" t="s">
        <v>10608</v>
      </c>
      <c r="T5025" t="s">
        <v>11164</v>
      </c>
      <c r="U5025" t="s">
        <v>11164</v>
      </c>
      <c r="V5025" t="s">
        <v>11164</v>
      </c>
      <c r="W5025" t="s">
        <v>16143</v>
      </c>
      <c r="X5025">
        <v>13</v>
      </c>
      <c r="Y5025" t="s">
        <v>17706</v>
      </c>
      <c r="Z5025" t="s">
        <v>27175</v>
      </c>
      <c r="AA5025">
        <v>0.77468774637989868</v>
      </c>
      <c r="AB5025" t="str">
        <f>HYPERLINK("Melting_Curves/meltCurve_Q9NTK5_2_OLA1.pdf", "Melting_Curves/meltCurve_Q9NTK5_2_OLA1.pdf")</f>
        <v>Melting_Curves/meltCurve_Q9NTK5_2_OLA1.pdf</v>
      </c>
    </row>
    <row r="5026" spans="1:28" x14ac:dyDescent="0.25">
      <c r="A5026" t="s">
        <v>5030</v>
      </c>
      <c r="B5026">
        <v>0.99796759195183404</v>
      </c>
      <c r="C5026">
        <v>0.98753266474244705</v>
      </c>
      <c r="D5026">
        <v>0.97694146441681295</v>
      </c>
      <c r="E5026">
        <v>0.91560808775869895</v>
      </c>
      <c r="F5026">
        <v>0.78159880064277099</v>
      </c>
      <c r="G5026">
        <v>0.68720835868733599</v>
      </c>
      <c r="H5026">
        <v>0.53863688686740796</v>
      </c>
      <c r="I5026">
        <v>0.238788994038451</v>
      </c>
      <c r="J5026">
        <v>0.14057883020929701</v>
      </c>
      <c r="K5026">
        <v>0.123201040015901</v>
      </c>
      <c r="L5026">
        <v>730.48026487019501</v>
      </c>
      <c r="M5026">
        <v>12.8930640860679</v>
      </c>
      <c r="N5026">
        <v>56.656839875449897</v>
      </c>
      <c r="O5026">
        <v>55.345783813312998</v>
      </c>
      <c r="P5026">
        <v>-5.8249318974910598E-2</v>
      </c>
      <c r="Q5026">
        <v>0</v>
      </c>
      <c r="R5026">
        <v>0.98683636807538</v>
      </c>
      <c r="S5026" t="s">
        <v>10609</v>
      </c>
      <c r="T5026" t="s">
        <v>11164</v>
      </c>
      <c r="U5026" t="s">
        <v>11164</v>
      </c>
      <c r="V5026" t="s">
        <v>11164</v>
      </c>
      <c r="W5026" t="s">
        <v>16144</v>
      </c>
      <c r="X5026">
        <v>5</v>
      </c>
      <c r="Y5026" t="s">
        <v>21609</v>
      </c>
      <c r="Z5026" t="s">
        <v>27176</v>
      </c>
      <c r="AA5026">
        <v>0.66300799785251763</v>
      </c>
      <c r="AB5026" t="str">
        <f>HYPERLINK("Melting_Curves/meltCurve_Q9NTM9_CUTC.pdf", "Melting_Curves/meltCurve_Q9NTM9_CUTC.pdf")</f>
        <v>Melting_Curves/meltCurve_Q9NTM9_CUTC.pdf</v>
      </c>
    </row>
    <row r="5027" spans="1:28" x14ac:dyDescent="0.25">
      <c r="A5027" t="s">
        <v>5031</v>
      </c>
      <c r="B5027">
        <v>0.99796759195183404</v>
      </c>
      <c r="C5027">
        <v>0.84019639742290797</v>
      </c>
      <c r="D5027">
        <v>0.79372856271308401</v>
      </c>
      <c r="E5027">
        <v>0.98582463820644195</v>
      </c>
      <c r="F5027">
        <v>0.82150042724518502</v>
      </c>
      <c r="G5027">
        <v>0.48531790041793899</v>
      </c>
      <c r="H5027">
        <v>0.58442961705556695</v>
      </c>
      <c r="I5027">
        <v>0.56810970810998795</v>
      </c>
      <c r="J5027">
        <v>0.25031089054973099</v>
      </c>
      <c r="K5027">
        <v>0.144783948586309</v>
      </c>
      <c r="L5027">
        <v>449.58107903159203</v>
      </c>
      <c r="M5027">
        <v>7.7827003947757296</v>
      </c>
      <c r="N5027">
        <v>57.7667197673589</v>
      </c>
      <c r="O5027">
        <v>54.3248425512284</v>
      </c>
      <c r="P5027">
        <v>-3.5860453803784997E-2</v>
      </c>
      <c r="Q5027">
        <v>0</v>
      </c>
      <c r="R5027">
        <v>0.83289632025944604</v>
      </c>
      <c r="S5027" t="s">
        <v>10610</v>
      </c>
      <c r="T5027" t="s">
        <v>11164</v>
      </c>
      <c r="U5027" t="s">
        <v>11164</v>
      </c>
      <c r="V5027" t="s">
        <v>11164</v>
      </c>
      <c r="W5027" t="s">
        <v>16145</v>
      </c>
      <c r="X5027">
        <v>2</v>
      </c>
      <c r="Y5027" t="s">
        <v>21610</v>
      </c>
      <c r="Z5027" t="s">
        <v>27177</v>
      </c>
      <c r="AA5027">
        <v>0.67200985581445993</v>
      </c>
      <c r="AB5027" t="str">
        <f>HYPERLINK("Melting_Curves/meltCurve_Q9NTN9_SEMA4G.pdf", "Melting_Curves/meltCurve_Q9NTN9_SEMA4G.pdf")</f>
        <v>Melting_Curves/meltCurve_Q9NTN9_SEMA4G.pdf</v>
      </c>
    </row>
    <row r="5028" spans="1:28" x14ac:dyDescent="0.25">
      <c r="A5028" t="s">
        <v>5032</v>
      </c>
      <c r="B5028">
        <v>0.99796759195183404</v>
      </c>
      <c r="C5028">
        <v>0.935035859530574</v>
      </c>
      <c r="D5028">
        <v>0.96710594433594399</v>
      </c>
      <c r="E5028">
        <v>0.88265667205726495</v>
      </c>
      <c r="F5028">
        <v>0.97396332108322603</v>
      </c>
      <c r="G5028">
        <v>0.20879972659805099</v>
      </c>
      <c r="H5028">
        <v>0.50985720345049601</v>
      </c>
      <c r="I5028">
        <v>0.40983021036114198</v>
      </c>
      <c r="J5028">
        <v>9.6524407928893899E-2</v>
      </c>
      <c r="K5028">
        <v>0.19996388981538701</v>
      </c>
      <c r="L5028">
        <v>12714.4349128876</v>
      </c>
      <c r="M5028">
        <v>250</v>
      </c>
      <c r="N5028">
        <v>51.030014078584401</v>
      </c>
      <c r="O5028">
        <v>50.854484677036297</v>
      </c>
      <c r="P5028">
        <v>-0.87873891921162395</v>
      </c>
      <c r="Q5028">
        <v>0.28499495654665502</v>
      </c>
      <c r="R5028">
        <v>0.89147218684883001</v>
      </c>
      <c r="S5028" t="s">
        <v>10611</v>
      </c>
      <c r="T5028" t="s">
        <v>11164</v>
      </c>
      <c r="U5028" t="s">
        <v>11164</v>
      </c>
      <c r="V5028" t="s">
        <v>11164</v>
      </c>
      <c r="W5028" t="s">
        <v>16146</v>
      </c>
      <c r="X5028">
        <v>1</v>
      </c>
      <c r="Y5028" t="s">
        <v>21611</v>
      </c>
      <c r="Z5028" t="s">
        <v>27178</v>
      </c>
      <c r="AA5028">
        <v>0.61533723205142443</v>
      </c>
      <c r="AB5028" t="str">
        <f>HYPERLINK("Melting_Curves/meltCurve_Q9NTW7_2_ZFP64.pdf", "Melting_Curves/meltCurve_Q9NTW7_2_ZFP64.pdf")</f>
        <v>Melting_Curves/meltCurve_Q9NTW7_2_ZFP64.pdf</v>
      </c>
    </row>
    <row r="5029" spans="1:28" x14ac:dyDescent="0.25">
      <c r="A5029" t="s">
        <v>5033</v>
      </c>
      <c r="B5029">
        <v>0.99796759195183404</v>
      </c>
      <c r="C5029">
        <v>1.04189640648892</v>
      </c>
      <c r="D5029">
        <v>1.06048160919004</v>
      </c>
      <c r="E5029">
        <v>1.0110241660450701</v>
      </c>
      <c r="F5029">
        <v>0.86194273872063198</v>
      </c>
      <c r="G5029">
        <v>0.73250323551135899</v>
      </c>
      <c r="H5029">
        <v>0.79254179606662001</v>
      </c>
      <c r="I5029">
        <v>0.70038681905800504</v>
      </c>
      <c r="J5029">
        <v>0.87324814596684996</v>
      </c>
      <c r="K5029">
        <v>0.71250307319530004</v>
      </c>
      <c r="L5029">
        <v>12533.6628371068</v>
      </c>
      <c r="M5029">
        <v>250</v>
      </c>
      <c r="O5029">
        <v>50.131443448030097</v>
      </c>
      <c r="P5029">
        <v>-0.29642497413659402</v>
      </c>
      <c r="Q5029">
        <v>0.76223661286309197</v>
      </c>
      <c r="R5029">
        <v>0.85570480383842795</v>
      </c>
      <c r="S5029" t="s">
        <v>10612</v>
      </c>
      <c r="T5029" t="s">
        <v>11164</v>
      </c>
      <c r="U5029" t="s">
        <v>11164</v>
      </c>
      <c r="V5029" t="s">
        <v>11164</v>
      </c>
      <c r="W5029" t="s">
        <v>16147</v>
      </c>
      <c r="X5029">
        <v>4</v>
      </c>
      <c r="Y5029" t="s">
        <v>21612</v>
      </c>
      <c r="Z5029" t="s">
        <v>27179</v>
      </c>
      <c r="AA5029">
        <v>0.86635550571688147</v>
      </c>
      <c r="AB5029" t="str">
        <f>HYPERLINK("Melting_Curves/meltCurve_Q9NTX5_3_ECHDC1.pdf", "Melting_Curves/meltCurve_Q9NTX5_3_ECHDC1.pdf")</f>
        <v>Melting_Curves/meltCurve_Q9NTX5_3_ECHDC1.pdf</v>
      </c>
    </row>
    <row r="5030" spans="1:28" x14ac:dyDescent="0.25">
      <c r="A5030" t="s">
        <v>5034</v>
      </c>
      <c r="B5030">
        <v>0.99796759195183404</v>
      </c>
      <c r="C5030">
        <v>1.1334428460352299</v>
      </c>
      <c r="D5030">
        <v>1.0649027916265099</v>
      </c>
      <c r="E5030">
        <v>1.1854801219117701</v>
      </c>
      <c r="F5030">
        <v>0.93129802101009596</v>
      </c>
      <c r="G5030">
        <v>1.0208661631291001</v>
      </c>
      <c r="H5030">
        <v>0.76382644867030502</v>
      </c>
      <c r="I5030">
        <v>0.54537287926117906</v>
      </c>
      <c r="J5030">
        <v>0.43074508433236502</v>
      </c>
      <c r="K5030">
        <v>0.29038164072327599</v>
      </c>
      <c r="L5030">
        <v>1393.75076857824</v>
      </c>
      <c r="M5030">
        <v>23.296412121842501</v>
      </c>
      <c r="N5030">
        <v>61.791882009294</v>
      </c>
      <c r="O5030">
        <v>59.391244476244403</v>
      </c>
      <c r="P5030">
        <v>-7.2406810762306095E-2</v>
      </c>
      <c r="Q5030">
        <v>0.26164525819386703</v>
      </c>
      <c r="R5030">
        <v>0.92173400083143098</v>
      </c>
      <c r="S5030" t="s">
        <v>10613</v>
      </c>
      <c r="T5030" t="s">
        <v>11164</v>
      </c>
      <c r="U5030" t="s">
        <v>11164</v>
      </c>
      <c r="V5030" t="s">
        <v>11164</v>
      </c>
      <c r="W5030" t="s">
        <v>16148</v>
      </c>
      <c r="X5030">
        <v>2</v>
      </c>
      <c r="Y5030" t="s">
        <v>21613</v>
      </c>
      <c r="Z5030" t="s">
        <v>27180</v>
      </c>
      <c r="AA5030">
        <v>0.82560435942272259</v>
      </c>
      <c r="AB5030" t="str">
        <f>HYPERLINK("Melting_Curves/meltCurve_Q9NTX7_2_RNF146.pdf", "Melting_Curves/meltCurve_Q9NTX7_2_RNF146.pdf")</f>
        <v>Melting_Curves/meltCurve_Q9NTX7_2_RNF146.pdf</v>
      </c>
    </row>
    <row r="5031" spans="1:28" x14ac:dyDescent="0.25">
      <c r="A5031" t="s">
        <v>5035</v>
      </c>
      <c r="B5031">
        <v>0.99796759195183404</v>
      </c>
      <c r="C5031">
        <v>0.95800980750223097</v>
      </c>
      <c r="D5031">
        <v>0.88673180900011495</v>
      </c>
      <c r="E5031">
        <v>0.830690354397143</v>
      </c>
      <c r="F5031">
        <v>0.73941545374899798</v>
      </c>
      <c r="G5031">
        <v>0.365311772806444</v>
      </c>
      <c r="H5031">
        <v>0.23988605493469101</v>
      </c>
      <c r="I5031">
        <v>0.20614715304440501</v>
      </c>
      <c r="J5031">
        <v>0.15586300116037799</v>
      </c>
      <c r="K5031">
        <v>0.122037213337633</v>
      </c>
      <c r="L5031">
        <v>778.34676364373399</v>
      </c>
      <c r="M5031">
        <v>15.0450521120573</v>
      </c>
      <c r="N5031">
        <v>52.4928286584611</v>
      </c>
      <c r="O5031">
        <v>50.846239529727697</v>
      </c>
      <c r="P5031">
        <v>-6.6753928035865495E-2</v>
      </c>
      <c r="Q5031">
        <v>9.7684417343976399E-2</v>
      </c>
      <c r="R5031">
        <v>0.98362946135257401</v>
      </c>
      <c r="S5031" t="s">
        <v>10614</v>
      </c>
      <c r="T5031" t="s">
        <v>11164</v>
      </c>
      <c r="U5031" t="s">
        <v>11164</v>
      </c>
      <c r="V5031" t="s">
        <v>11164</v>
      </c>
      <c r="W5031" t="s">
        <v>16149</v>
      </c>
      <c r="X5031">
        <v>14</v>
      </c>
      <c r="Y5031" t="s">
        <v>21614</v>
      </c>
      <c r="Z5031" t="s">
        <v>27181</v>
      </c>
      <c r="AA5031">
        <v>0.558318955363588</v>
      </c>
      <c r="AB5031" t="str">
        <f>HYPERLINK("Melting_Curves/meltCurve_Q9NTZ6_RBM12.pdf", "Melting_Curves/meltCurve_Q9NTZ6_RBM12.pdf")</f>
        <v>Melting_Curves/meltCurve_Q9NTZ6_RBM12.pdf</v>
      </c>
    </row>
    <row r="5032" spans="1:28" x14ac:dyDescent="0.25">
      <c r="A5032" t="s">
        <v>5036</v>
      </c>
      <c r="B5032">
        <v>0.99796759195183404</v>
      </c>
      <c r="C5032">
        <v>0.952103576143707</v>
      </c>
      <c r="D5032">
        <v>1.04839144589374</v>
      </c>
      <c r="E5032">
        <v>0.95574287173694905</v>
      </c>
      <c r="F5032">
        <v>0.72040481710120396</v>
      </c>
      <c r="G5032">
        <v>0.57496872174635605</v>
      </c>
      <c r="H5032">
        <v>0.24423504592066</v>
      </c>
      <c r="I5032">
        <v>0.142389822929927</v>
      </c>
      <c r="J5032">
        <v>9.7382613189437306E-2</v>
      </c>
      <c r="K5032">
        <v>5.7303724527977801E-2</v>
      </c>
      <c r="L5032">
        <v>904.63083854024899</v>
      </c>
      <c r="M5032">
        <v>16.792375903262101</v>
      </c>
      <c r="N5032">
        <v>54.0249093500898</v>
      </c>
      <c r="O5032">
        <v>53.124916038617599</v>
      </c>
      <c r="P5032">
        <v>-7.7188461843137102E-2</v>
      </c>
      <c r="Q5032">
        <v>2.32791827225367E-2</v>
      </c>
      <c r="R5032">
        <v>0.990325003336464</v>
      </c>
      <c r="S5032" t="s">
        <v>10615</v>
      </c>
      <c r="T5032" t="s">
        <v>11164</v>
      </c>
      <c r="U5032" t="s">
        <v>11164</v>
      </c>
      <c r="V5032" t="s">
        <v>11164</v>
      </c>
      <c r="W5032" t="s">
        <v>16150</v>
      </c>
      <c r="X5032">
        <v>4</v>
      </c>
      <c r="Y5032" t="s">
        <v>21615</v>
      </c>
      <c r="Z5032" t="s">
        <v>27182</v>
      </c>
      <c r="AA5032">
        <v>0.58711459619061346</v>
      </c>
      <c r="AB5032" t="str">
        <f>HYPERLINK("Melting_Curves/meltCurve_Q9NU19_TBC1D22B.pdf", "Melting_Curves/meltCurve_Q9NU19_TBC1D22B.pdf")</f>
        <v>Melting_Curves/meltCurve_Q9NU19_TBC1D22B.pdf</v>
      </c>
    </row>
    <row r="5033" spans="1:28" x14ac:dyDescent="0.25">
      <c r="A5033" t="s">
        <v>5037</v>
      </c>
      <c r="B5033">
        <v>0.99796759195183404</v>
      </c>
      <c r="C5033">
        <v>0.70704978895037696</v>
      </c>
      <c r="D5033">
        <v>0.62615183103822003</v>
      </c>
      <c r="E5033">
        <v>0.56680425605072104</v>
      </c>
      <c r="F5033">
        <v>0.73901640426335402</v>
      </c>
      <c r="G5033">
        <v>0.424915780688777</v>
      </c>
      <c r="H5033">
        <v>0.353504198448644</v>
      </c>
      <c r="I5033">
        <v>0.24550415065109099</v>
      </c>
      <c r="J5033">
        <v>0.107039500319128</v>
      </c>
      <c r="K5033">
        <v>7.5160785649422496E-2</v>
      </c>
      <c r="L5033">
        <v>310.21688413480001</v>
      </c>
      <c r="M5033">
        <v>6.1789897299108301</v>
      </c>
      <c r="N5033">
        <v>50.205113731586401</v>
      </c>
      <c r="O5033">
        <v>45.7114539121159</v>
      </c>
      <c r="P5033">
        <v>-3.3891954603550802E-2</v>
      </c>
      <c r="Q5033">
        <v>0</v>
      </c>
      <c r="R5033">
        <v>0.84943259284567796</v>
      </c>
      <c r="S5033" t="s">
        <v>10616</v>
      </c>
      <c r="T5033" t="s">
        <v>11164</v>
      </c>
      <c r="U5033" t="s">
        <v>11164</v>
      </c>
      <c r="V5033" t="s">
        <v>11164</v>
      </c>
      <c r="W5033" t="s">
        <v>16151</v>
      </c>
      <c r="X5033">
        <v>1</v>
      </c>
      <c r="Y5033" t="s">
        <v>21616</v>
      </c>
      <c r="Z5033" t="s">
        <v>27183</v>
      </c>
      <c r="AA5033">
        <v>0.4856307571660865</v>
      </c>
      <c r="AB5033" t="str">
        <f>HYPERLINK("Melting_Curves/meltCurve_Q9NU23_LYRM2.pdf", "Melting_Curves/meltCurve_Q9NU23_LYRM2.pdf")</f>
        <v>Melting_Curves/meltCurve_Q9NU23_LYRM2.pdf</v>
      </c>
    </row>
    <row r="5034" spans="1:28" x14ac:dyDescent="0.25">
      <c r="A5034" t="s">
        <v>5038</v>
      </c>
      <c r="B5034">
        <v>0.99796759195183404</v>
      </c>
      <c r="C5034">
        <v>0.92700578793213395</v>
      </c>
      <c r="D5034">
        <v>0.91128769093484996</v>
      </c>
      <c r="E5034">
        <v>0.83163312574286297</v>
      </c>
      <c r="F5034">
        <v>0.74642565914288606</v>
      </c>
      <c r="G5034">
        <v>0.40306884168763601</v>
      </c>
      <c r="H5034">
        <v>0.27051121347680701</v>
      </c>
      <c r="I5034">
        <v>0.19553477534863301</v>
      </c>
      <c r="J5034">
        <v>0.14330441564487101</v>
      </c>
      <c r="K5034">
        <v>0.109899722913815</v>
      </c>
      <c r="L5034">
        <v>703.37245941610297</v>
      </c>
      <c r="M5034">
        <v>13.411636869186299</v>
      </c>
      <c r="N5034">
        <v>52.952942438682904</v>
      </c>
      <c r="O5034">
        <v>51.320126608365399</v>
      </c>
      <c r="P5034">
        <v>-6.1398946192004297E-2</v>
      </c>
      <c r="Q5034">
        <v>6.0365638979164103E-2</v>
      </c>
      <c r="R5034">
        <v>0.98744388797248195</v>
      </c>
      <c r="S5034" t="s">
        <v>10617</v>
      </c>
      <c r="T5034" t="s">
        <v>11164</v>
      </c>
      <c r="U5034" t="s">
        <v>11164</v>
      </c>
      <c r="V5034" t="s">
        <v>11164</v>
      </c>
      <c r="W5034" t="s">
        <v>16152</v>
      </c>
      <c r="X5034">
        <v>6</v>
      </c>
      <c r="Y5034" t="s">
        <v>21617</v>
      </c>
      <c r="Z5034" t="s">
        <v>27184</v>
      </c>
      <c r="AA5034">
        <v>0.56361353458291086</v>
      </c>
      <c r="AB5034" t="str">
        <f>HYPERLINK("Melting_Curves/meltCurve_Q9NUB1_2_ACSS1.pdf", "Melting_Curves/meltCurve_Q9NUB1_2_ACSS1.pdf")</f>
        <v>Melting_Curves/meltCurve_Q9NUB1_2_ACSS1.pdf</v>
      </c>
    </row>
    <row r="5035" spans="1:28" x14ac:dyDescent="0.25">
      <c r="A5035" t="s">
        <v>5039</v>
      </c>
      <c r="B5035">
        <v>0.99796759195183404</v>
      </c>
      <c r="C5035">
        <v>0.94522141830298501</v>
      </c>
      <c r="D5035">
        <v>1.06963313340866</v>
      </c>
      <c r="E5035">
        <v>0.97497276132469102</v>
      </c>
      <c r="F5035">
        <v>0.77312046213389896</v>
      </c>
      <c r="G5035">
        <v>0.66010650879624999</v>
      </c>
      <c r="H5035">
        <v>0.63356646024420404</v>
      </c>
      <c r="I5035">
        <v>0.55321000205003401</v>
      </c>
      <c r="J5035">
        <v>0.436393417675986</v>
      </c>
      <c r="K5035">
        <v>0.25275644481217602</v>
      </c>
      <c r="L5035">
        <v>481.23808068706199</v>
      </c>
      <c r="M5035">
        <v>7.9298151379019002</v>
      </c>
      <c r="N5035">
        <v>60.687171737531997</v>
      </c>
      <c r="O5035">
        <v>57.191824449230602</v>
      </c>
      <c r="P5035">
        <v>-3.4703751144015402E-2</v>
      </c>
      <c r="Q5035">
        <v>0</v>
      </c>
      <c r="R5035">
        <v>0.94341673252713998</v>
      </c>
      <c r="S5035" t="s">
        <v>10618</v>
      </c>
      <c r="T5035" t="s">
        <v>11164</v>
      </c>
      <c r="U5035" t="s">
        <v>11164</v>
      </c>
      <c r="V5035" t="s">
        <v>11164</v>
      </c>
      <c r="W5035" t="s">
        <v>16153</v>
      </c>
      <c r="X5035">
        <v>5</v>
      </c>
      <c r="Y5035" t="s">
        <v>21618</v>
      </c>
      <c r="Z5035" t="s">
        <v>27185</v>
      </c>
      <c r="AA5035">
        <v>0.73686615958359369</v>
      </c>
      <c r="AB5035" t="str">
        <f>HYPERLINK("Melting_Curves/meltCurve_Q9NUE0_ZDHHC18.pdf", "Melting_Curves/meltCurve_Q9NUE0_ZDHHC18.pdf")</f>
        <v>Melting_Curves/meltCurve_Q9NUE0_ZDHHC18.pdf</v>
      </c>
    </row>
    <row r="5036" spans="1:28" x14ac:dyDescent="0.25">
      <c r="A5036" t="s">
        <v>5040</v>
      </c>
      <c r="B5036">
        <v>0.99796759195183404</v>
      </c>
      <c r="C5036">
        <v>1.0138914243914701</v>
      </c>
      <c r="D5036">
        <v>0.99616255658407804</v>
      </c>
      <c r="E5036">
        <v>0.92750756244820798</v>
      </c>
      <c r="F5036">
        <v>0.85047074168224301</v>
      </c>
      <c r="G5036">
        <v>0.725550603241641</v>
      </c>
      <c r="H5036">
        <v>0.86750262249405696</v>
      </c>
      <c r="I5036">
        <v>0.99423846685816697</v>
      </c>
      <c r="J5036">
        <v>0.97845923937120205</v>
      </c>
      <c r="K5036">
        <v>0.67779709565039503</v>
      </c>
      <c r="L5036">
        <v>3473.1310968000198</v>
      </c>
      <c r="M5036">
        <v>74.450281872388004</v>
      </c>
      <c r="O5036">
        <v>46.616716988156703</v>
      </c>
      <c r="P5036">
        <v>-6.0339742720408297E-2</v>
      </c>
      <c r="Q5036">
        <v>0.84887416675382699</v>
      </c>
      <c r="R5036">
        <v>0.36594556516245802</v>
      </c>
      <c r="S5036" t="s">
        <v>10619</v>
      </c>
      <c r="T5036" t="s">
        <v>11164</v>
      </c>
      <c r="U5036" t="s">
        <v>11164</v>
      </c>
      <c r="V5036" t="s">
        <v>11164</v>
      </c>
      <c r="W5036" t="s">
        <v>16154</v>
      </c>
      <c r="X5036">
        <v>3</v>
      </c>
      <c r="Y5036" t="s">
        <v>21619</v>
      </c>
      <c r="Z5036" t="s">
        <v>27186</v>
      </c>
      <c r="AA5036">
        <v>0.89762786329649558</v>
      </c>
      <c r="AB5036" t="str">
        <f>HYPERLINK("Melting_Curves/meltCurve_Q9NUG6_PDRG1.pdf", "Melting_Curves/meltCurve_Q9NUG6_PDRG1.pdf")</f>
        <v>Melting_Curves/meltCurve_Q9NUG6_PDRG1.pdf</v>
      </c>
    </row>
    <row r="5037" spans="1:28" x14ac:dyDescent="0.25">
      <c r="A5037" t="s">
        <v>5041</v>
      </c>
      <c r="B5037">
        <v>0.99796759195183404</v>
      </c>
      <c r="C5037">
        <v>0.90233324442349905</v>
      </c>
      <c r="D5037">
        <v>0.92284973147339</v>
      </c>
      <c r="E5037">
        <v>0.87884590751926495</v>
      </c>
      <c r="F5037">
        <v>0.81240792176934096</v>
      </c>
      <c r="G5037">
        <v>0.75222962965792695</v>
      </c>
      <c r="H5037">
        <v>0.87136073490522203</v>
      </c>
      <c r="I5037">
        <v>0.81494677241234303</v>
      </c>
      <c r="J5037">
        <v>1.0393031258936301</v>
      </c>
      <c r="K5037">
        <v>0.440759083751386</v>
      </c>
      <c r="L5037">
        <v>177.06862819362499</v>
      </c>
      <c r="M5037">
        <v>1.69041404347905</v>
      </c>
      <c r="O5037">
        <v>55.791005309290099</v>
      </c>
      <c r="P5037">
        <v>-8.5742337552640394E-3</v>
      </c>
      <c r="Q5037">
        <v>0</v>
      </c>
      <c r="R5037">
        <v>0.25066391847268799</v>
      </c>
      <c r="S5037" t="s">
        <v>10620</v>
      </c>
      <c r="T5037" t="s">
        <v>11164</v>
      </c>
      <c r="U5037" t="s">
        <v>11164</v>
      </c>
      <c r="V5037" t="s">
        <v>11164</v>
      </c>
      <c r="W5037" t="s">
        <v>16155</v>
      </c>
      <c r="X5037">
        <v>4</v>
      </c>
      <c r="Y5037" t="s">
        <v>21620</v>
      </c>
      <c r="Z5037" t="s">
        <v>27187</v>
      </c>
      <c r="AA5037">
        <v>0.84487995479728728</v>
      </c>
      <c r="AB5037" t="str">
        <f>HYPERLINK("Melting_Curves/meltCurve_Q9NUJ1_ABHD10.pdf", "Melting_Curves/meltCurve_Q9NUJ1_ABHD10.pdf")</f>
        <v>Melting_Curves/meltCurve_Q9NUJ1_ABHD10.pdf</v>
      </c>
    </row>
    <row r="5038" spans="1:28" x14ac:dyDescent="0.25">
      <c r="A5038" t="s">
        <v>5042</v>
      </c>
      <c r="B5038">
        <v>0.99796759195183404</v>
      </c>
      <c r="C5038">
        <v>1.0249118855580599</v>
      </c>
      <c r="D5038">
        <v>1.0145681985227699</v>
      </c>
      <c r="E5038">
        <v>1.0011541435695099</v>
      </c>
      <c r="F5038">
        <v>0.81173320381131697</v>
      </c>
      <c r="G5038">
        <v>0.70840792742435199</v>
      </c>
      <c r="H5038">
        <v>0.75161972867527005</v>
      </c>
      <c r="I5038">
        <v>0.746597137810454</v>
      </c>
      <c r="J5038">
        <v>0.83673857910601301</v>
      </c>
      <c r="K5038">
        <v>0.57967053138457203</v>
      </c>
      <c r="L5038">
        <v>12511.320904930601</v>
      </c>
      <c r="M5038">
        <v>250</v>
      </c>
      <c r="O5038">
        <v>50.042081418049399</v>
      </c>
      <c r="P5038">
        <v>-0.34395204840267302</v>
      </c>
      <c r="Q5038">
        <v>0.72460677976756405</v>
      </c>
      <c r="R5038">
        <v>0.83495881396709604</v>
      </c>
      <c r="S5038" t="s">
        <v>10621</v>
      </c>
      <c r="T5038" t="s">
        <v>11164</v>
      </c>
      <c r="U5038" t="s">
        <v>11164</v>
      </c>
      <c r="V5038" t="s">
        <v>11164</v>
      </c>
      <c r="W5038" t="s">
        <v>16156</v>
      </c>
      <c r="X5038">
        <v>4</v>
      </c>
      <c r="Y5038" t="s">
        <v>21621</v>
      </c>
      <c r="Z5038" t="s">
        <v>27188</v>
      </c>
      <c r="AA5038">
        <v>0.84438372269042572</v>
      </c>
      <c r="AB5038" t="str">
        <f>HYPERLINK("Melting_Curves/meltCurve_Q9NUM4_TMEM106B.pdf", "Melting_Curves/meltCurve_Q9NUM4_TMEM106B.pdf")</f>
        <v>Melting_Curves/meltCurve_Q9NUM4_TMEM106B.pdf</v>
      </c>
    </row>
    <row r="5039" spans="1:28" x14ac:dyDescent="0.25">
      <c r="A5039" t="s">
        <v>5043</v>
      </c>
      <c r="B5039">
        <v>0.99796759195183404</v>
      </c>
      <c r="C5039">
        <v>1.0585304160132101</v>
      </c>
      <c r="D5039">
        <v>1.0848826063836901</v>
      </c>
      <c r="E5039">
        <v>0.99696155725755697</v>
      </c>
      <c r="F5039">
        <v>0.91298057835541602</v>
      </c>
      <c r="G5039">
        <v>0.60211109276191399</v>
      </c>
      <c r="H5039">
        <v>0.72919740391866905</v>
      </c>
      <c r="I5039">
        <v>0.54497362871025801</v>
      </c>
      <c r="J5039">
        <v>0.60419196626004501</v>
      </c>
      <c r="K5039">
        <v>0.42835066247132703</v>
      </c>
      <c r="S5039" t="s">
        <v>10622</v>
      </c>
      <c r="T5039" t="s">
        <v>11164</v>
      </c>
      <c r="U5039" t="s">
        <v>11165</v>
      </c>
      <c r="V5039" t="s">
        <v>11164</v>
      </c>
      <c r="W5039" t="s">
        <v>16157</v>
      </c>
      <c r="X5039">
        <v>4</v>
      </c>
      <c r="Y5039" t="s">
        <v>21622</v>
      </c>
      <c r="Z5039" t="s">
        <v>27189</v>
      </c>
      <c r="AB5039" t="str">
        <f>HYPERLINK("Melting_Curves/meltCurve_Q9NUN5_3_LMBRD1.pdf", "Melting_Curves/meltCurve_Q9NUN5_3_LMBRD1.pdf")</f>
        <v>Melting_Curves/meltCurve_Q9NUN5_3_LMBRD1.pdf</v>
      </c>
    </row>
    <row r="5040" spans="1:28" x14ac:dyDescent="0.25">
      <c r="A5040" t="s">
        <v>5044</v>
      </c>
      <c r="B5040">
        <v>0.99796759195183404</v>
      </c>
      <c r="C5040">
        <v>1.0378815917414199</v>
      </c>
      <c r="D5040">
        <v>1.05332065108609</v>
      </c>
      <c r="E5040">
        <v>0.95610981592899102</v>
      </c>
      <c r="F5040">
        <v>0.80368752734514104</v>
      </c>
      <c r="G5040">
        <v>0.82453897815275501</v>
      </c>
      <c r="H5040">
        <v>0.70670227329850399</v>
      </c>
      <c r="I5040">
        <v>0.43203949242120698</v>
      </c>
      <c r="J5040">
        <v>0.21959757736590799</v>
      </c>
      <c r="K5040">
        <v>0.11176841709190501</v>
      </c>
      <c r="L5040">
        <v>903.05097667523705</v>
      </c>
      <c r="M5040">
        <v>15.167668536154499</v>
      </c>
      <c r="N5040">
        <v>59.5378898660693</v>
      </c>
      <c r="O5040">
        <v>58.5317585724518</v>
      </c>
      <c r="P5040">
        <v>-6.4790212206028805E-2</v>
      </c>
      <c r="Q5040">
        <v>0</v>
      </c>
      <c r="R5040">
        <v>0.96848965807635701</v>
      </c>
      <c r="S5040" t="s">
        <v>10623</v>
      </c>
      <c r="T5040" t="s">
        <v>11164</v>
      </c>
      <c r="U5040" t="s">
        <v>11164</v>
      </c>
      <c r="V5040" t="s">
        <v>11164</v>
      </c>
      <c r="W5040" t="s">
        <v>16158</v>
      </c>
      <c r="X5040">
        <v>5</v>
      </c>
      <c r="Y5040" t="s">
        <v>21623</v>
      </c>
      <c r="Z5040" t="s">
        <v>27190</v>
      </c>
      <c r="AA5040">
        <v>0.74774328962977399</v>
      </c>
      <c r="AB5040" t="str">
        <f>HYPERLINK("Melting_Curves/meltCurve_Q9NUP1_BLOC1S4.pdf", "Melting_Curves/meltCurve_Q9NUP1_BLOC1S4.pdf")</f>
        <v>Melting_Curves/meltCurve_Q9NUP1_BLOC1S4.pdf</v>
      </c>
    </row>
    <row r="5041" spans="1:28" x14ac:dyDescent="0.25">
      <c r="A5041" t="s">
        <v>5045</v>
      </c>
      <c r="B5041">
        <v>0.99796759195183404</v>
      </c>
      <c r="C5041">
        <v>1.05698298165842</v>
      </c>
      <c r="D5041">
        <v>1.01558386950343</v>
      </c>
      <c r="E5041">
        <v>1.01106555837235</v>
      </c>
      <c r="F5041">
        <v>0.81309247597463397</v>
      </c>
      <c r="G5041">
        <v>0.61836468384519006</v>
      </c>
      <c r="H5041">
        <v>0.28595604039592798</v>
      </c>
      <c r="I5041">
        <v>0.164907830074245</v>
      </c>
      <c r="J5041">
        <v>0.12549045940082601</v>
      </c>
      <c r="K5041">
        <v>9.8602192457753396E-2</v>
      </c>
      <c r="L5041">
        <v>1129.8366152308699</v>
      </c>
      <c r="M5041">
        <v>20.806094554471201</v>
      </c>
      <c r="N5041">
        <v>54.769228372620603</v>
      </c>
      <c r="O5041">
        <v>53.808996457921801</v>
      </c>
      <c r="P5041">
        <v>-8.8826082533654996E-2</v>
      </c>
      <c r="Q5041">
        <v>8.1133105262759006E-2</v>
      </c>
      <c r="R5041">
        <v>0.99413828788610703</v>
      </c>
      <c r="S5041" t="s">
        <v>10624</v>
      </c>
      <c r="T5041" t="s">
        <v>11164</v>
      </c>
      <c r="U5041" t="s">
        <v>11164</v>
      </c>
      <c r="V5041" t="s">
        <v>11164</v>
      </c>
      <c r="W5041" t="s">
        <v>16159</v>
      </c>
      <c r="X5041">
        <v>4</v>
      </c>
      <c r="Y5041" t="s">
        <v>21624</v>
      </c>
      <c r="Z5041" t="s">
        <v>27191</v>
      </c>
      <c r="AA5041">
        <v>0.62150632856808097</v>
      </c>
      <c r="AB5041" t="str">
        <f>HYPERLINK("Melting_Curves/meltCurve_Q9NUP7_TRMT13.pdf", "Melting_Curves/meltCurve_Q9NUP7_TRMT13.pdf")</f>
        <v>Melting_Curves/meltCurve_Q9NUP7_TRMT13.pdf</v>
      </c>
    </row>
    <row r="5042" spans="1:28" x14ac:dyDescent="0.25">
      <c r="A5042" t="s">
        <v>5046</v>
      </c>
      <c r="B5042">
        <v>0.99796759195183404</v>
      </c>
      <c r="C5042">
        <v>1.03637018041363</v>
      </c>
      <c r="D5042">
        <v>0.99979713512101498</v>
      </c>
      <c r="E5042">
        <v>0.94914685413723299</v>
      </c>
      <c r="F5042">
        <v>0.81433545225653303</v>
      </c>
      <c r="G5042">
        <v>0.56117749248466597</v>
      </c>
      <c r="H5042">
        <v>0.412667333174773</v>
      </c>
      <c r="I5042">
        <v>0.26428648202059501</v>
      </c>
      <c r="J5042">
        <v>0.25528028245513101</v>
      </c>
      <c r="K5042">
        <v>0.19490223947263699</v>
      </c>
      <c r="L5042">
        <v>919.34913781719399</v>
      </c>
      <c r="M5042">
        <v>17.136403635450598</v>
      </c>
      <c r="N5042">
        <v>55.1565089567085</v>
      </c>
      <c r="O5042">
        <v>52.934292943226197</v>
      </c>
      <c r="P5042">
        <v>-6.5802254771161306E-2</v>
      </c>
      <c r="Q5042">
        <v>0.18699691611088701</v>
      </c>
      <c r="R5042">
        <v>0.99646557242431499</v>
      </c>
      <c r="S5042" t="s">
        <v>10625</v>
      </c>
      <c r="T5042" t="s">
        <v>11164</v>
      </c>
      <c r="U5042" t="s">
        <v>11164</v>
      </c>
      <c r="V5042" t="s">
        <v>11164</v>
      </c>
      <c r="W5042" t="s">
        <v>16160</v>
      </c>
      <c r="X5042">
        <v>9</v>
      </c>
      <c r="Y5042" t="s">
        <v>21625</v>
      </c>
      <c r="Z5042" t="s">
        <v>27192</v>
      </c>
      <c r="AA5042">
        <v>0.65024227425290537</v>
      </c>
      <c r="AB5042" t="str">
        <f>HYPERLINK("Melting_Curves/meltCurve_Q9NUP9_LIN7C.pdf", "Melting_Curves/meltCurve_Q9NUP9_LIN7C.pdf")</f>
        <v>Melting_Curves/meltCurve_Q9NUP9_LIN7C.pdf</v>
      </c>
    </row>
    <row r="5043" spans="1:28" x14ac:dyDescent="0.25">
      <c r="A5043" t="s">
        <v>5047</v>
      </c>
      <c r="B5043">
        <v>0.99796759195183404</v>
      </c>
      <c r="C5043">
        <v>0.93146682218702703</v>
      </c>
      <c r="D5043">
        <v>0.94721261759198205</v>
      </c>
      <c r="E5043">
        <v>0.95306365981619601</v>
      </c>
      <c r="F5043">
        <v>0.71160711732196802</v>
      </c>
      <c r="G5043">
        <v>0.63543358387430504</v>
      </c>
      <c r="H5043">
        <v>0.33167740889632902</v>
      </c>
      <c r="I5043">
        <v>0.190292592723701</v>
      </c>
      <c r="J5043">
        <v>0.171722625092884</v>
      </c>
      <c r="K5043">
        <v>0.140640620013947</v>
      </c>
      <c r="L5043">
        <v>757.82805619445696</v>
      </c>
      <c r="M5043">
        <v>13.9559083056975</v>
      </c>
      <c r="N5043">
        <v>54.8053986493466</v>
      </c>
      <c r="O5043">
        <v>53.223111848896203</v>
      </c>
      <c r="P5043">
        <v>-6.16157525853838E-2</v>
      </c>
      <c r="Q5043">
        <v>6.0199381722933903E-2</v>
      </c>
      <c r="R5043">
        <v>0.98433075803810099</v>
      </c>
      <c r="S5043" t="s">
        <v>10626</v>
      </c>
      <c r="T5043" t="s">
        <v>11164</v>
      </c>
      <c r="U5043" t="s">
        <v>11164</v>
      </c>
      <c r="V5043" t="s">
        <v>11164</v>
      </c>
      <c r="W5043" t="s">
        <v>16161</v>
      </c>
      <c r="X5043">
        <v>4</v>
      </c>
      <c r="Y5043" t="s">
        <v>21626</v>
      </c>
      <c r="Z5043" t="s">
        <v>27193</v>
      </c>
      <c r="AA5043">
        <v>0.61746253195934886</v>
      </c>
      <c r="AB5043" t="str">
        <f>HYPERLINK("Melting_Curves/meltCurve_Q9NUQ2_AGPAT5.pdf", "Melting_Curves/meltCurve_Q9NUQ2_AGPAT5.pdf")</f>
        <v>Melting_Curves/meltCurve_Q9NUQ2_AGPAT5.pdf</v>
      </c>
    </row>
    <row r="5044" spans="1:28" x14ac:dyDescent="0.25">
      <c r="A5044" t="s">
        <v>5048</v>
      </c>
      <c r="B5044">
        <v>0.99796759195183404</v>
      </c>
      <c r="C5044">
        <v>1.0244903194984201</v>
      </c>
      <c r="D5044">
        <v>0.992317653270258</v>
      </c>
      <c r="E5044">
        <v>0.97299443407750097</v>
      </c>
      <c r="F5044">
        <v>0.81488205574996198</v>
      </c>
      <c r="G5044">
        <v>0.619924718559967</v>
      </c>
      <c r="H5044">
        <v>0.28602553134386999</v>
      </c>
      <c r="I5044">
        <v>0.18705306178690401</v>
      </c>
      <c r="J5044">
        <v>0.130718299961815</v>
      </c>
      <c r="K5044">
        <v>9.9637257539452295E-2</v>
      </c>
      <c r="L5044">
        <v>1057.4173778874399</v>
      </c>
      <c r="M5044">
        <v>19.465644398736099</v>
      </c>
      <c r="N5044">
        <v>54.809326087381898</v>
      </c>
      <c r="O5044">
        <v>53.758677746667203</v>
      </c>
      <c r="P5044">
        <v>-8.3336286732187306E-2</v>
      </c>
      <c r="Q5044">
        <v>7.9427177657255696E-2</v>
      </c>
      <c r="R5044">
        <v>0.997010838928999</v>
      </c>
      <c r="S5044" t="s">
        <v>10627</v>
      </c>
      <c r="T5044" t="s">
        <v>11164</v>
      </c>
      <c r="U5044" t="s">
        <v>11164</v>
      </c>
      <c r="V5044" t="s">
        <v>11164</v>
      </c>
      <c r="W5044" t="s">
        <v>16162</v>
      </c>
      <c r="X5044">
        <v>25</v>
      </c>
      <c r="Y5044" t="s">
        <v>21627</v>
      </c>
      <c r="Z5044" t="s">
        <v>27194</v>
      </c>
      <c r="AA5044">
        <v>0.62227382445598378</v>
      </c>
      <c r="AB5044" t="str">
        <f>HYPERLINK("Melting_Curves/meltCurve_Q9NUQ3_TXLNG.pdf", "Melting_Curves/meltCurve_Q9NUQ3_TXLNG.pdf")</f>
        <v>Melting_Curves/meltCurve_Q9NUQ3_TXLNG.pdf</v>
      </c>
    </row>
    <row r="5045" spans="1:28" x14ac:dyDescent="0.25">
      <c r="A5045" t="s">
        <v>5049</v>
      </c>
      <c r="B5045">
        <v>0.99796759195183404</v>
      </c>
      <c r="C5045">
        <v>1.08086670964024</v>
      </c>
      <c r="D5045">
        <v>1.0185085432026999</v>
      </c>
      <c r="E5045">
        <v>0.98461768329282395</v>
      </c>
      <c r="F5045">
        <v>0.77659450509224703</v>
      </c>
      <c r="G5045">
        <v>0.44697061621106998</v>
      </c>
      <c r="H5045">
        <v>0.18362035925275899</v>
      </c>
      <c r="I5045">
        <v>0.13199840993856901</v>
      </c>
      <c r="J5045">
        <v>9.9737183397790904E-2</v>
      </c>
      <c r="K5045">
        <v>7.8486116649735899E-2</v>
      </c>
      <c r="L5045">
        <v>1273.70295490274</v>
      </c>
      <c r="M5045">
        <v>24.1474849921211</v>
      </c>
      <c r="N5045">
        <v>53.149783741747598</v>
      </c>
      <c r="O5045">
        <v>52.3890686409229</v>
      </c>
      <c r="P5045">
        <v>-0.10559451317499099</v>
      </c>
      <c r="Q5045">
        <v>8.3645815387094702E-2</v>
      </c>
      <c r="R5045">
        <v>0.994974042159679</v>
      </c>
      <c r="S5045" t="s">
        <v>10628</v>
      </c>
      <c r="T5045" t="s">
        <v>11164</v>
      </c>
      <c r="U5045" t="s">
        <v>11164</v>
      </c>
      <c r="V5045" t="s">
        <v>11164</v>
      </c>
      <c r="W5045" t="s">
        <v>16163</v>
      </c>
      <c r="X5045">
        <v>7</v>
      </c>
      <c r="Y5045" t="s">
        <v>21628</v>
      </c>
      <c r="Z5045" t="s">
        <v>27195</v>
      </c>
      <c r="AA5045">
        <v>0.57324338927288188</v>
      </c>
      <c r="AB5045" t="str">
        <f>HYPERLINK("Melting_Curves/meltCurve_Q9NUQ7_UFSP2.pdf", "Melting_Curves/meltCurve_Q9NUQ7_UFSP2.pdf")</f>
        <v>Melting_Curves/meltCurve_Q9NUQ7_UFSP2.pdf</v>
      </c>
    </row>
    <row r="5046" spans="1:28" x14ac:dyDescent="0.25">
      <c r="A5046" t="s">
        <v>5050</v>
      </c>
      <c r="B5046">
        <v>0.99796759195183404</v>
      </c>
      <c r="C5046">
        <v>1.14195621590366</v>
      </c>
      <c r="D5046">
        <v>1.0444451560374399</v>
      </c>
      <c r="E5046">
        <v>0.89605453158068604</v>
      </c>
      <c r="F5046">
        <v>0.58605418887467498</v>
      </c>
      <c r="G5046">
        <v>0.48214696641989402</v>
      </c>
      <c r="H5046">
        <v>0.54413076956488604</v>
      </c>
      <c r="I5046">
        <v>0.51110059339837899</v>
      </c>
      <c r="J5046">
        <v>0.70293077776522395</v>
      </c>
      <c r="K5046">
        <v>0.70000346565933902</v>
      </c>
      <c r="L5046">
        <v>11700.6678838401</v>
      </c>
      <c r="M5046">
        <v>250</v>
      </c>
      <c r="O5046">
        <v>46.7996763236359</v>
      </c>
      <c r="P5046">
        <v>-0.55058100956199596</v>
      </c>
      <c r="Q5046">
        <v>0.58772779055228896</v>
      </c>
      <c r="R5046">
        <v>0.87246366982197898</v>
      </c>
      <c r="S5046" t="s">
        <v>10629</v>
      </c>
      <c r="T5046" t="s">
        <v>11164</v>
      </c>
      <c r="U5046" t="s">
        <v>11164</v>
      </c>
      <c r="V5046" t="s">
        <v>11164</v>
      </c>
      <c r="W5046" t="s">
        <v>16164</v>
      </c>
      <c r="X5046">
        <v>9</v>
      </c>
      <c r="Y5046" t="s">
        <v>21629</v>
      </c>
      <c r="Z5046" t="s">
        <v>27196</v>
      </c>
      <c r="AA5046">
        <v>0.72247395549636706</v>
      </c>
      <c r="AB5046" t="str">
        <f>HYPERLINK("Melting_Curves/meltCurve_Q9NUQ8_ABCF3.pdf", "Melting_Curves/meltCurve_Q9NUQ8_ABCF3.pdf")</f>
        <v>Melting_Curves/meltCurve_Q9NUQ8_ABCF3.pdf</v>
      </c>
    </row>
    <row r="5047" spans="1:28" x14ac:dyDescent="0.25">
      <c r="A5047" t="s">
        <v>5051</v>
      </c>
      <c r="B5047">
        <v>0.99796759195183404</v>
      </c>
      <c r="C5047">
        <v>0.97153745061308405</v>
      </c>
      <c r="D5047">
        <v>0.91825773451953696</v>
      </c>
      <c r="E5047">
        <v>0.88547636918317096</v>
      </c>
      <c r="F5047">
        <v>0.80823076021473395</v>
      </c>
      <c r="G5047">
        <v>0.50363156515403196</v>
      </c>
      <c r="H5047">
        <v>0.36022384269715502</v>
      </c>
      <c r="I5047">
        <v>0.23275091514638099</v>
      </c>
      <c r="J5047">
        <v>0.16816128950692</v>
      </c>
      <c r="K5047">
        <v>0.12265602833639699</v>
      </c>
      <c r="L5047">
        <v>714.88644956641099</v>
      </c>
      <c r="M5047">
        <v>13.223936036562799</v>
      </c>
      <c r="N5047">
        <v>54.5671487376041</v>
      </c>
      <c r="O5047">
        <v>52.8686405937584</v>
      </c>
      <c r="P5047">
        <v>-5.8926042491580899E-2</v>
      </c>
      <c r="Q5047">
        <v>5.7822167201556397E-2</v>
      </c>
      <c r="R5047">
        <v>0.992687599681636</v>
      </c>
      <c r="S5047" t="s">
        <v>10630</v>
      </c>
      <c r="T5047" t="s">
        <v>11164</v>
      </c>
      <c r="U5047" t="s">
        <v>11164</v>
      </c>
      <c r="V5047" t="s">
        <v>11164</v>
      </c>
      <c r="W5047" t="s">
        <v>16165</v>
      </c>
      <c r="X5047">
        <v>16</v>
      </c>
      <c r="Y5047" t="s">
        <v>21630</v>
      </c>
      <c r="Z5047" t="s">
        <v>27197</v>
      </c>
      <c r="AA5047">
        <v>0.60985808677975972</v>
      </c>
      <c r="AB5047" t="str">
        <f>HYPERLINK("Melting_Curves/meltCurve_Q9NUQ9_FAM49B.pdf", "Melting_Curves/meltCurve_Q9NUQ9_FAM49B.pdf")</f>
        <v>Melting_Curves/meltCurve_Q9NUQ9_FAM49B.pdf</v>
      </c>
    </row>
    <row r="5048" spans="1:28" x14ac:dyDescent="0.25">
      <c r="A5048" t="s">
        <v>5052</v>
      </c>
      <c r="B5048">
        <v>0.99796759195183404</v>
      </c>
      <c r="C5048">
        <v>1.0272406061633399</v>
      </c>
      <c r="D5048">
        <v>1.10844507837516</v>
      </c>
      <c r="E5048">
        <v>1.0496783932065601</v>
      </c>
      <c r="F5048">
        <v>0.64713584110254496</v>
      </c>
      <c r="G5048">
        <v>0.456161544981385</v>
      </c>
      <c r="H5048">
        <v>0.64026282967709602</v>
      </c>
      <c r="I5048">
        <v>0.25499245731495501</v>
      </c>
      <c r="J5048">
        <v>0.333801715683684</v>
      </c>
      <c r="K5048">
        <v>0.17141249360397501</v>
      </c>
      <c r="L5048">
        <v>774.974079305391</v>
      </c>
      <c r="M5048">
        <v>14.6071165750667</v>
      </c>
      <c r="N5048">
        <v>55.272282270029599</v>
      </c>
      <c r="O5048">
        <v>52.089943146725901</v>
      </c>
      <c r="P5048">
        <v>-5.45654787247766E-2</v>
      </c>
      <c r="Q5048">
        <v>0.22175082291891501</v>
      </c>
      <c r="R5048">
        <v>0.88628077793597804</v>
      </c>
      <c r="S5048" t="s">
        <v>10631</v>
      </c>
      <c r="T5048" t="s">
        <v>11164</v>
      </c>
      <c r="U5048" t="s">
        <v>11164</v>
      </c>
      <c r="V5048" t="s">
        <v>11164</v>
      </c>
      <c r="W5048" t="s">
        <v>16166</v>
      </c>
      <c r="X5048">
        <v>1</v>
      </c>
      <c r="Y5048" t="s">
        <v>21631</v>
      </c>
      <c r="Z5048" t="s">
        <v>27198</v>
      </c>
      <c r="AA5048">
        <v>0.65240376783447607</v>
      </c>
      <c r="AB5048" t="str">
        <f>HYPERLINK("Melting_Curves/meltCurve_Q9NUS5_AP5S1.pdf", "Melting_Curves/meltCurve_Q9NUS5_AP5S1.pdf")</f>
        <v>Melting_Curves/meltCurve_Q9NUS5_AP5S1.pdf</v>
      </c>
    </row>
    <row r="5049" spans="1:28" x14ac:dyDescent="0.25">
      <c r="A5049" t="s">
        <v>5053</v>
      </c>
      <c r="B5049">
        <v>0.99796759195183404</v>
      </c>
      <c r="C5049">
        <v>0.97968362408929899</v>
      </c>
      <c r="D5049">
        <v>1.01484918609582</v>
      </c>
      <c r="E5049">
        <v>0.96389135018546002</v>
      </c>
      <c r="F5049">
        <v>0.78388837394552902</v>
      </c>
      <c r="G5049">
        <v>0.34226869439341701</v>
      </c>
      <c r="H5049">
        <v>0.173948238126239</v>
      </c>
      <c r="I5049">
        <v>0.140654023008355</v>
      </c>
      <c r="J5049">
        <v>0.106184022436733</v>
      </c>
      <c r="K5049">
        <v>7.5245614500011895E-2</v>
      </c>
      <c r="L5049">
        <v>1530.17531611303</v>
      </c>
      <c r="M5049">
        <v>29.3868373017255</v>
      </c>
      <c r="N5049">
        <v>52.486536546531802</v>
      </c>
      <c r="O5049">
        <v>51.830756580833103</v>
      </c>
      <c r="P5049">
        <v>-0.127005357756827</v>
      </c>
      <c r="Q5049">
        <v>0.103988340357332</v>
      </c>
      <c r="R5049">
        <v>0.99829403980071996</v>
      </c>
      <c r="S5049" t="s">
        <v>10632</v>
      </c>
      <c r="T5049" t="s">
        <v>11164</v>
      </c>
      <c r="U5049" t="s">
        <v>11164</v>
      </c>
      <c r="V5049" t="s">
        <v>11164</v>
      </c>
      <c r="W5049" t="s">
        <v>16167</v>
      </c>
      <c r="X5049">
        <v>22</v>
      </c>
      <c r="Y5049" t="s">
        <v>21632</v>
      </c>
      <c r="Z5049" t="s">
        <v>27199</v>
      </c>
      <c r="AA5049">
        <v>0.55997258807827655</v>
      </c>
      <c r="AB5049" t="str">
        <f>HYPERLINK("Melting_Curves/meltCurve_Q9NUU7_DDX19A.pdf", "Melting_Curves/meltCurve_Q9NUU7_DDX19A.pdf")</f>
        <v>Melting_Curves/meltCurve_Q9NUU7_DDX19A.pdf</v>
      </c>
    </row>
    <row r="5050" spans="1:28" x14ac:dyDescent="0.25">
      <c r="A5050" t="s">
        <v>5054</v>
      </c>
      <c r="B5050">
        <v>0.99796759195183404</v>
      </c>
      <c r="C5050">
        <v>0.80141541658005899</v>
      </c>
      <c r="D5050">
        <v>0.89500986602280996</v>
      </c>
      <c r="E5050">
        <v>0.68998855081710198</v>
      </c>
      <c r="F5050">
        <v>0.601510405489594</v>
      </c>
      <c r="G5050">
        <v>0.23175055679805601</v>
      </c>
      <c r="H5050">
        <v>0.24777958577085199</v>
      </c>
      <c r="I5050">
        <v>0.24832930067393799</v>
      </c>
      <c r="J5050">
        <v>0.115047256463957</v>
      </c>
      <c r="K5050">
        <v>7.6428111047687097E-2</v>
      </c>
      <c r="L5050">
        <v>481.06188657812402</v>
      </c>
      <c r="M5050">
        <v>9.5417308239463896</v>
      </c>
      <c r="N5050">
        <v>50.530589170073597</v>
      </c>
      <c r="O5050">
        <v>48.3512382684019</v>
      </c>
      <c r="P5050">
        <v>-4.8838722521151803E-2</v>
      </c>
      <c r="Q5050">
        <v>1.06449617893262E-2</v>
      </c>
      <c r="R5050">
        <v>0.95294382830149604</v>
      </c>
      <c r="S5050" t="s">
        <v>10633</v>
      </c>
      <c r="T5050" t="s">
        <v>11164</v>
      </c>
      <c r="U5050" t="s">
        <v>11164</v>
      </c>
      <c r="V5050" t="s">
        <v>11164</v>
      </c>
      <c r="W5050" t="s">
        <v>16168</v>
      </c>
      <c r="X5050">
        <v>4</v>
      </c>
      <c r="Y5050" t="s">
        <v>21633</v>
      </c>
      <c r="Z5050" t="s">
        <v>27200</v>
      </c>
      <c r="AA5050">
        <v>0.48657934138542108</v>
      </c>
      <c r="AB5050" t="str">
        <f>HYPERLINK("Melting_Curves/meltCurve_Q9NUW8_TDP1.pdf", "Melting_Curves/meltCurve_Q9NUW8_TDP1.pdf")</f>
        <v>Melting_Curves/meltCurve_Q9NUW8_TDP1.pdf</v>
      </c>
    </row>
    <row r="5051" spans="1:28" x14ac:dyDescent="0.25">
      <c r="A5051" t="s">
        <v>5055</v>
      </c>
      <c r="B5051">
        <v>0.99796759195183404</v>
      </c>
      <c r="C5051">
        <v>0.89214586897488302</v>
      </c>
      <c r="D5051">
        <v>0.83210791830339403</v>
      </c>
      <c r="E5051">
        <v>0.795478102438816</v>
      </c>
      <c r="F5051">
        <v>0.69183754875167502</v>
      </c>
      <c r="G5051">
        <v>0.39761566350687799</v>
      </c>
      <c r="H5051">
        <v>0.27477991156612402</v>
      </c>
      <c r="I5051">
        <v>0.19790330773441001</v>
      </c>
      <c r="J5051">
        <v>0.12877454855322101</v>
      </c>
      <c r="K5051">
        <v>0.128544784742224</v>
      </c>
      <c r="L5051">
        <v>513.99527148012805</v>
      </c>
      <c r="M5051">
        <v>9.8023282135275096</v>
      </c>
      <c r="N5051">
        <v>52.436039706762898</v>
      </c>
      <c r="O5051">
        <v>50.393442725606498</v>
      </c>
      <c r="P5051">
        <v>-4.86545052546608E-2</v>
      </c>
      <c r="Q5051">
        <v>0</v>
      </c>
      <c r="R5051">
        <v>0.98198206076543004</v>
      </c>
      <c r="S5051" t="s">
        <v>10634</v>
      </c>
      <c r="T5051" t="s">
        <v>11164</v>
      </c>
      <c r="U5051" t="s">
        <v>11164</v>
      </c>
      <c r="V5051" t="s">
        <v>11164</v>
      </c>
      <c r="W5051" t="s">
        <v>16169</v>
      </c>
      <c r="X5051">
        <v>5</v>
      </c>
      <c r="Y5051" t="s">
        <v>21634</v>
      </c>
      <c r="Z5051" t="s">
        <v>27201</v>
      </c>
      <c r="AA5051">
        <v>0.53955852047007202</v>
      </c>
      <c r="AB5051" t="str">
        <f>HYPERLINK("Melting_Curves/meltCurve_Q9NUY8_2_TBC1D23.pdf", "Melting_Curves/meltCurve_Q9NUY8_2_TBC1D23.pdf")</f>
        <v>Melting_Curves/meltCurve_Q9NUY8_2_TBC1D23.pdf</v>
      </c>
    </row>
    <row r="5052" spans="1:28" x14ac:dyDescent="0.25">
      <c r="A5052" t="s">
        <v>5056</v>
      </c>
      <c r="B5052">
        <v>0.99796759195183404</v>
      </c>
      <c r="C5052">
        <v>1.05889648069404</v>
      </c>
      <c r="D5052">
        <v>1.0445056920231801</v>
      </c>
      <c r="E5052">
        <v>0.98994488532984504</v>
      </c>
      <c r="F5052">
        <v>0.89898349591753601</v>
      </c>
      <c r="G5052">
        <v>1.82076253723193</v>
      </c>
      <c r="H5052">
        <v>1.1725293401933401</v>
      </c>
      <c r="I5052">
        <v>0.62495497057767402</v>
      </c>
      <c r="J5052">
        <v>0.347491617259226</v>
      </c>
      <c r="K5052">
        <v>0.307637866803325</v>
      </c>
      <c r="L5052">
        <v>12222.7645818531</v>
      </c>
      <c r="M5052">
        <v>200.60508717364999</v>
      </c>
      <c r="N5052">
        <v>61.254517143177303</v>
      </c>
      <c r="O5052">
        <v>60.923411478870797</v>
      </c>
      <c r="P5052">
        <v>-0.55355406115402495</v>
      </c>
      <c r="Q5052">
        <v>0.32754623192243598</v>
      </c>
      <c r="R5052">
        <v>0.57914929877694699</v>
      </c>
      <c r="S5052" t="s">
        <v>10635</v>
      </c>
      <c r="T5052" t="s">
        <v>11164</v>
      </c>
      <c r="U5052" t="s">
        <v>11164</v>
      </c>
      <c r="V5052" t="s">
        <v>11164</v>
      </c>
      <c r="W5052" t="s">
        <v>16170</v>
      </c>
      <c r="X5052">
        <v>4</v>
      </c>
      <c r="Y5052" t="s">
        <v>21635</v>
      </c>
      <c r="Z5052" t="s">
        <v>27202</v>
      </c>
      <c r="AA5052">
        <v>0.86404032563444855</v>
      </c>
      <c r="AB5052" t="str">
        <f>HYPERLINK("Melting_Curves/meltCurve_Q9NV06_DCAF13.pdf", "Melting_Curves/meltCurve_Q9NV06_DCAF13.pdf")</f>
        <v>Melting_Curves/meltCurve_Q9NV06_DCAF13.pdf</v>
      </c>
    </row>
    <row r="5053" spans="1:28" x14ac:dyDescent="0.25">
      <c r="A5053" t="s">
        <v>5057</v>
      </c>
      <c r="B5053">
        <v>0.99796759195183404</v>
      </c>
      <c r="C5053">
        <v>1.0604439551929401</v>
      </c>
      <c r="D5053">
        <v>1.137677161684</v>
      </c>
      <c r="E5053">
        <v>0.96241895502290598</v>
      </c>
      <c r="F5053">
        <v>0.775793810755385</v>
      </c>
      <c r="G5053">
        <v>0.56577152243179296</v>
      </c>
      <c r="H5053">
        <v>0.67089135840415104</v>
      </c>
      <c r="I5053">
        <v>0.53202987736565599</v>
      </c>
      <c r="J5053">
        <v>0.74808509417466396</v>
      </c>
      <c r="K5053">
        <v>0.72221928991617501</v>
      </c>
      <c r="L5053">
        <v>12521.858889794201</v>
      </c>
      <c r="M5053">
        <v>250</v>
      </c>
      <c r="O5053">
        <v>50.084242219779398</v>
      </c>
      <c r="P5053">
        <v>-0.43951031355079301</v>
      </c>
      <c r="Q5053">
        <v>0.64779942792318201</v>
      </c>
      <c r="R5053">
        <v>0.84818553061559898</v>
      </c>
      <c r="S5053" t="s">
        <v>10636</v>
      </c>
      <c r="T5053" t="s">
        <v>11164</v>
      </c>
      <c r="U5053" t="s">
        <v>11164</v>
      </c>
      <c r="V5053" t="s">
        <v>11164</v>
      </c>
      <c r="W5053" t="s">
        <v>16171</v>
      </c>
      <c r="X5053">
        <v>1</v>
      </c>
      <c r="Y5053" t="s">
        <v>21636</v>
      </c>
      <c r="Z5053" t="s">
        <v>27203</v>
      </c>
      <c r="AA5053">
        <v>0.80147713032581691</v>
      </c>
      <c r="AB5053" t="str">
        <f>HYPERLINK("Melting_Curves/meltCurve_Q9NV29_TMEM100.pdf", "Melting_Curves/meltCurve_Q9NV29_TMEM100.pdf")</f>
        <v>Melting_Curves/meltCurve_Q9NV29_TMEM100.pdf</v>
      </c>
    </row>
    <row r="5054" spans="1:28" x14ac:dyDescent="0.25">
      <c r="A5054" t="s">
        <v>5058</v>
      </c>
      <c r="B5054">
        <v>0.99796759195183404</v>
      </c>
      <c r="C5054">
        <v>0.75078276967651403</v>
      </c>
      <c r="D5054">
        <v>0.84141681338352503</v>
      </c>
      <c r="E5054">
        <v>0.80921393397937602</v>
      </c>
      <c r="F5054">
        <v>0.82675356255927201</v>
      </c>
      <c r="G5054">
        <v>0.62938057420541604</v>
      </c>
      <c r="H5054">
        <v>0.39663159360765399</v>
      </c>
      <c r="I5054">
        <v>0.29217277557687998</v>
      </c>
      <c r="J5054">
        <v>0.23767456971780901</v>
      </c>
      <c r="K5054">
        <v>0.25204656618858501</v>
      </c>
      <c r="L5054">
        <v>415.41683771917599</v>
      </c>
      <c r="M5054">
        <v>7.4453835077096198</v>
      </c>
      <c r="N5054">
        <v>55.795223944905601</v>
      </c>
      <c r="O5054">
        <v>52.194868761538302</v>
      </c>
      <c r="P5054">
        <v>-3.5714156048514099E-2</v>
      </c>
      <c r="Q5054">
        <v>0</v>
      </c>
      <c r="R5054">
        <v>0.89953987873113705</v>
      </c>
      <c r="S5054" t="s">
        <v>10637</v>
      </c>
      <c r="T5054" t="s">
        <v>11164</v>
      </c>
      <c r="U5054" t="s">
        <v>11164</v>
      </c>
      <c r="V5054" t="s">
        <v>11164</v>
      </c>
      <c r="W5054" t="s">
        <v>16172</v>
      </c>
      <c r="X5054">
        <v>2</v>
      </c>
      <c r="Y5054" t="s">
        <v>21637</v>
      </c>
      <c r="Z5054" t="s">
        <v>27204</v>
      </c>
      <c r="AA5054">
        <v>0.62353021500334582</v>
      </c>
      <c r="AB5054" t="str">
        <f>HYPERLINK("Melting_Curves/meltCurve_Q9NV56_MRGBP.pdf", "Melting_Curves/meltCurve_Q9NV56_MRGBP.pdf")</f>
        <v>Melting_Curves/meltCurve_Q9NV56_MRGBP.pdf</v>
      </c>
    </row>
    <row r="5055" spans="1:28" x14ac:dyDescent="0.25">
      <c r="A5055" t="s">
        <v>5059</v>
      </c>
      <c r="B5055">
        <v>0.99796759195183404</v>
      </c>
      <c r="C5055">
        <v>1.1065000884587</v>
      </c>
      <c r="D5055">
        <v>1.01929941258405</v>
      </c>
      <c r="E5055">
        <v>1.05265372110494</v>
      </c>
      <c r="F5055">
        <v>0.93733087160966</v>
      </c>
      <c r="G5055">
        <v>0.492572978976204</v>
      </c>
      <c r="H5055">
        <v>0.224099073078046</v>
      </c>
      <c r="I5055">
        <v>0.19787195601133201</v>
      </c>
      <c r="J5055">
        <v>0.142787821120543</v>
      </c>
      <c r="K5055">
        <v>0.160674499553941</v>
      </c>
      <c r="L5055">
        <v>2140.2586272487101</v>
      </c>
      <c r="M5055">
        <v>40.202794728429502</v>
      </c>
      <c r="N5055">
        <v>53.785592853438601</v>
      </c>
      <c r="O5055">
        <v>53.105336481280297</v>
      </c>
      <c r="P5055">
        <v>-0.157408284775997</v>
      </c>
      <c r="Q5055">
        <v>0.16829608703012799</v>
      </c>
      <c r="R5055">
        <v>0.98986322386790604</v>
      </c>
      <c r="S5055" t="s">
        <v>10638</v>
      </c>
      <c r="T5055" t="s">
        <v>11164</v>
      </c>
      <c r="U5055" t="s">
        <v>11164</v>
      </c>
      <c r="V5055" t="s">
        <v>11164</v>
      </c>
      <c r="W5055" t="s">
        <v>16173</v>
      </c>
      <c r="X5055">
        <v>1</v>
      </c>
      <c r="Y5055" t="s">
        <v>21638</v>
      </c>
      <c r="Z5055" t="s">
        <v>27205</v>
      </c>
      <c r="AA5055">
        <v>0.62144411887213724</v>
      </c>
      <c r="AB5055" t="str">
        <f>HYPERLINK("Melting_Curves/meltCurve_Q9NV70_2_EXOC1.pdf", "Melting_Curves/meltCurve_Q9NV70_2_EXOC1.pdf")</f>
        <v>Melting_Curves/meltCurve_Q9NV70_2_EXOC1.pdf</v>
      </c>
    </row>
    <row r="5056" spans="1:28" x14ac:dyDescent="0.25">
      <c r="A5056" t="s">
        <v>5060</v>
      </c>
      <c r="B5056">
        <v>0.99796759195183404</v>
      </c>
      <c r="C5056">
        <v>0.92483559591924402</v>
      </c>
      <c r="D5056">
        <v>0.90239605027696101</v>
      </c>
      <c r="E5056">
        <v>0.96842512791046098</v>
      </c>
      <c r="F5056">
        <v>0.80015741385024897</v>
      </c>
      <c r="G5056">
        <v>0.70291071654152304</v>
      </c>
      <c r="H5056">
        <v>0.61563205915407004</v>
      </c>
      <c r="I5056">
        <v>0.44476052975431202</v>
      </c>
      <c r="J5056">
        <v>0.38636873154658502</v>
      </c>
      <c r="K5056">
        <v>0.34025641285049402</v>
      </c>
      <c r="L5056">
        <v>456.25693632590497</v>
      </c>
      <c r="M5056">
        <v>7.6432173123437801</v>
      </c>
      <c r="N5056">
        <v>60.220740506894998</v>
      </c>
      <c r="O5056">
        <v>56.019662683962899</v>
      </c>
      <c r="P5056">
        <v>-3.30515929994682E-2</v>
      </c>
      <c r="Q5056">
        <v>3.2313013303168797E-2</v>
      </c>
      <c r="R5056">
        <v>0.97771032235625999</v>
      </c>
      <c r="S5056" t="s">
        <v>10639</v>
      </c>
      <c r="T5056" t="s">
        <v>11164</v>
      </c>
      <c r="U5056" t="s">
        <v>11164</v>
      </c>
      <c r="V5056" t="s">
        <v>11164</v>
      </c>
      <c r="W5056" t="s">
        <v>16174</v>
      </c>
      <c r="X5056">
        <v>1</v>
      </c>
      <c r="Y5056" t="s">
        <v>21639</v>
      </c>
      <c r="Z5056" t="s">
        <v>27206</v>
      </c>
      <c r="AA5056">
        <v>0.7223331850359519</v>
      </c>
      <c r="AB5056" t="str">
        <f>HYPERLINK("Melting_Curves/meltCurve_Q9NV96_3_TMEM30A.pdf", "Melting_Curves/meltCurve_Q9NV96_3_TMEM30A.pdf")</f>
        <v>Melting_Curves/meltCurve_Q9NV96_3_TMEM30A.pdf</v>
      </c>
    </row>
    <row r="5057" spans="1:28" x14ac:dyDescent="0.25">
      <c r="A5057" t="s">
        <v>5061</v>
      </c>
      <c r="B5057">
        <v>0.99796759195183404</v>
      </c>
      <c r="C5057">
        <v>0.89893647926147502</v>
      </c>
      <c r="D5057">
        <v>0.93176666442037903</v>
      </c>
      <c r="E5057">
        <v>0.86131382035148196</v>
      </c>
      <c r="F5057">
        <v>0.88672518276247003</v>
      </c>
      <c r="G5057">
        <v>0.73999785353050895</v>
      </c>
      <c r="H5057">
        <v>0.62755495912537596</v>
      </c>
      <c r="I5057">
        <v>0.58779378974290097</v>
      </c>
      <c r="J5057">
        <v>0.58887670686215099</v>
      </c>
      <c r="K5057">
        <v>0.56756892789810498</v>
      </c>
      <c r="L5057">
        <v>389.40139752964899</v>
      </c>
      <c r="M5057">
        <v>7.0175874746481597</v>
      </c>
      <c r="O5057">
        <v>51.510802846135697</v>
      </c>
      <c r="P5057">
        <v>-2.00691583350259E-2</v>
      </c>
      <c r="Q5057">
        <v>0.41183041506807</v>
      </c>
      <c r="R5057">
        <v>0.94296418177448804</v>
      </c>
      <c r="S5057" t="s">
        <v>10640</v>
      </c>
      <c r="T5057" t="s">
        <v>11164</v>
      </c>
      <c r="U5057" t="s">
        <v>11164</v>
      </c>
      <c r="V5057" t="s">
        <v>11164</v>
      </c>
      <c r="W5057" t="s">
        <v>16175</v>
      </c>
      <c r="X5057">
        <v>1</v>
      </c>
      <c r="Y5057" t="s">
        <v>21640</v>
      </c>
      <c r="Z5057" t="s">
        <v>27207</v>
      </c>
      <c r="AA5057">
        <v>0.77276891564485028</v>
      </c>
      <c r="AB5057" t="str">
        <f>HYPERLINK("Melting_Curves/meltCurve_Q9NVA4_TMEM184C.pdf", "Melting_Curves/meltCurve_Q9NVA4_TMEM184C.pdf")</f>
        <v>Melting_Curves/meltCurve_Q9NVA4_TMEM184C.pdf</v>
      </c>
    </row>
    <row r="5058" spans="1:28" x14ac:dyDescent="0.25">
      <c r="A5058" t="s">
        <v>5062</v>
      </c>
      <c r="B5058">
        <v>0.99796759195183404</v>
      </c>
      <c r="C5058">
        <v>0.96426346449803901</v>
      </c>
      <c r="D5058">
        <v>0.94520623249756497</v>
      </c>
      <c r="E5058">
        <v>0.68317769934315897</v>
      </c>
      <c r="F5058">
        <v>0.57894340286573798</v>
      </c>
      <c r="G5058">
        <v>0.42504897498884098</v>
      </c>
      <c r="H5058">
        <v>0.196904647049091</v>
      </c>
      <c r="I5058">
        <v>0.18779774630931501</v>
      </c>
      <c r="J5058">
        <v>0.228233274656997</v>
      </c>
      <c r="K5058">
        <v>0.126322935814873</v>
      </c>
      <c r="L5058">
        <v>621.68585825949401</v>
      </c>
      <c r="M5058">
        <v>12.407912634459199</v>
      </c>
      <c r="N5058">
        <v>51.158473948093203</v>
      </c>
      <c r="O5058">
        <v>48.8559125976385</v>
      </c>
      <c r="P5058">
        <v>-5.6340210714551898E-2</v>
      </c>
      <c r="Q5058">
        <v>0.112833970723503</v>
      </c>
      <c r="R5058">
        <v>0.98313800586984301</v>
      </c>
      <c r="S5058" t="s">
        <v>10641</v>
      </c>
      <c r="T5058" t="s">
        <v>11164</v>
      </c>
      <c r="U5058" t="s">
        <v>11164</v>
      </c>
      <c r="V5058" t="s">
        <v>11164</v>
      </c>
      <c r="W5058" t="s">
        <v>16176</v>
      </c>
      <c r="X5058">
        <v>1</v>
      </c>
      <c r="Y5058" t="s">
        <v>21641</v>
      </c>
      <c r="Z5058" t="s">
        <v>27208</v>
      </c>
      <c r="AA5058">
        <v>0.52406302305749308</v>
      </c>
      <c r="AB5058" t="str">
        <f>HYPERLINK("Melting_Curves/meltCurve_Q9NVC6_MED17.pdf", "Melting_Curves/meltCurve_Q9NVC6_MED17.pdf")</f>
        <v>Melting_Curves/meltCurve_Q9NVC6_MED17.pdf</v>
      </c>
    </row>
    <row r="5059" spans="1:28" x14ac:dyDescent="0.25">
      <c r="A5059" t="s">
        <v>5063</v>
      </c>
      <c r="B5059">
        <v>0.99796759195183404</v>
      </c>
      <c r="C5059">
        <v>1.0371825770458101</v>
      </c>
      <c r="D5059">
        <v>1.01379637864188</v>
      </c>
      <c r="E5059">
        <v>0.95224154785899895</v>
      </c>
      <c r="F5059">
        <v>0.852819109076976</v>
      </c>
      <c r="G5059">
        <v>0.67223614369106299</v>
      </c>
      <c r="H5059">
        <v>0.32029759123506202</v>
      </c>
      <c r="I5059">
        <v>0.23785828850964999</v>
      </c>
      <c r="J5059">
        <v>0.17605338061253301</v>
      </c>
      <c r="K5059">
        <v>0.117324707006007</v>
      </c>
      <c r="L5059">
        <v>1086.5368027514301</v>
      </c>
      <c r="M5059">
        <v>19.846311160338701</v>
      </c>
      <c r="N5059">
        <v>55.457010767624702</v>
      </c>
      <c r="O5059">
        <v>54.200789400058099</v>
      </c>
      <c r="P5059">
        <v>-8.1280445460589795E-2</v>
      </c>
      <c r="Q5059">
        <v>0.112113823433679</v>
      </c>
      <c r="R5059">
        <v>0.99441742521575505</v>
      </c>
      <c r="S5059" t="s">
        <v>10642</v>
      </c>
      <c r="T5059" t="s">
        <v>11164</v>
      </c>
      <c r="U5059" t="s">
        <v>11164</v>
      </c>
      <c r="V5059" t="s">
        <v>11164</v>
      </c>
      <c r="W5059" t="s">
        <v>16177</v>
      </c>
      <c r="X5059">
        <v>13</v>
      </c>
      <c r="Y5059" t="s">
        <v>21642</v>
      </c>
      <c r="Z5059" t="s">
        <v>27209</v>
      </c>
      <c r="AA5059">
        <v>0.64772862344833582</v>
      </c>
      <c r="AB5059" t="str">
        <f>HYPERLINK("Melting_Curves/meltCurve_Q9NVE7_PANK4.pdf", "Melting_Curves/meltCurve_Q9NVE7_PANK4.pdf")</f>
        <v>Melting_Curves/meltCurve_Q9NVE7_PANK4.pdf</v>
      </c>
    </row>
    <row r="5060" spans="1:28" x14ac:dyDescent="0.25">
      <c r="A5060" t="s">
        <v>5064</v>
      </c>
      <c r="B5060">
        <v>0.99796759195183404</v>
      </c>
      <c r="C5060">
        <v>0.98002512896743699</v>
      </c>
      <c r="D5060">
        <v>0.94756936647930801</v>
      </c>
      <c r="E5060">
        <v>0.87925662679647598</v>
      </c>
      <c r="F5060">
        <v>0.766644716144951</v>
      </c>
      <c r="G5060">
        <v>0.60781303613264004</v>
      </c>
      <c r="H5060">
        <v>0.47587813802797801</v>
      </c>
      <c r="I5060">
        <v>0.28182162926999599</v>
      </c>
      <c r="J5060">
        <v>0.14369005593484099</v>
      </c>
      <c r="K5060">
        <v>0.101480513484122</v>
      </c>
      <c r="L5060">
        <v>635.28453032267805</v>
      </c>
      <c r="M5060">
        <v>11.3824565880218</v>
      </c>
      <c r="N5060">
        <v>55.812602992191998</v>
      </c>
      <c r="O5060">
        <v>54.173170503638097</v>
      </c>
      <c r="P5060">
        <v>-5.2543625865752099E-2</v>
      </c>
      <c r="Q5060">
        <v>0</v>
      </c>
      <c r="R5060">
        <v>0.99366336747658401</v>
      </c>
      <c r="S5060" t="s">
        <v>10643</v>
      </c>
      <c r="T5060" t="s">
        <v>11164</v>
      </c>
      <c r="U5060" t="s">
        <v>11164</v>
      </c>
      <c r="V5060" t="s">
        <v>11164</v>
      </c>
      <c r="W5060" t="s">
        <v>16178</v>
      </c>
      <c r="X5060">
        <v>14</v>
      </c>
      <c r="Y5060" t="s">
        <v>21643</v>
      </c>
      <c r="Z5060" t="s">
        <v>27210</v>
      </c>
      <c r="AA5060">
        <v>0.63700025587263309</v>
      </c>
      <c r="AB5060" t="str">
        <f>HYPERLINK("Melting_Curves/meltCurve_Q9NVG8_TBC1D13.pdf", "Melting_Curves/meltCurve_Q9NVG8_TBC1D13.pdf")</f>
        <v>Melting_Curves/meltCurve_Q9NVG8_TBC1D13.pdf</v>
      </c>
    </row>
    <row r="5061" spans="1:28" x14ac:dyDescent="0.25">
      <c r="A5061" t="s">
        <v>5065</v>
      </c>
      <c r="B5061">
        <v>0.99796759195183404</v>
      </c>
      <c r="C5061">
        <v>1.04855861547851</v>
      </c>
      <c r="D5061">
        <v>1.04350567564728</v>
      </c>
      <c r="E5061">
        <v>0.92337773285376101</v>
      </c>
      <c r="F5061">
        <v>0.62608575667912603</v>
      </c>
      <c r="G5061">
        <v>0.28349606041076297</v>
      </c>
      <c r="H5061">
        <v>0.20829128757984899</v>
      </c>
      <c r="I5061">
        <v>0.16920867180853499</v>
      </c>
      <c r="J5061">
        <v>0.139469967097544</v>
      </c>
      <c r="K5061">
        <v>0.10489165264214199</v>
      </c>
      <c r="L5061">
        <v>1342.39735239674</v>
      </c>
      <c r="M5061">
        <v>26.472617306738002</v>
      </c>
      <c r="N5061">
        <v>51.345296107874297</v>
      </c>
      <c r="O5061">
        <v>50.422190085472401</v>
      </c>
      <c r="P5061">
        <v>-0.112898859741868</v>
      </c>
      <c r="Q5061">
        <v>0.139858851380252</v>
      </c>
      <c r="R5061">
        <v>0.99492399949643795</v>
      </c>
      <c r="S5061" t="s">
        <v>10644</v>
      </c>
      <c r="T5061" t="s">
        <v>11164</v>
      </c>
      <c r="U5061" t="s">
        <v>11164</v>
      </c>
      <c r="V5061" t="s">
        <v>11164</v>
      </c>
      <c r="W5061" t="s">
        <v>16179</v>
      </c>
      <c r="X5061">
        <v>16</v>
      </c>
      <c r="Y5061" t="s">
        <v>21644</v>
      </c>
      <c r="Z5061" t="s">
        <v>27211</v>
      </c>
      <c r="AA5061">
        <v>0.53970809192933522</v>
      </c>
      <c r="AB5061" t="str">
        <f>HYPERLINK("Melting_Curves/meltCurve_Q9NVH0_EXD2.pdf", "Melting_Curves/meltCurve_Q9NVH0_EXD2.pdf")</f>
        <v>Melting_Curves/meltCurve_Q9NVH0_EXD2.pdf</v>
      </c>
    </row>
    <row r="5062" spans="1:28" x14ac:dyDescent="0.25">
      <c r="A5062" t="s">
        <v>5066</v>
      </c>
      <c r="B5062">
        <v>0.99796759195183404</v>
      </c>
      <c r="C5062">
        <v>1.04563622542808</v>
      </c>
      <c r="D5062">
        <v>0.99535362627003499</v>
      </c>
      <c r="E5062">
        <v>0.84312669244649796</v>
      </c>
      <c r="F5062">
        <v>0.72313861901309995</v>
      </c>
      <c r="G5062">
        <v>0.56096869351668499</v>
      </c>
      <c r="H5062">
        <v>0.34746817462262303</v>
      </c>
      <c r="I5062">
        <v>0.27408243031514301</v>
      </c>
      <c r="J5062">
        <v>0.229574300617953</v>
      </c>
      <c r="K5062">
        <v>0.173503090937421</v>
      </c>
      <c r="L5062">
        <v>691.42951150832596</v>
      </c>
      <c r="M5062">
        <v>12.990490583644201</v>
      </c>
      <c r="N5062">
        <v>54.469623788781298</v>
      </c>
      <c r="O5062">
        <v>52.0118855780443</v>
      </c>
      <c r="P5062">
        <v>-5.4435958640723002E-2</v>
      </c>
      <c r="Q5062">
        <v>0.12834255086277599</v>
      </c>
      <c r="R5062">
        <v>0.99298964076123397</v>
      </c>
      <c r="S5062" t="s">
        <v>10645</v>
      </c>
      <c r="T5062" t="s">
        <v>11164</v>
      </c>
      <c r="U5062" t="s">
        <v>11164</v>
      </c>
      <c r="V5062" t="s">
        <v>11164</v>
      </c>
      <c r="W5062" t="s">
        <v>16180</v>
      </c>
      <c r="X5062">
        <v>6</v>
      </c>
      <c r="Y5062" t="s">
        <v>21645</v>
      </c>
      <c r="Z5062" t="s">
        <v>27212</v>
      </c>
      <c r="AA5062">
        <v>0.61683482045783855</v>
      </c>
      <c r="AB5062" t="str">
        <f>HYPERLINK("Melting_Curves/meltCurve_Q9NVH1_3_DNAJC11.pdf", "Melting_Curves/meltCurve_Q9NVH1_3_DNAJC11.pdf")</f>
        <v>Melting_Curves/meltCurve_Q9NVH1_3_DNAJC11.pdf</v>
      </c>
    </row>
    <row r="5063" spans="1:28" x14ac:dyDescent="0.25">
      <c r="A5063" t="s">
        <v>5067</v>
      </c>
      <c r="B5063">
        <v>0.99796759195183404</v>
      </c>
      <c r="C5063">
        <v>1.07597709479589</v>
      </c>
      <c r="D5063">
        <v>1.00436687592361</v>
      </c>
      <c r="E5063">
        <v>0.88694427930208097</v>
      </c>
      <c r="F5063">
        <v>0.66217324532921196</v>
      </c>
      <c r="G5063">
        <v>0.44220014130805302</v>
      </c>
      <c r="H5063">
        <v>0.24902489985908499</v>
      </c>
      <c r="I5063">
        <v>0.189165788666604</v>
      </c>
      <c r="J5063">
        <v>0.11678691232616401</v>
      </c>
      <c r="K5063">
        <v>9.4085099370621997E-2</v>
      </c>
      <c r="L5063">
        <v>851.62872801591402</v>
      </c>
      <c r="M5063">
        <v>16.323353311918801</v>
      </c>
      <c r="N5063">
        <v>52.765778177135303</v>
      </c>
      <c r="O5063">
        <v>51.408244052575299</v>
      </c>
      <c r="P5063">
        <v>-7.2730253964497601E-2</v>
      </c>
      <c r="Q5063">
        <v>8.3849131751681599E-2</v>
      </c>
      <c r="R5063">
        <v>0.99350143200237195</v>
      </c>
      <c r="S5063" t="s">
        <v>10646</v>
      </c>
      <c r="T5063" t="s">
        <v>11164</v>
      </c>
      <c r="U5063" t="s">
        <v>11164</v>
      </c>
      <c r="V5063" t="s">
        <v>11164</v>
      </c>
      <c r="W5063" t="s">
        <v>16181</v>
      </c>
      <c r="X5063">
        <v>3</v>
      </c>
      <c r="Y5063" t="s">
        <v>21646</v>
      </c>
      <c r="Z5063" t="s">
        <v>27213</v>
      </c>
      <c r="AA5063">
        <v>0.56287856851109386</v>
      </c>
      <c r="AB5063" t="str">
        <f>HYPERLINK("Melting_Curves/meltCurve_Q9NVH2_4_INTS7.pdf", "Melting_Curves/meltCurve_Q9NVH2_4_INTS7.pdf")</f>
        <v>Melting_Curves/meltCurve_Q9NVH2_4_INTS7.pdf</v>
      </c>
    </row>
    <row r="5064" spans="1:28" x14ac:dyDescent="0.25">
      <c r="A5064" t="s">
        <v>5068</v>
      </c>
      <c r="B5064">
        <v>0.99796759195183404</v>
      </c>
      <c r="C5064">
        <v>1.1105717313863099</v>
      </c>
      <c r="D5064">
        <v>1.0805232667247699</v>
      </c>
      <c r="E5064">
        <v>1.04477456816144</v>
      </c>
      <c r="F5064">
        <v>0.86138573413470498</v>
      </c>
      <c r="G5064">
        <v>0.31676354301876702</v>
      </c>
      <c r="H5064">
        <v>0.232322250464258</v>
      </c>
      <c r="I5064">
        <v>0.16097718744752501</v>
      </c>
      <c r="J5064">
        <v>0.16059676866648501</v>
      </c>
      <c r="K5064">
        <v>0.12919295813527501</v>
      </c>
      <c r="L5064">
        <v>2291.9000357517998</v>
      </c>
      <c r="M5064">
        <v>44.045872759058298</v>
      </c>
      <c r="N5064">
        <v>52.513123049765497</v>
      </c>
      <c r="O5064">
        <v>51.927470081482298</v>
      </c>
      <c r="P5064">
        <v>-0.17699032723146699</v>
      </c>
      <c r="Q5064">
        <v>0.16535680836816799</v>
      </c>
      <c r="R5064">
        <v>0.98533297970563105</v>
      </c>
      <c r="S5064" t="s">
        <v>10647</v>
      </c>
      <c r="T5064" t="s">
        <v>11164</v>
      </c>
      <c r="U5064" t="s">
        <v>11164</v>
      </c>
      <c r="V5064" t="s">
        <v>11164</v>
      </c>
      <c r="W5064" t="s">
        <v>16182</v>
      </c>
      <c r="X5064">
        <v>9</v>
      </c>
      <c r="Y5064" t="s">
        <v>21647</v>
      </c>
      <c r="Z5064" t="s">
        <v>27214</v>
      </c>
      <c r="AA5064">
        <v>0.58610473406095365</v>
      </c>
      <c r="AB5064" t="str">
        <f>HYPERLINK("Melting_Curves/meltCurve_Q9NVI1_FANCI.pdf", "Melting_Curves/meltCurve_Q9NVI1_FANCI.pdf")</f>
        <v>Melting_Curves/meltCurve_Q9NVI1_FANCI.pdf</v>
      </c>
    </row>
    <row r="5065" spans="1:28" x14ac:dyDescent="0.25">
      <c r="A5065" t="s">
        <v>5069</v>
      </c>
      <c r="B5065">
        <v>0.99796759195183404</v>
      </c>
      <c r="C5065">
        <v>0.95643246066869902</v>
      </c>
      <c r="D5065">
        <v>0.98074642149819502</v>
      </c>
      <c r="E5065">
        <v>0.83009534278318697</v>
      </c>
      <c r="F5065">
        <v>0.82418462880924304</v>
      </c>
      <c r="G5065">
        <v>0.436563195975675</v>
      </c>
      <c r="H5065">
        <v>0.37341090844333003</v>
      </c>
      <c r="I5065">
        <v>0.297040015502745</v>
      </c>
      <c r="J5065">
        <v>0.25076427378475402</v>
      </c>
      <c r="K5065">
        <v>0.21588000663910101</v>
      </c>
      <c r="L5065">
        <v>843.15713418242206</v>
      </c>
      <c r="M5065">
        <v>16.147179405102499</v>
      </c>
      <c r="N5065">
        <v>54.011909565620201</v>
      </c>
      <c r="O5065">
        <v>51.435805072892201</v>
      </c>
      <c r="P5065">
        <v>-6.2191349405507301E-2</v>
      </c>
      <c r="Q5065">
        <v>0.207633722386519</v>
      </c>
      <c r="R5065">
        <v>0.97712631860008003</v>
      </c>
      <c r="S5065" t="s">
        <v>10648</v>
      </c>
      <c r="T5065" t="s">
        <v>11164</v>
      </c>
      <c r="U5065" t="s">
        <v>11164</v>
      </c>
      <c r="V5065" t="s">
        <v>11164</v>
      </c>
      <c r="W5065" t="s">
        <v>16183</v>
      </c>
      <c r="X5065">
        <v>5</v>
      </c>
      <c r="Y5065" t="s">
        <v>21648</v>
      </c>
      <c r="Z5065" t="s">
        <v>27215</v>
      </c>
      <c r="AA5065">
        <v>0.62327127087346357</v>
      </c>
      <c r="AB5065" t="str">
        <f>HYPERLINK("Melting_Curves/meltCurve_Q9NVI7_2_ATAD3A.pdf", "Melting_Curves/meltCurve_Q9NVI7_2_ATAD3A.pdf")</f>
        <v>Melting_Curves/meltCurve_Q9NVI7_2_ATAD3A.pdf</v>
      </c>
    </row>
    <row r="5066" spans="1:28" x14ac:dyDescent="0.25">
      <c r="A5066" t="s">
        <v>5070</v>
      </c>
      <c r="B5066">
        <v>0.99796759195183404</v>
      </c>
      <c r="C5066">
        <v>0.97559816806919897</v>
      </c>
      <c r="D5066">
        <v>1.0430726418753899</v>
      </c>
      <c r="E5066">
        <v>0.96690739136096104</v>
      </c>
      <c r="F5066">
        <v>0.81270539938995501</v>
      </c>
      <c r="G5066">
        <v>0.46858250292660603</v>
      </c>
      <c r="H5066">
        <v>0.49502473979845502</v>
      </c>
      <c r="I5066">
        <v>0.43466407681943298</v>
      </c>
      <c r="J5066">
        <v>0.48522060289401497</v>
      </c>
      <c r="K5066">
        <v>0.49086911648588299</v>
      </c>
      <c r="L5066">
        <v>12579.6114479679</v>
      </c>
      <c r="M5066">
        <v>250</v>
      </c>
      <c r="N5066">
        <v>50.9276689433241</v>
      </c>
      <c r="O5066">
        <v>50.315225731265201</v>
      </c>
      <c r="P5066">
        <v>-0.65229733461137096</v>
      </c>
      <c r="Q5066">
        <v>0.47487219831319499</v>
      </c>
      <c r="R5066">
        <v>0.99035159893965496</v>
      </c>
      <c r="S5066" t="s">
        <v>10649</v>
      </c>
      <c r="T5066" t="s">
        <v>11164</v>
      </c>
      <c r="U5066" t="s">
        <v>11164</v>
      </c>
      <c r="V5066" t="s">
        <v>11164</v>
      </c>
      <c r="W5066" t="s">
        <v>16184</v>
      </c>
      <c r="X5066">
        <v>3</v>
      </c>
      <c r="Y5066" t="s">
        <v>21649</v>
      </c>
      <c r="Z5066" t="s">
        <v>27216</v>
      </c>
      <c r="AA5066">
        <v>0.70804811003164747</v>
      </c>
      <c r="AB5066" t="str">
        <f>HYPERLINK("Melting_Curves/meltCurve_Q9NVJ2_ARL8B.pdf", "Melting_Curves/meltCurve_Q9NVJ2_ARL8B.pdf")</f>
        <v>Melting_Curves/meltCurve_Q9NVJ2_ARL8B.pdf</v>
      </c>
    </row>
    <row r="5067" spans="1:28" x14ac:dyDescent="0.25">
      <c r="A5067" t="s">
        <v>5071</v>
      </c>
      <c r="B5067">
        <v>0.99796759195183404</v>
      </c>
      <c r="C5067">
        <v>1.0572420848590001</v>
      </c>
      <c r="D5067">
        <v>1.0308175551813701</v>
      </c>
      <c r="E5067">
        <v>0.99145193648948704</v>
      </c>
      <c r="F5067">
        <v>0.86041207898859495</v>
      </c>
      <c r="G5067">
        <v>0.448291616290805</v>
      </c>
      <c r="H5067">
        <v>0.37232928748476002</v>
      </c>
      <c r="I5067">
        <v>0.33306162471077799</v>
      </c>
      <c r="J5067">
        <v>0.213383945454028</v>
      </c>
      <c r="K5067">
        <v>0.151481139705479</v>
      </c>
      <c r="L5067">
        <v>1363.0975148814</v>
      </c>
      <c r="M5067">
        <v>25.907768741393699</v>
      </c>
      <c r="N5067">
        <v>53.896822759512702</v>
      </c>
      <c r="O5067">
        <v>52.303013506583397</v>
      </c>
      <c r="P5067">
        <v>-9.5330291983146007E-2</v>
      </c>
      <c r="Q5067">
        <v>0.230191940622441</v>
      </c>
      <c r="R5067">
        <v>0.97826772605388601</v>
      </c>
      <c r="S5067" t="s">
        <v>10650</v>
      </c>
      <c r="T5067" t="s">
        <v>11164</v>
      </c>
      <c r="U5067" t="s">
        <v>11164</v>
      </c>
      <c r="V5067" t="s">
        <v>11164</v>
      </c>
      <c r="W5067" t="s">
        <v>16185</v>
      </c>
      <c r="X5067">
        <v>11</v>
      </c>
      <c r="Y5067" t="s">
        <v>21650</v>
      </c>
      <c r="Z5067" t="s">
        <v>27217</v>
      </c>
      <c r="AA5067">
        <v>0.63723709366211267</v>
      </c>
      <c r="AB5067" t="str">
        <f>HYPERLINK("Melting_Curves/meltCurve_Q9NVM4_PRMT7.pdf", "Melting_Curves/meltCurve_Q9NVM4_PRMT7.pdf")</f>
        <v>Melting_Curves/meltCurve_Q9NVM4_PRMT7.pdf</v>
      </c>
    </row>
    <row r="5068" spans="1:28" x14ac:dyDescent="0.25">
      <c r="A5068" t="s">
        <v>5072</v>
      </c>
      <c r="B5068">
        <v>0.99796759195183404</v>
      </c>
      <c r="C5068">
        <v>1.10352871629205</v>
      </c>
      <c r="D5068">
        <v>1.05453758044601</v>
      </c>
      <c r="E5068">
        <v>1.0097990387073501</v>
      </c>
      <c r="F5068">
        <v>0.77146337250624397</v>
      </c>
      <c r="G5068">
        <v>0.56037980360249096</v>
      </c>
      <c r="H5068">
        <v>0.29571887665664198</v>
      </c>
      <c r="I5068">
        <v>0.19302500302429701</v>
      </c>
      <c r="J5068">
        <v>0.11464978855487699</v>
      </c>
      <c r="K5068">
        <v>0.138542650902229</v>
      </c>
      <c r="L5068">
        <v>1066.8802333004601</v>
      </c>
      <c r="M5068">
        <v>19.8909339845891</v>
      </c>
      <c r="N5068">
        <v>54.300052962273902</v>
      </c>
      <c r="O5068">
        <v>53.103207813734798</v>
      </c>
      <c r="P5068">
        <v>-8.3542596427031296E-2</v>
      </c>
      <c r="Q5068">
        <v>0.10788858801802</v>
      </c>
      <c r="R5068">
        <v>0.986208073021413</v>
      </c>
      <c r="S5068" t="s">
        <v>10651</v>
      </c>
      <c r="T5068" t="s">
        <v>11164</v>
      </c>
      <c r="U5068" t="s">
        <v>11164</v>
      </c>
      <c r="V5068" t="s">
        <v>11164</v>
      </c>
      <c r="W5068" t="s">
        <v>16186</v>
      </c>
      <c r="X5068">
        <v>6</v>
      </c>
      <c r="Y5068" t="s">
        <v>21651</v>
      </c>
      <c r="Z5068" t="s">
        <v>27218</v>
      </c>
      <c r="AA5068">
        <v>0.61366395292026776</v>
      </c>
      <c r="AB5068" t="str">
        <f>HYPERLINK("Melting_Curves/meltCurve_Q9NVM6_DNAJC17.pdf", "Melting_Curves/meltCurve_Q9NVM6_DNAJC17.pdf")</f>
        <v>Melting_Curves/meltCurve_Q9NVM6_DNAJC17.pdf</v>
      </c>
    </row>
    <row r="5069" spans="1:28" x14ac:dyDescent="0.25">
      <c r="A5069" t="s">
        <v>5073</v>
      </c>
      <c r="B5069">
        <v>0.99796759195183404</v>
      </c>
      <c r="C5069">
        <v>1.02921736119612</v>
      </c>
      <c r="D5069">
        <v>1.0459976555784101</v>
      </c>
      <c r="E5069">
        <v>0.92204065806814095</v>
      </c>
      <c r="F5069">
        <v>0.77769081548812402</v>
      </c>
      <c r="G5069">
        <v>0.52658473631623703</v>
      </c>
      <c r="H5069">
        <v>0.42995969754374203</v>
      </c>
      <c r="I5069">
        <v>0.48086929015584801</v>
      </c>
      <c r="J5069">
        <v>0.31357552956337698</v>
      </c>
      <c r="K5069">
        <v>0.235776313371761</v>
      </c>
      <c r="L5069">
        <v>852.44652707443799</v>
      </c>
      <c r="M5069">
        <v>16.253266857352099</v>
      </c>
      <c r="N5069">
        <v>55.436460951646801</v>
      </c>
      <c r="O5069">
        <v>51.673025673755397</v>
      </c>
      <c r="P5069">
        <v>-5.5690962548359299E-2</v>
      </c>
      <c r="Q5069">
        <v>0.29183262107170899</v>
      </c>
      <c r="R5069">
        <v>0.96717710603458296</v>
      </c>
      <c r="S5069" t="s">
        <v>10652</v>
      </c>
      <c r="T5069" t="s">
        <v>11164</v>
      </c>
      <c r="U5069" t="s">
        <v>11164</v>
      </c>
      <c r="V5069" t="s">
        <v>11164</v>
      </c>
      <c r="W5069" t="s">
        <v>16187</v>
      </c>
      <c r="X5069">
        <v>4</v>
      </c>
      <c r="Y5069" t="s">
        <v>21652</v>
      </c>
      <c r="Z5069" t="s">
        <v>27219</v>
      </c>
      <c r="AA5069">
        <v>0.6685061366446573</v>
      </c>
      <c r="AB5069" t="str">
        <f>HYPERLINK("Melting_Curves/meltCurve_Q9NVM9_ASUN.pdf", "Melting_Curves/meltCurve_Q9NVM9_ASUN.pdf")</f>
        <v>Melting_Curves/meltCurve_Q9NVM9_ASUN.pdf</v>
      </c>
    </row>
    <row r="5070" spans="1:28" x14ac:dyDescent="0.25">
      <c r="A5070" t="s">
        <v>5074</v>
      </c>
      <c r="B5070">
        <v>0.99796759195183404</v>
      </c>
      <c r="C5070">
        <v>1.1572722729848299</v>
      </c>
      <c r="D5070">
        <v>1.1258461015533101</v>
      </c>
      <c r="E5070">
        <v>1.08270131901401</v>
      </c>
      <c r="F5070">
        <v>0.975015585214414</v>
      </c>
      <c r="G5070">
        <v>0.49004461935201199</v>
      </c>
      <c r="H5070">
        <v>0.31927694805630102</v>
      </c>
      <c r="I5070">
        <v>0.30150775403868602</v>
      </c>
      <c r="J5070">
        <v>0.27691730697547101</v>
      </c>
      <c r="K5070">
        <v>0.19235921259820701</v>
      </c>
      <c r="L5070">
        <v>2835.1146136324101</v>
      </c>
      <c r="M5070">
        <v>53.494978144213697</v>
      </c>
      <c r="N5070">
        <v>53.771252251016698</v>
      </c>
      <c r="O5070">
        <v>52.923867850720697</v>
      </c>
      <c r="P5070">
        <v>-0.18487907554536101</v>
      </c>
      <c r="Q5070">
        <v>0.268379259953478</v>
      </c>
      <c r="R5070">
        <v>0.96225407948451802</v>
      </c>
      <c r="S5070" t="s">
        <v>10653</v>
      </c>
      <c r="T5070" t="s">
        <v>11164</v>
      </c>
      <c r="U5070" t="s">
        <v>11164</v>
      </c>
      <c r="V5070" t="s">
        <v>11164</v>
      </c>
      <c r="W5070" t="s">
        <v>16188</v>
      </c>
      <c r="X5070">
        <v>2</v>
      </c>
      <c r="Y5070" t="s">
        <v>21653</v>
      </c>
      <c r="Z5070" t="s">
        <v>27220</v>
      </c>
      <c r="AA5070">
        <v>0.66001517154951406</v>
      </c>
      <c r="AB5070" t="str">
        <f>HYPERLINK("Melting_Curves/meltCurve_Q9NVP2_ASF1B.pdf", "Melting_Curves/meltCurve_Q9NVP2_ASF1B.pdf")</f>
        <v>Melting_Curves/meltCurve_Q9NVP2_ASF1B.pdf</v>
      </c>
    </row>
    <row r="5071" spans="1:28" x14ac:dyDescent="0.25">
      <c r="A5071" t="s">
        <v>5075</v>
      </c>
      <c r="B5071">
        <v>0.99796759195183404</v>
      </c>
      <c r="C5071">
        <v>0.97707761367566603</v>
      </c>
      <c r="D5071">
        <v>1.0241036474109</v>
      </c>
      <c r="E5071">
        <v>0.95049823335980499</v>
      </c>
      <c r="F5071">
        <v>0.66527550131873003</v>
      </c>
      <c r="G5071">
        <v>0.24558871456732401</v>
      </c>
      <c r="H5071">
        <v>0.17163417317976301</v>
      </c>
      <c r="I5071">
        <v>0.16842602067783599</v>
      </c>
      <c r="J5071">
        <v>0.109016216441969</v>
      </c>
      <c r="K5071">
        <v>7.8884392858447505E-2</v>
      </c>
      <c r="L5071">
        <v>1605.9104536310001</v>
      </c>
      <c r="M5071">
        <v>31.528222808187898</v>
      </c>
      <c r="N5071">
        <v>51.389171831660903</v>
      </c>
      <c r="O5071">
        <v>50.732022336067899</v>
      </c>
      <c r="P5071">
        <v>-0.13649868054280401</v>
      </c>
      <c r="Q5071">
        <v>0.12144489840817101</v>
      </c>
      <c r="R5071">
        <v>0.99622287494700901</v>
      </c>
      <c r="S5071" t="s">
        <v>10654</v>
      </c>
      <c r="T5071" t="s">
        <v>11164</v>
      </c>
      <c r="U5071" t="s">
        <v>11164</v>
      </c>
      <c r="V5071" t="s">
        <v>11164</v>
      </c>
      <c r="W5071" t="s">
        <v>16189</v>
      </c>
      <c r="X5071">
        <v>8</v>
      </c>
      <c r="Y5071" t="s">
        <v>21654</v>
      </c>
      <c r="Z5071" t="s">
        <v>27221</v>
      </c>
      <c r="AA5071">
        <v>0.53451388313346304</v>
      </c>
      <c r="AB5071" t="str">
        <f>HYPERLINK("Melting_Curves/meltCurve_Q9NVQ4_FAIM.pdf", "Melting_Curves/meltCurve_Q9NVQ4_FAIM.pdf")</f>
        <v>Melting_Curves/meltCurve_Q9NVQ4_FAIM.pdf</v>
      </c>
    </row>
    <row r="5072" spans="1:28" x14ac:dyDescent="0.25">
      <c r="A5072" t="s">
        <v>5076</v>
      </c>
      <c r="B5072">
        <v>0.99796759195183404</v>
      </c>
      <c r="C5072">
        <v>0.95685985253521899</v>
      </c>
      <c r="D5072">
        <v>0.88236131566731901</v>
      </c>
      <c r="E5072">
        <v>0.81753800615525396</v>
      </c>
      <c r="F5072">
        <v>0.80798864463104603</v>
      </c>
      <c r="G5072">
        <v>0.51464867146510196</v>
      </c>
      <c r="H5072">
        <v>0.27025873594548899</v>
      </c>
      <c r="I5072">
        <v>0.146597958357327</v>
      </c>
      <c r="J5072">
        <v>0.16394721108069099</v>
      </c>
      <c r="K5072">
        <v>0.106763979933635</v>
      </c>
      <c r="L5072">
        <v>700.18159776319999</v>
      </c>
      <c r="M5072">
        <v>13.047643434038999</v>
      </c>
      <c r="N5072">
        <v>53.856419978690099</v>
      </c>
      <c r="O5072">
        <v>52.449822068513903</v>
      </c>
      <c r="P5072">
        <v>-6.0781397032651098E-2</v>
      </c>
      <c r="Q5072">
        <v>2.2837090431868601E-2</v>
      </c>
      <c r="R5072">
        <v>0.978687394685683</v>
      </c>
      <c r="S5072" t="s">
        <v>10655</v>
      </c>
      <c r="T5072" t="s">
        <v>11164</v>
      </c>
      <c r="U5072" t="s">
        <v>11164</v>
      </c>
      <c r="V5072" t="s">
        <v>11164</v>
      </c>
      <c r="W5072" t="s">
        <v>16190</v>
      </c>
      <c r="X5072">
        <v>4</v>
      </c>
      <c r="Y5072" t="s">
        <v>21655</v>
      </c>
      <c r="Z5072" t="s">
        <v>27222</v>
      </c>
      <c r="AA5072">
        <v>0.58358975376311351</v>
      </c>
      <c r="AB5072" t="str">
        <f>HYPERLINK("Melting_Curves/meltCurve_Q9NVR0_KLHL11.pdf", "Melting_Curves/meltCurve_Q9NVR0_KLHL11.pdf")</f>
        <v>Melting_Curves/meltCurve_Q9NVR0_KLHL11.pdf</v>
      </c>
    </row>
    <row r="5073" spans="1:28" x14ac:dyDescent="0.25">
      <c r="A5073" t="s">
        <v>5077</v>
      </c>
      <c r="B5073">
        <v>0.99796759195183404</v>
      </c>
      <c r="C5073">
        <v>1.0325114396712101</v>
      </c>
      <c r="D5073">
        <v>1.04134662552513</v>
      </c>
      <c r="E5073">
        <v>1.01729535791568</v>
      </c>
      <c r="F5073">
        <v>0.87186076186241102</v>
      </c>
      <c r="G5073">
        <v>0.59219321477416298</v>
      </c>
      <c r="H5073">
        <v>0.572824431954427</v>
      </c>
      <c r="I5073">
        <v>0.47496091243861399</v>
      </c>
      <c r="J5073">
        <v>0.28631881820065003</v>
      </c>
      <c r="K5073">
        <v>0.33190393774926402</v>
      </c>
      <c r="L5073">
        <v>864.784845266405</v>
      </c>
      <c r="M5073">
        <v>15.8659132866074</v>
      </c>
      <c r="N5073">
        <v>57.786988113298797</v>
      </c>
      <c r="O5073">
        <v>53.662005658402798</v>
      </c>
      <c r="P5073">
        <v>-5.19751525000159E-2</v>
      </c>
      <c r="Q5073">
        <v>0.29689171490863597</v>
      </c>
      <c r="R5073">
        <v>0.96430079545328895</v>
      </c>
      <c r="S5073" t="s">
        <v>10656</v>
      </c>
      <c r="T5073" t="s">
        <v>11164</v>
      </c>
      <c r="U5073" t="s">
        <v>11164</v>
      </c>
      <c r="V5073" t="s">
        <v>11164</v>
      </c>
      <c r="W5073" t="s">
        <v>16191</v>
      </c>
      <c r="X5073">
        <v>2</v>
      </c>
      <c r="Y5073" t="s">
        <v>21656</v>
      </c>
      <c r="Z5073" t="s">
        <v>27223</v>
      </c>
      <c r="AA5073">
        <v>0.717486668690267</v>
      </c>
      <c r="AB5073" t="str">
        <f>HYPERLINK("Melting_Curves/meltCurve_Q9NVR5_DNAAF2.pdf", "Melting_Curves/meltCurve_Q9NVR5_DNAAF2.pdf")</f>
        <v>Melting_Curves/meltCurve_Q9NVR5_DNAAF2.pdf</v>
      </c>
    </row>
    <row r="5074" spans="1:28" x14ac:dyDescent="0.25">
      <c r="A5074" t="s">
        <v>5078</v>
      </c>
      <c r="B5074">
        <v>0.99796759195183404</v>
      </c>
      <c r="C5074">
        <v>0.97843641899947198</v>
      </c>
      <c r="D5074">
        <v>0.992609216096344</v>
      </c>
      <c r="E5074">
        <v>0.94758063104471602</v>
      </c>
      <c r="F5074">
        <v>0.82492845562033101</v>
      </c>
      <c r="G5074">
        <v>0.48737281833847501</v>
      </c>
      <c r="H5074">
        <v>0.27834019110608399</v>
      </c>
      <c r="I5074">
        <v>0.20756390051221299</v>
      </c>
      <c r="J5074">
        <v>0.178616281179484</v>
      </c>
      <c r="K5074">
        <v>0.158879532120629</v>
      </c>
      <c r="L5074">
        <v>1235.5361515990501</v>
      </c>
      <c r="M5074">
        <v>23.3763209500569</v>
      </c>
      <c r="N5074">
        <v>53.7596522627654</v>
      </c>
      <c r="O5074">
        <v>52.471941125180201</v>
      </c>
      <c r="P5074">
        <v>-9.3252693309158197E-2</v>
      </c>
      <c r="Q5074">
        <v>0.16273157911085401</v>
      </c>
      <c r="R5074">
        <v>0.99902913810558602</v>
      </c>
      <c r="S5074" t="s">
        <v>10657</v>
      </c>
      <c r="T5074" t="s">
        <v>11164</v>
      </c>
      <c r="U5074" t="s">
        <v>11164</v>
      </c>
      <c r="V5074" t="s">
        <v>11164</v>
      </c>
      <c r="W5074" t="s">
        <v>16192</v>
      </c>
      <c r="X5074">
        <v>3</v>
      </c>
      <c r="Y5074" t="s">
        <v>21657</v>
      </c>
      <c r="Z5074" t="s">
        <v>27224</v>
      </c>
      <c r="AA5074">
        <v>0.61350409685147433</v>
      </c>
      <c r="AB5074" t="str">
        <f>HYPERLINK("Melting_Curves/meltCurve_Q9NVT9_ARMC1.pdf", "Melting_Curves/meltCurve_Q9NVT9_ARMC1.pdf")</f>
        <v>Melting_Curves/meltCurve_Q9NVT9_ARMC1.pdf</v>
      </c>
    </row>
    <row r="5075" spans="1:28" x14ac:dyDescent="0.25">
      <c r="A5075" t="s">
        <v>5079</v>
      </c>
      <c r="B5075">
        <v>0.99796759195183404</v>
      </c>
      <c r="C5075">
        <v>1.0438959247167701</v>
      </c>
      <c r="D5075">
        <v>1.2114385580968401</v>
      </c>
      <c r="E5075">
        <v>1.16695533799409</v>
      </c>
      <c r="F5075">
        <v>0.98201778633494297</v>
      </c>
      <c r="G5075">
        <v>0.72961774131309198</v>
      </c>
      <c r="H5075">
        <v>0.83694659676454097</v>
      </c>
      <c r="I5075">
        <v>0.73428411365556401</v>
      </c>
      <c r="J5075">
        <v>0.84283582829711801</v>
      </c>
      <c r="K5075">
        <v>0.60375033132105105</v>
      </c>
      <c r="L5075">
        <v>12678.493432020299</v>
      </c>
      <c r="M5075">
        <v>250</v>
      </c>
      <c r="O5075">
        <v>50.710732310601799</v>
      </c>
      <c r="P5075">
        <v>-0.30875259409536998</v>
      </c>
      <c r="Q5075">
        <v>0.74948689734616902</v>
      </c>
      <c r="R5075">
        <v>0.68201843136157903</v>
      </c>
      <c r="S5075" t="s">
        <v>10658</v>
      </c>
      <c r="T5075" t="s">
        <v>11164</v>
      </c>
      <c r="U5075" t="s">
        <v>11164</v>
      </c>
      <c r="V5075" t="s">
        <v>11164</v>
      </c>
      <c r="W5075" t="s">
        <v>16193</v>
      </c>
      <c r="X5075">
        <v>1</v>
      </c>
      <c r="Y5075" t="s">
        <v>21658</v>
      </c>
      <c r="Z5075" t="s">
        <v>27225</v>
      </c>
      <c r="AA5075">
        <v>0.86402686384992855</v>
      </c>
      <c r="AB5075" t="str">
        <f>HYPERLINK("Melting_Curves/meltCurve_Q9NVV0_TMEM38B.pdf", "Melting_Curves/meltCurve_Q9NVV0_TMEM38B.pdf")</f>
        <v>Melting_Curves/meltCurve_Q9NVV0_TMEM38B.pdf</v>
      </c>
    </row>
    <row r="5076" spans="1:28" x14ac:dyDescent="0.25">
      <c r="A5076" t="s">
        <v>5080</v>
      </c>
      <c r="B5076">
        <v>0.99796759195183404</v>
      </c>
      <c r="C5076">
        <v>0.88348579100307301</v>
      </c>
      <c r="D5076">
        <v>0.938180802762136</v>
      </c>
      <c r="E5076">
        <v>0.75450745220958604</v>
      </c>
      <c r="F5076">
        <v>0.65730818028428095</v>
      </c>
      <c r="G5076">
        <v>0.19160935010278499</v>
      </c>
      <c r="H5076">
        <v>0.169085673867367</v>
      </c>
      <c r="I5076">
        <v>0.14729525622638501</v>
      </c>
      <c r="J5076">
        <v>0.138913187043683</v>
      </c>
      <c r="K5076">
        <v>0.10221129136069899</v>
      </c>
      <c r="L5076">
        <v>886.66828893689706</v>
      </c>
      <c r="M5076">
        <v>17.696060528484001</v>
      </c>
      <c r="N5076">
        <v>50.687729741650898</v>
      </c>
      <c r="O5076">
        <v>49.4786855768834</v>
      </c>
      <c r="P5076">
        <v>-8.11923428257149E-2</v>
      </c>
      <c r="Q5076">
        <v>9.1983515941951005E-2</v>
      </c>
      <c r="R5076">
        <v>0.96769908660381398</v>
      </c>
      <c r="S5076" t="s">
        <v>10659</v>
      </c>
      <c r="T5076" t="s">
        <v>11164</v>
      </c>
      <c r="U5076" t="s">
        <v>11164</v>
      </c>
      <c r="V5076" t="s">
        <v>11164</v>
      </c>
      <c r="W5076" t="s">
        <v>16194</v>
      </c>
      <c r="X5076">
        <v>2</v>
      </c>
      <c r="Y5076" t="s">
        <v>21659</v>
      </c>
      <c r="Z5076" t="s">
        <v>27226</v>
      </c>
      <c r="AA5076">
        <v>0.50333690541175591</v>
      </c>
      <c r="AB5076" t="str">
        <f>HYPERLINK("Melting_Curves/meltCurve_Q9NVV4_2_MTPAP.pdf", "Melting_Curves/meltCurve_Q9NVV4_2_MTPAP.pdf")</f>
        <v>Melting_Curves/meltCurve_Q9NVV4_2_MTPAP.pdf</v>
      </c>
    </row>
    <row r="5077" spans="1:28" x14ac:dyDescent="0.25">
      <c r="A5077" t="s">
        <v>5081</v>
      </c>
      <c r="B5077">
        <v>0.99796759195183404</v>
      </c>
      <c r="C5077">
        <v>0.91904227186750098</v>
      </c>
      <c r="D5077">
        <v>0.96155158031286903</v>
      </c>
      <c r="E5077">
        <v>0.92287235612451402</v>
      </c>
      <c r="F5077">
        <v>0.70715782371997005</v>
      </c>
      <c r="G5077">
        <v>0.51614084444148101</v>
      </c>
      <c r="H5077">
        <v>0.53808494387996297</v>
      </c>
      <c r="I5077">
        <v>0.36507006782158502</v>
      </c>
      <c r="J5077">
        <v>0.43739517252210902</v>
      </c>
      <c r="K5077">
        <v>0.29812477151203898</v>
      </c>
      <c r="L5077">
        <v>698.69959213067602</v>
      </c>
      <c r="M5077">
        <v>13.5486516601255</v>
      </c>
      <c r="N5077">
        <v>55.961675769562397</v>
      </c>
      <c r="O5077">
        <v>50.485123116647003</v>
      </c>
      <c r="P5077">
        <v>-4.5136571235687602E-2</v>
      </c>
      <c r="Q5077">
        <v>0.327347761465206</v>
      </c>
      <c r="R5077">
        <v>0.96086847845222101</v>
      </c>
      <c r="S5077" t="s">
        <v>10660</v>
      </c>
      <c r="T5077" t="s">
        <v>11164</v>
      </c>
      <c r="U5077" t="s">
        <v>11164</v>
      </c>
      <c r="V5077" t="s">
        <v>11164</v>
      </c>
      <c r="W5077" t="s">
        <v>16195</v>
      </c>
      <c r="X5077">
        <v>6</v>
      </c>
      <c r="Y5077" t="s">
        <v>21660</v>
      </c>
      <c r="Z5077" t="s">
        <v>27227</v>
      </c>
      <c r="AA5077">
        <v>0.66883624842268108</v>
      </c>
      <c r="AB5077" t="str">
        <f>HYPERLINK("Melting_Curves/meltCurve_Q9NVX2_NLE1.pdf", "Melting_Curves/meltCurve_Q9NVX2_NLE1.pdf")</f>
        <v>Melting_Curves/meltCurve_Q9NVX2_NLE1.pdf</v>
      </c>
    </row>
    <row r="5078" spans="1:28" x14ac:dyDescent="0.25">
      <c r="A5078" t="s">
        <v>5082</v>
      </c>
      <c r="B5078">
        <v>0.99796759195183404</v>
      </c>
      <c r="C5078">
        <v>1.09583390773629</v>
      </c>
      <c r="D5078">
        <v>1.14532844393667</v>
      </c>
      <c r="E5078">
        <v>1.02818548147577</v>
      </c>
      <c r="F5078">
        <v>0.92844563469548902</v>
      </c>
      <c r="G5078">
        <v>0.58974263719366204</v>
      </c>
      <c r="H5078">
        <v>0.43620948113597302</v>
      </c>
      <c r="I5078">
        <v>0.23170497452796801</v>
      </c>
      <c r="J5078">
        <v>0.15447515119614699</v>
      </c>
      <c r="K5078">
        <v>0.135112533400468</v>
      </c>
      <c r="L5078">
        <v>1125.0060343070299</v>
      </c>
      <c r="M5078">
        <v>20.456535950231</v>
      </c>
      <c r="N5078">
        <v>55.759615441235802</v>
      </c>
      <c r="O5078">
        <v>54.4774903981967</v>
      </c>
      <c r="P5078">
        <v>-8.2396477197363496E-2</v>
      </c>
      <c r="Q5078">
        <v>0.122310895673748</v>
      </c>
      <c r="R5078">
        <v>0.97163716946982104</v>
      </c>
      <c r="S5078" t="s">
        <v>10661</v>
      </c>
      <c r="T5078" t="s">
        <v>11164</v>
      </c>
      <c r="U5078" t="s">
        <v>11164</v>
      </c>
      <c r="V5078" t="s">
        <v>11164</v>
      </c>
      <c r="W5078" t="s">
        <v>16196</v>
      </c>
      <c r="X5078">
        <v>4</v>
      </c>
      <c r="Y5078" t="s">
        <v>21661</v>
      </c>
      <c r="Z5078" t="s">
        <v>27228</v>
      </c>
      <c r="AA5078">
        <v>0.65849158107367722</v>
      </c>
      <c r="AB5078" t="str">
        <f>HYPERLINK("Melting_Curves/meltCurve_Q9NVZ3_NECAP2.pdf", "Melting_Curves/meltCurve_Q9NVZ3_NECAP2.pdf")</f>
        <v>Melting_Curves/meltCurve_Q9NVZ3_NECAP2.pdf</v>
      </c>
    </row>
    <row r="5079" spans="1:28" x14ac:dyDescent="0.25">
      <c r="A5079" t="s">
        <v>5083</v>
      </c>
      <c r="B5079">
        <v>0.99796759195183404</v>
      </c>
      <c r="C5079">
        <v>1.0580534689801899</v>
      </c>
      <c r="D5079">
        <v>1.1117046078222199</v>
      </c>
      <c r="E5079">
        <v>1.1117627043124301</v>
      </c>
      <c r="F5079">
        <v>0.89989361336541496</v>
      </c>
      <c r="G5079">
        <v>0.42325685530413998</v>
      </c>
      <c r="H5079">
        <v>0.23377869166686499</v>
      </c>
      <c r="I5079">
        <v>0.16298304492537</v>
      </c>
      <c r="J5079">
        <v>0.13307448993747001</v>
      </c>
      <c r="K5079">
        <v>9.3602845979057298E-2</v>
      </c>
      <c r="L5079">
        <v>1951.8747617322001</v>
      </c>
      <c r="M5079">
        <v>36.902623621982698</v>
      </c>
      <c r="N5079">
        <v>53.365806973611598</v>
      </c>
      <c r="O5079">
        <v>52.737976332758898</v>
      </c>
      <c r="P5079">
        <v>-0.15052306370047699</v>
      </c>
      <c r="Q5079">
        <v>0.13954538672223099</v>
      </c>
      <c r="R5079">
        <v>0.98066315103483204</v>
      </c>
      <c r="S5079" t="s">
        <v>10662</v>
      </c>
      <c r="T5079" t="s">
        <v>11164</v>
      </c>
      <c r="U5079" t="s">
        <v>11164</v>
      </c>
      <c r="V5079" t="s">
        <v>11164</v>
      </c>
      <c r="W5079" t="s">
        <v>16197</v>
      </c>
      <c r="X5079">
        <v>7</v>
      </c>
      <c r="Y5079" t="s">
        <v>21662</v>
      </c>
      <c r="Z5079" t="s">
        <v>27229</v>
      </c>
      <c r="AA5079">
        <v>0.59904637438761277</v>
      </c>
      <c r="AB5079" t="str">
        <f>HYPERLINK("Melting_Curves/meltCurve_Q9NW64_RBM22.pdf", "Melting_Curves/meltCurve_Q9NW64_RBM22.pdf")</f>
        <v>Melting_Curves/meltCurve_Q9NW64_RBM22.pdf</v>
      </c>
    </row>
    <row r="5080" spans="1:28" x14ac:dyDescent="0.25">
      <c r="A5080" t="s">
        <v>5084</v>
      </c>
      <c r="B5080">
        <v>0.99796759195183404</v>
      </c>
      <c r="C5080">
        <v>1.01332650371399</v>
      </c>
      <c r="D5080">
        <v>0.97673091212627206</v>
      </c>
      <c r="E5080">
        <v>0.98454242886089804</v>
      </c>
      <c r="F5080">
        <v>0.83990158019412997</v>
      </c>
      <c r="G5080">
        <v>0.69656116577314597</v>
      </c>
      <c r="H5080">
        <v>0.56921212093421103</v>
      </c>
      <c r="I5080">
        <v>0.25360744184746398</v>
      </c>
      <c r="J5080">
        <v>0.122029713089404</v>
      </c>
      <c r="K5080">
        <v>0.102238400952525</v>
      </c>
      <c r="L5080">
        <v>858.23936784954503</v>
      </c>
      <c r="M5080">
        <v>15.0066082302934</v>
      </c>
      <c r="N5080">
        <v>57.190762704337899</v>
      </c>
      <c r="O5080">
        <v>56.204014663778302</v>
      </c>
      <c r="P5080">
        <v>-6.6757337169908504E-2</v>
      </c>
      <c r="Q5080">
        <v>0</v>
      </c>
      <c r="R5080">
        <v>0.98932406595794198</v>
      </c>
      <c r="S5080" t="s">
        <v>10663</v>
      </c>
      <c r="T5080" t="s">
        <v>11164</v>
      </c>
      <c r="U5080" t="s">
        <v>11164</v>
      </c>
      <c r="V5080" t="s">
        <v>11164</v>
      </c>
      <c r="W5080" t="s">
        <v>16198</v>
      </c>
      <c r="X5080">
        <v>26</v>
      </c>
      <c r="Y5080" t="s">
        <v>21663</v>
      </c>
      <c r="Z5080" t="s">
        <v>27230</v>
      </c>
      <c r="AA5080">
        <v>0.68051337427050962</v>
      </c>
      <c r="AB5080" t="str">
        <f>HYPERLINK("Melting_Curves/meltCurve_Q9NW82_WDR70.pdf", "Melting_Curves/meltCurve_Q9NW82_WDR70.pdf")</f>
        <v>Melting_Curves/meltCurve_Q9NW82_WDR70.pdf</v>
      </c>
    </row>
    <row r="5081" spans="1:28" x14ac:dyDescent="0.25">
      <c r="A5081" t="s">
        <v>5085</v>
      </c>
      <c r="B5081">
        <v>0.99796759195183404</v>
      </c>
      <c r="C5081">
        <v>0.91843999961144496</v>
      </c>
      <c r="D5081">
        <v>0.87361739456647403</v>
      </c>
      <c r="E5081">
        <v>0.83602967034903497</v>
      </c>
      <c r="F5081">
        <v>0.70724211806918602</v>
      </c>
      <c r="G5081">
        <v>0.57323243278944302</v>
      </c>
      <c r="H5081">
        <v>0.53520989592547197</v>
      </c>
      <c r="I5081">
        <v>0.29901098998787101</v>
      </c>
      <c r="J5081">
        <v>0.217661110483093</v>
      </c>
      <c r="K5081">
        <v>0.197661032413153</v>
      </c>
      <c r="L5081">
        <v>448.35752124304997</v>
      </c>
      <c r="M5081">
        <v>8.0354617357914808</v>
      </c>
      <c r="N5081">
        <v>55.797356266084499</v>
      </c>
      <c r="O5081">
        <v>52.6599230683765</v>
      </c>
      <c r="P5081">
        <v>-3.8190318867650903E-2</v>
      </c>
      <c r="Q5081">
        <v>0</v>
      </c>
      <c r="R5081">
        <v>0.98078855676356702</v>
      </c>
      <c r="S5081" t="s">
        <v>10664</v>
      </c>
      <c r="T5081" t="s">
        <v>11164</v>
      </c>
      <c r="U5081" t="s">
        <v>11164</v>
      </c>
      <c r="V5081" t="s">
        <v>11164</v>
      </c>
      <c r="W5081" t="s">
        <v>16199</v>
      </c>
      <c r="X5081">
        <v>6</v>
      </c>
      <c r="Y5081" t="s">
        <v>21664</v>
      </c>
      <c r="Z5081" t="s">
        <v>27231</v>
      </c>
      <c r="AA5081">
        <v>0.62681559478539228</v>
      </c>
      <c r="AB5081" t="str">
        <f>HYPERLINK("Melting_Curves/meltCurve_Q9NWB6_ARGLU1.pdf", "Melting_Curves/meltCurve_Q9NWB6_ARGLU1.pdf")</f>
        <v>Melting_Curves/meltCurve_Q9NWB6_ARGLU1.pdf</v>
      </c>
    </row>
    <row r="5082" spans="1:28" x14ac:dyDescent="0.25">
      <c r="A5082" t="s">
        <v>5086</v>
      </c>
      <c r="B5082">
        <v>0.99796759195183404</v>
      </c>
      <c r="C5082">
        <v>0.99051162237836399</v>
      </c>
      <c r="D5082">
        <v>1.0016181627169201</v>
      </c>
      <c r="E5082">
        <v>0.98597413072442497</v>
      </c>
      <c r="F5082">
        <v>0.81798776257040295</v>
      </c>
      <c r="G5082">
        <v>0.56389849527101998</v>
      </c>
      <c r="H5082">
        <v>0.495933248124515</v>
      </c>
      <c r="I5082">
        <v>0.37996090039909503</v>
      </c>
      <c r="J5082">
        <v>0.33972993962631698</v>
      </c>
      <c r="K5082">
        <v>0.30557318916395099</v>
      </c>
      <c r="L5082">
        <v>979.52050327295694</v>
      </c>
      <c r="M5082">
        <v>18.506564336387999</v>
      </c>
      <c r="N5082">
        <v>55.954802811172101</v>
      </c>
      <c r="O5082">
        <v>52.321889061740002</v>
      </c>
      <c r="P5082">
        <v>-6.04648384139988E-2</v>
      </c>
      <c r="Q5082">
        <v>0.31624376547618699</v>
      </c>
      <c r="R5082">
        <v>0.99189768025922298</v>
      </c>
      <c r="S5082" t="s">
        <v>10665</v>
      </c>
      <c r="T5082" t="s">
        <v>11164</v>
      </c>
      <c r="U5082" t="s">
        <v>11164</v>
      </c>
      <c r="V5082" t="s">
        <v>11164</v>
      </c>
      <c r="W5082" t="s">
        <v>16200</v>
      </c>
      <c r="X5082">
        <v>3</v>
      </c>
      <c r="Y5082" t="s">
        <v>21665</v>
      </c>
      <c r="Z5082" t="s">
        <v>27232</v>
      </c>
      <c r="AA5082">
        <v>0.68889794733453169</v>
      </c>
      <c r="AB5082" t="str">
        <f>HYPERLINK("Melting_Curves/meltCurve_Q9NWH9_SLTM.pdf", "Melting_Curves/meltCurve_Q9NWH9_SLTM.pdf")</f>
        <v>Melting_Curves/meltCurve_Q9NWH9_SLTM.pdf</v>
      </c>
    </row>
    <row r="5083" spans="1:28" x14ac:dyDescent="0.25">
      <c r="A5083" t="s">
        <v>5087</v>
      </c>
      <c r="B5083">
        <v>0.99796759195183404</v>
      </c>
      <c r="C5083">
        <v>1.04774532876721</v>
      </c>
      <c r="D5083">
        <v>1.06775893207145</v>
      </c>
      <c r="E5083">
        <v>1.04540039797046</v>
      </c>
      <c r="F5083">
        <v>0.87162424353587897</v>
      </c>
      <c r="G5083">
        <v>0.54358459860488295</v>
      </c>
      <c r="H5083">
        <v>0.422722786868935</v>
      </c>
      <c r="I5083">
        <v>0.28046290026565501</v>
      </c>
      <c r="J5083">
        <v>0.224846456807378</v>
      </c>
      <c r="K5083">
        <v>0.152935516036275</v>
      </c>
      <c r="L5083">
        <v>1105.47613284247</v>
      </c>
      <c r="M5083">
        <v>20.476572776562001</v>
      </c>
      <c r="N5083">
        <v>55.233740201825903</v>
      </c>
      <c r="O5083">
        <v>53.480367696641402</v>
      </c>
      <c r="P5083">
        <v>-7.8013268057063601E-2</v>
      </c>
      <c r="Q5083">
        <v>0.18500922177114201</v>
      </c>
      <c r="R5083">
        <v>0.981998880410763</v>
      </c>
      <c r="S5083" t="s">
        <v>10666</v>
      </c>
      <c r="T5083" t="s">
        <v>11164</v>
      </c>
      <c r="U5083" t="s">
        <v>11164</v>
      </c>
      <c r="V5083" t="s">
        <v>11164</v>
      </c>
      <c r="W5083" t="s">
        <v>16201</v>
      </c>
      <c r="X5083">
        <v>3</v>
      </c>
      <c r="Y5083" t="s">
        <v>21666</v>
      </c>
      <c r="Z5083" t="s">
        <v>27233</v>
      </c>
      <c r="AA5083">
        <v>0.65605667233667453</v>
      </c>
      <c r="AB5083" t="str">
        <f>HYPERLINK("Melting_Curves/meltCurve_Q9NWM8_FKBP14.pdf", "Melting_Curves/meltCurve_Q9NWM8_FKBP14.pdf")</f>
        <v>Melting_Curves/meltCurve_Q9NWM8_FKBP14.pdf</v>
      </c>
    </row>
    <row r="5084" spans="1:28" x14ac:dyDescent="0.25">
      <c r="A5084" t="s">
        <v>5088</v>
      </c>
      <c r="B5084">
        <v>0.99796759195183404</v>
      </c>
      <c r="C5084">
        <v>1.3190113558066401</v>
      </c>
      <c r="D5084">
        <v>1.1682401076603</v>
      </c>
      <c r="E5084">
        <v>0.908861817318106</v>
      </c>
      <c r="F5084">
        <v>0.77478658009892598</v>
      </c>
      <c r="G5084">
        <v>1.09624143327648</v>
      </c>
      <c r="H5084">
        <v>1.0539099680186601</v>
      </c>
      <c r="I5084">
        <v>0.66320924455837005</v>
      </c>
      <c r="J5084">
        <v>0.870587146054706</v>
      </c>
      <c r="K5084">
        <v>0.66745021034548502</v>
      </c>
      <c r="L5084">
        <v>14780.0487842805</v>
      </c>
      <c r="M5084">
        <v>250</v>
      </c>
      <c r="O5084">
        <v>59.116411914157702</v>
      </c>
      <c r="P5084">
        <v>-0.281510783000189</v>
      </c>
      <c r="Q5084">
        <v>0.73372948216281297</v>
      </c>
      <c r="R5084">
        <v>0.45253182313510598</v>
      </c>
      <c r="S5084" t="s">
        <v>10667</v>
      </c>
      <c r="T5084" t="s">
        <v>11164</v>
      </c>
      <c r="U5084" t="s">
        <v>11164</v>
      </c>
      <c r="V5084" t="s">
        <v>11164</v>
      </c>
      <c r="W5084" t="s">
        <v>16202</v>
      </c>
      <c r="X5084">
        <v>2</v>
      </c>
      <c r="Y5084" t="s">
        <v>21667</v>
      </c>
      <c r="Z5084" t="s">
        <v>27234</v>
      </c>
      <c r="AA5084">
        <v>0.93008896952704689</v>
      </c>
      <c r="AB5084" t="str">
        <f>HYPERLINK("Melting_Curves/meltCurve_Q9NWQ8_PAG1.pdf", "Melting_Curves/meltCurve_Q9NWQ8_PAG1.pdf")</f>
        <v>Melting_Curves/meltCurve_Q9NWQ8_PAG1.pdf</v>
      </c>
    </row>
    <row r="5085" spans="1:28" x14ac:dyDescent="0.25">
      <c r="A5085" t="s">
        <v>5089</v>
      </c>
      <c r="B5085">
        <v>0.99796759195183404</v>
      </c>
      <c r="C5085">
        <v>1.2463567533127999</v>
      </c>
      <c r="D5085">
        <v>1.11722486486453</v>
      </c>
      <c r="E5085">
        <v>1.01247771524863</v>
      </c>
      <c r="F5085">
        <v>0.927155742096201</v>
      </c>
      <c r="G5085">
        <v>0.89020350603889098</v>
      </c>
      <c r="H5085">
        <v>0.51345396406684396</v>
      </c>
      <c r="I5085">
        <v>0.37064747993163799</v>
      </c>
      <c r="J5085">
        <v>0.31304738318907699</v>
      </c>
      <c r="K5085">
        <v>0.324821894663058</v>
      </c>
      <c r="L5085">
        <v>1992.7879136065301</v>
      </c>
      <c r="M5085">
        <v>35.561132070560802</v>
      </c>
      <c r="N5085">
        <v>57.687204058080397</v>
      </c>
      <c r="O5085">
        <v>55.862047390049199</v>
      </c>
      <c r="P5085">
        <v>-0.10837063446869299</v>
      </c>
      <c r="Q5085">
        <v>0.31905594264475801</v>
      </c>
      <c r="R5085">
        <v>0.92979952636610996</v>
      </c>
      <c r="S5085" t="s">
        <v>10668</v>
      </c>
      <c r="T5085" t="s">
        <v>11164</v>
      </c>
      <c r="U5085" t="s">
        <v>11164</v>
      </c>
      <c r="V5085" t="s">
        <v>11164</v>
      </c>
      <c r="W5085" t="s">
        <v>16203</v>
      </c>
      <c r="X5085">
        <v>1</v>
      </c>
      <c r="Y5085" t="s">
        <v>21668</v>
      </c>
      <c r="Z5085" t="s">
        <v>27235</v>
      </c>
      <c r="AA5085">
        <v>0.75437437989110512</v>
      </c>
      <c r="AB5085" t="str">
        <f>HYPERLINK("Melting_Curves/meltCurve_Q9NWR8_CCDC109B.pdf", "Melting_Curves/meltCurve_Q9NWR8_CCDC109B.pdf")</f>
        <v>Melting_Curves/meltCurve_Q9NWR8_CCDC109B.pdf</v>
      </c>
    </row>
    <row r="5086" spans="1:28" x14ac:dyDescent="0.25">
      <c r="A5086" t="s">
        <v>5090</v>
      </c>
      <c r="B5086">
        <v>0.99796759195183404</v>
      </c>
      <c r="C5086">
        <v>0.94104011262500598</v>
      </c>
      <c r="D5086">
        <v>0.96127178617979903</v>
      </c>
      <c r="E5086">
        <v>0.84356269907653103</v>
      </c>
      <c r="F5086">
        <v>0.707284215637072</v>
      </c>
      <c r="G5086">
        <v>0.12602777914293301</v>
      </c>
      <c r="H5086">
        <v>8.3763191118745001E-2</v>
      </c>
      <c r="I5086">
        <v>5.8690220021547099E-2</v>
      </c>
      <c r="J5086">
        <v>3.8195980712831298E-2</v>
      </c>
      <c r="K5086">
        <v>3.1025326682000701E-2</v>
      </c>
      <c r="L5086">
        <v>1884.4254383590701</v>
      </c>
      <c r="M5086">
        <v>36.887966474614998</v>
      </c>
      <c r="N5086">
        <v>51.202916964214701</v>
      </c>
      <c r="O5086">
        <v>50.935660762295399</v>
      </c>
      <c r="P5086">
        <v>-0.173685632219856</v>
      </c>
      <c r="Q5086">
        <v>4.0688012959226402E-2</v>
      </c>
      <c r="R5086">
        <v>0.98516267605334595</v>
      </c>
      <c r="S5086" t="s">
        <v>10669</v>
      </c>
      <c r="T5086" t="s">
        <v>11164</v>
      </c>
      <c r="U5086" t="s">
        <v>11164</v>
      </c>
      <c r="V5086" t="s">
        <v>11164</v>
      </c>
      <c r="W5086" t="s">
        <v>16204</v>
      </c>
      <c r="X5086">
        <v>5</v>
      </c>
      <c r="Y5086" t="s">
        <v>21669</v>
      </c>
      <c r="Z5086" t="s">
        <v>27236</v>
      </c>
      <c r="AA5086">
        <v>0.49506587825805071</v>
      </c>
      <c r="AB5086" t="str">
        <f>HYPERLINK("Melting_Curves/meltCurve_Q9NWS6_FAM118A.pdf", "Melting_Curves/meltCurve_Q9NWS6_FAM118A.pdf")</f>
        <v>Melting_Curves/meltCurve_Q9NWS6_FAM118A.pdf</v>
      </c>
    </row>
    <row r="5087" spans="1:28" x14ac:dyDescent="0.25">
      <c r="A5087" t="s">
        <v>5091</v>
      </c>
      <c r="B5087">
        <v>0.99796759195183404</v>
      </c>
      <c r="C5087">
        <v>0.94673222827639303</v>
      </c>
      <c r="D5087">
        <v>0.95342995154796795</v>
      </c>
      <c r="E5087">
        <v>0.87329629840598999</v>
      </c>
      <c r="F5087">
        <v>0.68128231581048204</v>
      </c>
      <c r="G5087">
        <v>0.60802398983691996</v>
      </c>
      <c r="H5087">
        <v>0.37470086855520901</v>
      </c>
      <c r="I5087">
        <v>0.25465256858905599</v>
      </c>
      <c r="J5087">
        <v>0.21294092376919199</v>
      </c>
      <c r="K5087">
        <v>0.110256109145458</v>
      </c>
      <c r="L5087">
        <v>562.720629728174</v>
      </c>
      <c r="M5087">
        <v>10.241201503973899</v>
      </c>
      <c r="N5087">
        <v>54.946736327402</v>
      </c>
      <c r="O5087">
        <v>52.975328961413297</v>
      </c>
      <c r="P5087">
        <v>-4.8351505732202399E-2</v>
      </c>
      <c r="Q5087">
        <v>0</v>
      </c>
      <c r="R5087">
        <v>0.99252417847504704</v>
      </c>
      <c r="S5087" t="s">
        <v>10670</v>
      </c>
      <c r="T5087" t="s">
        <v>11164</v>
      </c>
      <c r="U5087" t="s">
        <v>11164</v>
      </c>
      <c r="V5087" t="s">
        <v>11164</v>
      </c>
      <c r="W5087" t="s">
        <v>16205</v>
      </c>
      <c r="X5087">
        <v>2</v>
      </c>
      <c r="Y5087" t="s">
        <v>21670</v>
      </c>
      <c r="Z5087" t="s">
        <v>27237</v>
      </c>
      <c r="AA5087">
        <v>0.61107113060659635</v>
      </c>
      <c r="AB5087" t="str">
        <f>HYPERLINK("Melting_Curves/meltCurve_Q9NWT6_HIF1AN.pdf", "Melting_Curves/meltCurve_Q9NWT6_HIF1AN.pdf")</f>
        <v>Melting_Curves/meltCurve_Q9NWT6_HIF1AN.pdf</v>
      </c>
    </row>
    <row r="5088" spans="1:28" x14ac:dyDescent="0.25">
      <c r="A5088" t="s">
        <v>5092</v>
      </c>
      <c r="B5088">
        <v>0.99796759195183404</v>
      </c>
      <c r="C5088">
        <v>1.0080866080277999</v>
      </c>
      <c r="D5088">
        <v>0.98677871289936403</v>
      </c>
      <c r="E5088">
        <v>0.95588786038109697</v>
      </c>
      <c r="F5088">
        <v>0.85625403574206205</v>
      </c>
      <c r="G5088">
        <v>0.73158128632149799</v>
      </c>
      <c r="H5088">
        <v>0.76451461227898898</v>
      </c>
      <c r="I5088">
        <v>0.65353358745815804</v>
      </c>
      <c r="J5088">
        <v>0.86288144391433597</v>
      </c>
      <c r="K5088">
        <v>0.75213819664377102</v>
      </c>
      <c r="L5088">
        <v>1669.56300616613</v>
      </c>
      <c r="M5088">
        <v>33.8285323657135</v>
      </c>
      <c r="O5088">
        <v>49.182183703345203</v>
      </c>
      <c r="P5088">
        <v>-4.2732979972791699E-2</v>
      </c>
      <c r="Q5088">
        <v>0.75148875163905904</v>
      </c>
      <c r="R5088">
        <v>0.83575874345069401</v>
      </c>
      <c r="S5088" t="s">
        <v>10671</v>
      </c>
      <c r="T5088" t="s">
        <v>11164</v>
      </c>
      <c r="U5088" t="s">
        <v>11164</v>
      </c>
      <c r="V5088" t="s">
        <v>11164</v>
      </c>
      <c r="W5088" t="s">
        <v>16206</v>
      </c>
      <c r="X5088">
        <v>7</v>
      </c>
      <c r="Y5088" t="s">
        <v>21671</v>
      </c>
      <c r="Z5088" t="s">
        <v>27238</v>
      </c>
      <c r="AA5088">
        <v>0.85500985868391299</v>
      </c>
      <c r="AB5088" t="str">
        <f>HYPERLINK("Melting_Curves/meltCurve_Q9NWU1_OXSM.pdf", "Melting_Curves/meltCurve_Q9NWU1_OXSM.pdf")</f>
        <v>Melting_Curves/meltCurve_Q9NWU1_OXSM.pdf</v>
      </c>
    </row>
    <row r="5089" spans="1:28" x14ac:dyDescent="0.25">
      <c r="A5089" t="s">
        <v>5093</v>
      </c>
      <c r="B5089">
        <v>0.99796759195183404</v>
      </c>
      <c r="C5089">
        <v>0.97368283618746998</v>
      </c>
      <c r="D5089">
        <v>1.02392449473739</v>
      </c>
      <c r="E5089">
        <v>0.945190148932187</v>
      </c>
      <c r="F5089">
        <v>0.77376946433034399</v>
      </c>
      <c r="G5089">
        <v>0.66301097772685003</v>
      </c>
      <c r="H5089">
        <v>0.56594319466895004</v>
      </c>
      <c r="I5089">
        <v>0.27676330223791601</v>
      </c>
      <c r="J5089">
        <v>0.21955978273959101</v>
      </c>
      <c r="K5089">
        <v>0.12893066520705301</v>
      </c>
      <c r="L5089">
        <v>669.73869603011497</v>
      </c>
      <c r="M5089">
        <v>11.731599010845001</v>
      </c>
      <c r="N5089">
        <v>57.088440923480903</v>
      </c>
      <c r="O5089">
        <v>55.505396419815099</v>
      </c>
      <c r="P5089">
        <v>-5.2853807049040899E-2</v>
      </c>
      <c r="Q5089">
        <v>0</v>
      </c>
      <c r="R5089">
        <v>0.98577886938413395</v>
      </c>
      <c r="S5089" t="s">
        <v>10672</v>
      </c>
      <c r="T5089" t="s">
        <v>11164</v>
      </c>
      <c r="U5089" t="s">
        <v>11164</v>
      </c>
      <c r="V5089" t="s">
        <v>11164</v>
      </c>
      <c r="W5089" t="s">
        <v>16207</v>
      </c>
      <c r="X5089">
        <v>6</v>
      </c>
      <c r="Y5089" t="s">
        <v>21672</v>
      </c>
      <c r="Z5089" t="s">
        <v>27239</v>
      </c>
      <c r="AA5089">
        <v>0.67320326719013901</v>
      </c>
      <c r="AB5089" t="str">
        <f>HYPERLINK("Melting_Curves/meltCurve_Q9NWV4_C1orf123.pdf", "Melting_Curves/meltCurve_Q9NWV4_C1orf123.pdf")</f>
        <v>Melting_Curves/meltCurve_Q9NWV4_C1orf123.pdf</v>
      </c>
    </row>
    <row r="5090" spans="1:28" x14ac:dyDescent="0.25">
      <c r="A5090" t="s">
        <v>5094</v>
      </c>
      <c r="B5090">
        <v>0.99796759195183404</v>
      </c>
      <c r="C5090">
        <v>0.90743366959181204</v>
      </c>
      <c r="D5090">
        <v>0.87353401475749004</v>
      </c>
      <c r="E5090">
        <v>0.83370281800740498</v>
      </c>
      <c r="F5090">
        <v>0.617794613815011</v>
      </c>
      <c r="G5090">
        <v>0.278380393611459</v>
      </c>
      <c r="H5090">
        <v>0.141565716186876</v>
      </c>
      <c r="I5090">
        <v>9.2934462865879697E-2</v>
      </c>
      <c r="J5090">
        <v>8.2805919323379704E-2</v>
      </c>
      <c r="K5090">
        <v>5.6504428646352099E-2</v>
      </c>
      <c r="L5090">
        <v>813.774003682424</v>
      </c>
      <c r="M5090">
        <v>15.989329783079601</v>
      </c>
      <c r="N5090">
        <v>51.081836547619801</v>
      </c>
      <c r="O5090">
        <v>50.118679500940601</v>
      </c>
      <c r="P5090">
        <v>-7.7495991630947197E-2</v>
      </c>
      <c r="Q5090">
        <v>2.8429157356927501E-2</v>
      </c>
      <c r="R5090">
        <v>0.98727079957001695</v>
      </c>
      <c r="S5090" t="s">
        <v>10673</v>
      </c>
      <c r="T5090" t="s">
        <v>11164</v>
      </c>
      <c r="U5090" t="s">
        <v>11164</v>
      </c>
      <c r="V5090" t="s">
        <v>11164</v>
      </c>
      <c r="W5090" t="s">
        <v>16208</v>
      </c>
      <c r="X5090">
        <v>5</v>
      </c>
      <c r="Y5090" t="s">
        <v>21673</v>
      </c>
      <c r="Z5090" t="s">
        <v>27240</v>
      </c>
      <c r="AA5090">
        <v>0.49642640127306931</v>
      </c>
      <c r="AB5090" t="str">
        <f>HYPERLINK("Melting_Curves/meltCurve_Q9NWX5_ASB6.pdf", "Melting_Curves/meltCurve_Q9NWX5_ASB6.pdf")</f>
        <v>Melting_Curves/meltCurve_Q9NWX5_ASB6.pdf</v>
      </c>
    </row>
    <row r="5091" spans="1:28" x14ac:dyDescent="0.25">
      <c r="A5091" t="s">
        <v>5095</v>
      </c>
      <c r="B5091">
        <v>0.99796759195183404</v>
      </c>
      <c r="C5091">
        <v>0.96055091762914702</v>
      </c>
      <c r="D5091">
        <v>0.95027746861582996</v>
      </c>
      <c r="E5091">
        <v>0.90747544897554999</v>
      </c>
      <c r="F5091">
        <v>0.80114363852048198</v>
      </c>
      <c r="G5091">
        <v>0.73882475999702102</v>
      </c>
      <c r="H5091">
        <v>0.58310039245255896</v>
      </c>
      <c r="I5091">
        <v>0.344618444293047</v>
      </c>
      <c r="J5091">
        <v>0.30146181737483801</v>
      </c>
      <c r="K5091">
        <v>0.21770120342921701</v>
      </c>
      <c r="L5091">
        <v>574.61641714087295</v>
      </c>
      <c r="M5091">
        <v>9.8371303882220893</v>
      </c>
      <c r="N5091">
        <v>58.413013831082303</v>
      </c>
      <c r="O5091">
        <v>56.152652357659697</v>
      </c>
      <c r="P5091">
        <v>-4.3819055537911399E-2</v>
      </c>
      <c r="Q5091">
        <v>0</v>
      </c>
      <c r="R5091">
        <v>0.98930724418948401</v>
      </c>
      <c r="S5091" t="s">
        <v>10674</v>
      </c>
      <c r="T5091" t="s">
        <v>11164</v>
      </c>
      <c r="U5091" t="s">
        <v>11164</v>
      </c>
      <c r="V5091" t="s">
        <v>11164</v>
      </c>
      <c r="W5091" t="s">
        <v>16209</v>
      </c>
      <c r="X5091">
        <v>3</v>
      </c>
      <c r="Y5091" t="s">
        <v>21674</v>
      </c>
      <c r="Z5091" t="s">
        <v>27241</v>
      </c>
      <c r="AA5091">
        <v>0.70088468968886508</v>
      </c>
      <c r="AB5091" t="str">
        <f>HYPERLINK("Melting_Curves/meltCurve_Q9NWX6_THG1L.pdf", "Melting_Curves/meltCurve_Q9NWX6_THG1L.pdf")</f>
        <v>Melting_Curves/meltCurve_Q9NWX6_THG1L.pdf</v>
      </c>
    </row>
    <row r="5092" spans="1:28" x14ac:dyDescent="0.25">
      <c r="A5092" t="s">
        <v>5096</v>
      </c>
      <c r="B5092">
        <v>0.99796759195183404</v>
      </c>
      <c r="C5092">
        <v>0.967405309319329</v>
      </c>
      <c r="D5092">
        <v>0.98533073562346196</v>
      </c>
      <c r="E5092">
        <v>0.88087927923165799</v>
      </c>
      <c r="F5092">
        <v>0.41335006007798097</v>
      </c>
      <c r="G5092">
        <v>0.201207219740482</v>
      </c>
      <c r="H5092">
        <v>0.159696874624525</v>
      </c>
      <c r="I5092">
        <v>0.13994837547880101</v>
      </c>
      <c r="J5092">
        <v>0.11094658839590101</v>
      </c>
      <c r="K5092">
        <v>8.1385321418053894E-2</v>
      </c>
      <c r="L5092">
        <v>1523.7194353068101</v>
      </c>
      <c r="M5092">
        <v>30.979159271440199</v>
      </c>
      <c r="N5092">
        <v>49.636012380242498</v>
      </c>
      <c r="O5092">
        <v>48.981719104010601</v>
      </c>
      <c r="P5092">
        <v>-0.13873198324040101</v>
      </c>
      <c r="Q5092">
        <v>0.122598279679263</v>
      </c>
      <c r="R5092">
        <v>0.996875462232513</v>
      </c>
      <c r="S5092" t="s">
        <v>10675</v>
      </c>
      <c r="T5092" t="s">
        <v>11164</v>
      </c>
      <c r="U5092" t="s">
        <v>11164</v>
      </c>
      <c r="V5092" t="s">
        <v>11164</v>
      </c>
      <c r="W5092" t="s">
        <v>16210</v>
      </c>
      <c r="X5092">
        <v>11</v>
      </c>
      <c r="Y5092" t="s">
        <v>21675</v>
      </c>
      <c r="Z5092" t="s">
        <v>27242</v>
      </c>
      <c r="AA5092">
        <v>0.48395901581028278</v>
      </c>
      <c r="AB5092" t="str">
        <f>HYPERLINK("Melting_Curves/meltCurve_Q9NWY4_C4orf27.pdf", "Melting_Curves/meltCurve_Q9NWY4_C4orf27.pdf")</f>
        <v>Melting_Curves/meltCurve_Q9NWY4_C4orf27.pdf</v>
      </c>
    </row>
    <row r="5093" spans="1:28" x14ac:dyDescent="0.25">
      <c r="A5093" t="s">
        <v>5097</v>
      </c>
      <c r="B5093">
        <v>0.99796759195183404</v>
      </c>
      <c r="C5093">
        <v>0.92183734409634799</v>
      </c>
      <c r="D5093">
        <v>0.93473553445528501</v>
      </c>
      <c r="E5093">
        <v>0.81973602440265103</v>
      </c>
      <c r="F5093">
        <v>0.84344307720641198</v>
      </c>
      <c r="G5093">
        <v>0.31947030451125702</v>
      </c>
      <c r="H5093">
        <v>0.25311753896258699</v>
      </c>
      <c r="I5093">
        <v>0.163933803306754</v>
      </c>
      <c r="J5093">
        <v>0.16076897140316301</v>
      </c>
      <c r="K5093">
        <v>0.13439225072625</v>
      </c>
      <c r="L5093">
        <v>1550.5570418612101</v>
      </c>
      <c r="M5093">
        <v>29.864321352816201</v>
      </c>
      <c r="N5093">
        <v>52.574465758956599</v>
      </c>
      <c r="O5093">
        <v>51.688916955377799</v>
      </c>
      <c r="P5093">
        <v>-0.122021341567616</v>
      </c>
      <c r="Q5093">
        <v>0.15523152894325501</v>
      </c>
      <c r="R5093">
        <v>0.96480417154589104</v>
      </c>
      <c r="S5093" t="s">
        <v>10676</v>
      </c>
      <c r="T5093" t="s">
        <v>11164</v>
      </c>
      <c r="U5093" t="s">
        <v>11164</v>
      </c>
      <c r="V5093" t="s">
        <v>11164</v>
      </c>
      <c r="W5093" t="s">
        <v>16211</v>
      </c>
      <c r="X5093">
        <v>3</v>
      </c>
      <c r="Y5093" t="s">
        <v>21676</v>
      </c>
      <c r="Z5093" t="s">
        <v>27243</v>
      </c>
      <c r="AA5093">
        <v>0.58073622690047011</v>
      </c>
      <c r="AB5093" t="str">
        <f>HYPERLINK("Melting_Curves/meltCurve_Q9NWZ3_IRAK4.pdf", "Melting_Curves/meltCurve_Q9NWZ3_IRAK4.pdf")</f>
        <v>Melting_Curves/meltCurve_Q9NWZ3_IRAK4.pdf</v>
      </c>
    </row>
    <row r="5094" spans="1:28" x14ac:dyDescent="0.25">
      <c r="A5094" t="s">
        <v>5098</v>
      </c>
      <c r="B5094">
        <v>0.99796759195183404</v>
      </c>
      <c r="C5094">
        <v>0.94790151322709204</v>
      </c>
      <c r="D5094">
        <v>0.94683941914687497</v>
      </c>
      <c r="E5094">
        <v>0.82691847728650203</v>
      </c>
      <c r="F5094">
        <v>0.79710864570512296</v>
      </c>
      <c r="G5094">
        <v>0.46429236792001999</v>
      </c>
      <c r="H5094">
        <v>0.24985839906096199</v>
      </c>
      <c r="I5094">
        <v>0.220454360742636</v>
      </c>
      <c r="J5094">
        <v>0.19205199778695201</v>
      </c>
      <c r="K5094">
        <v>0.15759822721361</v>
      </c>
      <c r="L5094">
        <v>869.054240408792</v>
      </c>
      <c r="M5094">
        <v>16.576439223177498</v>
      </c>
      <c r="N5094">
        <v>53.417650401381103</v>
      </c>
      <c r="O5094">
        <v>51.681900692007197</v>
      </c>
      <c r="P5094">
        <v>-6.9579757643690093E-2</v>
      </c>
      <c r="Q5094">
        <v>0.13231820849592199</v>
      </c>
      <c r="R5094">
        <v>0.98397408462686697</v>
      </c>
      <c r="S5094" t="s">
        <v>10677</v>
      </c>
      <c r="T5094" t="s">
        <v>11164</v>
      </c>
      <c r="U5094" t="s">
        <v>11164</v>
      </c>
      <c r="V5094" t="s">
        <v>11164</v>
      </c>
      <c r="W5094" t="s">
        <v>16212</v>
      </c>
      <c r="X5094">
        <v>2</v>
      </c>
      <c r="Y5094" t="s">
        <v>21677</v>
      </c>
      <c r="Z5094" t="s">
        <v>27244</v>
      </c>
      <c r="AA5094">
        <v>0.59290588752874196</v>
      </c>
      <c r="AB5094" t="str">
        <f>HYPERLINK("Melting_Curves/meltCurve_Q9NX01_TXNL4B.pdf", "Melting_Curves/meltCurve_Q9NX01_TXNL4B.pdf")</f>
        <v>Melting_Curves/meltCurve_Q9NX01_TXNL4B.pdf</v>
      </c>
    </row>
    <row r="5095" spans="1:28" x14ac:dyDescent="0.25">
      <c r="A5095" t="s">
        <v>5099</v>
      </c>
      <c r="B5095">
        <v>0.99796759195183404</v>
      </c>
      <c r="C5095">
        <v>0.95685761168887096</v>
      </c>
      <c r="D5095">
        <v>1.0120956500105101</v>
      </c>
      <c r="E5095">
        <v>0.83342878837773404</v>
      </c>
      <c r="F5095">
        <v>0.54688303916569703</v>
      </c>
      <c r="G5095">
        <v>0.36825691912703701</v>
      </c>
      <c r="H5095">
        <v>0.24129110531703099</v>
      </c>
      <c r="I5095">
        <v>0.24575387132970899</v>
      </c>
      <c r="J5095">
        <v>0.225591647609792</v>
      </c>
      <c r="K5095">
        <v>0.34043667655996401</v>
      </c>
      <c r="L5095">
        <v>1177.9942811061301</v>
      </c>
      <c r="M5095">
        <v>23.934719722662201</v>
      </c>
      <c r="N5095">
        <v>50.772968903227699</v>
      </c>
      <c r="O5095">
        <v>48.877261208847898</v>
      </c>
      <c r="P5095">
        <v>-9.0607851050917607E-2</v>
      </c>
      <c r="Q5095">
        <v>0.25988809181733902</v>
      </c>
      <c r="R5095">
        <v>0.98684704500774301</v>
      </c>
      <c r="S5095" t="s">
        <v>10678</v>
      </c>
      <c r="T5095" t="s">
        <v>11164</v>
      </c>
      <c r="U5095" t="s">
        <v>11164</v>
      </c>
      <c r="V5095" t="s">
        <v>11164</v>
      </c>
      <c r="W5095" t="s">
        <v>16213</v>
      </c>
      <c r="X5095">
        <v>1</v>
      </c>
      <c r="Y5095" t="s">
        <v>21678</v>
      </c>
      <c r="Z5095" t="s">
        <v>27245</v>
      </c>
      <c r="AA5095">
        <v>0.56826032902037726</v>
      </c>
      <c r="AB5095" t="str">
        <f>HYPERLINK("Melting_Curves/meltCurve_Q9NX07_2_TRNAU1AP.pdf", "Melting_Curves/meltCurve_Q9NX07_2_TRNAU1AP.pdf")</f>
        <v>Melting_Curves/meltCurve_Q9NX07_2_TRNAU1AP.pdf</v>
      </c>
    </row>
    <row r="5096" spans="1:28" x14ac:dyDescent="0.25">
      <c r="A5096" t="s">
        <v>5100</v>
      </c>
      <c r="B5096">
        <v>0.99796759195183404</v>
      </c>
      <c r="C5096">
        <v>1.06883486303693</v>
      </c>
      <c r="D5096">
        <v>0.92231391647440797</v>
      </c>
      <c r="E5096">
        <v>0.82794660488034</v>
      </c>
      <c r="F5096">
        <v>0.61809291988862103</v>
      </c>
      <c r="G5096">
        <v>0.36579496399278499</v>
      </c>
      <c r="H5096">
        <v>0.31854118497565198</v>
      </c>
      <c r="I5096">
        <v>0.22401933052860801</v>
      </c>
      <c r="J5096">
        <v>0.15599962045149299</v>
      </c>
      <c r="K5096">
        <v>0.24548119328138901</v>
      </c>
      <c r="L5096">
        <v>846.59825925397695</v>
      </c>
      <c r="M5096">
        <v>16.831313517524499</v>
      </c>
      <c r="N5096">
        <v>51.778235317005901</v>
      </c>
      <c r="O5096">
        <v>49.605068899443701</v>
      </c>
      <c r="P5096">
        <v>-6.8640098527827001E-2</v>
      </c>
      <c r="Q5096">
        <v>0.19087050853811899</v>
      </c>
      <c r="R5096">
        <v>0.98684021102473296</v>
      </c>
      <c r="S5096" t="s">
        <v>10679</v>
      </c>
      <c r="T5096" t="s">
        <v>11164</v>
      </c>
      <c r="U5096" t="s">
        <v>11164</v>
      </c>
      <c r="V5096" t="s">
        <v>11164</v>
      </c>
      <c r="W5096" t="s">
        <v>16214</v>
      </c>
      <c r="X5096">
        <v>1</v>
      </c>
      <c r="Y5096" t="s">
        <v>21679</v>
      </c>
      <c r="Z5096" t="s">
        <v>27246</v>
      </c>
      <c r="AA5096">
        <v>0.56368019217132737</v>
      </c>
      <c r="AB5096" t="str">
        <f>HYPERLINK("Melting_Curves/meltCurve_Q9NX08_COMMD8.pdf", "Melting_Curves/meltCurve_Q9NX08_COMMD8.pdf")</f>
        <v>Melting_Curves/meltCurve_Q9NX08_COMMD8.pdf</v>
      </c>
    </row>
    <row r="5097" spans="1:28" x14ac:dyDescent="0.25">
      <c r="A5097" t="s">
        <v>5101</v>
      </c>
      <c r="B5097">
        <v>0.99796759195183404</v>
      </c>
      <c r="C5097">
        <v>1.02393788412334</v>
      </c>
      <c r="D5097">
        <v>1.1514352067151501</v>
      </c>
      <c r="E5097">
        <v>1.0449057142034901</v>
      </c>
      <c r="F5097">
        <v>0.97326597112250202</v>
      </c>
      <c r="G5097">
        <v>0.67623955613065401</v>
      </c>
      <c r="H5097">
        <v>0.97037409706419198</v>
      </c>
      <c r="I5097">
        <v>1.04112185731371</v>
      </c>
      <c r="J5097">
        <v>2.1757920606306298</v>
      </c>
      <c r="K5097">
        <v>2.4487159954986701</v>
      </c>
      <c r="L5097">
        <v>15000</v>
      </c>
      <c r="M5097">
        <v>243.50681171137899</v>
      </c>
      <c r="O5097">
        <v>61.595764620620201</v>
      </c>
      <c r="P5097">
        <v>0.49416306049917402</v>
      </c>
      <c r="Q5097">
        <v>1.5</v>
      </c>
      <c r="R5097">
        <v>0.50176051674034094</v>
      </c>
      <c r="S5097" t="s">
        <v>10680</v>
      </c>
      <c r="T5097" t="s">
        <v>11164</v>
      </c>
      <c r="U5097" t="s">
        <v>11164</v>
      </c>
      <c r="V5097" t="s">
        <v>11164</v>
      </c>
      <c r="W5097" t="s">
        <v>16215</v>
      </c>
      <c r="X5097">
        <v>3</v>
      </c>
      <c r="Y5097" t="s">
        <v>21680</v>
      </c>
      <c r="Z5097" t="s">
        <v>27247</v>
      </c>
      <c r="AA5097">
        <v>1.0899443663506541</v>
      </c>
      <c r="AB5097" t="str">
        <f>HYPERLINK("Melting_Curves/meltCurve_Q9NX14_NDUFB11.pdf", "Melting_Curves/meltCurve_Q9NX14_NDUFB11.pdf")</f>
        <v>Melting_Curves/meltCurve_Q9NX14_NDUFB11.pdf</v>
      </c>
    </row>
    <row r="5098" spans="1:28" x14ac:dyDescent="0.25">
      <c r="A5098" t="s">
        <v>5102</v>
      </c>
      <c r="B5098">
        <v>0.99796759195183404</v>
      </c>
      <c r="C5098">
        <v>1.0200885331398499</v>
      </c>
      <c r="D5098">
        <v>0.96899903294860801</v>
      </c>
      <c r="E5098">
        <v>0.80268043176614701</v>
      </c>
      <c r="F5098">
        <v>0.65571959234751498</v>
      </c>
      <c r="G5098">
        <v>0.48466308683029902</v>
      </c>
      <c r="H5098">
        <v>0.52028439281045602</v>
      </c>
      <c r="I5098">
        <v>0.41715973156253899</v>
      </c>
      <c r="J5098">
        <v>0.47700489255693101</v>
      </c>
      <c r="K5098">
        <v>0.630670766928627</v>
      </c>
      <c r="L5098">
        <v>1146.81039158463</v>
      </c>
      <c r="M5098">
        <v>24.040525717984199</v>
      </c>
      <c r="O5098">
        <v>47.376818349999603</v>
      </c>
      <c r="P5098">
        <v>-6.3106702893963001E-2</v>
      </c>
      <c r="Q5098">
        <v>0.50254867762882305</v>
      </c>
      <c r="R5098">
        <v>0.93966379538648703</v>
      </c>
      <c r="S5098" t="s">
        <v>10681</v>
      </c>
      <c r="T5098" t="s">
        <v>11164</v>
      </c>
      <c r="U5098" t="s">
        <v>11164</v>
      </c>
      <c r="V5098" t="s">
        <v>11164</v>
      </c>
      <c r="W5098" t="s">
        <v>16216</v>
      </c>
      <c r="X5098">
        <v>4</v>
      </c>
      <c r="Y5098" t="s">
        <v>21681</v>
      </c>
      <c r="Z5098" t="s">
        <v>27248</v>
      </c>
      <c r="AA5098">
        <v>0.68458782379589456</v>
      </c>
      <c r="AB5098" t="str">
        <f>HYPERLINK("Melting_Curves/meltCurve_Q9NX24_NHP2.pdf", "Melting_Curves/meltCurve_Q9NX24_NHP2.pdf")</f>
        <v>Melting_Curves/meltCurve_Q9NX24_NHP2.pdf</v>
      </c>
    </row>
    <row r="5099" spans="1:28" x14ac:dyDescent="0.25">
      <c r="A5099" t="s">
        <v>5103</v>
      </c>
      <c r="B5099">
        <v>0.99796759195183404</v>
      </c>
      <c r="C5099">
        <v>1.16554695489238</v>
      </c>
      <c r="D5099">
        <v>0.99984233567285397</v>
      </c>
      <c r="E5099">
        <v>1.0635073915020501</v>
      </c>
      <c r="F5099">
        <v>0.82527850487032595</v>
      </c>
      <c r="G5099">
        <v>0.63889973464081495</v>
      </c>
      <c r="H5099">
        <v>0.42530432580695399</v>
      </c>
      <c r="I5099">
        <v>0.30243141501736998</v>
      </c>
      <c r="J5099">
        <v>0.40918403554059801</v>
      </c>
      <c r="K5099">
        <v>0.190611443714474</v>
      </c>
      <c r="L5099">
        <v>1127.99938179735</v>
      </c>
      <c r="M5099">
        <v>20.9830952716638</v>
      </c>
      <c r="N5099">
        <v>55.831630240194698</v>
      </c>
      <c r="O5099">
        <v>53.276415666742302</v>
      </c>
      <c r="P5099">
        <v>-7.1812903539732201E-2</v>
      </c>
      <c r="Q5099">
        <v>0.270683172904925</v>
      </c>
      <c r="R5099">
        <v>0.946917747291255</v>
      </c>
      <c r="S5099" t="s">
        <v>10682</v>
      </c>
      <c r="T5099" t="s">
        <v>11164</v>
      </c>
      <c r="U5099" t="s">
        <v>11164</v>
      </c>
      <c r="V5099" t="s">
        <v>11164</v>
      </c>
      <c r="W5099" t="s">
        <v>16217</v>
      </c>
      <c r="X5099">
        <v>1</v>
      </c>
      <c r="Y5099" t="s">
        <v>21682</v>
      </c>
      <c r="Z5099" t="s">
        <v>27249</v>
      </c>
      <c r="AA5099">
        <v>0.68642497008810344</v>
      </c>
      <c r="AB5099" t="str">
        <f>HYPERLINK("Melting_Curves/meltCurve_Q9NX38_FAM206A.pdf", "Melting_Curves/meltCurve_Q9NX38_FAM206A.pdf")</f>
        <v>Melting_Curves/meltCurve_Q9NX38_FAM206A.pdf</v>
      </c>
    </row>
    <row r="5100" spans="1:28" x14ac:dyDescent="0.25">
      <c r="A5100" t="s">
        <v>5104</v>
      </c>
      <c r="B5100">
        <v>0.99796759195183404</v>
      </c>
      <c r="C5100">
        <v>1.00024451953698</v>
      </c>
      <c r="D5100">
        <v>1.0334837680258799</v>
      </c>
      <c r="E5100">
        <v>0.96817301008698797</v>
      </c>
      <c r="F5100">
        <v>0.83253078613824205</v>
      </c>
      <c r="G5100">
        <v>0.66913120782657298</v>
      </c>
      <c r="H5100">
        <v>0.67731001410285696</v>
      </c>
      <c r="I5100">
        <v>0.58643010687810904</v>
      </c>
      <c r="J5100">
        <v>0.70706817755125195</v>
      </c>
      <c r="K5100">
        <v>0.67920682182890102</v>
      </c>
      <c r="L5100">
        <v>1977.0757555155601</v>
      </c>
      <c r="M5100">
        <v>39.415053929409297</v>
      </c>
      <c r="O5100">
        <v>50.031823133387597</v>
      </c>
      <c r="P5100">
        <v>-6.7076779136469894E-2</v>
      </c>
      <c r="Q5100">
        <v>0.65942290079589005</v>
      </c>
      <c r="R5100">
        <v>0.96233754513604497</v>
      </c>
      <c r="S5100" t="s">
        <v>10683</v>
      </c>
      <c r="T5100" t="s">
        <v>11164</v>
      </c>
      <c r="U5100" t="s">
        <v>11164</v>
      </c>
      <c r="V5100" t="s">
        <v>11164</v>
      </c>
      <c r="W5100" t="s">
        <v>16218</v>
      </c>
      <c r="X5100">
        <v>14</v>
      </c>
      <c r="Y5100" t="s">
        <v>21683</v>
      </c>
      <c r="Z5100" t="s">
        <v>27250</v>
      </c>
      <c r="AA5100">
        <v>0.8100429858393684</v>
      </c>
      <c r="AB5100" t="str">
        <f>HYPERLINK("Melting_Curves/meltCurve_Q9NX40_OCIAD1.pdf", "Melting_Curves/meltCurve_Q9NX40_OCIAD1.pdf")</f>
        <v>Melting_Curves/meltCurve_Q9NX40_OCIAD1.pdf</v>
      </c>
    </row>
    <row r="5101" spans="1:28" x14ac:dyDescent="0.25">
      <c r="A5101" t="s">
        <v>5105</v>
      </c>
      <c r="B5101">
        <v>0.99796759195183404</v>
      </c>
      <c r="C5101">
        <v>1.0288667868511501</v>
      </c>
      <c r="D5101">
        <v>1.0003145067194299</v>
      </c>
      <c r="E5101">
        <v>0.92822149758462702</v>
      </c>
      <c r="F5101">
        <v>0.81967990289847104</v>
      </c>
      <c r="G5101">
        <v>0.50770929465246595</v>
      </c>
      <c r="H5101">
        <v>0.34179184442013699</v>
      </c>
      <c r="I5101">
        <v>0.26258443226264</v>
      </c>
      <c r="J5101">
        <v>0.19203134050019199</v>
      </c>
      <c r="K5101">
        <v>0.13857414193987999</v>
      </c>
      <c r="L5101">
        <v>958.27066988524803</v>
      </c>
      <c r="M5101">
        <v>17.963916631345899</v>
      </c>
      <c r="N5101">
        <v>54.402104973317897</v>
      </c>
      <c r="O5101">
        <v>52.6963190354681</v>
      </c>
      <c r="P5101">
        <v>-7.2663760241967398E-2</v>
      </c>
      <c r="Q5101">
        <v>0.14741927094285301</v>
      </c>
      <c r="R5101">
        <v>0.99561446193831704</v>
      </c>
      <c r="S5101" t="s">
        <v>10684</v>
      </c>
      <c r="T5101" t="s">
        <v>11164</v>
      </c>
      <c r="U5101" t="s">
        <v>11164</v>
      </c>
      <c r="V5101" t="s">
        <v>11164</v>
      </c>
      <c r="W5101" t="s">
        <v>16219</v>
      </c>
      <c r="X5101">
        <v>11</v>
      </c>
      <c r="Y5101" t="s">
        <v>21684</v>
      </c>
      <c r="Z5101" t="s">
        <v>27251</v>
      </c>
      <c r="AA5101">
        <v>0.62412186998059882</v>
      </c>
      <c r="AB5101" t="str">
        <f>HYPERLINK("Melting_Curves/meltCurve_Q9NX46_ADPRHL2.pdf", "Melting_Curves/meltCurve_Q9NX46_ADPRHL2.pdf")</f>
        <v>Melting_Curves/meltCurve_Q9NX46_ADPRHL2.pdf</v>
      </c>
    </row>
    <row r="5102" spans="1:28" x14ac:dyDescent="0.25">
      <c r="A5102" t="s">
        <v>5106</v>
      </c>
      <c r="B5102">
        <v>0.99796759195183404</v>
      </c>
      <c r="C5102">
        <v>0.99087902172408704</v>
      </c>
      <c r="D5102">
        <v>1.06944205673783</v>
      </c>
      <c r="E5102">
        <v>1.0582456484527001</v>
      </c>
      <c r="F5102">
        <v>0.905602724053302</v>
      </c>
      <c r="G5102">
        <v>0.735430284684226</v>
      </c>
      <c r="H5102">
        <v>0.68814771960685595</v>
      </c>
      <c r="I5102">
        <v>0.62133623054133003</v>
      </c>
      <c r="J5102">
        <v>0.57472193360554102</v>
      </c>
      <c r="K5102">
        <v>0.291353315596381</v>
      </c>
      <c r="L5102">
        <v>566.15226423253205</v>
      </c>
      <c r="M5102">
        <v>8.9450127584690602</v>
      </c>
      <c r="N5102">
        <v>63.2925027264329</v>
      </c>
      <c r="O5102">
        <v>60.369077629504503</v>
      </c>
      <c r="P5102">
        <v>-3.7070556625378198E-2</v>
      </c>
      <c r="Q5102">
        <v>0</v>
      </c>
      <c r="R5102">
        <v>0.921764486232592</v>
      </c>
      <c r="S5102" t="s">
        <v>10685</v>
      </c>
      <c r="T5102" t="s">
        <v>11164</v>
      </c>
      <c r="U5102" t="s">
        <v>11164</v>
      </c>
      <c r="V5102" t="s">
        <v>11164</v>
      </c>
      <c r="W5102" t="s">
        <v>16220</v>
      </c>
      <c r="X5102">
        <v>4</v>
      </c>
      <c r="Y5102" t="s">
        <v>21685</v>
      </c>
      <c r="Z5102" t="s">
        <v>27252</v>
      </c>
      <c r="AA5102">
        <v>0.799433366891527</v>
      </c>
      <c r="AB5102" t="str">
        <f>HYPERLINK("Melting_Curves/meltCurve_Q9NX47_MARCH5.pdf", "Melting_Curves/meltCurve_Q9NX47_MARCH5.pdf")</f>
        <v>Melting_Curves/meltCurve_Q9NX47_MARCH5.pdf</v>
      </c>
    </row>
    <row r="5103" spans="1:28" x14ac:dyDescent="0.25">
      <c r="A5103" t="s">
        <v>5107</v>
      </c>
      <c r="B5103">
        <v>0.99796759195183404</v>
      </c>
      <c r="C5103">
        <v>0.98568747998066597</v>
      </c>
      <c r="D5103">
        <v>0.99153362710565096</v>
      </c>
      <c r="E5103">
        <v>0.85183399080523003</v>
      </c>
      <c r="F5103">
        <v>0.91463901189863706</v>
      </c>
      <c r="G5103">
        <v>0.730982543698243</v>
      </c>
      <c r="H5103">
        <v>0.6219790411053</v>
      </c>
      <c r="I5103">
        <v>0.716821201878586</v>
      </c>
      <c r="J5103">
        <v>0.85668226068331998</v>
      </c>
      <c r="K5103">
        <v>0.72917777421448204</v>
      </c>
      <c r="L5103">
        <v>890.24495750318897</v>
      </c>
      <c r="M5103">
        <v>18.4101212506162</v>
      </c>
      <c r="O5103">
        <v>47.796564967940498</v>
      </c>
      <c r="P5103">
        <v>-2.60166614057795E-2</v>
      </c>
      <c r="Q5103">
        <v>0.729833185259262</v>
      </c>
      <c r="R5103">
        <v>0.72630085760384799</v>
      </c>
      <c r="S5103" t="s">
        <v>10686</v>
      </c>
      <c r="T5103" t="s">
        <v>11164</v>
      </c>
      <c r="U5103" t="s">
        <v>11164</v>
      </c>
      <c r="V5103" t="s">
        <v>11164</v>
      </c>
      <c r="W5103" t="s">
        <v>16221</v>
      </c>
      <c r="X5103">
        <v>8</v>
      </c>
      <c r="Y5103" t="s">
        <v>21686</v>
      </c>
      <c r="Z5103" t="s">
        <v>27253</v>
      </c>
      <c r="AA5103">
        <v>0.83624229288266483</v>
      </c>
      <c r="AB5103" t="str">
        <f>HYPERLINK("Melting_Curves/meltCurve_Q9NX55_HYPK.pdf", "Melting_Curves/meltCurve_Q9NX55_HYPK.pdf")</f>
        <v>Melting_Curves/meltCurve_Q9NX55_HYPK.pdf</v>
      </c>
    </row>
    <row r="5104" spans="1:28" x14ac:dyDescent="0.25">
      <c r="A5104" t="s">
        <v>5108</v>
      </c>
      <c r="B5104">
        <v>0.99796759195183404</v>
      </c>
      <c r="C5104">
        <v>1.08216487194266</v>
      </c>
      <c r="D5104">
        <v>1.02538695339023</v>
      </c>
      <c r="E5104">
        <v>1.04881384139623</v>
      </c>
      <c r="F5104">
        <v>0.92512594525527103</v>
      </c>
      <c r="G5104">
        <v>0.70770295324737797</v>
      </c>
      <c r="H5104">
        <v>0.77466108253196198</v>
      </c>
      <c r="I5104">
        <v>0.606689420326323</v>
      </c>
      <c r="J5104">
        <v>0.57253233069999299</v>
      </c>
      <c r="K5104">
        <v>0.20845618486865</v>
      </c>
      <c r="L5104">
        <v>659.11906777882996</v>
      </c>
      <c r="M5104">
        <v>10.4903605283438</v>
      </c>
      <c r="N5104">
        <v>62.830915930399001</v>
      </c>
      <c r="O5104">
        <v>60.676499825864603</v>
      </c>
      <c r="P5104">
        <v>-4.3239988964973199E-2</v>
      </c>
      <c r="Q5104">
        <v>0</v>
      </c>
      <c r="R5104">
        <v>0.89751081346248196</v>
      </c>
      <c r="S5104" t="s">
        <v>10687</v>
      </c>
      <c r="T5104" t="s">
        <v>11164</v>
      </c>
      <c r="U5104" t="s">
        <v>11164</v>
      </c>
      <c r="V5104" t="s">
        <v>11164</v>
      </c>
      <c r="W5104" t="s">
        <v>16222</v>
      </c>
      <c r="X5104">
        <v>7</v>
      </c>
      <c r="Y5104" t="s">
        <v>21687</v>
      </c>
      <c r="Z5104" t="s">
        <v>27254</v>
      </c>
      <c r="AA5104">
        <v>0.80497441105172729</v>
      </c>
      <c r="AB5104" t="str">
        <f>HYPERLINK("Melting_Curves/meltCurve_Q9NX62_IMPAD1.pdf", "Melting_Curves/meltCurve_Q9NX62_IMPAD1.pdf")</f>
        <v>Melting_Curves/meltCurve_Q9NX62_IMPAD1.pdf</v>
      </c>
    </row>
    <row r="5105" spans="1:28" x14ac:dyDescent="0.25">
      <c r="A5105" t="s">
        <v>5109</v>
      </c>
      <c r="B5105">
        <v>0.99796759195183404</v>
      </c>
      <c r="C5105">
        <v>1.08606255656745</v>
      </c>
      <c r="D5105">
        <v>1.00094777723549</v>
      </c>
      <c r="E5105">
        <v>0.94609606452489303</v>
      </c>
      <c r="F5105">
        <v>0.73989021155831003</v>
      </c>
      <c r="G5105">
        <v>0.41198958947984099</v>
      </c>
      <c r="H5105">
        <v>0.375764644481766</v>
      </c>
      <c r="I5105">
        <v>0.35307633613020101</v>
      </c>
      <c r="J5105">
        <v>0.318137224690072</v>
      </c>
      <c r="K5105">
        <v>0.24115692145056</v>
      </c>
      <c r="L5105">
        <v>1418.87501643832</v>
      </c>
      <c r="M5105">
        <v>27.821232437584001</v>
      </c>
      <c r="N5105">
        <v>52.806397511601297</v>
      </c>
      <c r="O5105">
        <v>50.738408678885897</v>
      </c>
      <c r="P5105">
        <v>-9.5000259335502796E-2</v>
      </c>
      <c r="Q5105">
        <v>0.30698690439645598</v>
      </c>
      <c r="R5105">
        <v>0.98448349589426898</v>
      </c>
      <c r="S5105" t="s">
        <v>10688</v>
      </c>
      <c r="T5105" t="s">
        <v>11164</v>
      </c>
      <c r="U5105" t="s">
        <v>11164</v>
      </c>
      <c r="V5105" t="s">
        <v>11164</v>
      </c>
      <c r="W5105" t="s">
        <v>16223</v>
      </c>
      <c r="X5105">
        <v>4</v>
      </c>
      <c r="Y5105" t="s">
        <v>21688</v>
      </c>
      <c r="Z5105" t="s">
        <v>27255</v>
      </c>
      <c r="AA5105">
        <v>0.63538213161074852</v>
      </c>
      <c r="AB5105" t="str">
        <f>HYPERLINK("Melting_Curves/meltCurve_Q9NX70_MED29.pdf", "Melting_Curves/meltCurve_Q9NX70_MED29.pdf")</f>
        <v>Melting_Curves/meltCurve_Q9NX70_MED29.pdf</v>
      </c>
    </row>
    <row r="5106" spans="1:28" x14ac:dyDescent="0.25">
      <c r="A5106" t="s">
        <v>5110</v>
      </c>
      <c r="B5106">
        <v>0.99796759195183404</v>
      </c>
      <c r="C5106">
        <v>1.06015045121156</v>
      </c>
      <c r="D5106">
        <v>1.0106581493432101</v>
      </c>
      <c r="E5106">
        <v>0.96936772351211797</v>
      </c>
      <c r="F5106">
        <v>0.82012912173494601</v>
      </c>
      <c r="G5106">
        <v>0.54374541083186101</v>
      </c>
      <c r="H5106">
        <v>0.27925183643100498</v>
      </c>
      <c r="I5106">
        <v>0.187347758966914</v>
      </c>
      <c r="J5106">
        <v>0.169615551185202</v>
      </c>
      <c r="K5106">
        <v>9.2661470009448299E-2</v>
      </c>
      <c r="L5106">
        <v>1112.32891143349</v>
      </c>
      <c r="M5106">
        <v>20.747390328948999</v>
      </c>
      <c r="N5106">
        <v>54.2659337132378</v>
      </c>
      <c r="O5106">
        <v>53.122337193120202</v>
      </c>
      <c r="P5106">
        <v>-8.6856556956284595E-2</v>
      </c>
      <c r="Q5106">
        <v>0.110462890877081</v>
      </c>
      <c r="R5106">
        <v>0.995685274176489</v>
      </c>
      <c r="S5106" t="s">
        <v>10689</v>
      </c>
      <c r="T5106" t="s">
        <v>11164</v>
      </c>
      <c r="U5106" t="s">
        <v>11164</v>
      </c>
      <c r="V5106" t="s">
        <v>11164</v>
      </c>
      <c r="W5106" t="s">
        <v>16224</v>
      </c>
      <c r="X5106">
        <v>14</v>
      </c>
      <c r="Y5106" t="s">
        <v>21689</v>
      </c>
      <c r="Z5106" t="s">
        <v>27256</v>
      </c>
      <c r="AA5106">
        <v>0.61346982824803808</v>
      </c>
      <c r="AB5106" t="str">
        <f>HYPERLINK("Melting_Curves/meltCurve_Q9NX74_DUS2L.pdf", "Melting_Curves/meltCurve_Q9NX74_DUS2L.pdf")</f>
        <v>Melting_Curves/meltCurve_Q9NX74_DUS2L.pdf</v>
      </c>
    </row>
    <row r="5107" spans="1:28" x14ac:dyDescent="0.25">
      <c r="A5107" t="s">
        <v>5111</v>
      </c>
      <c r="B5107">
        <v>0.99796759195183404</v>
      </c>
      <c r="C5107">
        <v>1.0830888178850699</v>
      </c>
      <c r="D5107">
        <v>1.0457212610878399</v>
      </c>
      <c r="E5107">
        <v>1.0017980927224399</v>
      </c>
      <c r="F5107">
        <v>0.85149254222929005</v>
      </c>
      <c r="G5107">
        <v>0.35973472740065898</v>
      </c>
      <c r="H5107">
        <v>0.164739511607668</v>
      </c>
      <c r="I5107">
        <v>0.119487586424811</v>
      </c>
      <c r="J5107">
        <v>9.5786132805913193E-2</v>
      </c>
      <c r="K5107">
        <v>0.11285901119462401</v>
      </c>
      <c r="L5107">
        <v>1885.4158386113099</v>
      </c>
      <c r="M5107">
        <v>35.963374579786198</v>
      </c>
      <c r="N5107">
        <v>52.794621341253603</v>
      </c>
      <c r="O5107">
        <v>52.264708450561002</v>
      </c>
      <c r="P5107">
        <v>-0.15292588168839399</v>
      </c>
      <c r="Q5107">
        <v>0.111029060827774</v>
      </c>
      <c r="R5107">
        <v>0.99453958866409797</v>
      </c>
      <c r="S5107" t="s">
        <v>10690</v>
      </c>
      <c r="T5107" t="s">
        <v>11164</v>
      </c>
      <c r="U5107" t="s">
        <v>11164</v>
      </c>
      <c r="V5107" t="s">
        <v>11164</v>
      </c>
      <c r="W5107" t="s">
        <v>16225</v>
      </c>
      <c r="X5107">
        <v>12</v>
      </c>
      <c r="Y5107" t="s">
        <v>21690</v>
      </c>
      <c r="Z5107" t="s">
        <v>27257</v>
      </c>
      <c r="AA5107">
        <v>0.57210224691418987</v>
      </c>
      <c r="AB5107" t="str">
        <f>HYPERLINK("Melting_Curves/meltCurve_Q9NXA8_SIRT5.pdf", "Melting_Curves/meltCurve_Q9NXA8_SIRT5.pdf")</f>
        <v>Melting_Curves/meltCurve_Q9NXA8_SIRT5.pdf</v>
      </c>
    </row>
    <row r="5108" spans="1:28" x14ac:dyDescent="0.25">
      <c r="A5108" t="s">
        <v>5112</v>
      </c>
      <c r="B5108">
        <v>0.99796759195183404</v>
      </c>
      <c r="C5108">
        <v>1.1338751671779901</v>
      </c>
      <c r="D5108">
        <v>1.05209886674832</v>
      </c>
      <c r="E5108">
        <v>0.96803904028704901</v>
      </c>
      <c r="F5108">
        <v>0.79626424155520004</v>
      </c>
      <c r="G5108">
        <v>0.50303698584246204</v>
      </c>
      <c r="H5108">
        <v>0.34184665435431599</v>
      </c>
      <c r="I5108">
        <v>0.25053122043584403</v>
      </c>
      <c r="J5108">
        <v>0.21064331870618899</v>
      </c>
      <c r="K5108">
        <v>0.122657672093619</v>
      </c>
      <c r="L5108">
        <v>1034.4687365952</v>
      </c>
      <c r="M5108">
        <v>19.461366205924701</v>
      </c>
      <c r="N5108">
        <v>54.223563673441703</v>
      </c>
      <c r="O5108">
        <v>52.6032963352461</v>
      </c>
      <c r="P5108">
        <v>-7.7762872854923004E-2</v>
      </c>
      <c r="Q5108">
        <v>0.15927073124744201</v>
      </c>
      <c r="R5108">
        <v>0.980194269859755</v>
      </c>
      <c r="S5108" t="s">
        <v>10691</v>
      </c>
      <c r="T5108" t="s">
        <v>11164</v>
      </c>
      <c r="U5108" t="s">
        <v>11164</v>
      </c>
      <c r="V5108" t="s">
        <v>11164</v>
      </c>
      <c r="W5108" t="s">
        <v>16226</v>
      </c>
      <c r="X5108">
        <v>3</v>
      </c>
      <c r="Y5108" t="s">
        <v>21691</v>
      </c>
      <c r="Z5108" t="s">
        <v>27258</v>
      </c>
      <c r="AA5108">
        <v>0.62294965436659167</v>
      </c>
      <c r="AB5108" t="str">
        <f>HYPERLINK("Melting_Curves/meltCurve_Q9NXF7_DCAF16.pdf", "Melting_Curves/meltCurve_Q9NXF7_DCAF16.pdf")</f>
        <v>Melting_Curves/meltCurve_Q9NXF7_DCAF16.pdf</v>
      </c>
    </row>
    <row r="5109" spans="1:28" x14ac:dyDescent="0.25">
      <c r="A5109" t="s">
        <v>5113</v>
      </c>
      <c r="B5109">
        <v>0.99796759195183404</v>
      </c>
      <c r="C5109">
        <v>1.0265020819585799</v>
      </c>
      <c r="D5109">
        <v>0.93422454724255799</v>
      </c>
      <c r="E5109">
        <v>0.91142163202780702</v>
      </c>
      <c r="F5109">
        <v>0.86447965549073102</v>
      </c>
      <c r="G5109">
        <v>1.1931056660800099</v>
      </c>
      <c r="H5109">
        <v>1.1100976569480701</v>
      </c>
      <c r="I5109">
        <v>1.0373026668207299</v>
      </c>
      <c r="J5109">
        <v>0.64974095052992897</v>
      </c>
      <c r="K5109">
        <v>0.14883905426067301</v>
      </c>
      <c r="L5109">
        <v>15000</v>
      </c>
      <c r="M5109">
        <v>233.65152229792699</v>
      </c>
      <c r="N5109">
        <v>64.295368706307002</v>
      </c>
      <c r="O5109">
        <v>64.1934638269815</v>
      </c>
      <c r="P5109">
        <v>-0.77455871299877699</v>
      </c>
      <c r="Q5109">
        <v>0.14879033588600599</v>
      </c>
      <c r="R5109">
        <v>0.89773985155662495</v>
      </c>
      <c r="S5109" t="s">
        <v>10692</v>
      </c>
      <c r="T5109" t="s">
        <v>11164</v>
      </c>
      <c r="U5109" t="s">
        <v>11164</v>
      </c>
      <c r="V5109" t="s">
        <v>11164</v>
      </c>
      <c r="W5109" t="s">
        <v>16227</v>
      </c>
      <c r="X5109">
        <v>34</v>
      </c>
      <c r="Y5109" t="s">
        <v>21692</v>
      </c>
      <c r="Z5109" t="s">
        <v>27259</v>
      </c>
      <c r="AA5109">
        <v>0.92061113031679942</v>
      </c>
      <c r="AB5109" t="str">
        <f>HYPERLINK("Melting_Curves/meltCurve_Q9NXH9_TRMT1.pdf", "Melting_Curves/meltCurve_Q9NXH9_TRMT1.pdf")</f>
        <v>Melting_Curves/meltCurve_Q9NXH9_TRMT1.pdf</v>
      </c>
    </row>
    <row r="5110" spans="1:28" x14ac:dyDescent="0.25">
      <c r="A5110" t="s">
        <v>5114</v>
      </c>
      <c r="B5110">
        <v>0.99796759195183404</v>
      </c>
      <c r="C5110">
        <v>0.90865390099673105</v>
      </c>
      <c r="D5110">
        <v>1.0175153327612201</v>
      </c>
      <c r="E5110">
        <v>0.81891910834598503</v>
      </c>
      <c r="F5110">
        <v>0.59232096274315205</v>
      </c>
      <c r="G5110">
        <v>0.23233737980720301</v>
      </c>
      <c r="H5110">
        <v>0.20257446505683799</v>
      </c>
      <c r="I5110">
        <v>0.15076122198778599</v>
      </c>
      <c r="J5110">
        <v>0.110467307796747</v>
      </c>
      <c r="K5110">
        <v>0</v>
      </c>
      <c r="L5110">
        <v>937.17264873511499</v>
      </c>
      <c r="M5110">
        <v>18.547316776843299</v>
      </c>
      <c r="N5110">
        <v>50.921696798040998</v>
      </c>
      <c r="O5110">
        <v>49.952360823628702</v>
      </c>
      <c r="P5110">
        <v>-8.6639261025986694E-2</v>
      </c>
      <c r="Q5110">
        <v>6.6680194803404896E-2</v>
      </c>
      <c r="R5110">
        <v>0.982498344487574</v>
      </c>
      <c r="S5110" t="s">
        <v>10693</v>
      </c>
      <c r="T5110" t="s">
        <v>11164</v>
      </c>
      <c r="U5110" t="s">
        <v>11164</v>
      </c>
      <c r="V5110" t="s">
        <v>11164</v>
      </c>
      <c r="W5110" t="s">
        <v>16228</v>
      </c>
      <c r="X5110">
        <v>3</v>
      </c>
      <c r="Y5110" t="s">
        <v>21693</v>
      </c>
      <c r="Z5110" t="s">
        <v>27260</v>
      </c>
      <c r="AA5110">
        <v>0.50147666702350235</v>
      </c>
      <c r="AB5110" t="str">
        <f>HYPERLINK("Melting_Curves/meltCurve_Q9NXN4_2_GDAP2.pdf", "Melting_Curves/meltCurve_Q9NXN4_2_GDAP2.pdf")</f>
        <v>Melting_Curves/meltCurve_Q9NXN4_2_GDAP2.pdf</v>
      </c>
    </row>
    <row r="5111" spans="1:28" x14ac:dyDescent="0.25">
      <c r="A5111" t="s">
        <v>5115</v>
      </c>
      <c r="B5111">
        <v>0.99796759195183404</v>
      </c>
      <c r="C5111">
        <v>1.03904726449302</v>
      </c>
      <c r="D5111">
        <v>0.97930183493214795</v>
      </c>
      <c r="E5111">
        <v>0.94652610363681799</v>
      </c>
      <c r="F5111">
        <v>0.92601759823827101</v>
      </c>
      <c r="G5111">
        <v>0.57621036326734498</v>
      </c>
      <c r="H5111">
        <v>0.56107482222610905</v>
      </c>
      <c r="I5111">
        <v>0.486431755053915</v>
      </c>
      <c r="J5111">
        <v>0.46799223127184902</v>
      </c>
      <c r="K5111">
        <v>0.48034532833530103</v>
      </c>
      <c r="L5111">
        <v>2314.86427745931</v>
      </c>
      <c r="M5111">
        <v>44.496234151571599</v>
      </c>
      <c r="N5111">
        <v>57.850466773389499</v>
      </c>
      <c r="O5111">
        <v>51.9190739754467</v>
      </c>
      <c r="P5111">
        <v>-0.108341157490647</v>
      </c>
      <c r="Q5111">
        <v>0.49434238169779499</v>
      </c>
      <c r="R5111">
        <v>0.98335424562518303</v>
      </c>
      <c r="S5111" t="s">
        <v>10694</v>
      </c>
      <c r="T5111" t="s">
        <v>11164</v>
      </c>
      <c r="U5111" t="s">
        <v>11164</v>
      </c>
      <c r="V5111" t="s">
        <v>11164</v>
      </c>
      <c r="W5111" t="s">
        <v>16229</v>
      </c>
      <c r="X5111">
        <v>11</v>
      </c>
      <c r="Y5111" t="s">
        <v>21694</v>
      </c>
      <c r="Z5111" t="s">
        <v>27261</v>
      </c>
      <c r="AA5111">
        <v>0.74903846063266544</v>
      </c>
      <c r="AB5111" t="str">
        <f>HYPERLINK("Melting_Curves/meltCurve_Q9NXR1_2_NDE1.pdf", "Melting_Curves/meltCurve_Q9NXR1_2_NDE1.pdf")</f>
        <v>Melting_Curves/meltCurve_Q9NXR1_2_NDE1.pdf</v>
      </c>
    </row>
    <row r="5112" spans="1:28" x14ac:dyDescent="0.25">
      <c r="A5112" t="s">
        <v>5116</v>
      </c>
      <c r="B5112">
        <v>0.99796759195183404</v>
      </c>
      <c r="C5112">
        <v>1.0713002191848899</v>
      </c>
      <c r="D5112">
        <v>0.94747618952885404</v>
      </c>
      <c r="E5112">
        <v>1.0041729799344801</v>
      </c>
      <c r="F5112">
        <v>0.83605612523469197</v>
      </c>
      <c r="G5112">
        <v>0.85537410853640095</v>
      </c>
      <c r="H5112">
        <v>0.90503801535886497</v>
      </c>
      <c r="I5112">
        <v>0.87486673186494102</v>
      </c>
      <c r="J5112">
        <v>0.76896903942927397</v>
      </c>
      <c r="K5112">
        <v>0.43054244934674801</v>
      </c>
      <c r="L5112">
        <v>1450.4087675921601</v>
      </c>
      <c r="M5112">
        <v>21.7632174279324</v>
      </c>
      <c r="N5112">
        <v>66.644948254766703</v>
      </c>
      <c r="O5112">
        <v>66.089921670464705</v>
      </c>
      <c r="P5112">
        <v>-8.2326185521713502E-2</v>
      </c>
      <c r="Q5112">
        <v>0</v>
      </c>
      <c r="R5112">
        <v>0.77633854149521597</v>
      </c>
      <c r="S5112" t="s">
        <v>10695</v>
      </c>
      <c r="T5112" t="s">
        <v>11164</v>
      </c>
      <c r="U5112" t="s">
        <v>11164</v>
      </c>
      <c r="V5112" t="s">
        <v>11164</v>
      </c>
      <c r="W5112" t="s">
        <v>16230</v>
      </c>
      <c r="X5112">
        <v>7</v>
      </c>
      <c r="Y5112" t="s">
        <v>21695</v>
      </c>
      <c r="Z5112" t="s">
        <v>27262</v>
      </c>
      <c r="AA5112">
        <v>0.92989102347146158</v>
      </c>
      <c r="AB5112" t="str">
        <f>HYPERLINK("Melting_Curves/meltCurve_Q9NXR7_BRE.pdf", "Melting_Curves/meltCurve_Q9NXR7_BRE.pdf")</f>
        <v>Melting_Curves/meltCurve_Q9NXR7_BRE.pdf</v>
      </c>
    </row>
    <row r="5113" spans="1:28" x14ac:dyDescent="0.25">
      <c r="A5113" t="s">
        <v>5117</v>
      </c>
      <c r="B5113">
        <v>0.99796759195183404</v>
      </c>
      <c r="C5113">
        <v>0.98995325607026696</v>
      </c>
      <c r="D5113">
        <v>0.98400096281758298</v>
      </c>
      <c r="E5113">
        <v>0.94609240778804604</v>
      </c>
      <c r="F5113">
        <v>0.69991653416370203</v>
      </c>
      <c r="G5113">
        <v>0.571231392844744</v>
      </c>
      <c r="H5113">
        <v>0.30967964810802601</v>
      </c>
      <c r="I5113">
        <v>0.25556689688330397</v>
      </c>
      <c r="J5113">
        <v>0.19761617945511301</v>
      </c>
      <c r="K5113">
        <v>0.114511312556657</v>
      </c>
      <c r="L5113">
        <v>769.20605388253102</v>
      </c>
      <c r="M5113">
        <v>14.362950484364999</v>
      </c>
      <c r="N5113">
        <v>54.362687818441202</v>
      </c>
      <c r="O5113">
        <v>52.548817671281803</v>
      </c>
      <c r="P5113">
        <v>-6.1772548123339301E-2</v>
      </c>
      <c r="Q5113">
        <v>9.6094995812405798E-2</v>
      </c>
      <c r="R5113">
        <v>0.99231487462520696</v>
      </c>
      <c r="S5113" t="s">
        <v>10696</v>
      </c>
      <c r="T5113" t="s">
        <v>11164</v>
      </c>
      <c r="U5113" t="s">
        <v>11164</v>
      </c>
      <c r="V5113" t="s">
        <v>11164</v>
      </c>
      <c r="W5113" t="s">
        <v>16231</v>
      </c>
      <c r="X5113">
        <v>4</v>
      </c>
      <c r="Y5113" t="s">
        <v>21696</v>
      </c>
      <c r="Z5113" t="s">
        <v>27263</v>
      </c>
      <c r="AA5113">
        <v>0.61078154978568933</v>
      </c>
      <c r="AB5113" t="str">
        <f>HYPERLINK("Melting_Curves/meltCurve_Q9NXU5_ARL15.pdf", "Melting_Curves/meltCurve_Q9NXU5_ARL15.pdf")</f>
        <v>Melting_Curves/meltCurve_Q9NXU5_ARL15.pdf</v>
      </c>
    </row>
    <row r="5114" spans="1:28" x14ac:dyDescent="0.25">
      <c r="A5114" t="s">
        <v>5118</v>
      </c>
      <c r="B5114">
        <v>0.99796759195183404</v>
      </c>
      <c r="C5114">
        <v>1.03480679672433</v>
      </c>
      <c r="D5114">
        <v>0.87288485109110203</v>
      </c>
      <c r="E5114">
        <v>1.0178365859192999</v>
      </c>
      <c r="F5114">
        <v>0.99710945099195103</v>
      </c>
      <c r="G5114">
        <v>1.1847487434605199</v>
      </c>
      <c r="H5114">
        <v>0.97346962843263096</v>
      </c>
      <c r="I5114">
        <v>0.96696713229372</v>
      </c>
      <c r="J5114">
        <v>0.98137042034725197</v>
      </c>
      <c r="K5114">
        <v>0.59758859829363897</v>
      </c>
      <c r="L5114">
        <v>5189.2746834558602</v>
      </c>
      <c r="M5114">
        <v>77.056211864069994</v>
      </c>
      <c r="Q5114">
        <v>0</v>
      </c>
      <c r="R5114">
        <v>0.734392043898626</v>
      </c>
      <c r="S5114" t="s">
        <v>10697</v>
      </c>
      <c r="T5114" t="s">
        <v>11164</v>
      </c>
      <c r="U5114" t="s">
        <v>11164</v>
      </c>
      <c r="V5114" t="s">
        <v>11164</v>
      </c>
      <c r="W5114" t="s">
        <v>16232</v>
      </c>
      <c r="X5114">
        <v>2</v>
      </c>
      <c r="Y5114" t="s">
        <v>21697</v>
      </c>
      <c r="Z5114" t="s">
        <v>27264</v>
      </c>
      <c r="AA5114">
        <v>0.9855750290103612</v>
      </c>
      <c r="AB5114" t="str">
        <f>HYPERLINK("Melting_Curves/meltCurve_Q9NXV2_KCTD5.pdf", "Melting_Curves/meltCurve_Q9NXV2_KCTD5.pdf")</f>
        <v>Melting_Curves/meltCurve_Q9NXV2_KCTD5.pdf</v>
      </c>
    </row>
    <row r="5115" spans="1:28" x14ac:dyDescent="0.25">
      <c r="A5115" t="s">
        <v>5119</v>
      </c>
      <c r="B5115">
        <v>0.99796759195183404</v>
      </c>
      <c r="C5115">
        <v>0.93845462111201505</v>
      </c>
      <c r="D5115">
        <v>0.95480638738569501</v>
      </c>
      <c r="E5115">
        <v>0.92938379200242605</v>
      </c>
      <c r="F5115">
        <v>0.73745215427144895</v>
      </c>
      <c r="G5115">
        <v>0.54367595001330804</v>
      </c>
      <c r="H5115">
        <v>0.29175417760316202</v>
      </c>
      <c r="I5115">
        <v>0.21287544113787599</v>
      </c>
      <c r="J5115">
        <v>0.14127617948434901</v>
      </c>
      <c r="K5115">
        <v>9.4381569634947607E-2</v>
      </c>
      <c r="L5115">
        <v>775.88364922281005</v>
      </c>
      <c r="M5115">
        <v>14.429022617171</v>
      </c>
      <c r="N5115">
        <v>54.1682077115575</v>
      </c>
      <c r="O5115">
        <v>52.771231505098001</v>
      </c>
      <c r="P5115">
        <v>-6.4944263142041006E-2</v>
      </c>
      <c r="Q5115">
        <v>5.0029696876608298E-2</v>
      </c>
      <c r="R5115">
        <v>0.995260391972145</v>
      </c>
      <c r="S5115" t="s">
        <v>10698</v>
      </c>
      <c r="T5115" t="s">
        <v>11164</v>
      </c>
      <c r="U5115" t="s">
        <v>11164</v>
      </c>
      <c r="V5115" t="s">
        <v>11164</v>
      </c>
      <c r="W5115" t="s">
        <v>16233</v>
      </c>
      <c r="X5115">
        <v>8</v>
      </c>
      <c r="Y5115" t="s">
        <v>21698</v>
      </c>
      <c r="Z5115" t="s">
        <v>27265</v>
      </c>
      <c r="AA5115">
        <v>0.59737659371983243</v>
      </c>
      <c r="AB5115" t="str">
        <f>HYPERLINK("Melting_Curves/meltCurve_Q9NXV6_CDKN2AIP.pdf", "Melting_Curves/meltCurve_Q9NXV6_CDKN2AIP.pdf")</f>
        <v>Melting_Curves/meltCurve_Q9NXV6_CDKN2AIP.pdf</v>
      </c>
    </row>
    <row r="5116" spans="1:28" x14ac:dyDescent="0.25">
      <c r="A5116" t="s">
        <v>5120</v>
      </c>
      <c r="B5116">
        <v>0.99796759195183404</v>
      </c>
      <c r="C5116">
        <v>1.0699479443565201</v>
      </c>
      <c r="D5116">
        <v>1.0035979775079999</v>
      </c>
      <c r="E5116">
        <v>1.0042122936884701</v>
      </c>
      <c r="F5116">
        <v>0.86866320097920002</v>
      </c>
      <c r="G5116">
        <v>0.36870936161909901</v>
      </c>
      <c r="H5116">
        <v>0.27284861283050199</v>
      </c>
      <c r="I5116">
        <v>0.204877229094928</v>
      </c>
      <c r="J5116">
        <v>0.21088702242906601</v>
      </c>
      <c r="K5116">
        <v>0.18135120171039101</v>
      </c>
      <c r="L5116">
        <v>2162.7267775833502</v>
      </c>
      <c r="M5116">
        <v>41.510397405949597</v>
      </c>
      <c r="N5116">
        <v>52.797258119390698</v>
      </c>
      <c r="O5116">
        <v>51.980377346224799</v>
      </c>
      <c r="P5116">
        <v>-0.15755716264744701</v>
      </c>
      <c r="Q5116">
        <v>0.21081322338665101</v>
      </c>
      <c r="R5116">
        <v>0.99427934547475405</v>
      </c>
      <c r="S5116" t="s">
        <v>10699</v>
      </c>
      <c r="T5116" t="s">
        <v>11164</v>
      </c>
      <c r="U5116" t="s">
        <v>11164</v>
      </c>
      <c r="V5116" t="s">
        <v>11164</v>
      </c>
      <c r="W5116" t="s">
        <v>16234</v>
      </c>
      <c r="X5116">
        <v>10</v>
      </c>
      <c r="Y5116" t="s">
        <v>21699</v>
      </c>
      <c r="Z5116" t="s">
        <v>27266</v>
      </c>
      <c r="AA5116">
        <v>0.61069190785372907</v>
      </c>
      <c r="AB5116" t="str">
        <f>HYPERLINK("Melting_Curves/meltCurve_Q9NXW9_ALKBH4.pdf", "Melting_Curves/meltCurve_Q9NXW9_ALKBH4.pdf")</f>
        <v>Melting_Curves/meltCurve_Q9NXW9_ALKBH4.pdf</v>
      </c>
    </row>
    <row r="5117" spans="1:28" x14ac:dyDescent="0.25">
      <c r="A5117" t="s">
        <v>5121</v>
      </c>
      <c r="B5117">
        <v>0.99796759195183404</v>
      </c>
      <c r="C5117">
        <v>1.00389309647187</v>
      </c>
      <c r="D5117">
        <v>0.985531310075214</v>
      </c>
      <c r="E5117">
        <v>0.96048565426575505</v>
      </c>
      <c r="F5117">
        <v>0.845415981261877</v>
      </c>
      <c r="G5117">
        <v>0.76959308240822999</v>
      </c>
      <c r="H5117">
        <v>0.615766255904728</v>
      </c>
      <c r="I5117">
        <v>0.38841878723788298</v>
      </c>
      <c r="J5117">
        <v>0.19263280790771201</v>
      </c>
      <c r="K5117">
        <v>0.15716841528622899</v>
      </c>
      <c r="L5117">
        <v>782.17392111632398</v>
      </c>
      <c r="M5117">
        <v>13.340862945150301</v>
      </c>
      <c r="N5117">
        <v>58.629934583034803</v>
      </c>
      <c r="O5117">
        <v>57.3595701564237</v>
      </c>
      <c r="P5117">
        <v>-5.8155045460396099E-2</v>
      </c>
      <c r="Q5117">
        <v>0</v>
      </c>
      <c r="R5117">
        <v>0.99179675976382398</v>
      </c>
      <c r="S5117" t="s">
        <v>10700</v>
      </c>
      <c r="T5117" t="s">
        <v>11164</v>
      </c>
      <c r="U5117" t="s">
        <v>11164</v>
      </c>
      <c r="V5117" t="s">
        <v>11164</v>
      </c>
      <c r="W5117" t="s">
        <v>16235</v>
      </c>
      <c r="X5117">
        <v>17</v>
      </c>
      <c r="Y5117" t="s">
        <v>21700</v>
      </c>
      <c r="Z5117" t="s">
        <v>27267</v>
      </c>
      <c r="AA5117">
        <v>0.71905536084387423</v>
      </c>
      <c r="AB5117" t="str">
        <f>HYPERLINK("Melting_Curves/meltCurve_Q9NY27_PPP4R2.pdf", "Melting_Curves/meltCurve_Q9NY27_PPP4R2.pdf")</f>
        <v>Melting_Curves/meltCurve_Q9NY27_PPP4R2.pdf</v>
      </c>
    </row>
    <row r="5118" spans="1:28" x14ac:dyDescent="0.25">
      <c r="A5118" t="s">
        <v>5122</v>
      </c>
      <c r="B5118">
        <v>0.99796759195183404</v>
      </c>
      <c r="C5118">
        <v>1.0199122829535601</v>
      </c>
      <c r="D5118">
        <v>1.1846587543867</v>
      </c>
      <c r="E5118">
        <v>0.96017621566292</v>
      </c>
      <c r="F5118">
        <v>0.79059707702942705</v>
      </c>
      <c r="G5118">
        <v>0.70720210817425899</v>
      </c>
      <c r="H5118">
        <v>0.151504422694583</v>
      </c>
      <c r="I5118">
        <v>0.119430597680917</v>
      </c>
      <c r="J5118">
        <v>9.20289936794568E-2</v>
      </c>
      <c r="K5118">
        <v>6.17082952755999E-2</v>
      </c>
      <c r="L5118">
        <v>1501.1474431424001</v>
      </c>
      <c r="M5118">
        <v>27.5434933392144</v>
      </c>
      <c r="N5118">
        <v>54.724560119268503</v>
      </c>
      <c r="O5118">
        <v>54.216121585683403</v>
      </c>
      <c r="P5118">
        <v>-0.12025040962020001</v>
      </c>
      <c r="Q5118">
        <v>5.32135964058481E-2</v>
      </c>
      <c r="R5118">
        <v>0.96160326188610601</v>
      </c>
      <c r="S5118" t="s">
        <v>10701</v>
      </c>
      <c r="T5118" t="s">
        <v>11164</v>
      </c>
      <c r="U5118" t="s">
        <v>11164</v>
      </c>
      <c r="V5118" t="s">
        <v>11164</v>
      </c>
      <c r="W5118" t="s">
        <v>16236</v>
      </c>
      <c r="X5118">
        <v>6</v>
      </c>
      <c r="Y5118" t="s">
        <v>21701</v>
      </c>
      <c r="Z5118" t="s">
        <v>27268</v>
      </c>
      <c r="AA5118">
        <v>0.61252789880478553</v>
      </c>
      <c r="AB5118" t="str">
        <f>HYPERLINK("Melting_Curves/meltCurve_Q9NY93_2_DDX56.pdf", "Melting_Curves/meltCurve_Q9NY93_2_DDX56.pdf")</f>
        <v>Melting_Curves/meltCurve_Q9NY93_2_DDX56.pdf</v>
      </c>
    </row>
    <row r="5119" spans="1:28" x14ac:dyDescent="0.25">
      <c r="A5119" t="s">
        <v>5123</v>
      </c>
      <c r="B5119">
        <v>0.99796759195183404</v>
      </c>
      <c r="C5119">
        <v>0.90601106677737997</v>
      </c>
      <c r="D5119">
        <v>0.87854589425357699</v>
      </c>
      <c r="E5119">
        <v>0.85113614518376202</v>
      </c>
      <c r="F5119">
        <v>0.71223854316843904</v>
      </c>
      <c r="G5119">
        <v>0.41320885555718201</v>
      </c>
      <c r="H5119">
        <v>0.33670643759825403</v>
      </c>
      <c r="I5119">
        <v>0.25006979402665203</v>
      </c>
      <c r="J5119">
        <v>0.26942728407754102</v>
      </c>
      <c r="K5119">
        <v>0.28927280326048899</v>
      </c>
      <c r="L5119">
        <v>759.288366242194</v>
      </c>
      <c r="M5119">
        <v>14.951785686500299</v>
      </c>
      <c r="N5119">
        <v>52.938659872915899</v>
      </c>
      <c r="O5119">
        <v>49.900021202642499</v>
      </c>
      <c r="P5119">
        <v>-5.78316891898542E-2</v>
      </c>
      <c r="Q5119">
        <v>0.228050118189915</v>
      </c>
      <c r="R5119">
        <v>0.97409137255613298</v>
      </c>
      <c r="S5119" t="s">
        <v>10702</v>
      </c>
      <c r="T5119" t="s">
        <v>11164</v>
      </c>
      <c r="U5119" t="s">
        <v>11164</v>
      </c>
      <c r="V5119" t="s">
        <v>11164</v>
      </c>
      <c r="W5119" t="s">
        <v>16237</v>
      </c>
      <c r="X5119">
        <v>9</v>
      </c>
      <c r="Y5119" t="s">
        <v>21702</v>
      </c>
      <c r="Z5119" t="s">
        <v>27269</v>
      </c>
      <c r="AA5119">
        <v>0.59844657928935752</v>
      </c>
      <c r="AB5119" t="str">
        <f>HYPERLINK("Melting_Curves/meltCurve_Q9NYB0_TERF2IP.pdf", "Melting_Curves/meltCurve_Q9NYB0_TERF2IP.pdf")</f>
        <v>Melting_Curves/meltCurve_Q9NYB0_TERF2IP.pdf</v>
      </c>
    </row>
    <row r="5120" spans="1:28" x14ac:dyDescent="0.25">
      <c r="A5120" t="s">
        <v>5124</v>
      </c>
      <c r="B5120">
        <v>0.99796759195183404</v>
      </c>
      <c r="C5120">
        <v>0.96440404680837299</v>
      </c>
      <c r="D5120">
        <v>0.83178310110686704</v>
      </c>
      <c r="E5120">
        <v>0.47221579170783801</v>
      </c>
      <c r="F5120">
        <v>0.33701333698400598</v>
      </c>
      <c r="G5120">
        <v>0.241980265752788</v>
      </c>
      <c r="H5120">
        <v>0.203978027438111</v>
      </c>
      <c r="I5120">
        <v>0.14421660636995101</v>
      </c>
      <c r="J5120">
        <v>0.12082726876137399</v>
      </c>
      <c r="K5120">
        <v>0.101581706680409</v>
      </c>
      <c r="L5120">
        <v>769.16861261587201</v>
      </c>
      <c r="M5120">
        <v>16.674717860192501</v>
      </c>
      <c r="N5120">
        <v>47.012031016582597</v>
      </c>
      <c r="O5120">
        <v>45.479722653619397</v>
      </c>
      <c r="P5120">
        <v>-7.9328008632244595E-2</v>
      </c>
      <c r="Q5120">
        <v>0.134600065858371</v>
      </c>
      <c r="R5120">
        <v>0.99114936753863103</v>
      </c>
      <c r="S5120" t="s">
        <v>10703</v>
      </c>
      <c r="T5120" t="s">
        <v>11164</v>
      </c>
      <c r="U5120" t="s">
        <v>11164</v>
      </c>
      <c r="V5120" t="s">
        <v>11164</v>
      </c>
      <c r="W5120" t="s">
        <v>16238</v>
      </c>
      <c r="X5120">
        <v>2</v>
      </c>
      <c r="Y5120" t="s">
        <v>21703</v>
      </c>
      <c r="Z5120" t="s">
        <v>27270</v>
      </c>
      <c r="AA5120">
        <v>0.41414646087747098</v>
      </c>
      <c r="AB5120" t="str">
        <f>HYPERLINK("Melting_Curves/meltCurve_Q9NYH9_UTP6.pdf", "Melting_Curves/meltCurve_Q9NYH9_UTP6.pdf")</f>
        <v>Melting_Curves/meltCurve_Q9NYH9_UTP6.pdf</v>
      </c>
    </row>
    <row r="5121" spans="1:28" x14ac:dyDescent="0.25">
      <c r="A5121" t="s">
        <v>5125</v>
      </c>
      <c r="B5121">
        <v>0.99796759195183404</v>
      </c>
      <c r="C5121">
        <v>1.0401725872463501</v>
      </c>
      <c r="D5121">
        <v>1.04667360999726</v>
      </c>
      <c r="E5121">
        <v>0.95757639799915095</v>
      </c>
      <c r="F5121">
        <v>0.89928155823147304</v>
      </c>
      <c r="G5121">
        <v>0.67511118435131401</v>
      </c>
      <c r="H5121">
        <v>0.70390864224865202</v>
      </c>
      <c r="I5121">
        <v>0.61385430145250897</v>
      </c>
      <c r="J5121">
        <v>0.79467672134930101</v>
      </c>
      <c r="K5121">
        <v>0.68061905705064496</v>
      </c>
      <c r="L5121">
        <v>12585.834511601901</v>
      </c>
      <c r="M5121">
        <v>250</v>
      </c>
      <c r="O5121">
        <v>50.3401290155699</v>
      </c>
      <c r="P5121">
        <v>-0.38037012797581499</v>
      </c>
      <c r="Q5121">
        <v>0.69363397574030805</v>
      </c>
      <c r="R5121">
        <v>0.90861631294510803</v>
      </c>
      <c r="S5121" t="s">
        <v>10704</v>
      </c>
      <c r="T5121" t="s">
        <v>11164</v>
      </c>
      <c r="U5121" t="s">
        <v>11164</v>
      </c>
      <c r="V5121" t="s">
        <v>11164</v>
      </c>
      <c r="W5121" t="s">
        <v>16239</v>
      </c>
      <c r="X5121">
        <v>6</v>
      </c>
      <c r="Y5121" t="s">
        <v>21704</v>
      </c>
      <c r="Z5121" t="s">
        <v>27271</v>
      </c>
      <c r="AA5121">
        <v>0.82992589130997418</v>
      </c>
      <c r="AB5121" t="str">
        <f>HYPERLINK("Melting_Curves/meltCurve_Q9NYJ1_COA4.pdf", "Melting_Curves/meltCurve_Q9NYJ1_COA4.pdf")</f>
        <v>Melting_Curves/meltCurve_Q9NYJ1_COA4.pdf</v>
      </c>
    </row>
    <row r="5122" spans="1:28" x14ac:dyDescent="0.25">
      <c r="A5122" t="s">
        <v>5126</v>
      </c>
      <c r="B5122">
        <v>0.99796759195183404</v>
      </c>
      <c r="C5122">
        <v>0.79783455030639605</v>
      </c>
      <c r="D5122">
        <v>0.78410018736116005</v>
      </c>
      <c r="E5122">
        <v>0.75961482758984999</v>
      </c>
      <c r="F5122">
        <v>0.83265227410568998</v>
      </c>
      <c r="G5122">
        <v>0.286526364216378</v>
      </c>
      <c r="H5122">
        <v>0.239404152036608</v>
      </c>
      <c r="I5122">
        <v>0.18317471704701099</v>
      </c>
      <c r="J5122">
        <v>0.16305410790931801</v>
      </c>
      <c r="K5122">
        <v>0.14544901999400001</v>
      </c>
      <c r="L5122">
        <v>480.26758632921502</v>
      </c>
      <c r="M5122">
        <v>9.2239504575091704</v>
      </c>
      <c r="N5122">
        <v>52.067450740675802</v>
      </c>
      <c r="O5122">
        <v>49.795558559967901</v>
      </c>
      <c r="P5122">
        <v>-4.6339729968190899E-2</v>
      </c>
      <c r="Q5122">
        <v>0</v>
      </c>
      <c r="R5122">
        <v>0.88896021785302404</v>
      </c>
      <c r="S5122" t="s">
        <v>10705</v>
      </c>
      <c r="T5122" t="s">
        <v>11164</v>
      </c>
      <c r="U5122" t="s">
        <v>11164</v>
      </c>
      <c r="V5122" t="s">
        <v>11164</v>
      </c>
      <c r="W5122" t="s">
        <v>16240</v>
      </c>
      <c r="X5122">
        <v>6</v>
      </c>
      <c r="Y5122" t="s">
        <v>21705</v>
      </c>
      <c r="Z5122" t="s">
        <v>27272</v>
      </c>
      <c r="AA5122">
        <v>0.52949650279454641</v>
      </c>
      <c r="AB5122" t="str">
        <f>HYPERLINK("Melting_Curves/meltCurve_Q9NYJ8_TAB2.pdf", "Melting_Curves/meltCurve_Q9NYJ8_TAB2.pdf")</f>
        <v>Melting_Curves/meltCurve_Q9NYJ8_TAB2.pdf</v>
      </c>
    </row>
    <row r="5123" spans="1:28" x14ac:dyDescent="0.25">
      <c r="A5123" t="s">
        <v>5127</v>
      </c>
      <c r="B5123">
        <v>0.99796759195183404</v>
      </c>
      <c r="C5123">
        <v>0.99868027005550597</v>
      </c>
      <c r="D5123">
        <v>1.0256961810699601</v>
      </c>
      <c r="E5123">
        <v>0.89330656202617098</v>
      </c>
      <c r="F5123">
        <v>0.97734430313436105</v>
      </c>
      <c r="G5123">
        <v>0.78327859141109601</v>
      </c>
      <c r="H5123">
        <v>0.33630630433335101</v>
      </c>
      <c r="I5123">
        <v>0.20643299465571299</v>
      </c>
      <c r="J5123">
        <v>0.15137036158070999</v>
      </c>
      <c r="K5123">
        <v>0.113182861967835</v>
      </c>
      <c r="L5123">
        <v>1839.4586058436601</v>
      </c>
      <c r="M5123">
        <v>33.145805255135201</v>
      </c>
      <c r="N5123">
        <v>56.029587688643701</v>
      </c>
      <c r="O5123">
        <v>55.295137354442303</v>
      </c>
      <c r="P5123">
        <v>-0.12957549523623199</v>
      </c>
      <c r="Q5123">
        <v>0.13535205616198201</v>
      </c>
      <c r="R5123">
        <v>0.99030117071872503</v>
      </c>
      <c r="S5123" t="s">
        <v>10706</v>
      </c>
      <c r="T5123" t="s">
        <v>11164</v>
      </c>
      <c r="U5123" t="s">
        <v>11164</v>
      </c>
      <c r="V5123" t="s">
        <v>11164</v>
      </c>
      <c r="W5123" t="s">
        <v>16241</v>
      </c>
      <c r="X5123">
        <v>6</v>
      </c>
      <c r="Y5123" t="s">
        <v>21706</v>
      </c>
      <c r="Z5123" t="s">
        <v>27273</v>
      </c>
      <c r="AA5123">
        <v>0.67303059578407243</v>
      </c>
      <c r="AB5123" t="str">
        <f>HYPERLINK("Melting_Curves/meltCurve_Q9NYK5_MRPL39.pdf", "Melting_Curves/meltCurve_Q9NYK5_MRPL39.pdf")</f>
        <v>Melting_Curves/meltCurve_Q9NYK5_MRPL39.pdf</v>
      </c>
    </row>
    <row r="5124" spans="1:28" x14ac:dyDescent="0.25">
      <c r="A5124" t="s">
        <v>5128</v>
      </c>
      <c r="B5124">
        <v>0.99796759195183404</v>
      </c>
      <c r="C5124">
        <v>1.0442843835301101</v>
      </c>
      <c r="D5124">
        <v>1.2000421922578599</v>
      </c>
      <c r="E5124">
        <v>0.96418708796518304</v>
      </c>
      <c r="F5124">
        <v>0.72458546536530299</v>
      </c>
      <c r="G5124">
        <v>0.51075975954310604</v>
      </c>
      <c r="H5124">
        <v>0.23784703903398</v>
      </c>
      <c r="I5124">
        <v>8.7454975851664202E-2</v>
      </c>
      <c r="J5124">
        <v>8.9831563967134903E-2</v>
      </c>
      <c r="K5124">
        <v>8.39301796285222E-2</v>
      </c>
      <c r="L5124">
        <v>1068.7783533746999</v>
      </c>
      <c r="M5124">
        <v>20.0851010873468</v>
      </c>
      <c r="N5124">
        <v>53.521331392314103</v>
      </c>
      <c r="O5124">
        <v>52.693427118337702</v>
      </c>
      <c r="P5124">
        <v>-9.00810444800937E-2</v>
      </c>
      <c r="Q5124">
        <v>5.4716828492328402E-2</v>
      </c>
      <c r="R5124">
        <v>0.971212758436798</v>
      </c>
      <c r="S5124" t="s">
        <v>10707</v>
      </c>
      <c r="T5124" t="s">
        <v>11164</v>
      </c>
      <c r="U5124" t="s">
        <v>11164</v>
      </c>
      <c r="V5124" t="s">
        <v>11164</v>
      </c>
      <c r="W5124" t="s">
        <v>16242</v>
      </c>
      <c r="X5124">
        <v>1</v>
      </c>
      <c r="Y5124" t="s">
        <v>21707</v>
      </c>
      <c r="Z5124" t="s">
        <v>27274</v>
      </c>
      <c r="AA5124">
        <v>0.57731514644324444</v>
      </c>
      <c r="AB5124" t="str">
        <f>HYPERLINK("Melting_Curves/meltCurve_Q9NYK6_3_EURL.pdf", "Melting_Curves/meltCurve_Q9NYK6_3_EURL.pdf")</f>
        <v>Melting_Curves/meltCurve_Q9NYK6_3_EURL.pdf</v>
      </c>
    </row>
    <row r="5125" spans="1:28" x14ac:dyDescent="0.25">
      <c r="A5125" t="s">
        <v>5129</v>
      </c>
      <c r="B5125">
        <v>0.99796759195183404</v>
      </c>
      <c r="C5125">
        <v>1.0277732869234899</v>
      </c>
      <c r="D5125">
        <v>0.97762270802012197</v>
      </c>
      <c r="E5125">
        <v>1.0458592690312101</v>
      </c>
      <c r="F5125">
        <v>0.88231193808314501</v>
      </c>
      <c r="G5125">
        <v>0.65547875789091004</v>
      </c>
      <c r="H5125">
        <v>0.61379232278361895</v>
      </c>
      <c r="I5125">
        <v>0.417946476129964</v>
      </c>
      <c r="J5125">
        <v>0.29120100176800501</v>
      </c>
      <c r="K5125">
        <v>0.18778324974907601</v>
      </c>
      <c r="L5125">
        <v>668.68246236607899</v>
      </c>
      <c r="M5125">
        <v>11.362059042160601</v>
      </c>
      <c r="N5125">
        <v>58.8894981090748</v>
      </c>
      <c r="O5125">
        <v>57.117621382951398</v>
      </c>
      <c r="P5125">
        <v>-4.9567560158850998E-2</v>
      </c>
      <c r="Q5125">
        <v>3.58274777463092E-3</v>
      </c>
      <c r="R5125">
        <v>0.97872734602571898</v>
      </c>
      <c r="S5125" t="s">
        <v>10708</v>
      </c>
      <c r="T5125" t="s">
        <v>11164</v>
      </c>
      <c r="U5125" t="s">
        <v>11164</v>
      </c>
      <c r="V5125" t="s">
        <v>11164</v>
      </c>
      <c r="W5125" t="s">
        <v>16243</v>
      </c>
      <c r="X5125">
        <v>6</v>
      </c>
      <c r="Y5125" t="s">
        <v>21708</v>
      </c>
      <c r="Z5125" t="s">
        <v>27275</v>
      </c>
      <c r="AA5125">
        <v>0.71988390633399424</v>
      </c>
      <c r="AB5125" t="str">
        <f>HYPERLINK("Melting_Curves/meltCurve_Q9NYL2_2_MLTK.pdf", "Melting_Curves/meltCurve_Q9NYL2_2_MLTK.pdf")</f>
        <v>Melting_Curves/meltCurve_Q9NYL2_2_MLTK.pdf</v>
      </c>
    </row>
    <row r="5126" spans="1:28" x14ac:dyDescent="0.25">
      <c r="A5126" t="s">
        <v>5130</v>
      </c>
      <c r="B5126">
        <v>0.99796759195183404</v>
      </c>
      <c r="C5126">
        <v>1.0462719312679101</v>
      </c>
      <c r="D5126">
        <v>1.0101620577886601</v>
      </c>
      <c r="E5126">
        <v>0.87926286637161799</v>
      </c>
      <c r="F5126">
        <v>0.62395781104097303</v>
      </c>
      <c r="G5126">
        <v>0.272875829294565</v>
      </c>
      <c r="H5126">
        <v>0.16101742640181799</v>
      </c>
      <c r="I5126">
        <v>0.111375456386512</v>
      </c>
      <c r="J5126">
        <v>8.3551433359258603E-2</v>
      </c>
      <c r="K5126">
        <v>7.4440821149313399E-2</v>
      </c>
      <c r="L5126">
        <v>1148.79574264548</v>
      </c>
      <c r="M5126">
        <v>22.573360445051399</v>
      </c>
      <c r="N5126">
        <v>51.2878271228589</v>
      </c>
      <c r="O5126">
        <v>50.497315614740103</v>
      </c>
      <c r="P5126">
        <v>-0.102816310032185</v>
      </c>
      <c r="Q5126">
        <v>8.0005407579016793E-2</v>
      </c>
      <c r="R5126">
        <v>0.99745314130379803</v>
      </c>
      <c r="S5126" t="s">
        <v>10709</v>
      </c>
      <c r="T5126" t="s">
        <v>11164</v>
      </c>
      <c r="U5126" t="s">
        <v>11164</v>
      </c>
      <c r="V5126" t="s">
        <v>11164</v>
      </c>
      <c r="W5126" t="s">
        <v>16244</v>
      </c>
      <c r="X5126">
        <v>13</v>
      </c>
      <c r="Y5126" t="s">
        <v>21709</v>
      </c>
      <c r="Z5126" t="s">
        <v>27276</v>
      </c>
      <c r="AA5126">
        <v>0.51578802247599398</v>
      </c>
      <c r="AB5126" t="str">
        <f>HYPERLINK("Melting_Curves/meltCurve_Q9NYL9_TMOD3.pdf", "Melting_Curves/meltCurve_Q9NYL9_TMOD3.pdf")</f>
        <v>Melting_Curves/meltCurve_Q9NYL9_TMOD3.pdf</v>
      </c>
    </row>
    <row r="5127" spans="1:28" x14ac:dyDescent="0.25">
      <c r="A5127" t="s">
        <v>5131</v>
      </c>
      <c r="B5127">
        <v>0.99796759195183404</v>
      </c>
      <c r="C5127">
        <v>1.00077191745778</v>
      </c>
      <c r="D5127">
        <v>0.97492699471807698</v>
      </c>
      <c r="E5127">
        <v>0.950431583309161</v>
      </c>
      <c r="F5127">
        <v>0.82844686812920398</v>
      </c>
      <c r="G5127">
        <v>0.700244756165741</v>
      </c>
      <c r="H5127">
        <v>0.397955845300272</v>
      </c>
      <c r="I5127">
        <v>0.20717722957815299</v>
      </c>
      <c r="J5127">
        <v>0.19335135179007701</v>
      </c>
      <c r="K5127">
        <v>9.6601141288718495E-2</v>
      </c>
      <c r="L5127">
        <v>883.91046439949901</v>
      </c>
      <c r="M5127">
        <v>15.858824250682799</v>
      </c>
      <c r="N5127">
        <v>56.077302354662102</v>
      </c>
      <c r="O5127">
        <v>54.872542003561897</v>
      </c>
      <c r="P5127">
        <v>-6.8936420167900594E-2</v>
      </c>
      <c r="Q5127">
        <v>4.5979859626400998E-2</v>
      </c>
      <c r="R5127">
        <v>0.99488541928310203</v>
      </c>
      <c r="S5127" t="s">
        <v>10710</v>
      </c>
      <c r="T5127" t="s">
        <v>11164</v>
      </c>
      <c r="U5127" t="s">
        <v>11164</v>
      </c>
      <c r="V5127" t="s">
        <v>11164</v>
      </c>
      <c r="W5127" t="s">
        <v>16245</v>
      </c>
      <c r="X5127">
        <v>4</v>
      </c>
      <c r="Y5127" t="s">
        <v>21710</v>
      </c>
      <c r="Z5127" t="s">
        <v>27277</v>
      </c>
      <c r="AA5127">
        <v>0.65337189646396276</v>
      </c>
      <c r="AB5127" t="str">
        <f>HYPERLINK("Melting_Curves/meltCurve_Q9NYP9_MIS18A.pdf", "Melting_Curves/meltCurve_Q9NYP9_MIS18A.pdf")</f>
        <v>Melting_Curves/meltCurve_Q9NYP9_MIS18A.pdf</v>
      </c>
    </row>
    <row r="5128" spans="1:28" x14ac:dyDescent="0.25">
      <c r="A5128" t="s">
        <v>5132</v>
      </c>
      <c r="B5128">
        <v>0.99796759195183404</v>
      </c>
      <c r="C5128">
        <v>0.96796231697855695</v>
      </c>
      <c r="D5128">
        <v>0.95364474681106903</v>
      </c>
      <c r="E5128">
        <v>0.91808490993471903</v>
      </c>
      <c r="F5128">
        <v>0.81352163503156605</v>
      </c>
      <c r="G5128">
        <v>0.94149660083698405</v>
      </c>
      <c r="H5128">
        <v>0.47537121791975401</v>
      </c>
      <c r="I5128">
        <v>0.40801080269619</v>
      </c>
      <c r="J5128">
        <v>0.236046838428426</v>
      </c>
      <c r="K5128">
        <v>0.174853738464712</v>
      </c>
      <c r="L5128">
        <v>800.50707165339202</v>
      </c>
      <c r="M5128">
        <v>13.6576568323187</v>
      </c>
      <c r="N5128">
        <v>58.741255980964198</v>
      </c>
      <c r="O5128">
        <v>57.398588652300703</v>
      </c>
      <c r="P5128">
        <v>-5.86162179776838E-2</v>
      </c>
      <c r="Q5128">
        <v>1.47657113794051E-2</v>
      </c>
      <c r="R5128">
        <v>0.94466714951657005</v>
      </c>
      <c r="S5128" t="s">
        <v>10711</v>
      </c>
      <c r="T5128" t="s">
        <v>11164</v>
      </c>
      <c r="U5128" t="s">
        <v>11164</v>
      </c>
      <c r="V5128" t="s">
        <v>11164</v>
      </c>
      <c r="W5128" t="s">
        <v>16246</v>
      </c>
      <c r="X5128">
        <v>19</v>
      </c>
      <c r="Y5128" t="s">
        <v>21711</v>
      </c>
      <c r="Z5128" t="s">
        <v>27278</v>
      </c>
      <c r="AA5128">
        <v>0.72341527677904871</v>
      </c>
      <c r="AB5128" t="str">
        <f>HYPERLINK("Melting_Curves/meltCurve_Q9NYU2_2_UGGT1.pdf", "Melting_Curves/meltCurve_Q9NYU2_2_UGGT1.pdf")</f>
        <v>Melting_Curves/meltCurve_Q9NYU2_2_UGGT1.pdf</v>
      </c>
    </row>
    <row r="5129" spans="1:28" x14ac:dyDescent="0.25">
      <c r="A5129" t="s">
        <v>5133</v>
      </c>
      <c r="B5129">
        <v>0.99796759195183404</v>
      </c>
      <c r="C5129">
        <v>1.0201483316658699</v>
      </c>
      <c r="D5129">
        <v>1.0474061098703999</v>
      </c>
      <c r="E5129">
        <v>0.97336722473419302</v>
      </c>
      <c r="F5129">
        <v>1.00720862239375</v>
      </c>
      <c r="G5129">
        <v>0.54895157391344196</v>
      </c>
      <c r="H5129">
        <v>0.20878763146304999</v>
      </c>
      <c r="I5129">
        <v>0.12942266202073499</v>
      </c>
      <c r="J5129">
        <v>0.11685050977151699</v>
      </c>
      <c r="K5129">
        <v>8.3979894381098499E-2</v>
      </c>
      <c r="L5129">
        <v>2280.8187906490102</v>
      </c>
      <c r="M5129">
        <v>42.361844151734502</v>
      </c>
      <c r="N5129">
        <v>54.178820854811903</v>
      </c>
      <c r="O5129">
        <v>53.721774878740298</v>
      </c>
      <c r="P5129">
        <v>-0.17427542073994901</v>
      </c>
      <c r="Q5129">
        <v>0.115961971439988</v>
      </c>
      <c r="R5129">
        <v>0.995390713326742</v>
      </c>
      <c r="S5129" t="s">
        <v>10712</v>
      </c>
      <c r="T5129" t="s">
        <v>11164</v>
      </c>
      <c r="U5129" t="s">
        <v>11164</v>
      </c>
      <c r="V5129" t="s">
        <v>11164</v>
      </c>
      <c r="W5129" t="s">
        <v>16247</v>
      </c>
      <c r="X5129">
        <v>6</v>
      </c>
      <c r="Y5129" t="s">
        <v>21712</v>
      </c>
      <c r="Z5129" t="s">
        <v>27279</v>
      </c>
      <c r="AA5129">
        <v>0.61515813149639453</v>
      </c>
      <c r="AB5129" t="str">
        <f>HYPERLINK("Melting_Curves/meltCurve_Q9NYY8_FASTKD2.pdf", "Melting_Curves/meltCurve_Q9NYY8_FASTKD2.pdf")</f>
        <v>Melting_Curves/meltCurve_Q9NYY8_FASTKD2.pdf</v>
      </c>
    </row>
    <row r="5130" spans="1:28" x14ac:dyDescent="0.25">
      <c r="A5130" t="s">
        <v>5134</v>
      </c>
      <c r="B5130">
        <v>0.99796759195183404</v>
      </c>
      <c r="C5130">
        <v>1.02782802079906</v>
      </c>
      <c r="D5130">
        <v>0.96192958321420696</v>
      </c>
      <c r="E5130">
        <v>0.846128400042641</v>
      </c>
      <c r="F5130">
        <v>0.57474925537504595</v>
      </c>
      <c r="G5130">
        <v>0.33922403124227801</v>
      </c>
      <c r="H5130">
        <v>0.25497491747525802</v>
      </c>
      <c r="I5130">
        <v>0.16948269465784099</v>
      </c>
      <c r="J5130">
        <v>0.102033883567647</v>
      </c>
      <c r="K5130">
        <v>6.7504783415468103E-2</v>
      </c>
      <c r="L5130">
        <v>799.70829360741698</v>
      </c>
      <c r="M5130">
        <v>15.6829204852597</v>
      </c>
      <c r="N5130">
        <v>51.543848389844399</v>
      </c>
      <c r="O5130">
        <v>50.184805412861401</v>
      </c>
      <c r="P5130">
        <v>-7.2097000443241493E-2</v>
      </c>
      <c r="Q5130">
        <v>7.7246575303059103E-2</v>
      </c>
      <c r="R5130">
        <v>0.99548131104620197</v>
      </c>
      <c r="S5130" t="s">
        <v>10713</v>
      </c>
      <c r="T5130" t="s">
        <v>11164</v>
      </c>
      <c r="U5130" t="s">
        <v>11164</v>
      </c>
      <c r="V5130" t="s">
        <v>11164</v>
      </c>
      <c r="W5130" t="s">
        <v>16248</v>
      </c>
      <c r="X5130">
        <v>5</v>
      </c>
      <c r="Y5130" t="s">
        <v>21713</v>
      </c>
      <c r="Z5130" t="s">
        <v>27280</v>
      </c>
      <c r="AA5130">
        <v>0.52513397482936364</v>
      </c>
      <c r="AB5130" t="str">
        <f>HYPERLINK("Melting_Curves/meltCurve_Q9NYZ3_GTSE1.pdf", "Melting_Curves/meltCurve_Q9NYZ3_GTSE1.pdf")</f>
        <v>Melting_Curves/meltCurve_Q9NYZ3_GTSE1.pdf</v>
      </c>
    </row>
    <row r="5131" spans="1:28" x14ac:dyDescent="0.25">
      <c r="A5131" t="s">
        <v>5135</v>
      </c>
      <c r="B5131">
        <v>0.99796759195183404</v>
      </c>
      <c r="C5131">
        <v>1.0027543691554499</v>
      </c>
      <c r="D5131">
        <v>1.0187707759340401</v>
      </c>
      <c r="E5131">
        <v>0.95145837510021403</v>
      </c>
      <c r="F5131">
        <v>0.75296018923311903</v>
      </c>
      <c r="G5131">
        <v>0.61139955550903102</v>
      </c>
      <c r="H5131">
        <v>0.29931942400063299</v>
      </c>
      <c r="I5131">
        <v>0.18165033192015201</v>
      </c>
      <c r="J5131">
        <v>0.13798557475036899</v>
      </c>
      <c r="K5131">
        <v>0.128130849184899</v>
      </c>
      <c r="L5131">
        <v>917.12689199384704</v>
      </c>
      <c r="M5131">
        <v>16.973976175222099</v>
      </c>
      <c r="N5131">
        <v>54.583173921453103</v>
      </c>
      <c r="O5131">
        <v>53.298124692084698</v>
      </c>
      <c r="P5131">
        <v>-7.3345305181836906E-2</v>
      </c>
      <c r="Q5131">
        <v>7.88429842862928E-2</v>
      </c>
      <c r="R5131">
        <v>0.99427100497397003</v>
      </c>
      <c r="S5131" t="s">
        <v>10714</v>
      </c>
      <c r="T5131" t="s">
        <v>11164</v>
      </c>
      <c r="U5131" t="s">
        <v>11164</v>
      </c>
      <c r="V5131" t="s">
        <v>11164</v>
      </c>
      <c r="W5131" t="s">
        <v>16249</v>
      </c>
      <c r="X5131">
        <v>9</v>
      </c>
      <c r="Y5131" t="s">
        <v>21714</v>
      </c>
      <c r="Z5131" t="s">
        <v>27281</v>
      </c>
      <c r="AA5131">
        <v>0.61518672543667552</v>
      </c>
      <c r="AB5131" t="str">
        <f>HYPERLINK("Melting_Curves/meltCurve_Q9NZ01_TECR.pdf", "Melting_Curves/meltCurve_Q9NZ01_TECR.pdf")</f>
        <v>Melting_Curves/meltCurve_Q9NZ01_TECR.pdf</v>
      </c>
    </row>
    <row r="5132" spans="1:28" x14ac:dyDescent="0.25">
      <c r="A5132" t="s">
        <v>5136</v>
      </c>
      <c r="B5132">
        <v>0.99796759195183404</v>
      </c>
      <c r="C5132">
        <v>1.0279329453952899</v>
      </c>
      <c r="D5132">
        <v>1.08602064026127</v>
      </c>
      <c r="E5132">
        <v>0.99669173437941905</v>
      </c>
      <c r="F5132">
        <v>0.81457319240076498</v>
      </c>
      <c r="G5132">
        <v>0.58768127625826305</v>
      </c>
      <c r="H5132">
        <v>0.281629379279629</v>
      </c>
      <c r="I5132">
        <v>0.26800248938608601</v>
      </c>
      <c r="J5132">
        <v>0.24090021749500801</v>
      </c>
      <c r="K5132">
        <v>0.15285416168294</v>
      </c>
      <c r="L5132">
        <v>1223.5502368698801</v>
      </c>
      <c r="M5132">
        <v>22.924985328415701</v>
      </c>
      <c r="N5132">
        <v>54.501448059009697</v>
      </c>
      <c r="O5132">
        <v>52.970773839832603</v>
      </c>
      <c r="P5132">
        <v>-8.7738719741821694E-2</v>
      </c>
      <c r="Q5132">
        <v>0.18909439296915601</v>
      </c>
      <c r="R5132">
        <v>0.98659913953632095</v>
      </c>
      <c r="S5132" t="s">
        <v>10715</v>
      </c>
      <c r="T5132" t="s">
        <v>11164</v>
      </c>
      <c r="U5132" t="s">
        <v>11164</v>
      </c>
      <c r="V5132" t="s">
        <v>11164</v>
      </c>
      <c r="W5132" t="s">
        <v>16250</v>
      </c>
      <c r="X5132">
        <v>3</v>
      </c>
      <c r="Y5132" t="s">
        <v>21715</v>
      </c>
      <c r="Z5132" t="s">
        <v>27282</v>
      </c>
      <c r="AA5132">
        <v>0.63985951951971998</v>
      </c>
      <c r="AB5132" t="str">
        <f>HYPERLINK("Melting_Curves/meltCurve_Q9NZ08_ERAP1.pdf", "Melting_Curves/meltCurve_Q9NZ08_ERAP1.pdf")</f>
        <v>Melting_Curves/meltCurve_Q9NZ08_ERAP1.pdf</v>
      </c>
    </row>
    <row r="5133" spans="1:28" x14ac:dyDescent="0.25">
      <c r="A5133" t="s">
        <v>5137</v>
      </c>
      <c r="B5133">
        <v>0.99796759195183404</v>
      </c>
      <c r="C5133">
        <v>0.94411122560517202</v>
      </c>
      <c r="D5133">
        <v>0.89018490158686003</v>
      </c>
      <c r="E5133">
        <v>0.680013148708421</v>
      </c>
      <c r="F5133">
        <v>0.63990779469950199</v>
      </c>
      <c r="G5133">
        <v>0.32188832408689999</v>
      </c>
      <c r="H5133">
        <v>0.254342105481002</v>
      </c>
      <c r="I5133">
        <v>0.166147877349758</v>
      </c>
      <c r="J5133">
        <v>0.219491513611838</v>
      </c>
      <c r="K5133">
        <v>0.10053940215417199</v>
      </c>
      <c r="L5133">
        <v>565.66781711531803</v>
      </c>
      <c r="M5133">
        <v>11.2314760243656</v>
      </c>
      <c r="N5133">
        <v>51.1131316617723</v>
      </c>
      <c r="O5133">
        <v>48.8470661212991</v>
      </c>
      <c r="P5133">
        <v>-5.3139817621310502E-2</v>
      </c>
      <c r="Q5133">
        <v>7.5841422828746896E-2</v>
      </c>
      <c r="R5133">
        <v>0.98041884950347702</v>
      </c>
      <c r="S5133" t="s">
        <v>10716</v>
      </c>
      <c r="T5133" t="s">
        <v>11164</v>
      </c>
      <c r="U5133" t="s">
        <v>11164</v>
      </c>
      <c r="V5133" t="s">
        <v>11164</v>
      </c>
      <c r="W5133" t="s">
        <v>16251</v>
      </c>
      <c r="X5133">
        <v>3</v>
      </c>
      <c r="Y5133" t="s">
        <v>21716</v>
      </c>
      <c r="Z5133" t="s">
        <v>27283</v>
      </c>
      <c r="AA5133">
        <v>0.51461985465776838</v>
      </c>
      <c r="AB5133" t="str">
        <f>HYPERLINK("Melting_Curves/meltCurve_Q9NZ09_2_UBAP1.pdf", "Melting_Curves/meltCurve_Q9NZ09_2_UBAP1.pdf")</f>
        <v>Melting_Curves/meltCurve_Q9NZ09_2_UBAP1.pdf</v>
      </c>
    </row>
    <row r="5134" spans="1:28" x14ac:dyDescent="0.25">
      <c r="A5134" t="s">
        <v>5138</v>
      </c>
      <c r="B5134">
        <v>0.99796759195183404</v>
      </c>
      <c r="C5134">
        <v>1.1144209307291499</v>
      </c>
      <c r="D5134">
        <v>1.10526900217781</v>
      </c>
      <c r="E5134">
        <v>1.05303533826606</v>
      </c>
      <c r="F5134">
        <v>0.90712829675470597</v>
      </c>
      <c r="G5134">
        <v>1.0897453670354</v>
      </c>
      <c r="H5134">
        <v>1.0252930363464601</v>
      </c>
      <c r="I5134">
        <v>1.2235774695081201</v>
      </c>
      <c r="J5134">
        <v>1.32251789349491</v>
      </c>
      <c r="K5134">
        <v>1.57639014867703</v>
      </c>
      <c r="L5134">
        <v>2092.4916050669499</v>
      </c>
      <c r="M5134">
        <v>33.9111508853819</v>
      </c>
      <c r="O5134">
        <v>61.491722696499401</v>
      </c>
      <c r="P5134">
        <v>6.8934657432832697E-2</v>
      </c>
      <c r="Q5134">
        <v>1.5</v>
      </c>
      <c r="R5134">
        <v>0.81814927713269303</v>
      </c>
      <c r="S5134" t="s">
        <v>10717</v>
      </c>
      <c r="T5134" t="s">
        <v>11164</v>
      </c>
      <c r="U5134" t="s">
        <v>11164</v>
      </c>
      <c r="V5134" t="s">
        <v>11164</v>
      </c>
      <c r="W5134" t="s">
        <v>16252</v>
      </c>
      <c r="X5134">
        <v>3</v>
      </c>
      <c r="Y5134" t="s">
        <v>21717</v>
      </c>
      <c r="Z5134" t="s">
        <v>27284</v>
      </c>
      <c r="AA5134">
        <v>1.087812393107682</v>
      </c>
      <c r="AB5134" t="str">
        <f>HYPERLINK("Melting_Curves/meltCurve_Q9NZ32_ACTR10.pdf", "Melting_Curves/meltCurve_Q9NZ32_ACTR10.pdf")</f>
        <v>Melting_Curves/meltCurve_Q9NZ32_ACTR10.pdf</v>
      </c>
    </row>
    <row r="5135" spans="1:28" x14ac:dyDescent="0.25">
      <c r="A5135" t="s">
        <v>5139</v>
      </c>
      <c r="B5135">
        <v>0.99796759195183404</v>
      </c>
      <c r="C5135">
        <v>1.0335920232859399</v>
      </c>
      <c r="D5135">
        <v>1.04105179574197</v>
      </c>
      <c r="E5135">
        <v>1.0261061316147</v>
      </c>
      <c r="F5135">
        <v>0.87913536251663704</v>
      </c>
      <c r="G5135">
        <v>0.67312725406746998</v>
      </c>
      <c r="H5135">
        <v>0.64174694238240004</v>
      </c>
      <c r="I5135">
        <v>0.55981942574653498</v>
      </c>
      <c r="J5135">
        <v>0.62092110690617297</v>
      </c>
      <c r="K5135">
        <v>0.446557189369511</v>
      </c>
      <c r="L5135">
        <v>1259.86005091367</v>
      </c>
      <c r="M5135">
        <v>24.032365043717299</v>
      </c>
      <c r="O5135">
        <v>52.064537402239999</v>
      </c>
      <c r="P5135">
        <v>-5.27524221888113E-2</v>
      </c>
      <c r="Q5135">
        <v>0.54286858413216399</v>
      </c>
      <c r="R5135">
        <v>0.949276310364919</v>
      </c>
      <c r="S5135" t="s">
        <v>10718</v>
      </c>
      <c r="T5135" t="s">
        <v>11164</v>
      </c>
      <c r="U5135" t="s">
        <v>11164</v>
      </c>
      <c r="V5135" t="s">
        <v>11164</v>
      </c>
      <c r="W5135" t="s">
        <v>16253</v>
      </c>
      <c r="X5135">
        <v>7</v>
      </c>
      <c r="Y5135" t="s">
        <v>21718</v>
      </c>
      <c r="Z5135" t="s">
        <v>27285</v>
      </c>
      <c r="AA5135">
        <v>0.78222574287500635</v>
      </c>
      <c r="AB5135" t="str">
        <f>HYPERLINK("Melting_Curves/meltCurve_Q9NZ45_CISD1.pdf", "Melting_Curves/meltCurve_Q9NZ45_CISD1.pdf")</f>
        <v>Melting_Curves/meltCurve_Q9NZ45_CISD1.pdf</v>
      </c>
    </row>
    <row r="5136" spans="1:28" x14ac:dyDescent="0.25">
      <c r="A5136" t="s">
        <v>5140</v>
      </c>
      <c r="B5136">
        <v>0.99796759195183404</v>
      </c>
      <c r="C5136">
        <v>1.0657638930970299</v>
      </c>
      <c r="D5136">
        <v>1.06755887734638</v>
      </c>
      <c r="E5136">
        <v>0.96671760094690595</v>
      </c>
      <c r="F5136">
        <v>0.95901656006327995</v>
      </c>
      <c r="G5136">
        <v>0.664085975994675</v>
      </c>
      <c r="H5136">
        <v>0.61566522954984504</v>
      </c>
      <c r="I5136">
        <v>0.56818996696399404</v>
      </c>
      <c r="J5136">
        <v>0.72159029459305202</v>
      </c>
      <c r="K5136">
        <v>0.63410870459665403</v>
      </c>
      <c r="L5136">
        <v>3397.0144570276998</v>
      </c>
      <c r="M5136">
        <v>65.605806236475999</v>
      </c>
      <c r="O5136">
        <v>51.731127864089601</v>
      </c>
      <c r="P5136">
        <v>-0.115762777623412</v>
      </c>
      <c r="Q5136">
        <v>0.63487760159003204</v>
      </c>
      <c r="R5136">
        <v>0.93920259333352296</v>
      </c>
      <c r="S5136" t="s">
        <v>10719</v>
      </c>
      <c r="T5136" t="s">
        <v>11164</v>
      </c>
      <c r="U5136" t="s">
        <v>11164</v>
      </c>
      <c r="V5136" t="s">
        <v>11164</v>
      </c>
      <c r="W5136" t="s">
        <v>16254</v>
      </c>
      <c r="X5136">
        <v>4</v>
      </c>
      <c r="Y5136" t="s">
        <v>21719</v>
      </c>
      <c r="Z5136" t="s">
        <v>27286</v>
      </c>
      <c r="AA5136">
        <v>0.81523442417444647</v>
      </c>
      <c r="AB5136" t="str">
        <f>HYPERLINK("Melting_Curves/meltCurve_Q9NZ53_PODXL2.pdf", "Melting_Curves/meltCurve_Q9NZ53_PODXL2.pdf")</f>
        <v>Melting_Curves/meltCurve_Q9NZ53_PODXL2.pdf</v>
      </c>
    </row>
    <row r="5137" spans="1:28" x14ac:dyDescent="0.25">
      <c r="A5137" t="s">
        <v>5141</v>
      </c>
      <c r="B5137">
        <v>0.99796759195183404</v>
      </c>
      <c r="C5137">
        <v>1.0088218954986601</v>
      </c>
      <c r="D5137">
        <v>0.95560918110225901</v>
      </c>
      <c r="E5137">
        <v>0.89225311148802799</v>
      </c>
      <c r="F5137">
        <v>0.83023060265102999</v>
      </c>
      <c r="G5137">
        <v>0.65130259873597196</v>
      </c>
      <c r="H5137">
        <v>0.72370365004403503</v>
      </c>
      <c r="I5137">
        <v>0.67499925099459901</v>
      </c>
      <c r="J5137">
        <v>0.88671340134600296</v>
      </c>
      <c r="K5137">
        <v>0.77212217759051505</v>
      </c>
      <c r="L5137">
        <v>1242.2607265746201</v>
      </c>
      <c r="M5137">
        <v>26.3496818331977</v>
      </c>
      <c r="O5137">
        <v>46.876154383972199</v>
      </c>
      <c r="P5137">
        <v>-3.56183312782496E-2</v>
      </c>
      <c r="Q5137">
        <v>0.74654232139097298</v>
      </c>
      <c r="R5137">
        <v>0.74142584915761001</v>
      </c>
      <c r="S5137" t="s">
        <v>10720</v>
      </c>
      <c r="T5137" t="s">
        <v>11164</v>
      </c>
      <c r="U5137" t="s">
        <v>11164</v>
      </c>
      <c r="V5137" t="s">
        <v>11164</v>
      </c>
      <c r="W5137" t="s">
        <v>16255</v>
      </c>
      <c r="X5137">
        <v>17</v>
      </c>
      <c r="Y5137" t="s">
        <v>21720</v>
      </c>
      <c r="Z5137" t="s">
        <v>27287</v>
      </c>
      <c r="AA5137">
        <v>0.83417398568164003</v>
      </c>
      <c r="AB5137" t="str">
        <f>HYPERLINK("Melting_Curves/meltCurve_Q9NZ63_C9orf78.pdf", "Melting_Curves/meltCurve_Q9NZ63_C9orf78.pdf")</f>
        <v>Melting_Curves/meltCurve_Q9NZ63_C9orf78.pdf</v>
      </c>
    </row>
    <row r="5138" spans="1:28" x14ac:dyDescent="0.25">
      <c r="A5138" t="s">
        <v>5142</v>
      </c>
      <c r="B5138">
        <v>0.99796759195183404</v>
      </c>
      <c r="C5138">
        <v>0.82765710143590998</v>
      </c>
      <c r="D5138">
        <v>0.92498705312637797</v>
      </c>
      <c r="E5138">
        <v>0.83465687689613099</v>
      </c>
      <c r="F5138">
        <v>0.76274074877291098</v>
      </c>
      <c r="G5138">
        <v>0.67317766934660805</v>
      </c>
      <c r="H5138">
        <v>0.39624912053151501</v>
      </c>
      <c r="I5138">
        <v>0.25717321740424698</v>
      </c>
      <c r="J5138">
        <v>0.22077204446896001</v>
      </c>
      <c r="K5138">
        <v>0.126377955143919</v>
      </c>
      <c r="L5138">
        <v>557.20516110553899</v>
      </c>
      <c r="M5138">
        <v>10.015441124734201</v>
      </c>
      <c r="N5138">
        <v>55.634600804323</v>
      </c>
      <c r="O5138">
        <v>53.553091111749502</v>
      </c>
      <c r="P5138">
        <v>-4.6777336290480302E-2</v>
      </c>
      <c r="Q5138">
        <v>0</v>
      </c>
      <c r="R5138">
        <v>0.96042037274782599</v>
      </c>
      <c r="S5138" t="s">
        <v>10721</v>
      </c>
      <c r="T5138" t="s">
        <v>11164</v>
      </c>
      <c r="U5138" t="s">
        <v>11164</v>
      </c>
      <c r="V5138" t="s">
        <v>11164</v>
      </c>
      <c r="W5138" t="s">
        <v>16256</v>
      </c>
      <c r="X5138">
        <v>2</v>
      </c>
      <c r="Y5138" t="s">
        <v>21721</v>
      </c>
      <c r="Z5138" t="s">
        <v>27288</v>
      </c>
      <c r="AA5138">
        <v>0.62956388659241014</v>
      </c>
      <c r="AB5138" t="str">
        <f>HYPERLINK("Melting_Curves/meltCurve_Q9NZA1_3_CLIC5.pdf", "Melting_Curves/meltCurve_Q9NZA1_3_CLIC5.pdf")</f>
        <v>Melting_Curves/meltCurve_Q9NZA1_3_CLIC5.pdf</v>
      </c>
    </row>
    <row r="5139" spans="1:28" x14ac:dyDescent="0.25">
      <c r="A5139" t="s">
        <v>5143</v>
      </c>
      <c r="B5139">
        <v>0.99796759195183404</v>
      </c>
      <c r="C5139">
        <v>0.94645342694693002</v>
      </c>
      <c r="D5139">
        <v>0.93037894672164201</v>
      </c>
      <c r="E5139">
        <v>0.91108650633712995</v>
      </c>
      <c r="F5139">
        <v>0.772190516684232</v>
      </c>
      <c r="G5139">
        <v>0.671567191086759</v>
      </c>
      <c r="H5139">
        <v>0.50149708193709697</v>
      </c>
      <c r="I5139">
        <v>0.62592017278823797</v>
      </c>
      <c r="J5139">
        <v>0.42958870452177</v>
      </c>
      <c r="K5139">
        <v>0.37626570415105298</v>
      </c>
      <c r="L5139">
        <v>437.26002968265698</v>
      </c>
      <c r="M5139">
        <v>7.8080453370224197</v>
      </c>
      <c r="N5139">
        <v>61.132823776467497</v>
      </c>
      <c r="O5139">
        <v>52.684085671542199</v>
      </c>
      <c r="P5139">
        <v>-2.8179395168739602E-2</v>
      </c>
      <c r="Q5139">
        <v>0.24038876254191499</v>
      </c>
      <c r="R5139">
        <v>0.94575230147863498</v>
      </c>
      <c r="S5139" t="s">
        <v>10722</v>
      </c>
      <c r="T5139" t="s">
        <v>11164</v>
      </c>
      <c r="U5139" t="s">
        <v>11164</v>
      </c>
      <c r="V5139" t="s">
        <v>11164</v>
      </c>
      <c r="W5139" t="s">
        <v>16257</v>
      </c>
      <c r="X5139">
        <v>3</v>
      </c>
      <c r="Y5139" t="s">
        <v>21722</v>
      </c>
      <c r="Z5139" t="s">
        <v>27289</v>
      </c>
      <c r="AA5139">
        <v>0.71939556136971161</v>
      </c>
      <c r="AB5139" t="str">
        <f>HYPERLINK("Melting_Curves/meltCurve_Q9NZB8_2_MOCS1.pdf", "Melting_Curves/meltCurve_Q9NZB8_2_MOCS1.pdf")</f>
        <v>Melting_Curves/meltCurve_Q9NZB8_2_MOCS1.pdf</v>
      </c>
    </row>
    <row r="5140" spans="1:28" x14ac:dyDescent="0.25">
      <c r="A5140" t="s">
        <v>5144</v>
      </c>
      <c r="B5140">
        <v>0.99796759195183404</v>
      </c>
      <c r="C5140">
        <v>0.78547450360591398</v>
      </c>
      <c r="D5140">
        <v>0.69395334542694298</v>
      </c>
      <c r="E5140">
        <v>0.688179677577761</v>
      </c>
      <c r="F5140">
        <v>0.661462150707404</v>
      </c>
      <c r="G5140">
        <v>0.49500888888304301</v>
      </c>
      <c r="H5140">
        <v>0.41029331615804698</v>
      </c>
      <c r="I5140">
        <v>0.29779972933849402</v>
      </c>
      <c r="J5140">
        <v>0.37446326893133602</v>
      </c>
      <c r="K5140">
        <v>0.122515306182089</v>
      </c>
      <c r="L5140">
        <v>288.63841487126598</v>
      </c>
      <c r="M5140">
        <v>5.4376974876345399</v>
      </c>
      <c r="N5140">
        <v>53.0809989866584</v>
      </c>
      <c r="O5140">
        <v>47.1894853215924</v>
      </c>
      <c r="P5140">
        <v>-2.8939833580740201E-2</v>
      </c>
      <c r="Q5140">
        <v>0</v>
      </c>
      <c r="R5140">
        <v>0.91478604828227394</v>
      </c>
      <c r="S5140" t="s">
        <v>10723</v>
      </c>
      <c r="T5140" t="s">
        <v>11164</v>
      </c>
      <c r="U5140" t="s">
        <v>11164</v>
      </c>
      <c r="V5140" t="s">
        <v>11164</v>
      </c>
      <c r="W5140" t="s">
        <v>16258</v>
      </c>
      <c r="X5140">
        <v>3</v>
      </c>
      <c r="Y5140" t="s">
        <v>21723</v>
      </c>
      <c r="Z5140" t="s">
        <v>27290</v>
      </c>
      <c r="AA5140">
        <v>0.55056812611494577</v>
      </c>
      <c r="AB5140" t="str">
        <f>HYPERLINK("Melting_Curves/meltCurve_Q9NZC3_GDE1.pdf", "Melting_Curves/meltCurve_Q9NZC3_GDE1.pdf")</f>
        <v>Melting_Curves/meltCurve_Q9NZC3_GDE1.pdf</v>
      </c>
    </row>
    <row r="5141" spans="1:28" x14ac:dyDescent="0.25">
      <c r="A5141" t="s">
        <v>5145</v>
      </c>
      <c r="B5141">
        <v>0.99796759195183404</v>
      </c>
      <c r="C5141">
        <v>0.90909819198449004</v>
      </c>
      <c r="D5141">
        <v>1.0316138369293699</v>
      </c>
      <c r="E5141">
        <v>0.91103551982140596</v>
      </c>
      <c r="F5141">
        <v>0.623010734232745</v>
      </c>
      <c r="G5141">
        <v>0.35501648258510199</v>
      </c>
      <c r="H5141">
        <v>0.32586842742542999</v>
      </c>
      <c r="I5141">
        <v>0.25049109779697198</v>
      </c>
      <c r="J5141">
        <v>0.20604760773252601</v>
      </c>
      <c r="K5141">
        <v>0.122170646342532</v>
      </c>
      <c r="L5141">
        <v>1025.9889093832301</v>
      </c>
      <c r="M5141">
        <v>20.2102440326133</v>
      </c>
      <c r="N5141">
        <v>51.986992118683503</v>
      </c>
      <c r="O5141">
        <v>50.276599510605401</v>
      </c>
      <c r="P5141">
        <v>-8.1506218055913598E-2</v>
      </c>
      <c r="Q5141">
        <v>0.188980105559377</v>
      </c>
      <c r="R5141">
        <v>0.98026394661247995</v>
      </c>
      <c r="S5141" t="s">
        <v>10724</v>
      </c>
      <c r="T5141" t="s">
        <v>11164</v>
      </c>
      <c r="U5141" t="s">
        <v>11164</v>
      </c>
      <c r="V5141" t="s">
        <v>11164</v>
      </c>
      <c r="W5141" t="s">
        <v>16259</v>
      </c>
      <c r="X5141">
        <v>4</v>
      </c>
      <c r="Y5141" t="s">
        <v>21724</v>
      </c>
      <c r="Z5141" t="s">
        <v>27291</v>
      </c>
      <c r="AA5141">
        <v>0.57157705423031591</v>
      </c>
      <c r="AB5141" t="str">
        <f>HYPERLINK("Melting_Curves/meltCurve_Q9NZC7_WWOX.pdf", "Melting_Curves/meltCurve_Q9NZC7_WWOX.pdf")</f>
        <v>Melting_Curves/meltCurve_Q9NZC7_WWOX.pdf</v>
      </c>
    </row>
    <row r="5142" spans="1:28" x14ac:dyDescent="0.25">
      <c r="A5142" t="s">
        <v>5146</v>
      </c>
      <c r="B5142">
        <v>0.99796759195183404</v>
      </c>
      <c r="C5142">
        <v>0.91410180601251001</v>
      </c>
      <c r="D5142">
        <v>1.0363322727602999</v>
      </c>
      <c r="E5142">
        <v>0.84329708253952196</v>
      </c>
      <c r="F5142">
        <v>0.53305507270049901</v>
      </c>
      <c r="G5142">
        <v>0.33792341833114697</v>
      </c>
      <c r="H5142">
        <v>0.250027779144192</v>
      </c>
      <c r="I5142">
        <v>0.176706653194732</v>
      </c>
      <c r="J5142">
        <v>0.139536056377464</v>
      </c>
      <c r="K5142">
        <v>0.124688578814186</v>
      </c>
      <c r="L5142">
        <v>946.38010772300004</v>
      </c>
      <c r="M5142">
        <v>18.873471057536001</v>
      </c>
      <c r="N5142">
        <v>51.034666781657201</v>
      </c>
      <c r="O5142">
        <v>49.590641502758203</v>
      </c>
      <c r="P5142">
        <v>-8.1791683978980706E-2</v>
      </c>
      <c r="Q5142">
        <v>0.14039424923468999</v>
      </c>
      <c r="R5142">
        <v>0.988319558872925</v>
      </c>
      <c r="S5142" t="s">
        <v>10725</v>
      </c>
      <c r="T5142" t="s">
        <v>11164</v>
      </c>
      <c r="U5142" t="s">
        <v>11164</v>
      </c>
      <c r="V5142" t="s">
        <v>11164</v>
      </c>
      <c r="W5142" t="s">
        <v>16260</v>
      </c>
      <c r="X5142">
        <v>1</v>
      </c>
      <c r="Y5142" t="s">
        <v>21725</v>
      </c>
      <c r="Z5142" t="s">
        <v>27292</v>
      </c>
      <c r="AA5142">
        <v>0.52949485471951518</v>
      </c>
      <c r="AB5142" t="str">
        <f>HYPERLINK("Melting_Curves/meltCurve_Q9NZC9_SMARCAL1.pdf", "Melting_Curves/meltCurve_Q9NZC9_SMARCAL1.pdf")</f>
        <v>Melting_Curves/meltCurve_Q9NZC9_SMARCAL1.pdf</v>
      </c>
    </row>
    <row r="5143" spans="1:28" x14ac:dyDescent="0.25">
      <c r="A5143" t="s">
        <v>5147</v>
      </c>
      <c r="B5143">
        <v>0.99796759195183404</v>
      </c>
      <c r="C5143">
        <v>1.14614611736677</v>
      </c>
      <c r="D5143">
        <v>1.11329588080557</v>
      </c>
      <c r="E5143">
        <v>0.96143103617469095</v>
      </c>
      <c r="F5143">
        <v>0.76914859445611605</v>
      </c>
      <c r="G5143">
        <v>0.435995562959544</v>
      </c>
      <c r="H5143">
        <v>0.35154948301007</v>
      </c>
      <c r="I5143">
        <v>0.29923512957375098</v>
      </c>
      <c r="J5143">
        <v>0.31209864368754903</v>
      </c>
      <c r="K5143">
        <v>0.21296347083578901</v>
      </c>
      <c r="L5143">
        <v>1428.05621105815</v>
      </c>
      <c r="M5143">
        <v>27.698108276792599</v>
      </c>
      <c r="N5143">
        <v>53.107436716017098</v>
      </c>
      <c r="O5143">
        <v>51.291394521194697</v>
      </c>
      <c r="P5143">
        <v>-9.7586826660128703E-2</v>
      </c>
      <c r="Q5143">
        <v>0.27716080645283703</v>
      </c>
      <c r="R5143">
        <v>0.966761767056324</v>
      </c>
      <c r="S5143" t="s">
        <v>10726</v>
      </c>
      <c r="T5143" t="s">
        <v>11164</v>
      </c>
      <c r="U5143" t="s">
        <v>11164</v>
      </c>
      <c r="V5143" t="s">
        <v>11164</v>
      </c>
      <c r="W5143" t="s">
        <v>16261</v>
      </c>
      <c r="X5143">
        <v>2</v>
      </c>
      <c r="Y5143" t="s">
        <v>21726</v>
      </c>
      <c r="Z5143" t="s">
        <v>27293</v>
      </c>
      <c r="AA5143">
        <v>0.6332139140084394</v>
      </c>
      <c r="AB5143" t="str">
        <f>HYPERLINK("Melting_Curves/meltCurve_Q9NZD8_2_SPG21.pdf", "Melting_Curves/meltCurve_Q9NZD8_2_SPG21.pdf")</f>
        <v>Melting_Curves/meltCurve_Q9NZD8_2_SPG21.pdf</v>
      </c>
    </row>
    <row r="5144" spans="1:28" x14ac:dyDescent="0.25">
      <c r="A5144" t="s">
        <v>5148</v>
      </c>
      <c r="B5144">
        <v>0.99796759195183404</v>
      </c>
      <c r="C5144">
        <v>0.97017132394474004</v>
      </c>
      <c r="D5144">
        <v>0.988886758420913</v>
      </c>
      <c r="E5144">
        <v>0.92516962565981598</v>
      </c>
      <c r="F5144">
        <v>0.75549802871874605</v>
      </c>
      <c r="G5144">
        <v>0.434611012213869</v>
      </c>
      <c r="H5144">
        <v>0.30012203750830602</v>
      </c>
      <c r="I5144">
        <v>0.26827939651667199</v>
      </c>
      <c r="J5144">
        <v>0.18510631347421799</v>
      </c>
      <c r="K5144">
        <v>0.15737791156143499</v>
      </c>
      <c r="L5144">
        <v>1032.9432738364401</v>
      </c>
      <c r="M5144">
        <v>19.822352613167901</v>
      </c>
      <c r="N5144">
        <v>53.2825321113123</v>
      </c>
      <c r="O5144">
        <v>51.588370163636803</v>
      </c>
      <c r="P5144">
        <v>-7.9083771983649603E-2</v>
      </c>
      <c r="Q5144">
        <v>0.17675456261037101</v>
      </c>
      <c r="R5144">
        <v>0.99538018216448299</v>
      </c>
      <c r="S5144" t="s">
        <v>10727</v>
      </c>
      <c r="T5144" t="s">
        <v>11164</v>
      </c>
      <c r="U5144" t="s">
        <v>11164</v>
      </c>
      <c r="V5144" t="s">
        <v>11164</v>
      </c>
      <c r="W5144" t="s">
        <v>16262</v>
      </c>
      <c r="X5144">
        <v>7</v>
      </c>
      <c r="Y5144" t="s">
        <v>21727</v>
      </c>
      <c r="Z5144" t="s">
        <v>27294</v>
      </c>
      <c r="AA5144">
        <v>0.60215303039236001</v>
      </c>
      <c r="AB5144" t="str">
        <f>HYPERLINK("Melting_Curves/meltCurve_Q9NZI8_IGF2BP1.pdf", "Melting_Curves/meltCurve_Q9NZI8_IGF2BP1.pdf")</f>
        <v>Melting_Curves/meltCurve_Q9NZI8_IGF2BP1.pdf</v>
      </c>
    </row>
    <row r="5145" spans="1:28" x14ac:dyDescent="0.25">
      <c r="A5145" t="s">
        <v>5149</v>
      </c>
      <c r="B5145">
        <v>0.99796759195183404</v>
      </c>
      <c r="C5145">
        <v>1.0690931133896799</v>
      </c>
      <c r="D5145">
        <v>1.12459628719303</v>
      </c>
      <c r="E5145">
        <v>0.95258034460540197</v>
      </c>
      <c r="F5145">
        <v>0.88397812587360403</v>
      </c>
      <c r="G5145">
        <v>1.29574496458961</v>
      </c>
      <c r="H5145">
        <v>0.99334432465758504</v>
      </c>
      <c r="I5145">
        <v>0.77839333026297697</v>
      </c>
      <c r="J5145">
        <v>0.22504423822632999</v>
      </c>
      <c r="K5145">
        <v>0.11143381309009</v>
      </c>
      <c r="L5145">
        <v>3728.4356941850301</v>
      </c>
      <c r="M5145">
        <v>60.000540659878602</v>
      </c>
      <c r="N5145">
        <v>62.373270493175298</v>
      </c>
      <c r="O5145">
        <v>62.071128983004797</v>
      </c>
      <c r="P5145">
        <v>-0.21737481123873501</v>
      </c>
      <c r="Q5145">
        <v>0.100495285118283</v>
      </c>
      <c r="R5145">
        <v>0.90620107242399195</v>
      </c>
      <c r="S5145" t="s">
        <v>10728</v>
      </c>
      <c r="T5145" t="s">
        <v>11164</v>
      </c>
      <c r="U5145" t="s">
        <v>11164</v>
      </c>
      <c r="V5145" t="s">
        <v>11164</v>
      </c>
      <c r="W5145" t="s">
        <v>16263</v>
      </c>
      <c r="X5145">
        <v>2</v>
      </c>
      <c r="Y5145" t="s">
        <v>21728</v>
      </c>
      <c r="Z5145" t="s">
        <v>27295</v>
      </c>
      <c r="AA5145">
        <v>0.85551096775876745</v>
      </c>
      <c r="AB5145" t="str">
        <f>HYPERLINK("Melting_Curves/meltCurve_Q9NZJ4_2_SACS.pdf", "Melting_Curves/meltCurve_Q9NZJ4_2_SACS.pdf")</f>
        <v>Melting_Curves/meltCurve_Q9NZJ4_2_SACS.pdf</v>
      </c>
    </row>
    <row r="5146" spans="1:28" x14ac:dyDescent="0.25">
      <c r="A5146" t="s">
        <v>5150</v>
      </c>
      <c r="B5146">
        <v>0.99796759195183404</v>
      </c>
      <c r="C5146">
        <v>0.92419353814482597</v>
      </c>
      <c r="D5146">
        <v>0.94523114368569905</v>
      </c>
      <c r="E5146">
        <v>0.86446341054967402</v>
      </c>
      <c r="F5146">
        <v>0.65400164515369696</v>
      </c>
      <c r="G5146">
        <v>0.45302644404608999</v>
      </c>
      <c r="H5146">
        <v>0.43829679369799002</v>
      </c>
      <c r="I5146">
        <v>0.31793958359652302</v>
      </c>
      <c r="J5146">
        <v>0.13977267895295301</v>
      </c>
      <c r="K5146">
        <v>6.9706141021217805E-2</v>
      </c>
      <c r="L5146">
        <v>529.48708456941495</v>
      </c>
      <c r="M5146">
        <v>9.7805391880225603</v>
      </c>
      <c r="N5146">
        <v>54.136799054992501</v>
      </c>
      <c r="O5146">
        <v>52.019155561511603</v>
      </c>
      <c r="P5146">
        <v>-4.7029393596228701E-2</v>
      </c>
      <c r="Q5146">
        <v>0</v>
      </c>
      <c r="R5146">
        <v>0.97747579702658405</v>
      </c>
      <c r="S5146" t="s">
        <v>10729</v>
      </c>
      <c r="T5146" t="s">
        <v>11164</v>
      </c>
      <c r="U5146" t="s">
        <v>11164</v>
      </c>
      <c r="V5146" t="s">
        <v>11164</v>
      </c>
      <c r="W5146" t="s">
        <v>16264</v>
      </c>
      <c r="X5146">
        <v>6</v>
      </c>
      <c r="Y5146" t="s">
        <v>21729</v>
      </c>
      <c r="Z5146" t="s">
        <v>27296</v>
      </c>
      <c r="AA5146">
        <v>0.58791614981709173</v>
      </c>
      <c r="AB5146" t="str">
        <f>HYPERLINK("Melting_Curves/meltCurve_Q9NZJ6_COQ3.pdf", "Melting_Curves/meltCurve_Q9NZJ6_COQ3.pdf")</f>
        <v>Melting_Curves/meltCurve_Q9NZJ6_COQ3.pdf</v>
      </c>
    </row>
    <row r="5147" spans="1:28" x14ac:dyDescent="0.25">
      <c r="A5147" t="s">
        <v>5151</v>
      </c>
      <c r="B5147">
        <v>0.99796759195183404</v>
      </c>
      <c r="C5147">
        <v>1.0513922871241801</v>
      </c>
      <c r="D5147">
        <v>1.02091574749846</v>
      </c>
      <c r="E5147">
        <v>0.853024307661706</v>
      </c>
      <c r="F5147">
        <v>0.75548286570772105</v>
      </c>
      <c r="G5147">
        <v>0.43215938209183602</v>
      </c>
      <c r="H5147">
        <v>0.35468260529710499</v>
      </c>
      <c r="I5147">
        <v>0.28295595530295897</v>
      </c>
      <c r="J5147">
        <v>0.188686091383128</v>
      </c>
      <c r="K5147">
        <v>0.16484124848096701</v>
      </c>
      <c r="L5147">
        <v>836.18629541029304</v>
      </c>
      <c r="M5147">
        <v>16.0032312888587</v>
      </c>
      <c r="N5147">
        <v>53.585914026516903</v>
      </c>
      <c r="O5147">
        <v>51.455624027513601</v>
      </c>
      <c r="P5147">
        <v>-6.49764125636699E-2</v>
      </c>
      <c r="Q5147">
        <v>0.16438379484863599</v>
      </c>
      <c r="R5147">
        <v>0.98678462029607505</v>
      </c>
      <c r="S5147" t="s">
        <v>10730</v>
      </c>
      <c r="T5147" t="s">
        <v>11164</v>
      </c>
      <c r="U5147" t="s">
        <v>11164</v>
      </c>
      <c r="V5147" t="s">
        <v>11164</v>
      </c>
      <c r="W5147" t="s">
        <v>16265</v>
      </c>
      <c r="X5147">
        <v>7</v>
      </c>
      <c r="Y5147" t="s">
        <v>21730</v>
      </c>
      <c r="Z5147" t="s">
        <v>27297</v>
      </c>
      <c r="AA5147">
        <v>0.60379145951605284</v>
      </c>
      <c r="AB5147" t="str">
        <f>HYPERLINK("Melting_Curves/meltCurve_Q9NZJ9_NUDT4.pdf", "Melting_Curves/meltCurve_Q9NZJ9_NUDT4.pdf")</f>
        <v>Melting_Curves/meltCurve_Q9NZJ9_NUDT4.pdf</v>
      </c>
    </row>
    <row r="5148" spans="1:28" x14ac:dyDescent="0.25">
      <c r="A5148" t="s">
        <v>5152</v>
      </c>
      <c r="B5148">
        <v>0.99796759195183404</v>
      </c>
      <c r="C5148">
        <v>1.0173573770772999</v>
      </c>
      <c r="D5148">
        <v>1.02664541164765</v>
      </c>
      <c r="E5148">
        <v>0.94422323531400099</v>
      </c>
      <c r="F5148">
        <v>0.83736916911225201</v>
      </c>
      <c r="G5148">
        <v>0.64379962638677801</v>
      </c>
      <c r="H5148">
        <v>0.33954743651885599</v>
      </c>
      <c r="I5148">
        <v>0.17234146596776301</v>
      </c>
      <c r="J5148">
        <v>0.12587794209911701</v>
      </c>
      <c r="K5148">
        <v>8.9508638840832003E-2</v>
      </c>
      <c r="L5148">
        <v>997.42643760014198</v>
      </c>
      <c r="M5148">
        <v>18.1458767136399</v>
      </c>
      <c r="N5148">
        <v>55.290792501050298</v>
      </c>
      <c r="O5148">
        <v>54.312584427154697</v>
      </c>
      <c r="P5148">
        <v>-7.9320169824436404E-2</v>
      </c>
      <c r="Q5148">
        <v>5.0389773783654702E-2</v>
      </c>
      <c r="R5148">
        <v>0.997689459985316</v>
      </c>
      <c r="S5148" t="s">
        <v>10731</v>
      </c>
      <c r="T5148" t="s">
        <v>11164</v>
      </c>
      <c r="U5148" t="s">
        <v>11164</v>
      </c>
      <c r="V5148" t="s">
        <v>11164</v>
      </c>
      <c r="W5148" t="s">
        <v>16266</v>
      </c>
      <c r="X5148">
        <v>12</v>
      </c>
      <c r="Y5148" t="s">
        <v>21731</v>
      </c>
      <c r="Z5148" t="s">
        <v>27298</v>
      </c>
      <c r="AA5148">
        <v>0.63100819097884198</v>
      </c>
      <c r="AB5148" t="str">
        <f>HYPERLINK("Melting_Curves/meltCurve_Q9NZL4_HSPBP1.pdf", "Melting_Curves/meltCurve_Q9NZL4_HSPBP1.pdf")</f>
        <v>Melting_Curves/meltCurve_Q9NZL4_HSPBP1.pdf</v>
      </c>
    </row>
    <row r="5149" spans="1:28" x14ac:dyDescent="0.25">
      <c r="A5149" t="s">
        <v>5153</v>
      </c>
      <c r="B5149">
        <v>0.99796759195183404</v>
      </c>
      <c r="C5149">
        <v>1.0197703586693201</v>
      </c>
      <c r="D5149">
        <v>1.0646302701710899</v>
      </c>
      <c r="E5149">
        <v>1.0628015136698801</v>
      </c>
      <c r="F5149">
        <v>1.01987228764572</v>
      </c>
      <c r="G5149">
        <v>1.4780907475330001</v>
      </c>
      <c r="H5149">
        <v>1.0264103820589601</v>
      </c>
      <c r="I5149">
        <v>0.78622894385476705</v>
      </c>
      <c r="J5149">
        <v>0.32227244874473499</v>
      </c>
      <c r="K5149">
        <v>0.13170876703069201</v>
      </c>
      <c r="L5149">
        <v>3029.0950897800799</v>
      </c>
      <c r="M5149">
        <v>48.424310587293498</v>
      </c>
      <c r="N5149">
        <v>62.8471090370711</v>
      </c>
      <c r="O5149">
        <v>62.446787786533598</v>
      </c>
      <c r="P5149">
        <v>-0.17421902461522101</v>
      </c>
      <c r="Q5149">
        <v>0.10132676744863101</v>
      </c>
      <c r="R5149">
        <v>0.82627032422227997</v>
      </c>
      <c r="S5149" t="s">
        <v>10732</v>
      </c>
      <c r="T5149" t="s">
        <v>11164</v>
      </c>
      <c r="U5149" t="s">
        <v>11164</v>
      </c>
      <c r="V5149" t="s">
        <v>11164</v>
      </c>
      <c r="W5149" t="s">
        <v>16267</v>
      </c>
      <c r="X5149">
        <v>11</v>
      </c>
      <c r="Y5149" t="s">
        <v>21732</v>
      </c>
      <c r="Z5149" t="s">
        <v>27299</v>
      </c>
      <c r="AA5149">
        <v>0.86760351606674246</v>
      </c>
      <c r="AB5149" t="str">
        <f>HYPERLINK("Melting_Curves/meltCurve_Q9NZL9_MAT2B.pdf", "Melting_Curves/meltCurve_Q9NZL9_MAT2B.pdf")</f>
        <v>Melting_Curves/meltCurve_Q9NZL9_MAT2B.pdf</v>
      </c>
    </row>
    <row r="5150" spans="1:28" x14ac:dyDescent="0.25">
      <c r="A5150" t="s">
        <v>5154</v>
      </c>
      <c r="B5150">
        <v>0.99796759195183404</v>
      </c>
      <c r="C5150">
        <v>1.1596965463808999</v>
      </c>
      <c r="D5150">
        <v>1.18002826898632</v>
      </c>
      <c r="E5150">
        <v>1.2143893731753901</v>
      </c>
      <c r="F5150">
        <v>1.0202268851746601</v>
      </c>
      <c r="G5150">
        <v>1.3913762846365001</v>
      </c>
      <c r="H5150">
        <v>0.66190214142704595</v>
      </c>
      <c r="I5150">
        <v>0.27857858483247799</v>
      </c>
      <c r="J5150">
        <v>0.21383186351803801</v>
      </c>
      <c r="K5150">
        <v>0.17185052082486299</v>
      </c>
      <c r="L5150">
        <v>11052.1085172886</v>
      </c>
      <c r="M5150">
        <v>192.280864932361</v>
      </c>
      <c r="N5150">
        <v>57.6543583730897</v>
      </c>
      <c r="O5150">
        <v>57.472764225266197</v>
      </c>
      <c r="P5150">
        <v>-0.65120807277289305</v>
      </c>
      <c r="Q5150">
        <v>0.22141543243473499</v>
      </c>
      <c r="R5150">
        <v>0.86171523922933402</v>
      </c>
      <c r="S5150" t="s">
        <v>10733</v>
      </c>
      <c r="T5150" t="s">
        <v>11164</v>
      </c>
      <c r="U5150" t="s">
        <v>11164</v>
      </c>
      <c r="V5150" t="s">
        <v>11164</v>
      </c>
      <c r="W5150" t="s">
        <v>16268</v>
      </c>
      <c r="X5150">
        <v>10</v>
      </c>
      <c r="Y5150" t="s">
        <v>21732</v>
      </c>
      <c r="Z5150" t="s">
        <v>27300</v>
      </c>
      <c r="AA5150">
        <v>0.753035552296207</v>
      </c>
      <c r="AB5150" t="str">
        <f>HYPERLINK("Melting_Curves/meltCurve_Q9NZL9_2_MAT2B.pdf", "Melting_Curves/meltCurve_Q9NZL9_2_MAT2B.pdf")</f>
        <v>Melting_Curves/meltCurve_Q9NZL9_2_MAT2B.pdf</v>
      </c>
    </row>
    <row r="5151" spans="1:28" x14ac:dyDescent="0.25">
      <c r="A5151" t="s">
        <v>5155</v>
      </c>
      <c r="B5151">
        <v>0.99796759195183404</v>
      </c>
      <c r="C5151">
        <v>0.96961784356158798</v>
      </c>
      <c r="D5151">
        <v>0.98410681444429304</v>
      </c>
      <c r="E5151">
        <v>0.92013791278001</v>
      </c>
      <c r="F5151">
        <v>0.80003583640207598</v>
      </c>
      <c r="G5151">
        <v>0.44538681817043402</v>
      </c>
      <c r="H5151">
        <v>0.270295740776689</v>
      </c>
      <c r="I5151">
        <v>0.21119107799475201</v>
      </c>
      <c r="J5151">
        <v>0.171189516577021</v>
      </c>
      <c r="K5151">
        <v>0.12984212689577199</v>
      </c>
      <c r="L5151">
        <v>1125.50496974256</v>
      </c>
      <c r="M5151">
        <v>21.417900039753601</v>
      </c>
      <c r="N5151">
        <v>53.411608604647597</v>
      </c>
      <c r="O5151">
        <v>52.098075077042999</v>
      </c>
      <c r="P5151">
        <v>-8.7762606192984094E-2</v>
      </c>
      <c r="Q5151">
        <v>0.146107101491047</v>
      </c>
      <c r="R5151">
        <v>0.99658385261536397</v>
      </c>
      <c r="S5151" t="s">
        <v>10734</v>
      </c>
      <c r="T5151" t="s">
        <v>11164</v>
      </c>
      <c r="U5151" t="s">
        <v>11164</v>
      </c>
      <c r="V5151" t="s">
        <v>11164</v>
      </c>
      <c r="W5151" t="s">
        <v>16269</v>
      </c>
      <c r="X5151">
        <v>11</v>
      </c>
      <c r="Y5151" t="s">
        <v>21733</v>
      </c>
      <c r="Z5151" t="s">
        <v>27301</v>
      </c>
      <c r="AA5151">
        <v>0.5985013193981833</v>
      </c>
      <c r="AB5151" t="str">
        <f>HYPERLINK("Melting_Curves/meltCurve_Q9NZN3_EHD3.pdf", "Melting_Curves/meltCurve_Q9NZN3_EHD3.pdf")</f>
        <v>Melting_Curves/meltCurve_Q9NZN3_EHD3.pdf</v>
      </c>
    </row>
    <row r="5152" spans="1:28" x14ac:dyDescent="0.25">
      <c r="A5152" t="s">
        <v>5156</v>
      </c>
      <c r="B5152">
        <v>0.99796759195183404</v>
      </c>
      <c r="C5152">
        <v>0.921408160260897</v>
      </c>
      <c r="D5152">
        <v>0.93159567128187704</v>
      </c>
      <c r="E5152">
        <v>0.81959467209561998</v>
      </c>
      <c r="F5152">
        <v>0.57181833352628297</v>
      </c>
      <c r="G5152">
        <v>0.45380138831495398</v>
      </c>
      <c r="H5152">
        <v>0.30921987172572901</v>
      </c>
      <c r="I5152">
        <v>0.229354092026157</v>
      </c>
      <c r="J5152">
        <v>0.125514659015842</v>
      </c>
      <c r="K5152">
        <v>0.101422871328395</v>
      </c>
      <c r="L5152">
        <v>532.90165310422503</v>
      </c>
      <c r="M5152">
        <v>10.136035739068401</v>
      </c>
      <c r="N5152">
        <v>52.633415456373903</v>
      </c>
      <c r="O5152">
        <v>50.651657050596</v>
      </c>
      <c r="P5152">
        <v>-4.9771112691697997E-2</v>
      </c>
      <c r="Q5152">
        <v>5.5972457431409496E-3</v>
      </c>
      <c r="R5152">
        <v>0.99368586200076203</v>
      </c>
      <c r="S5152" t="s">
        <v>10735</v>
      </c>
      <c r="T5152" t="s">
        <v>11164</v>
      </c>
      <c r="U5152" t="s">
        <v>11164</v>
      </c>
      <c r="V5152" t="s">
        <v>11164</v>
      </c>
      <c r="W5152" t="s">
        <v>16270</v>
      </c>
      <c r="X5152">
        <v>5</v>
      </c>
      <c r="Y5152" t="s">
        <v>21734</v>
      </c>
      <c r="Z5152" t="s">
        <v>27302</v>
      </c>
      <c r="AA5152">
        <v>0.54588688381005623</v>
      </c>
      <c r="AB5152" t="str">
        <f>HYPERLINK("Melting_Curves/meltCurve_Q9NZN5_ARHGEF12.pdf", "Melting_Curves/meltCurve_Q9NZN5_ARHGEF12.pdf")</f>
        <v>Melting_Curves/meltCurve_Q9NZN5_ARHGEF12.pdf</v>
      </c>
    </row>
    <row r="5153" spans="1:28" x14ac:dyDescent="0.25">
      <c r="A5153" t="s">
        <v>5157</v>
      </c>
      <c r="B5153">
        <v>0.99796759195183404</v>
      </c>
      <c r="C5153">
        <v>1.0877715330067499</v>
      </c>
      <c r="D5153">
        <v>1.0798668035524901</v>
      </c>
      <c r="E5153">
        <v>0.91490880348063297</v>
      </c>
      <c r="F5153">
        <v>0.73655499954830095</v>
      </c>
      <c r="G5153">
        <v>0.37669156807259402</v>
      </c>
      <c r="H5153">
        <v>0.30485248292703299</v>
      </c>
      <c r="I5153">
        <v>0.19698623928664699</v>
      </c>
      <c r="J5153">
        <v>0.215843292816948</v>
      </c>
      <c r="K5153">
        <v>0.157282391439762</v>
      </c>
      <c r="L5153">
        <v>1230.8859709265</v>
      </c>
      <c r="M5153">
        <v>23.875974270057998</v>
      </c>
      <c r="N5153">
        <v>52.601135656479101</v>
      </c>
      <c r="O5153">
        <v>51.195765600181197</v>
      </c>
      <c r="P5153">
        <v>-9.4528719835344402E-2</v>
      </c>
      <c r="Q5153">
        <v>0.18924488486452201</v>
      </c>
      <c r="R5153">
        <v>0.98448597581328801</v>
      </c>
      <c r="S5153" t="s">
        <v>10736</v>
      </c>
      <c r="T5153" t="s">
        <v>11164</v>
      </c>
      <c r="U5153" t="s">
        <v>11164</v>
      </c>
      <c r="V5153" t="s">
        <v>11164</v>
      </c>
      <c r="W5153" t="s">
        <v>16271</v>
      </c>
      <c r="X5153">
        <v>5</v>
      </c>
      <c r="Y5153" t="s">
        <v>21735</v>
      </c>
      <c r="Z5153" t="s">
        <v>27303</v>
      </c>
      <c r="AA5153">
        <v>0.59034769026936984</v>
      </c>
      <c r="AB5153" t="str">
        <f>HYPERLINK("Melting_Curves/meltCurve_Q9NZQ3_3_NCKIPSD.pdf", "Melting_Curves/meltCurve_Q9NZQ3_3_NCKIPSD.pdf")</f>
        <v>Melting_Curves/meltCurve_Q9NZQ3_3_NCKIPSD.pdf</v>
      </c>
    </row>
    <row r="5154" spans="1:28" x14ac:dyDescent="0.25">
      <c r="A5154" t="s">
        <v>5158</v>
      </c>
      <c r="B5154">
        <v>0.99796759195183404</v>
      </c>
      <c r="C5154">
        <v>0.97906229235749198</v>
      </c>
      <c r="D5154">
        <v>0.977816872716741</v>
      </c>
      <c r="E5154">
        <v>0.83631731500706197</v>
      </c>
      <c r="F5154">
        <v>0.51111335439362904</v>
      </c>
      <c r="G5154">
        <v>0.19107671193116399</v>
      </c>
      <c r="H5154">
        <v>0.15460342343162001</v>
      </c>
      <c r="I5154">
        <v>0.13558309728995499</v>
      </c>
      <c r="J5154">
        <v>9.2330641484556303E-2</v>
      </c>
      <c r="K5154">
        <v>7.3986742315055795E-2</v>
      </c>
      <c r="L5154">
        <v>1176.6157513641699</v>
      </c>
      <c r="M5154">
        <v>23.673772491364101</v>
      </c>
      <c r="N5154">
        <v>50.149506822796802</v>
      </c>
      <c r="O5154">
        <v>49.350686157886301</v>
      </c>
      <c r="P5154">
        <v>-0.108491863996272</v>
      </c>
      <c r="Q5154">
        <v>9.5360549048730897E-2</v>
      </c>
      <c r="R5154">
        <v>0.99756200005427498</v>
      </c>
      <c r="S5154" t="s">
        <v>10737</v>
      </c>
      <c r="T5154" t="s">
        <v>11164</v>
      </c>
      <c r="U5154" t="s">
        <v>11164</v>
      </c>
      <c r="V5154" t="s">
        <v>11164</v>
      </c>
      <c r="W5154" t="s">
        <v>16272</v>
      </c>
      <c r="X5154">
        <v>21</v>
      </c>
      <c r="Y5154" t="s">
        <v>21736</v>
      </c>
      <c r="Z5154" t="s">
        <v>27304</v>
      </c>
      <c r="AA5154">
        <v>0.48710950911502621</v>
      </c>
      <c r="AB5154" t="str">
        <f>HYPERLINK("Melting_Curves/meltCurve_Q9NZT2_2_OGFR.pdf", "Melting_Curves/meltCurve_Q9NZT2_2_OGFR.pdf")</f>
        <v>Melting_Curves/meltCurve_Q9NZT2_2_OGFR.pdf</v>
      </c>
    </row>
    <row r="5155" spans="1:28" x14ac:dyDescent="0.25">
      <c r="A5155" t="s">
        <v>5159</v>
      </c>
      <c r="B5155">
        <v>0.99796759195183404</v>
      </c>
      <c r="C5155">
        <v>0.99702565734953097</v>
      </c>
      <c r="D5155">
        <v>1.0108042567120601</v>
      </c>
      <c r="E5155">
        <v>0.95390042701418098</v>
      </c>
      <c r="F5155">
        <v>0.77676755028945998</v>
      </c>
      <c r="G5155">
        <v>0.46714795969766099</v>
      </c>
      <c r="H5155">
        <v>0.26584044691178599</v>
      </c>
      <c r="I5155">
        <v>0.181428424680108</v>
      </c>
      <c r="J5155">
        <v>0.13986762379416801</v>
      </c>
      <c r="K5155">
        <v>9.7430978303354204E-2</v>
      </c>
      <c r="L5155">
        <v>1069.1462925007399</v>
      </c>
      <c r="M5155">
        <v>20.211618948097101</v>
      </c>
      <c r="N5155">
        <v>53.539249794498403</v>
      </c>
      <c r="O5155">
        <v>52.387953381393103</v>
      </c>
      <c r="P5155">
        <v>-8.6079935252333206E-2</v>
      </c>
      <c r="Q5155">
        <v>0.10756078394558199</v>
      </c>
      <c r="R5155">
        <v>0.99895191316599496</v>
      </c>
      <c r="S5155" t="s">
        <v>10738</v>
      </c>
      <c r="T5155" t="s">
        <v>11164</v>
      </c>
      <c r="U5155" t="s">
        <v>11164</v>
      </c>
      <c r="V5155" t="s">
        <v>11164</v>
      </c>
      <c r="W5155" t="s">
        <v>16273</v>
      </c>
      <c r="X5155">
        <v>9</v>
      </c>
      <c r="Y5155" t="s">
        <v>21737</v>
      </c>
      <c r="Z5155" t="s">
        <v>27305</v>
      </c>
      <c r="AA5155">
        <v>0.59158750521396042</v>
      </c>
      <c r="AB5155" t="str">
        <f>HYPERLINK("Melting_Curves/meltCurve_Q9NZU5_LMCD1.pdf", "Melting_Curves/meltCurve_Q9NZU5_LMCD1.pdf")</f>
        <v>Melting_Curves/meltCurve_Q9NZU5_LMCD1.pdf</v>
      </c>
    </row>
    <row r="5156" spans="1:28" x14ac:dyDescent="0.25">
      <c r="A5156" t="s">
        <v>5160</v>
      </c>
      <c r="B5156">
        <v>0.99796759195183404</v>
      </c>
      <c r="C5156">
        <v>0.98082219017457595</v>
      </c>
      <c r="D5156">
        <v>0.98977493735026201</v>
      </c>
      <c r="E5156">
        <v>0.90509057791266001</v>
      </c>
      <c r="F5156">
        <v>0.76452396384239096</v>
      </c>
      <c r="G5156">
        <v>0.36477517741051002</v>
      </c>
      <c r="H5156">
        <v>0.17160235034442001</v>
      </c>
      <c r="I5156">
        <v>0.146288963394127</v>
      </c>
      <c r="J5156">
        <v>9.7545592588208496E-2</v>
      </c>
      <c r="K5156">
        <v>7.1814854458052996E-2</v>
      </c>
      <c r="L5156">
        <v>1231.5472508861501</v>
      </c>
      <c r="M5156">
        <v>23.630719704800001</v>
      </c>
      <c r="N5156">
        <v>52.536457257276098</v>
      </c>
      <c r="O5156">
        <v>51.747444031813103</v>
      </c>
      <c r="P5156">
        <v>-0.10433734454559</v>
      </c>
      <c r="Q5156">
        <v>8.6087909672452695E-2</v>
      </c>
      <c r="R5156">
        <v>0.99693619332654704</v>
      </c>
      <c r="S5156" t="s">
        <v>10739</v>
      </c>
      <c r="T5156" t="s">
        <v>11164</v>
      </c>
      <c r="U5156" t="s">
        <v>11164</v>
      </c>
      <c r="V5156" t="s">
        <v>11164</v>
      </c>
      <c r="W5156" t="s">
        <v>16274</v>
      </c>
      <c r="X5156">
        <v>26</v>
      </c>
      <c r="Y5156" t="s">
        <v>21738</v>
      </c>
      <c r="Z5156" t="s">
        <v>27306</v>
      </c>
      <c r="AA5156">
        <v>0.55553221088073557</v>
      </c>
      <c r="AB5156" t="str">
        <f>HYPERLINK("Melting_Curves/meltCurve_Q9NZW5_MPP6.pdf", "Melting_Curves/meltCurve_Q9NZW5_MPP6.pdf")</f>
        <v>Melting_Curves/meltCurve_Q9NZW5_MPP6.pdf</v>
      </c>
    </row>
    <row r="5157" spans="1:28" x14ac:dyDescent="0.25">
      <c r="A5157" t="s">
        <v>5161</v>
      </c>
      <c r="B5157">
        <v>0.99796759195183404</v>
      </c>
      <c r="C5157">
        <v>0.96345263624463195</v>
      </c>
      <c r="D5157">
        <v>0.99460094216864503</v>
      </c>
      <c r="E5157">
        <v>0.911500819237547</v>
      </c>
      <c r="F5157">
        <v>0.81337585113611699</v>
      </c>
      <c r="G5157">
        <v>0.68674789912086898</v>
      </c>
      <c r="H5157">
        <v>0.74613079388037495</v>
      </c>
      <c r="I5157">
        <v>0.66822546154482998</v>
      </c>
      <c r="J5157">
        <v>0.91340573843404405</v>
      </c>
      <c r="K5157">
        <v>0.80907534197267506</v>
      </c>
      <c r="L5157">
        <v>1717.0067941684499</v>
      </c>
      <c r="M5157">
        <v>36.2902782586904</v>
      </c>
      <c r="O5157">
        <v>47.1701559012742</v>
      </c>
      <c r="P5157">
        <v>-4.4705409186571197E-2</v>
      </c>
      <c r="Q5157">
        <v>0.76756808994623305</v>
      </c>
      <c r="R5157">
        <v>0.692698401423813</v>
      </c>
      <c r="S5157" t="s">
        <v>10740</v>
      </c>
      <c r="T5157" t="s">
        <v>11164</v>
      </c>
      <c r="U5157" t="s">
        <v>11164</v>
      </c>
      <c r="V5157" t="s">
        <v>11164</v>
      </c>
      <c r="W5157" t="s">
        <v>16275</v>
      </c>
      <c r="X5157">
        <v>11</v>
      </c>
      <c r="Y5157" t="s">
        <v>21739</v>
      </c>
      <c r="Z5157" t="s">
        <v>27307</v>
      </c>
      <c r="AA5157">
        <v>0.84839674160157463</v>
      </c>
      <c r="AB5157" t="str">
        <f>HYPERLINK("Melting_Curves/meltCurve_Q9NZZ3_CHMP5.pdf", "Melting_Curves/meltCurve_Q9NZZ3_CHMP5.pdf")</f>
        <v>Melting_Curves/meltCurve_Q9NZZ3_CHMP5.pdf</v>
      </c>
    </row>
    <row r="5158" spans="1:28" x14ac:dyDescent="0.25">
      <c r="A5158" t="s">
        <v>5162</v>
      </c>
      <c r="B5158">
        <v>0.99796759195183404</v>
      </c>
      <c r="C5158">
        <v>1.05951644991704</v>
      </c>
      <c r="D5158">
        <v>1.12807040527439</v>
      </c>
      <c r="E5158">
        <v>1.04853089423615</v>
      </c>
      <c r="F5158">
        <v>0.77835992978933899</v>
      </c>
      <c r="G5158">
        <v>0.61386485091286203</v>
      </c>
      <c r="H5158">
        <v>0.68991911324646304</v>
      </c>
      <c r="I5158">
        <v>0.406438887787403</v>
      </c>
      <c r="J5158">
        <v>0.35303121342231297</v>
      </c>
      <c r="K5158">
        <v>0.26329603848977601</v>
      </c>
      <c r="L5158">
        <v>668.30540761725695</v>
      </c>
      <c r="M5158">
        <v>11.713727455206801</v>
      </c>
      <c r="N5158">
        <v>59.002773459079798</v>
      </c>
      <c r="O5158">
        <v>55.466503507633199</v>
      </c>
      <c r="P5158">
        <v>-4.4335909754118698E-2</v>
      </c>
      <c r="Q5158">
        <v>0.16046974835917499</v>
      </c>
      <c r="R5158">
        <v>0.92238910793213702</v>
      </c>
      <c r="S5158" t="s">
        <v>10741</v>
      </c>
      <c r="T5158" t="s">
        <v>11164</v>
      </c>
      <c r="U5158" t="s">
        <v>11164</v>
      </c>
      <c r="V5158" t="s">
        <v>11164</v>
      </c>
      <c r="W5158" t="s">
        <v>16276</v>
      </c>
      <c r="X5158">
        <v>4</v>
      </c>
      <c r="Y5158" t="s">
        <v>21740</v>
      </c>
      <c r="Z5158" t="s">
        <v>27308</v>
      </c>
      <c r="AA5158">
        <v>0.72479717080361827</v>
      </c>
      <c r="AB5158" t="str">
        <f>HYPERLINK("Melting_Curves/meltCurve_Q9P000_COMMD9.pdf", "Melting_Curves/meltCurve_Q9P000_COMMD9.pdf")</f>
        <v>Melting_Curves/meltCurve_Q9P000_COMMD9.pdf</v>
      </c>
    </row>
    <row r="5159" spans="1:28" x14ac:dyDescent="0.25">
      <c r="A5159" t="s">
        <v>5163</v>
      </c>
      <c r="B5159">
        <v>0.99796759195183404</v>
      </c>
      <c r="C5159">
        <v>1.0384886679204599</v>
      </c>
      <c r="D5159">
        <v>0.98696365780754602</v>
      </c>
      <c r="E5159">
        <v>1.0246793557906999</v>
      </c>
      <c r="F5159">
        <v>1.01535540438433</v>
      </c>
      <c r="G5159">
        <v>1.1093267003980101</v>
      </c>
      <c r="H5159">
        <v>1.4411524087068299</v>
      </c>
      <c r="I5159">
        <v>1.2913744733413299</v>
      </c>
      <c r="J5159">
        <v>1.7463148811293501</v>
      </c>
      <c r="K5159">
        <v>1.71141920442539</v>
      </c>
      <c r="L5159">
        <v>2232.17365898346</v>
      </c>
      <c r="M5159">
        <v>40.353675432767403</v>
      </c>
      <c r="O5159">
        <v>55.179938115189898</v>
      </c>
      <c r="P5159">
        <v>9.1414026458278397E-2</v>
      </c>
      <c r="Q5159">
        <v>1.5</v>
      </c>
      <c r="R5159">
        <v>0.813295632637833</v>
      </c>
      <c r="S5159" t="s">
        <v>10742</v>
      </c>
      <c r="T5159" t="s">
        <v>11164</v>
      </c>
      <c r="U5159" t="s">
        <v>11164</v>
      </c>
      <c r="V5159" t="s">
        <v>11164</v>
      </c>
      <c r="W5159" t="s">
        <v>16277</v>
      </c>
      <c r="X5159">
        <v>18</v>
      </c>
      <c r="Y5159" t="s">
        <v>21741</v>
      </c>
      <c r="Z5159" t="s">
        <v>27309</v>
      </c>
      <c r="AA5159">
        <v>1.192898537938937</v>
      </c>
      <c r="AB5159" t="str">
        <f>HYPERLINK("Melting_Curves/meltCurve_Q9P013_CWC15.pdf", "Melting_Curves/meltCurve_Q9P013_CWC15.pdf")</f>
        <v>Melting_Curves/meltCurve_Q9P013_CWC15.pdf</v>
      </c>
    </row>
    <row r="5160" spans="1:28" x14ac:dyDescent="0.25">
      <c r="A5160" t="s">
        <v>5164</v>
      </c>
      <c r="B5160">
        <v>0.99796759195183404</v>
      </c>
      <c r="C5160">
        <v>1.0630325484107199</v>
      </c>
      <c r="D5160">
        <v>0.99790088741411598</v>
      </c>
      <c r="E5160">
        <v>0.97498988399012798</v>
      </c>
      <c r="F5160">
        <v>0.87101339949087297</v>
      </c>
      <c r="G5160">
        <v>0.48359956424336997</v>
      </c>
      <c r="H5160">
        <v>0.22800669530550299</v>
      </c>
      <c r="I5160">
        <v>0.16988379098822301</v>
      </c>
      <c r="J5160">
        <v>0.1212848900006</v>
      </c>
      <c r="K5160">
        <v>9.4141693517508396E-2</v>
      </c>
      <c r="L5160">
        <v>1451.74426898669</v>
      </c>
      <c r="M5160">
        <v>27.2669809788888</v>
      </c>
      <c r="N5160">
        <v>53.758141526543</v>
      </c>
      <c r="O5160">
        <v>52.957939897648501</v>
      </c>
      <c r="P5160">
        <v>-0.11389341640436</v>
      </c>
      <c r="Q5160">
        <v>0.115193097584551</v>
      </c>
      <c r="R5160">
        <v>0.99632308793773905</v>
      </c>
      <c r="S5160" t="s">
        <v>10743</v>
      </c>
      <c r="T5160" t="s">
        <v>11164</v>
      </c>
      <c r="U5160" t="s">
        <v>11164</v>
      </c>
      <c r="V5160" t="s">
        <v>11164</v>
      </c>
      <c r="W5160" t="s">
        <v>16278</v>
      </c>
      <c r="X5160">
        <v>10</v>
      </c>
      <c r="Y5160" t="s">
        <v>21742</v>
      </c>
      <c r="Z5160" t="s">
        <v>27310</v>
      </c>
      <c r="AA5160">
        <v>0.6009330696077525</v>
      </c>
      <c r="AB5160" t="str">
        <f>HYPERLINK("Melting_Curves/meltCurve_Q9P016_THYN1.pdf", "Melting_Curves/meltCurve_Q9P016_THYN1.pdf")</f>
        <v>Melting_Curves/meltCurve_Q9P016_THYN1.pdf</v>
      </c>
    </row>
    <row r="5161" spans="1:28" x14ac:dyDescent="0.25">
      <c r="A5161" t="s">
        <v>5165</v>
      </c>
      <c r="B5161">
        <v>0.99796759195183404</v>
      </c>
      <c r="C5161">
        <v>1.01882962443794</v>
      </c>
      <c r="D5161">
        <v>1.0464899655381801</v>
      </c>
      <c r="E5161">
        <v>0.97604156054565105</v>
      </c>
      <c r="F5161">
        <v>0.84506737313387503</v>
      </c>
      <c r="G5161">
        <v>0.91076514772870698</v>
      </c>
      <c r="H5161">
        <v>0.66739071294371999</v>
      </c>
      <c r="I5161">
        <v>0.362595667991985</v>
      </c>
      <c r="J5161">
        <v>0.219355506370082</v>
      </c>
      <c r="K5161">
        <v>0.128621932045593</v>
      </c>
      <c r="L5161">
        <v>1041.45840220529</v>
      </c>
      <c r="M5161">
        <v>17.5240633128101</v>
      </c>
      <c r="N5161">
        <v>59.430191271527299</v>
      </c>
      <c r="O5161">
        <v>58.672484657347297</v>
      </c>
      <c r="P5161">
        <v>-7.4673096256370294E-2</v>
      </c>
      <c r="Q5161">
        <v>0</v>
      </c>
      <c r="R5161">
        <v>0.98225345403008901</v>
      </c>
      <c r="S5161" t="s">
        <v>10744</v>
      </c>
      <c r="T5161" t="s">
        <v>11164</v>
      </c>
      <c r="U5161" t="s">
        <v>11164</v>
      </c>
      <c r="V5161" t="s">
        <v>11164</v>
      </c>
      <c r="W5161" t="s">
        <v>16279</v>
      </c>
      <c r="X5161">
        <v>7</v>
      </c>
      <c r="Y5161" t="s">
        <v>21743</v>
      </c>
      <c r="Z5161" t="s">
        <v>27311</v>
      </c>
      <c r="AA5161">
        <v>0.74823901458591113</v>
      </c>
      <c r="AB5161" t="str">
        <f>HYPERLINK("Melting_Curves/meltCurve_Q9P032_NDUFAF4.pdf", "Melting_Curves/meltCurve_Q9P032_NDUFAF4.pdf")</f>
        <v>Melting_Curves/meltCurve_Q9P032_NDUFAF4.pdf</v>
      </c>
    </row>
    <row r="5162" spans="1:28" x14ac:dyDescent="0.25">
      <c r="A5162" t="s">
        <v>5166</v>
      </c>
      <c r="B5162">
        <v>0.99796759195183404</v>
      </c>
      <c r="C5162">
        <v>0.83542796918090001</v>
      </c>
      <c r="D5162">
        <v>0.84586169349261997</v>
      </c>
      <c r="E5162">
        <v>0.93346577922071095</v>
      </c>
      <c r="F5162">
        <v>0.74417764721304702</v>
      </c>
      <c r="G5162">
        <v>0.65167455757235404</v>
      </c>
      <c r="H5162">
        <v>0.443980710759381</v>
      </c>
      <c r="I5162">
        <v>0.30253375974928698</v>
      </c>
      <c r="J5162">
        <v>0.145749660211521</v>
      </c>
      <c r="K5162">
        <v>0.12097041665000299</v>
      </c>
      <c r="L5162">
        <v>594.54840910861105</v>
      </c>
      <c r="M5162">
        <v>10.645794880147299</v>
      </c>
      <c r="N5162">
        <v>55.848208357831702</v>
      </c>
      <c r="O5162">
        <v>53.985718702720902</v>
      </c>
      <c r="P5162">
        <v>-4.9318012137445501E-2</v>
      </c>
      <c r="Q5162">
        <v>0</v>
      </c>
      <c r="R5162">
        <v>0.95308435087269405</v>
      </c>
      <c r="S5162" t="s">
        <v>10745</v>
      </c>
      <c r="T5162" t="s">
        <v>11164</v>
      </c>
      <c r="U5162" t="s">
        <v>11164</v>
      </c>
      <c r="V5162" t="s">
        <v>11164</v>
      </c>
      <c r="W5162" t="s">
        <v>16280</v>
      </c>
      <c r="X5162">
        <v>2</v>
      </c>
      <c r="Y5162" t="s">
        <v>21744</v>
      </c>
      <c r="Z5162" t="s">
        <v>27312</v>
      </c>
      <c r="AA5162">
        <v>0.63675477772330247</v>
      </c>
      <c r="AB5162" t="str">
        <f>HYPERLINK("Melting_Curves/meltCurve_Q9P035_PTPLAD1.pdf", "Melting_Curves/meltCurve_Q9P035_PTPLAD1.pdf")</f>
        <v>Melting_Curves/meltCurve_Q9P035_PTPLAD1.pdf</v>
      </c>
    </row>
    <row r="5163" spans="1:28" x14ac:dyDescent="0.25">
      <c r="A5163" t="s">
        <v>5167</v>
      </c>
      <c r="B5163">
        <v>0.99796759195183404</v>
      </c>
      <c r="C5163">
        <v>0.96249736087176496</v>
      </c>
      <c r="D5163">
        <v>0.87623041683724001</v>
      </c>
      <c r="E5163">
        <v>0.85955467152952303</v>
      </c>
      <c r="F5163">
        <v>0.87181329941178498</v>
      </c>
      <c r="G5163">
        <v>0.697471888470102</v>
      </c>
      <c r="H5163">
        <v>0.33216779660527901</v>
      </c>
      <c r="I5163">
        <v>0.339427600984123</v>
      </c>
      <c r="J5163">
        <v>0.29699041831286399</v>
      </c>
      <c r="K5163">
        <v>0.169717033593344</v>
      </c>
      <c r="L5163">
        <v>682.15623304477697</v>
      </c>
      <c r="M5163">
        <v>12.3189777132158</v>
      </c>
      <c r="N5163">
        <v>56.397129727026602</v>
      </c>
      <c r="O5163">
        <v>53.9759053591373</v>
      </c>
      <c r="P5163">
        <v>-5.13573684945062E-2</v>
      </c>
      <c r="Q5163">
        <v>0.100101638527083</v>
      </c>
      <c r="R5163">
        <v>0.95378792306570404</v>
      </c>
      <c r="S5163" t="s">
        <v>10746</v>
      </c>
      <c r="T5163" t="s">
        <v>11164</v>
      </c>
      <c r="U5163" t="s">
        <v>11164</v>
      </c>
      <c r="V5163" t="s">
        <v>11164</v>
      </c>
      <c r="W5163" t="s">
        <v>16281</v>
      </c>
      <c r="X5163">
        <v>4</v>
      </c>
      <c r="Y5163" t="s">
        <v>21745</v>
      </c>
      <c r="Z5163" t="s">
        <v>27313</v>
      </c>
      <c r="AA5163">
        <v>0.66281731455598958</v>
      </c>
      <c r="AB5163" t="str">
        <f>HYPERLINK("Melting_Curves/meltCurve_Q9P0J1_PDP1.pdf", "Melting_Curves/meltCurve_Q9P0J1_PDP1.pdf")</f>
        <v>Melting_Curves/meltCurve_Q9P0J1_PDP1.pdf</v>
      </c>
    </row>
    <row r="5164" spans="1:28" x14ac:dyDescent="0.25">
      <c r="A5164" t="s">
        <v>5168</v>
      </c>
      <c r="B5164">
        <v>0.99796759195183404</v>
      </c>
      <c r="C5164">
        <v>0.93400294126598504</v>
      </c>
      <c r="D5164">
        <v>1.0081834719957401</v>
      </c>
      <c r="E5164">
        <v>0.92634333181792505</v>
      </c>
      <c r="F5164">
        <v>0.81238657875102105</v>
      </c>
      <c r="G5164">
        <v>0.66908482877573805</v>
      </c>
      <c r="H5164">
        <v>0.60060118182056099</v>
      </c>
      <c r="I5164">
        <v>0.36874607467592602</v>
      </c>
      <c r="J5164">
        <v>0.173749389416292</v>
      </c>
      <c r="K5164">
        <v>0.114727190878247</v>
      </c>
      <c r="L5164">
        <v>692.79665106571497</v>
      </c>
      <c r="M5164">
        <v>12.0205158831843</v>
      </c>
      <c r="N5164">
        <v>57.634519106588101</v>
      </c>
      <c r="O5164">
        <v>56.108932109164797</v>
      </c>
      <c r="P5164">
        <v>-5.3571660750690302E-2</v>
      </c>
      <c r="Q5164">
        <v>0</v>
      </c>
      <c r="R5164">
        <v>0.97938321704153197</v>
      </c>
      <c r="S5164" t="s">
        <v>10747</v>
      </c>
      <c r="T5164" t="s">
        <v>11164</v>
      </c>
      <c r="U5164" t="s">
        <v>11164</v>
      </c>
      <c r="V5164" t="s">
        <v>11164</v>
      </c>
      <c r="W5164" t="s">
        <v>16282</v>
      </c>
      <c r="X5164">
        <v>13</v>
      </c>
      <c r="Y5164" t="s">
        <v>21746</v>
      </c>
      <c r="Z5164" t="s">
        <v>27314</v>
      </c>
      <c r="AA5164">
        <v>0.68881778292757534</v>
      </c>
      <c r="AB5164" t="str">
        <f>HYPERLINK("Melting_Curves/meltCurve_Q9P0L0_VAPA.pdf", "Melting_Curves/meltCurve_Q9P0L0_VAPA.pdf")</f>
        <v>Melting_Curves/meltCurve_Q9P0L0_VAPA.pdf</v>
      </c>
    </row>
    <row r="5165" spans="1:28" x14ac:dyDescent="0.25">
      <c r="A5165" t="s">
        <v>5169</v>
      </c>
      <c r="B5165">
        <v>0.99796759195183404</v>
      </c>
      <c r="C5165">
        <v>1.06336576582713</v>
      </c>
      <c r="D5165">
        <v>0.95248083658537097</v>
      </c>
      <c r="E5165">
        <v>0.81211081911628702</v>
      </c>
      <c r="F5165">
        <v>0.68551962666125699</v>
      </c>
      <c r="G5165">
        <v>0.26659126508094799</v>
      </c>
      <c r="H5165">
        <v>0.152368607053326</v>
      </c>
      <c r="I5165">
        <v>0.169168074386436</v>
      </c>
      <c r="J5165">
        <v>0.118652655486605</v>
      </c>
      <c r="K5165">
        <v>0.108187686554667</v>
      </c>
      <c r="L5165">
        <v>1065.0260661340201</v>
      </c>
      <c r="M5165">
        <v>20.955683529788701</v>
      </c>
      <c r="N5165">
        <v>51.3941171034649</v>
      </c>
      <c r="O5165">
        <v>50.366756348802802</v>
      </c>
      <c r="P5165">
        <v>-9.3209881889582999E-2</v>
      </c>
      <c r="Q5165">
        <v>0.103908519645165</v>
      </c>
      <c r="R5165">
        <v>0.98589721307356404</v>
      </c>
      <c r="S5165" t="s">
        <v>10748</v>
      </c>
      <c r="T5165" t="s">
        <v>11164</v>
      </c>
      <c r="U5165" t="s">
        <v>11164</v>
      </c>
      <c r="V5165" t="s">
        <v>11164</v>
      </c>
      <c r="W5165" t="s">
        <v>16283</v>
      </c>
      <c r="X5165">
        <v>2</v>
      </c>
      <c r="Y5165" t="s">
        <v>21747</v>
      </c>
      <c r="Z5165" t="s">
        <v>27315</v>
      </c>
      <c r="AA5165">
        <v>0.52764231999499978</v>
      </c>
      <c r="AB5165" t="str">
        <f>HYPERLINK("Melting_Curves/meltCurve_Q9P0L2_MARK1.pdf", "Melting_Curves/meltCurve_Q9P0L2_MARK1.pdf")</f>
        <v>Melting_Curves/meltCurve_Q9P0L2_MARK1.pdf</v>
      </c>
    </row>
    <row r="5166" spans="1:28" x14ac:dyDescent="0.25">
      <c r="A5166" t="s">
        <v>5170</v>
      </c>
      <c r="B5166">
        <v>0.99796759195183404</v>
      </c>
      <c r="C5166">
        <v>0.94797982457168095</v>
      </c>
      <c r="D5166">
        <v>0.86999322533824397</v>
      </c>
      <c r="E5166">
        <v>0.66239708874280101</v>
      </c>
      <c r="F5166">
        <v>0.63777290816721799</v>
      </c>
      <c r="G5166">
        <v>0.30873514275114</v>
      </c>
      <c r="H5166">
        <v>0.26211543461639197</v>
      </c>
      <c r="I5166">
        <v>0.241351201663833</v>
      </c>
      <c r="J5166">
        <v>0.25038124923598998</v>
      </c>
      <c r="K5166">
        <v>6.9439872035848602E-2</v>
      </c>
      <c r="L5166">
        <v>523.10989175430302</v>
      </c>
      <c r="M5166">
        <v>10.4190830347563</v>
      </c>
      <c r="N5166">
        <v>51.089226527942799</v>
      </c>
      <c r="O5166">
        <v>48.463069574492003</v>
      </c>
      <c r="P5166">
        <v>-4.9342574153570497E-2</v>
      </c>
      <c r="Q5166">
        <v>8.2337997358845297E-2</v>
      </c>
      <c r="R5166">
        <v>0.96840309222354004</v>
      </c>
      <c r="S5166" t="s">
        <v>10749</v>
      </c>
      <c r="T5166" t="s">
        <v>11164</v>
      </c>
      <c r="U5166" t="s">
        <v>11164</v>
      </c>
      <c r="V5166" t="s">
        <v>11164</v>
      </c>
      <c r="W5166" t="s">
        <v>16284</v>
      </c>
      <c r="X5166">
        <v>1</v>
      </c>
      <c r="Y5166" t="s">
        <v>21748</v>
      </c>
      <c r="Z5166" t="s">
        <v>27316</v>
      </c>
      <c r="AA5166">
        <v>0.51568509080315961</v>
      </c>
      <c r="AB5166" t="str">
        <f>HYPERLINK("Melting_Curves/meltCurve_Q9P0N9_3_TBC1D7.pdf", "Melting_Curves/meltCurve_Q9P0N9_3_TBC1D7.pdf")</f>
        <v>Melting_Curves/meltCurve_Q9P0N9_3_TBC1D7.pdf</v>
      </c>
    </row>
    <row r="5167" spans="1:28" x14ac:dyDescent="0.25">
      <c r="A5167" t="s">
        <v>5171</v>
      </c>
      <c r="B5167">
        <v>0.99796759195183404</v>
      </c>
      <c r="C5167">
        <v>0.99327161838868805</v>
      </c>
      <c r="D5167">
        <v>0.95936734044745797</v>
      </c>
      <c r="E5167">
        <v>0.94839847714681702</v>
      </c>
      <c r="F5167">
        <v>0.92544326596539295</v>
      </c>
      <c r="G5167">
        <v>0.53344272026433903</v>
      </c>
      <c r="H5167">
        <v>0.48769830929188901</v>
      </c>
      <c r="I5167">
        <v>0.54404857151974695</v>
      </c>
      <c r="J5167">
        <v>0.66867405899323895</v>
      </c>
      <c r="K5167">
        <v>0.615027999072427</v>
      </c>
      <c r="L5167">
        <v>12628.4338791428</v>
      </c>
      <c r="M5167">
        <v>250</v>
      </c>
      <c r="O5167">
        <v>50.510502952451802</v>
      </c>
      <c r="P5167">
        <v>-0.53234186431809805</v>
      </c>
      <c r="Q5167">
        <v>0.56977831538345702</v>
      </c>
      <c r="R5167">
        <v>0.93991511873747102</v>
      </c>
      <c r="S5167" t="s">
        <v>10750</v>
      </c>
      <c r="T5167" t="s">
        <v>11164</v>
      </c>
      <c r="U5167" t="s">
        <v>11164</v>
      </c>
      <c r="V5167" t="s">
        <v>11164</v>
      </c>
      <c r="W5167" t="s">
        <v>16285</v>
      </c>
      <c r="X5167">
        <v>9</v>
      </c>
      <c r="Y5167" t="s">
        <v>21749</v>
      </c>
      <c r="Z5167" t="s">
        <v>27317</v>
      </c>
      <c r="AA5167">
        <v>0.7636131902018245</v>
      </c>
      <c r="AB5167" t="str">
        <f>HYPERLINK("Melting_Curves/meltCurve_Q9P0P0_RNF181.pdf", "Melting_Curves/meltCurve_Q9P0P0_RNF181.pdf")</f>
        <v>Melting_Curves/meltCurve_Q9P0P0_RNF181.pdf</v>
      </c>
    </row>
    <row r="5168" spans="1:28" x14ac:dyDescent="0.25">
      <c r="A5168" t="s">
        <v>5172</v>
      </c>
      <c r="B5168">
        <v>0.99796759195183404</v>
      </c>
      <c r="C5168">
        <v>0.93886487213483305</v>
      </c>
      <c r="D5168">
        <v>0.98146675604071199</v>
      </c>
      <c r="E5168">
        <v>0.84590367989381499</v>
      </c>
      <c r="F5168">
        <v>0.69451947008759396</v>
      </c>
      <c r="G5168">
        <v>0.42678396147415998</v>
      </c>
      <c r="H5168">
        <v>0.39873987472882899</v>
      </c>
      <c r="I5168">
        <v>0.27223356760102402</v>
      </c>
      <c r="J5168">
        <v>0.23975173748335099</v>
      </c>
      <c r="K5168">
        <v>0.16394853481108701</v>
      </c>
      <c r="L5168">
        <v>668.49129088735106</v>
      </c>
      <c r="M5168">
        <v>12.839027448043099</v>
      </c>
      <c r="N5168">
        <v>53.5792703864538</v>
      </c>
      <c r="O5168">
        <v>50.852514986502101</v>
      </c>
      <c r="P5168">
        <v>-5.35358991847723E-2</v>
      </c>
      <c r="Q5168">
        <v>0.15198255729621599</v>
      </c>
      <c r="R5168">
        <v>0.98837444154422505</v>
      </c>
      <c r="S5168" t="s">
        <v>10751</v>
      </c>
      <c r="T5168" t="s">
        <v>11164</v>
      </c>
      <c r="U5168" t="s">
        <v>11164</v>
      </c>
      <c r="V5168" t="s">
        <v>11164</v>
      </c>
      <c r="W5168" t="s">
        <v>16286</v>
      </c>
      <c r="X5168">
        <v>3</v>
      </c>
      <c r="Y5168" t="s">
        <v>21750</v>
      </c>
      <c r="Z5168" t="s">
        <v>27318</v>
      </c>
      <c r="AA5168">
        <v>0.59680755311584055</v>
      </c>
      <c r="AB5168" t="str">
        <f>HYPERLINK("Melting_Curves/meltCurve_Q9P0R6_GSKIP.pdf", "Melting_Curves/meltCurve_Q9P0R6_GSKIP.pdf")</f>
        <v>Melting_Curves/meltCurve_Q9P0R6_GSKIP.pdf</v>
      </c>
    </row>
    <row r="5169" spans="1:28" x14ac:dyDescent="0.25">
      <c r="A5169" t="s">
        <v>5173</v>
      </c>
      <c r="B5169">
        <v>0.99796759195183404</v>
      </c>
      <c r="C5169">
        <v>1.1183168656292399</v>
      </c>
      <c r="D5169">
        <v>0.92207857321134201</v>
      </c>
      <c r="E5169">
        <v>0.84506912806832502</v>
      </c>
      <c r="F5169">
        <v>0.63503319612944997</v>
      </c>
      <c r="G5169">
        <v>0.38401613488201403</v>
      </c>
      <c r="H5169">
        <v>0.29348208075804499</v>
      </c>
      <c r="I5169">
        <v>0.33516355994536901</v>
      </c>
      <c r="J5169">
        <v>0.24101554849478701</v>
      </c>
      <c r="K5169">
        <v>0.16606487877845399</v>
      </c>
      <c r="L5169">
        <v>874.37362199987695</v>
      </c>
      <c r="M5169">
        <v>17.359147000154898</v>
      </c>
      <c r="N5169">
        <v>52.083443270718298</v>
      </c>
      <c r="O5169">
        <v>49.715435467243097</v>
      </c>
      <c r="P5169">
        <v>-6.8303413767872703E-2</v>
      </c>
      <c r="Q5169">
        <v>0.21757890604503499</v>
      </c>
      <c r="R5169">
        <v>0.97399302343079996</v>
      </c>
      <c r="S5169" t="s">
        <v>10752</v>
      </c>
      <c r="T5169" t="s">
        <v>11164</v>
      </c>
      <c r="U5169" t="s">
        <v>11164</v>
      </c>
      <c r="V5169" t="s">
        <v>11164</v>
      </c>
      <c r="W5169" t="s">
        <v>16287</v>
      </c>
      <c r="X5169">
        <v>1</v>
      </c>
      <c r="Y5169" t="s">
        <v>21751</v>
      </c>
      <c r="Z5169" t="s">
        <v>27319</v>
      </c>
      <c r="AA5169">
        <v>0.579264111999367</v>
      </c>
      <c r="AB5169" t="str">
        <f>HYPERLINK("Melting_Curves/meltCurve_Q9P0V3_SH3BP4.pdf", "Melting_Curves/meltCurve_Q9P0V3_SH3BP4.pdf")</f>
        <v>Melting_Curves/meltCurve_Q9P0V3_SH3BP4.pdf</v>
      </c>
    </row>
    <row r="5170" spans="1:28" x14ac:dyDescent="0.25">
      <c r="A5170" t="s">
        <v>5174</v>
      </c>
      <c r="B5170">
        <v>0.99796759195183404</v>
      </c>
      <c r="C5170">
        <v>1.0095108290038399</v>
      </c>
      <c r="D5170">
        <v>1.0358667623239599</v>
      </c>
      <c r="E5170">
        <v>1.04270416631733</v>
      </c>
      <c r="F5170">
        <v>0.88647047109079902</v>
      </c>
      <c r="G5170">
        <v>0.64135580089440503</v>
      </c>
      <c r="H5170">
        <v>0.64854956008018205</v>
      </c>
      <c r="I5170">
        <v>0.425756173079821</v>
      </c>
      <c r="J5170">
        <v>0.38230864245859703</v>
      </c>
      <c r="K5170">
        <v>0.361360647108385</v>
      </c>
      <c r="L5170">
        <v>877.97623614982501</v>
      </c>
      <c r="M5170">
        <v>15.9288934700708</v>
      </c>
      <c r="N5170">
        <v>59.042382621029702</v>
      </c>
      <c r="O5170">
        <v>54.271699200188998</v>
      </c>
      <c r="P5170">
        <v>-4.9420016823643498E-2</v>
      </c>
      <c r="Q5170">
        <v>0.32653345146675</v>
      </c>
      <c r="R5170">
        <v>0.96719815901951101</v>
      </c>
      <c r="S5170" t="s">
        <v>10753</v>
      </c>
      <c r="T5170" t="s">
        <v>11164</v>
      </c>
      <c r="U5170" t="s">
        <v>11164</v>
      </c>
      <c r="V5170" t="s">
        <v>11164</v>
      </c>
      <c r="W5170" t="s">
        <v>16288</v>
      </c>
      <c r="X5170">
        <v>3</v>
      </c>
      <c r="Y5170" t="s">
        <v>21752</v>
      </c>
      <c r="Z5170" t="s">
        <v>27320</v>
      </c>
      <c r="AA5170">
        <v>0.74234442269289125</v>
      </c>
      <c r="AB5170" t="str">
        <f>HYPERLINK("Melting_Curves/meltCurve_Q9P0W5_SCHIP1.pdf", "Melting_Curves/meltCurve_Q9P0W5_SCHIP1.pdf")</f>
        <v>Melting_Curves/meltCurve_Q9P0W5_SCHIP1.pdf</v>
      </c>
    </row>
    <row r="5171" spans="1:28" x14ac:dyDescent="0.25">
      <c r="A5171" t="s">
        <v>5175</v>
      </c>
      <c r="B5171">
        <v>0.99796759195183404</v>
      </c>
      <c r="C5171">
        <v>1.06443778284393</v>
      </c>
      <c r="D5171">
        <v>0.94428170236725995</v>
      </c>
      <c r="E5171">
        <v>1.0678122929674301</v>
      </c>
      <c r="F5171">
        <v>1.07797126120425</v>
      </c>
      <c r="G5171">
        <v>1.3180249185545101</v>
      </c>
      <c r="H5171">
        <v>2.7636777287340801</v>
      </c>
      <c r="I5171">
        <v>3.0014721967814499</v>
      </c>
      <c r="J5171">
        <v>3.7935656468777998</v>
      </c>
      <c r="K5171">
        <v>3.7472963139781799</v>
      </c>
      <c r="L5171">
        <v>13419.9653869994</v>
      </c>
      <c r="M5171">
        <v>250</v>
      </c>
      <c r="O5171">
        <v>53.676414288559698</v>
      </c>
      <c r="P5171">
        <v>0.58219226039759597</v>
      </c>
      <c r="Q5171">
        <v>1.5</v>
      </c>
      <c r="R5171">
        <v>-8.8329384980941394E-2</v>
      </c>
      <c r="S5171" t="s">
        <v>10754</v>
      </c>
      <c r="T5171" t="s">
        <v>11164</v>
      </c>
      <c r="U5171" t="s">
        <v>11164</v>
      </c>
      <c r="V5171" t="s">
        <v>11164</v>
      </c>
      <c r="W5171" t="s">
        <v>16289</v>
      </c>
      <c r="X5171">
        <v>4</v>
      </c>
      <c r="Y5171" t="s">
        <v>21753</v>
      </c>
      <c r="Z5171" t="s">
        <v>27321</v>
      </c>
      <c r="AA5171">
        <v>1.221955203872586</v>
      </c>
      <c r="AB5171" t="str">
        <f>HYPERLINK("Melting_Curves/meltCurve_Q9P1U0_ZNRD1.pdf", "Melting_Curves/meltCurve_Q9P1U0_ZNRD1.pdf")</f>
        <v>Melting_Curves/meltCurve_Q9P1U0_ZNRD1.pdf</v>
      </c>
    </row>
    <row r="5172" spans="1:28" x14ac:dyDescent="0.25">
      <c r="A5172" t="s">
        <v>5176</v>
      </c>
      <c r="B5172">
        <v>0.99796759195183404</v>
      </c>
      <c r="C5172">
        <v>0.86051351396496101</v>
      </c>
      <c r="D5172">
        <v>0.83677802003755097</v>
      </c>
      <c r="E5172">
        <v>0.79161389231660995</v>
      </c>
      <c r="F5172">
        <v>0.60775552009864497</v>
      </c>
      <c r="G5172">
        <v>0.35238442239362699</v>
      </c>
      <c r="H5172">
        <v>0.33156864679085202</v>
      </c>
      <c r="I5172">
        <v>0.260988407252082</v>
      </c>
      <c r="J5172">
        <v>0.21920057975848101</v>
      </c>
      <c r="K5172">
        <v>0.169375233677239</v>
      </c>
      <c r="L5172">
        <v>473.90771468402698</v>
      </c>
      <c r="M5172">
        <v>9.3087400294382991</v>
      </c>
      <c r="N5172">
        <v>51.983805815439403</v>
      </c>
      <c r="O5172">
        <v>48.726060989248303</v>
      </c>
      <c r="P5172">
        <v>-4.3610954225584198E-2</v>
      </c>
      <c r="Q5172">
        <v>8.7467011741963599E-2</v>
      </c>
      <c r="R5172">
        <v>0.978464350920356</v>
      </c>
      <c r="S5172" t="s">
        <v>10755</v>
      </c>
      <c r="T5172" t="s">
        <v>11164</v>
      </c>
      <c r="U5172" t="s">
        <v>11164</v>
      </c>
      <c r="V5172" t="s">
        <v>11164</v>
      </c>
      <c r="W5172" t="s">
        <v>16290</v>
      </c>
      <c r="X5172">
        <v>5</v>
      </c>
      <c r="Y5172" t="s">
        <v>21754</v>
      </c>
      <c r="Z5172" t="s">
        <v>27322</v>
      </c>
      <c r="AA5172">
        <v>0.54016001799154567</v>
      </c>
      <c r="AB5172" t="str">
        <f>HYPERLINK("Melting_Curves/meltCurve_Q9P1Y5_CAMSAP3.pdf", "Melting_Curves/meltCurve_Q9P1Y5_CAMSAP3.pdf")</f>
        <v>Melting_Curves/meltCurve_Q9P1Y5_CAMSAP3.pdf</v>
      </c>
    </row>
    <row r="5173" spans="1:28" x14ac:dyDescent="0.25">
      <c r="A5173" t="s">
        <v>5177</v>
      </c>
      <c r="B5173">
        <v>0.99796759195183404</v>
      </c>
      <c r="C5173">
        <v>1.06102225823494</v>
      </c>
      <c r="D5173">
        <v>0.93365538242481105</v>
      </c>
      <c r="E5173">
        <v>0.90173459664996802</v>
      </c>
      <c r="F5173">
        <v>0.77007964810496299</v>
      </c>
      <c r="G5173">
        <v>0.492737436804216</v>
      </c>
      <c r="H5173">
        <v>0.298633084067501</v>
      </c>
      <c r="I5173">
        <v>0.19675333604346901</v>
      </c>
      <c r="J5173">
        <v>0.13874545612185299</v>
      </c>
      <c r="K5173">
        <v>0.14271487416530099</v>
      </c>
      <c r="L5173">
        <v>879.33620476104204</v>
      </c>
      <c r="M5173">
        <v>16.573696084935499</v>
      </c>
      <c r="N5173">
        <v>53.798293751706403</v>
      </c>
      <c r="O5173">
        <v>52.301770124576898</v>
      </c>
      <c r="P5173">
        <v>-7.1130361926586602E-2</v>
      </c>
      <c r="Q5173">
        <v>0.102194279319664</v>
      </c>
      <c r="R5173">
        <v>0.99407986592407105</v>
      </c>
      <c r="S5173" t="s">
        <v>10756</v>
      </c>
      <c r="T5173" t="s">
        <v>11164</v>
      </c>
      <c r="U5173" t="s">
        <v>11164</v>
      </c>
      <c r="V5173" t="s">
        <v>11164</v>
      </c>
      <c r="W5173" t="s">
        <v>16291</v>
      </c>
      <c r="X5173">
        <v>5</v>
      </c>
      <c r="Y5173" t="s">
        <v>21755</v>
      </c>
      <c r="Z5173" t="s">
        <v>27323</v>
      </c>
      <c r="AA5173">
        <v>0.59708109723327063</v>
      </c>
      <c r="AB5173" t="str">
        <f>HYPERLINK("Melting_Curves/meltCurve_Q9P1Z2_2_CALCOCO1.pdf", "Melting_Curves/meltCurve_Q9P1Z2_2_CALCOCO1.pdf")</f>
        <v>Melting_Curves/meltCurve_Q9P1Z2_2_CALCOCO1.pdf</v>
      </c>
    </row>
    <row r="5174" spans="1:28" x14ac:dyDescent="0.25">
      <c r="A5174" t="s">
        <v>5178</v>
      </c>
      <c r="B5174">
        <v>0.99796759195183404</v>
      </c>
      <c r="C5174">
        <v>0.94536155133476996</v>
      </c>
      <c r="D5174">
        <v>0.99961452910801396</v>
      </c>
      <c r="E5174">
        <v>0.97503762080242695</v>
      </c>
      <c r="F5174">
        <v>0.77279746451487397</v>
      </c>
      <c r="G5174">
        <v>0.70806512658865595</v>
      </c>
      <c r="H5174">
        <v>0.482721304062878</v>
      </c>
      <c r="I5174">
        <v>0.362018356780339</v>
      </c>
      <c r="J5174">
        <v>0.26808852374354603</v>
      </c>
      <c r="K5174">
        <v>0.236609164406859</v>
      </c>
      <c r="L5174">
        <v>697.571337849766</v>
      </c>
      <c r="M5174">
        <v>12.480378022089999</v>
      </c>
      <c r="N5174">
        <v>57.303552978847897</v>
      </c>
      <c r="O5174">
        <v>54.516626436226701</v>
      </c>
      <c r="P5174">
        <v>-4.9675364004474303E-2</v>
      </c>
      <c r="Q5174">
        <v>0.132214477161257</v>
      </c>
      <c r="R5174">
        <v>0.98898196770414504</v>
      </c>
      <c r="S5174" t="s">
        <v>10757</v>
      </c>
      <c r="T5174" t="s">
        <v>11164</v>
      </c>
      <c r="U5174" t="s">
        <v>11164</v>
      </c>
      <c r="V5174" t="s">
        <v>11164</v>
      </c>
      <c r="W5174" t="s">
        <v>16292</v>
      </c>
      <c r="X5174">
        <v>2</v>
      </c>
      <c r="Y5174" t="s">
        <v>21756</v>
      </c>
      <c r="Z5174" t="s">
        <v>27324</v>
      </c>
      <c r="AA5174">
        <v>0.68807385537220067</v>
      </c>
      <c r="AB5174" t="str">
        <f>HYPERLINK("Melting_Curves/meltCurve_Q9P206_KIAA1522.pdf", "Melting_Curves/meltCurve_Q9P206_KIAA1522.pdf")</f>
        <v>Melting_Curves/meltCurve_Q9P206_KIAA1522.pdf</v>
      </c>
    </row>
    <row r="5175" spans="1:28" x14ac:dyDescent="0.25">
      <c r="A5175" t="s">
        <v>5179</v>
      </c>
      <c r="B5175">
        <v>0.99796759195183404</v>
      </c>
      <c r="C5175">
        <v>1.0486724576209401</v>
      </c>
      <c r="D5175">
        <v>1.0266940534242399</v>
      </c>
      <c r="E5175">
        <v>0.97511978547954103</v>
      </c>
      <c r="F5175">
        <v>0.83545386401668198</v>
      </c>
      <c r="G5175">
        <v>0.53370121349384303</v>
      </c>
      <c r="H5175">
        <v>0.19006370415259699</v>
      </c>
      <c r="I5175">
        <v>0.10608567076315201</v>
      </c>
      <c r="J5175">
        <v>7.1925513403300903E-2</v>
      </c>
      <c r="K5175">
        <v>6.5305342200556102E-2</v>
      </c>
      <c r="L5175">
        <v>1319.0277636588</v>
      </c>
      <c r="M5175">
        <v>24.5770787072879</v>
      </c>
      <c r="N5175">
        <v>53.918073269842097</v>
      </c>
      <c r="O5175">
        <v>53.317490124654597</v>
      </c>
      <c r="P5175">
        <v>-0.10905727670351301</v>
      </c>
      <c r="Q5175">
        <v>5.3658626116727497E-2</v>
      </c>
      <c r="R5175">
        <v>0.99733293250133503</v>
      </c>
      <c r="S5175" t="s">
        <v>10758</v>
      </c>
      <c r="T5175" t="s">
        <v>11164</v>
      </c>
      <c r="U5175" t="s">
        <v>11164</v>
      </c>
      <c r="V5175" t="s">
        <v>11164</v>
      </c>
      <c r="W5175" t="s">
        <v>16293</v>
      </c>
      <c r="X5175">
        <v>29</v>
      </c>
      <c r="Y5175" t="s">
        <v>21757</v>
      </c>
      <c r="Z5175" t="s">
        <v>27325</v>
      </c>
      <c r="AA5175">
        <v>0.58802021795145698</v>
      </c>
      <c r="AB5175" t="str">
        <f>HYPERLINK("Melting_Curves/meltCurve_Q9P258_RCC2.pdf", "Melting_Curves/meltCurve_Q9P258_RCC2.pdf")</f>
        <v>Melting_Curves/meltCurve_Q9P258_RCC2.pdf</v>
      </c>
    </row>
    <row r="5176" spans="1:28" x14ac:dyDescent="0.25">
      <c r="A5176" t="s">
        <v>5180</v>
      </c>
      <c r="B5176">
        <v>0.99796759195183404</v>
      </c>
      <c r="C5176">
        <v>1.1362141760186</v>
      </c>
      <c r="D5176">
        <v>1.0195314872130501</v>
      </c>
      <c r="E5176">
        <v>0.96531213723654097</v>
      </c>
      <c r="F5176">
        <v>0.96359082617887504</v>
      </c>
      <c r="G5176">
        <v>0.78248318248376603</v>
      </c>
      <c r="H5176">
        <v>0.44845353649258801</v>
      </c>
      <c r="I5176">
        <v>0.40188039882337401</v>
      </c>
      <c r="J5176">
        <v>0.376481538704588</v>
      </c>
      <c r="K5176">
        <v>0.19245450366368699</v>
      </c>
      <c r="L5176">
        <v>1318.8269226193199</v>
      </c>
      <c r="M5176">
        <v>23.768170525841398</v>
      </c>
      <c r="N5176">
        <v>57.392031363824799</v>
      </c>
      <c r="O5176">
        <v>55.098796565856802</v>
      </c>
      <c r="P5176">
        <v>-7.8422010739732706E-2</v>
      </c>
      <c r="Q5176">
        <v>0.27282793456360199</v>
      </c>
      <c r="R5176">
        <v>0.96140122487652402</v>
      </c>
      <c r="S5176" t="s">
        <v>10759</v>
      </c>
      <c r="T5176" t="s">
        <v>11164</v>
      </c>
      <c r="U5176" t="s">
        <v>11164</v>
      </c>
      <c r="V5176" t="s">
        <v>11164</v>
      </c>
      <c r="W5176" t="s">
        <v>16294</v>
      </c>
      <c r="X5176">
        <v>3</v>
      </c>
      <c r="Y5176" t="s">
        <v>21758</v>
      </c>
      <c r="Z5176" t="s">
        <v>27326</v>
      </c>
      <c r="AA5176">
        <v>0.72742850957578686</v>
      </c>
      <c r="AB5176" t="str">
        <f>HYPERLINK("Melting_Curves/meltCurve_Q9P260_2_KIAA1468.pdf", "Melting_Curves/meltCurve_Q9P260_2_KIAA1468.pdf")</f>
        <v>Melting_Curves/meltCurve_Q9P260_2_KIAA1468.pdf</v>
      </c>
    </row>
    <row r="5177" spans="1:28" x14ac:dyDescent="0.25">
      <c r="A5177" t="s">
        <v>5181</v>
      </c>
      <c r="B5177">
        <v>0.99796759195183404</v>
      </c>
      <c r="C5177">
        <v>0.98313392547945</v>
      </c>
      <c r="D5177">
        <v>0.96818089737587798</v>
      </c>
      <c r="E5177">
        <v>0.88422968639908395</v>
      </c>
      <c r="F5177">
        <v>0.81927222436011105</v>
      </c>
      <c r="G5177">
        <v>0.86053975660180004</v>
      </c>
      <c r="H5177">
        <v>0.68387272900922602</v>
      </c>
      <c r="I5177">
        <v>0.38502459262790001</v>
      </c>
      <c r="J5177">
        <v>0.244125585189572</v>
      </c>
      <c r="K5177">
        <v>0.185999426771249</v>
      </c>
      <c r="L5177">
        <v>800.79825569892705</v>
      </c>
      <c r="M5177">
        <v>13.458537807552</v>
      </c>
      <c r="N5177">
        <v>59.501133571446402</v>
      </c>
      <c r="O5177">
        <v>58.233563025586903</v>
      </c>
      <c r="P5177">
        <v>-5.7787198401672901E-2</v>
      </c>
      <c r="Q5177">
        <v>0</v>
      </c>
      <c r="R5177">
        <v>0.96684816272474305</v>
      </c>
      <c r="S5177" t="s">
        <v>10760</v>
      </c>
      <c r="T5177" t="s">
        <v>11164</v>
      </c>
      <c r="U5177" t="s">
        <v>11164</v>
      </c>
      <c r="V5177" t="s">
        <v>11164</v>
      </c>
      <c r="W5177" t="s">
        <v>16295</v>
      </c>
      <c r="X5177">
        <v>13</v>
      </c>
      <c r="Y5177" t="s">
        <v>21759</v>
      </c>
      <c r="Z5177" t="s">
        <v>27327</v>
      </c>
      <c r="AA5177">
        <v>0.74272510787368584</v>
      </c>
      <c r="AB5177" t="str">
        <f>HYPERLINK("Melting_Curves/meltCurve_Q9P265_DIP2B.pdf", "Melting_Curves/meltCurve_Q9P265_DIP2B.pdf")</f>
        <v>Melting_Curves/meltCurve_Q9P265_DIP2B.pdf</v>
      </c>
    </row>
    <row r="5178" spans="1:28" x14ac:dyDescent="0.25">
      <c r="A5178" t="s">
        <v>5182</v>
      </c>
      <c r="B5178">
        <v>0.99796759195183404</v>
      </c>
      <c r="C5178">
        <v>0.89673447655025396</v>
      </c>
      <c r="D5178">
        <v>0.84719312933843904</v>
      </c>
      <c r="E5178">
        <v>0.71129184759003095</v>
      </c>
      <c r="F5178">
        <v>0.63968619114441305</v>
      </c>
      <c r="G5178">
        <v>0.373418356550763</v>
      </c>
      <c r="H5178">
        <v>0.33933410754002302</v>
      </c>
      <c r="I5178">
        <v>0.25507515068332098</v>
      </c>
      <c r="J5178">
        <v>0.22373816681993799</v>
      </c>
      <c r="K5178">
        <v>0.17944919186477001</v>
      </c>
      <c r="L5178">
        <v>454.85159527271099</v>
      </c>
      <c r="M5178">
        <v>8.9299860738987302</v>
      </c>
      <c r="N5178">
        <v>52.033426932841301</v>
      </c>
      <c r="O5178">
        <v>48.5753223489845</v>
      </c>
      <c r="P5178">
        <v>-4.2043759056379103E-2</v>
      </c>
      <c r="Q5178">
        <v>8.5883153903110798E-2</v>
      </c>
      <c r="R5178">
        <v>0.98746982500510405</v>
      </c>
      <c r="S5178" t="s">
        <v>10761</v>
      </c>
      <c r="T5178" t="s">
        <v>11164</v>
      </c>
      <c r="U5178" t="s">
        <v>11164</v>
      </c>
      <c r="V5178" t="s">
        <v>11164</v>
      </c>
      <c r="W5178" t="s">
        <v>16296</v>
      </c>
      <c r="X5178">
        <v>2</v>
      </c>
      <c r="Y5178" t="s">
        <v>21760</v>
      </c>
      <c r="Z5178" t="s">
        <v>27328</v>
      </c>
      <c r="AA5178">
        <v>0.54082378473833936</v>
      </c>
      <c r="AB5178" t="str">
        <f>HYPERLINK("Melting_Curves/meltCurve_Q9P266_KIAA1462.pdf", "Melting_Curves/meltCurve_Q9P266_KIAA1462.pdf")</f>
        <v>Melting_Curves/meltCurve_Q9P266_KIAA1462.pdf</v>
      </c>
    </row>
    <row r="5179" spans="1:28" x14ac:dyDescent="0.25">
      <c r="A5179" t="s">
        <v>5183</v>
      </c>
      <c r="B5179">
        <v>0.99796759195183404</v>
      </c>
      <c r="C5179">
        <v>0.96044136467250496</v>
      </c>
      <c r="D5179">
        <v>1.0259824345405499</v>
      </c>
      <c r="E5179">
        <v>0.82435297384391304</v>
      </c>
      <c r="F5179">
        <v>0.78323112440461495</v>
      </c>
      <c r="G5179">
        <v>0.70717977808038301</v>
      </c>
      <c r="H5179">
        <v>0.89662996627140601</v>
      </c>
      <c r="I5179">
        <v>0.712604556750558</v>
      </c>
      <c r="J5179">
        <v>0.78316294083628402</v>
      </c>
      <c r="K5179">
        <v>0.77375614346988397</v>
      </c>
      <c r="L5179">
        <v>11589.7976283669</v>
      </c>
      <c r="M5179">
        <v>250</v>
      </c>
      <c r="O5179">
        <v>46.356208892299698</v>
      </c>
      <c r="P5179">
        <v>-0.301882218634689</v>
      </c>
      <c r="Q5179">
        <v>0.77609408472795605</v>
      </c>
      <c r="R5179">
        <v>0.78930827204572496</v>
      </c>
      <c r="S5179" t="s">
        <v>10762</v>
      </c>
      <c r="T5179" t="s">
        <v>11164</v>
      </c>
      <c r="U5179" t="s">
        <v>11164</v>
      </c>
      <c r="V5179" t="s">
        <v>11164</v>
      </c>
      <c r="W5179" t="s">
        <v>16297</v>
      </c>
      <c r="X5179">
        <v>4</v>
      </c>
      <c r="Y5179" t="s">
        <v>21761</v>
      </c>
      <c r="Z5179" t="s">
        <v>27329</v>
      </c>
      <c r="AA5179">
        <v>0.84596490557405812</v>
      </c>
      <c r="AB5179" t="str">
        <f>HYPERLINK("Melting_Curves/meltCurve_Q9P270_SLAIN2.pdf", "Melting_Curves/meltCurve_Q9P270_SLAIN2.pdf")</f>
        <v>Melting_Curves/meltCurve_Q9P270_SLAIN2.pdf</v>
      </c>
    </row>
    <row r="5180" spans="1:28" x14ac:dyDescent="0.25">
      <c r="A5180" t="s">
        <v>5184</v>
      </c>
      <c r="B5180">
        <v>0.99796759195183404</v>
      </c>
      <c r="C5180">
        <v>1.2144548960774699</v>
      </c>
      <c r="D5180">
        <v>1.08410138996425</v>
      </c>
      <c r="E5180">
        <v>0.90697399541622103</v>
      </c>
      <c r="F5180">
        <v>0.942908692114095</v>
      </c>
      <c r="G5180">
        <v>0.70390710130649203</v>
      </c>
      <c r="H5180">
        <v>0.33751448090786801</v>
      </c>
      <c r="I5180">
        <v>0.14757685748523799</v>
      </c>
      <c r="J5180">
        <v>0.121361664237973</v>
      </c>
      <c r="K5180">
        <v>7.0418323952278705E-2</v>
      </c>
      <c r="L5180">
        <v>1387.9484105034201</v>
      </c>
      <c r="M5180">
        <v>25.065474747316699</v>
      </c>
      <c r="N5180">
        <v>55.712599323964497</v>
      </c>
      <c r="O5180">
        <v>55.024073308182501</v>
      </c>
      <c r="P5180">
        <v>-0.105815651044336</v>
      </c>
      <c r="Q5180">
        <v>7.0860501692137604E-2</v>
      </c>
      <c r="R5180">
        <v>0.96501961188636898</v>
      </c>
      <c r="S5180" t="s">
        <v>10763</v>
      </c>
      <c r="T5180" t="s">
        <v>11164</v>
      </c>
      <c r="U5180" t="s">
        <v>11164</v>
      </c>
      <c r="V5180" t="s">
        <v>11164</v>
      </c>
      <c r="W5180" t="s">
        <v>16298</v>
      </c>
      <c r="X5180">
        <v>7</v>
      </c>
      <c r="Y5180" t="s">
        <v>21762</v>
      </c>
      <c r="Z5180" t="s">
        <v>27330</v>
      </c>
      <c r="AA5180">
        <v>0.64765047704239165</v>
      </c>
      <c r="AB5180" t="str">
        <f>HYPERLINK("Melting_Curves/meltCurve_Q9P287_2_BCCIP.pdf", "Melting_Curves/meltCurve_Q9P287_2_BCCIP.pdf")</f>
        <v>Melting_Curves/meltCurve_Q9P287_2_BCCIP.pdf</v>
      </c>
    </row>
    <row r="5181" spans="1:28" x14ac:dyDescent="0.25">
      <c r="A5181" t="s">
        <v>5185</v>
      </c>
      <c r="B5181">
        <v>0.99796759195183404</v>
      </c>
      <c r="C5181">
        <v>0.96499446725590698</v>
      </c>
      <c r="D5181">
        <v>0.92317748330201699</v>
      </c>
      <c r="E5181">
        <v>0.89205159593505801</v>
      </c>
      <c r="F5181">
        <v>0.79830906018787695</v>
      </c>
      <c r="G5181">
        <v>0.84788370900239896</v>
      </c>
      <c r="H5181">
        <v>0.78416688263688406</v>
      </c>
      <c r="I5181">
        <v>0.7222717115324</v>
      </c>
      <c r="J5181">
        <v>0.54058286434628799</v>
      </c>
      <c r="K5181">
        <v>0.36044334744651302</v>
      </c>
      <c r="L5181">
        <v>456.58135116595298</v>
      </c>
      <c r="M5181">
        <v>6.9699574078740003</v>
      </c>
      <c r="N5181">
        <v>65.5070503924956</v>
      </c>
      <c r="O5181">
        <v>60.753337134402997</v>
      </c>
      <c r="P5181">
        <v>-2.8735397484316302E-2</v>
      </c>
      <c r="Q5181">
        <v>0</v>
      </c>
      <c r="R5181">
        <v>0.892417398386262</v>
      </c>
      <c r="S5181" t="s">
        <v>10764</v>
      </c>
      <c r="T5181" t="s">
        <v>11164</v>
      </c>
      <c r="U5181" t="s">
        <v>11164</v>
      </c>
      <c r="V5181" t="s">
        <v>11164</v>
      </c>
      <c r="W5181" t="s">
        <v>16299</v>
      </c>
      <c r="X5181">
        <v>16</v>
      </c>
      <c r="Y5181" t="s">
        <v>21763</v>
      </c>
      <c r="Z5181" t="s">
        <v>27331</v>
      </c>
      <c r="AA5181">
        <v>0.80893881663778044</v>
      </c>
      <c r="AB5181" t="str">
        <f>HYPERLINK("Melting_Curves/meltCurve_Q9P2B2_PTGFRN.pdf", "Melting_Curves/meltCurve_Q9P2B2_PTGFRN.pdf")</f>
        <v>Melting_Curves/meltCurve_Q9P2B2_PTGFRN.pdf</v>
      </c>
    </row>
    <row r="5182" spans="1:28" x14ac:dyDescent="0.25">
      <c r="A5182" t="s">
        <v>5186</v>
      </c>
      <c r="B5182">
        <v>0.99796759195183404</v>
      </c>
      <c r="C5182">
        <v>1.16828120007003</v>
      </c>
      <c r="D5182">
        <v>0.90513239741203999</v>
      </c>
      <c r="E5182">
        <v>1.01954181347482</v>
      </c>
      <c r="F5182">
        <v>1.0652738809436699</v>
      </c>
      <c r="G5182">
        <v>0.18344607058086801</v>
      </c>
      <c r="H5182">
        <v>0.56562153242199498</v>
      </c>
      <c r="I5182">
        <v>0.34327832091768601</v>
      </c>
      <c r="J5182">
        <v>0.34290087694369897</v>
      </c>
      <c r="K5182">
        <v>0.30642914751294498</v>
      </c>
      <c r="L5182">
        <v>7553.2246000079404</v>
      </c>
      <c r="M5182">
        <v>145.831574217407</v>
      </c>
      <c r="N5182">
        <v>52.220684620846903</v>
      </c>
      <c r="O5182">
        <v>51.784426190618902</v>
      </c>
      <c r="P5182">
        <v>-0.45899024502680102</v>
      </c>
      <c r="Q5182">
        <v>0.34805486937749402</v>
      </c>
      <c r="R5182">
        <v>0.90620866565754898</v>
      </c>
      <c r="S5182" t="s">
        <v>10765</v>
      </c>
      <c r="T5182" t="s">
        <v>11164</v>
      </c>
      <c r="U5182" t="s">
        <v>11164</v>
      </c>
      <c r="V5182" t="s">
        <v>11164</v>
      </c>
      <c r="W5182" t="s">
        <v>16300</v>
      </c>
      <c r="X5182">
        <v>2</v>
      </c>
      <c r="Y5182" t="s">
        <v>21764</v>
      </c>
      <c r="Z5182" t="s">
        <v>27332</v>
      </c>
      <c r="AA5182">
        <v>0.66972856014859861</v>
      </c>
      <c r="AB5182" t="str">
        <f>HYPERLINK("Melting_Curves/meltCurve_Q9P2B4_CTTNBP2NL.pdf", "Melting_Curves/meltCurve_Q9P2B4_CTTNBP2NL.pdf")</f>
        <v>Melting_Curves/meltCurve_Q9P2B4_CTTNBP2NL.pdf</v>
      </c>
    </row>
    <row r="5183" spans="1:28" x14ac:dyDescent="0.25">
      <c r="A5183" t="s">
        <v>5187</v>
      </c>
      <c r="B5183">
        <v>0.99796759195183404</v>
      </c>
      <c r="C5183">
        <v>1.012146712047</v>
      </c>
      <c r="D5183">
        <v>1.0599519602719201</v>
      </c>
      <c r="E5183">
        <v>0.940016735593866</v>
      </c>
      <c r="F5183">
        <v>0.97408457092233003</v>
      </c>
      <c r="G5183">
        <v>0.585663741937274</v>
      </c>
      <c r="H5183">
        <v>0.57542687527942904</v>
      </c>
      <c r="I5183">
        <v>0.57886262610269701</v>
      </c>
      <c r="J5183">
        <v>0.46414599475803398</v>
      </c>
      <c r="K5183">
        <v>0.3575281557826</v>
      </c>
      <c r="L5183">
        <v>2947.85591575745</v>
      </c>
      <c r="M5183">
        <v>56.166951102465497</v>
      </c>
      <c r="N5183">
        <v>56.558263095518903</v>
      </c>
      <c r="O5183">
        <v>52.417409825589203</v>
      </c>
      <c r="P5183">
        <v>-0.13628395271913801</v>
      </c>
      <c r="Q5183">
        <v>0.49125613230932402</v>
      </c>
      <c r="R5183">
        <v>0.93676494445381397</v>
      </c>
      <c r="S5183" t="s">
        <v>10766</v>
      </c>
      <c r="T5183" t="s">
        <v>11164</v>
      </c>
      <c r="U5183" t="s">
        <v>11164</v>
      </c>
      <c r="V5183" t="s">
        <v>11164</v>
      </c>
      <c r="W5183" t="s">
        <v>16301</v>
      </c>
      <c r="X5183">
        <v>1</v>
      </c>
      <c r="Y5183" t="s">
        <v>21765</v>
      </c>
      <c r="Z5183" t="s">
        <v>27333</v>
      </c>
      <c r="AA5183">
        <v>0.75476479674815544</v>
      </c>
      <c r="AB5183" t="str">
        <f>HYPERLINK("Melting_Curves/meltCurve_Q9P2C4_TMEM181.pdf", "Melting_Curves/meltCurve_Q9P2C4_TMEM181.pdf")</f>
        <v>Melting_Curves/meltCurve_Q9P2C4_TMEM181.pdf</v>
      </c>
    </row>
    <row r="5184" spans="1:28" x14ac:dyDescent="0.25">
      <c r="A5184" t="s">
        <v>5188</v>
      </c>
      <c r="B5184">
        <v>0.99796759195183404</v>
      </c>
      <c r="C5184">
        <v>0.96982900483561796</v>
      </c>
      <c r="D5184">
        <v>0.87039894038996601</v>
      </c>
      <c r="E5184">
        <v>0.84406734073881295</v>
      </c>
      <c r="F5184">
        <v>0.67608131744779898</v>
      </c>
      <c r="G5184">
        <v>0.54564801647234396</v>
      </c>
      <c r="H5184">
        <v>0.36171532820722402</v>
      </c>
      <c r="I5184">
        <v>0.28825992861412297</v>
      </c>
      <c r="J5184">
        <v>0.208544066364974</v>
      </c>
      <c r="K5184">
        <v>0.179090318060556</v>
      </c>
      <c r="L5184">
        <v>494.605371286999</v>
      </c>
      <c r="M5184">
        <v>9.1429996177825696</v>
      </c>
      <c r="N5184">
        <v>54.428126797273499</v>
      </c>
      <c r="O5184">
        <v>51.697252662270003</v>
      </c>
      <c r="P5184">
        <v>-4.3046167774225597E-2</v>
      </c>
      <c r="Q5184">
        <v>2.7082001194362399E-2</v>
      </c>
      <c r="R5184">
        <v>0.99541895878156395</v>
      </c>
      <c r="S5184" t="s">
        <v>10767</v>
      </c>
      <c r="T5184" t="s">
        <v>11164</v>
      </c>
      <c r="U5184" t="s">
        <v>11164</v>
      </c>
      <c r="V5184" t="s">
        <v>11164</v>
      </c>
      <c r="W5184" t="s">
        <v>16302</v>
      </c>
      <c r="X5184">
        <v>2</v>
      </c>
      <c r="Y5184" t="s">
        <v>21766</v>
      </c>
      <c r="Z5184" t="s">
        <v>27334</v>
      </c>
      <c r="AA5184">
        <v>0.59725357252791811</v>
      </c>
      <c r="AB5184" t="str">
        <f>HYPERLINK("Melting_Curves/meltCurve_Q9P2D1_4_CHD7.pdf", "Melting_Curves/meltCurve_Q9P2D1_4_CHD7.pdf")</f>
        <v>Melting_Curves/meltCurve_Q9P2D1_4_CHD7.pdf</v>
      </c>
    </row>
    <row r="5185" spans="1:28" x14ac:dyDescent="0.25">
      <c r="A5185" t="s">
        <v>5189</v>
      </c>
      <c r="B5185">
        <v>0.99796759195183404</v>
      </c>
      <c r="C5185">
        <v>0.96367605943770696</v>
      </c>
      <c r="D5185">
        <v>1.14766824915819</v>
      </c>
      <c r="E5185">
        <v>0.87167592100324198</v>
      </c>
      <c r="F5185">
        <v>0.60007314820965196</v>
      </c>
      <c r="G5185">
        <v>0.52066089929719195</v>
      </c>
      <c r="H5185">
        <v>0.14198908950264499</v>
      </c>
      <c r="I5185">
        <v>0</v>
      </c>
      <c r="J5185">
        <v>0</v>
      </c>
      <c r="K5185">
        <v>0</v>
      </c>
      <c r="L5185">
        <v>948.34389836596495</v>
      </c>
      <c r="M5185">
        <v>18.076744032103601</v>
      </c>
      <c r="N5185">
        <v>52.462099788104297</v>
      </c>
      <c r="O5185">
        <v>51.832705982050001</v>
      </c>
      <c r="P5185">
        <v>-8.7192153962495397E-2</v>
      </c>
      <c r="Q5185">
        <v>0</v>
      </c>
      <c r="R5185">
        <v>0.96641207623895997</v>
      </c>
      <c r="S5185" t="s">
        <v>10768</v>
      </c>
      <c r="T5185" t="s">
        <v>11164</v>
      </c>
      <c r="U5185" t="s">
        <v>11164</v>
      </c>
      <c r="V5185" t="s">
        <v>11164</v>
      </c>
      <c r="W5185" t="s">
        <v>16303</v>
      </c>
      <c r="X5185">
        <v>3</v>
      </c>
      <c r="Y5185" t="s">
        <v>21767</v>
      </c>
      <c r="Z5185" t="s">
        <v>27335</v>
      </c>
      <c r="AA5185">
        <v>0.53019675138993982</v>
      </c>
      <c r="AB5185" t="str">
        <f>HYPERLINK("Melting_Curves/meltCurve_Q9P2D3_3_HEATR5B.pdf", "Melting_Curves/meltCurve_Q9P2D3_3_HEATR5B.pdf")</f>
        <v>Melting_Curves/meltCurve_Q9P2D3_3_HEATR5B.pdf</v>
      </c>
    </row>
    <row r="5186" spans="1:28" x14ac:dyDescent="0.25">
      <c r="A5186" t="s">
        <v>5190</v>
      </c>
      <c r="B5186">
        <v>0.99796759195183404</v>
      </c>
      <c r="C5186">
        <v>1.08004177999575</v>
      </c>
      <c r="D5186">
        <v>1.0575096504922299</v>
      </c>
      <c r="E5186">
        <v>1.00680211360589</v>
      </c>
      <c r="F5186">
        <v>0.94745337651269101</v>
      </c>
      <c r="G5186">
        <v>0.94526776642596899</v>
      </c>
      <c r="H5186">
        <v>0.71081379842190195</v>
      </c>
      <c r="I5186">
        <v>0.40136313122041001</v>
      </c>
      <c r="J5186">
        <v>0.101036638964737</v>
      </c>
      <c r="K5186">
        <v>6.9000746624967094E-2</v>
      </c>
      <c r="L5186">
        <v>1500.6356754564999</v>
      </c>
      <c r="M5186">
        <v>25.1605211586655</v>
      </c>
      <c r="N5186">
        <v>59.642483071944099</v>
      </c>
      <c r="O5186">
        <v>59.269561213764703</v>
      </c>
      <c r="P5186">
        <v>-0.10612893486682499</v>
      </c>
      <c r="Q5186">
        <v>0</v>
      </c>
      <c r="R5186">
        <v>0.98883984824544502</v>
      </c>
      <c r="S5186" t="s">
        <v>10769</v>
      </c>
      <c r="T5186" t="s">
        <v>11164</v>
      </c>
      <c r="U5186" t="s">
        <v>11164</v>
      </c>
      <c r="V5186" t="s">
        <v>11164</v>
      </c>
      <c r="W5186" t="s">
        <v>16304</v>
      </c>
      <c r="X5186">
        <v>2</v>
      </c>
      <c r="Y5186" t="s">
        <v>21768</v>
      </c>
      <c r="Z5186" t="s">
        <v>27336</v>
      </c>
      <c r="AA5186">
        <v>0.75857136450702101</v>
      </c>
      <c r="AB5186" t="str">
        <f>HYPERLINK("Melting_Curves/meltCurve_Q9P2D7_5_DNAH1.pdf", "Melting_Curves/meltCurve_Q9P2D7_5_DNAH1.pdf")</f>
        <v>Melting_Curves/meltCurve_Q9P2D7_5_DNAH1.pdf</v>
      </c>
    </row>
    <row r="5187" spans="1:28" x14ac:dyDescent="0.25">
      <c r="A5187" t="s">
        <v>5191</v>
      </c>
      <c r="B5187">
        <v>0.99796759195183404</v>
      </c>
      <c r="C5187">
        <v>0.857386927669052</v>
      </c>
      <c r="D5187">
        <v>0.86055326697075496</v>
      </c>
      <c r="E5187">
        <v>0.89703576983029798</v>
      </c>
      <c r="F5187">
        <v>0.75543992714713004</v>
      </c>
      <c r="G5187">
        <v>0.56663616483423795</v>
      </c>
      <c r="H5187">
        <v>0.33698363269549703</v>
      </c>
      <c r="I5187">
        <v>0.24038663131325699</v>
      </c>
      <c r="J5187">
        <v>0.17356354589322001</v>
      </c>
      <c r="K5187">
        <v>0.146020045306678</v>
      </c>
      <c r="L5187">
        <v>568.66915711489503</v>
      </c>
      <c r="M5187">
        <v>10.3982321237104</v>
      </c>
      <c r="N5187">
        <v>54.689021245089499</v>
      </c>
      <c r="O5187">
        <v>52.782322406967303</v>
      </c>
      <c r="P5187">
        <v>-4.9271170358268897E-2</v>
      </c>
      <c r="Q5187">
        <v>0</v>
      </c>
      <c r="R5187">
        <v>0.97202144015523695</v>
      </c>
      <c r="S5187" t="s">
        <v>10770</v>
      </c>
      <c r="T5187" t="s">
        <v>11164</v>
      </c>
      <c r="U5187" t="s">
        <v>11164</v>
      </c>
      <c r="V5187" t="s">
        <v>11164</v>
      </c>
      <c r="W5187" t="s">
        <v>16305</v>
      </c>
      <c r="X5187">
        <v>25</v>
      </c>
      <c r="Y5187" t="s">
        <v>21769</v>
      </c>
      <c r="Z5187" t="s">
        <v>27337</v>
      </c>
      <c r="AA5187">
        <v>0.60404932666016542</v>
      </c>
      <c r="AB5187" t="str">
        <f>HYPERLINK("Melting_Curves/meltCurve_Q9P2E9_RRBP1.pdf", "Melting_Curves/meltCurve_Q9P2E9_RRBP1.pdf")</f>
        <v>Melting_Curves/meltCurve_Q9P2E9_RRBP1.pdf</v>
      </c>
    </row>
    <row r="5188" spans="1:28" x14ac:dyDescent="0.25">
      <c r="A5188" t="s">
        <v>5192</v>
      </c>
      <c r="B5188">
        <v>0.99796759195183404</v>
      </c>
      <c r="C5188">
        <v>1.0266131521394</v>
      </c>
      <c r="D5188">
        <v>1.0020783378364599</v>
      </c>
      <c r="E5188">
        <v>0.84727605644931803</v>
      </c>
      <c r="F5188">
        <v>0.86918102796094798</v>
      </c>
      <c r="G5188">
        <v>0.73106872241913101</v>
      </c>
      <c r="H5188">
        <v>0.44925324590092303</v>
      </c>
      <c r="I5188">
        <v>0.353572256320419</v>
      </c>
      <c r="J5188">
        <v>0.247505457615073</v>
      </c>
      <c r="K5188">
        <v>0.15182980118518499</v>
      </c>
      <c r="L5188">
        <v>659.14490938654399</v>
      </c>
      <c r="M5188">
        <v>11.472821604719099</v>
      </c>
      <c r="N5188">
        <v>57.452728974311398</v>
      </c>
      <c r="O5188">
        <v>55.7903581652075</v>
      </c>
      <c r="P5188">
        <v>-5.1425160039801701E-2</v>
      </c>
      <c r="Q5188">
        <v>0</v>
      </c>
      <c r="R5188">
        <v>0.98455026276365998</v>
      </c>
      <c r="S5188" t="s">
        <v>10771</v>
      </c>
      <c r="T5188" t="s">
        <v>11164</v>
      </c>
      <c r="U5188" t="s">
        <v>11164</v>
      </c>
      <c r="V5188" t="s">
        <v>11164</v>
      </c>
      <c r="W5188" t="s">
        <v>16306</v>
      </c>
      <c r="X5188">
        <v>5</v>
      </c>
      <c r="Y5188" t="s">
        <v>21770</v>
      </c>
      <c r="Z5188" t="s">
        <v>27338</v>
      </c>
      <c r="AA5188">
        <v>0.68249095210215804</v>
      </c>
      <c r="AB5188" t="str">
        <f>HYPERLINK("Melting_Curves/meltCurve_Q9P2I0_CPSF2.pdf", "Melting_Curves/meltCurve_Q9P2I0_CPSF2.pdf")</f>
        <v>Melting_Curves/meltCurve_Q9P2I0_CPSF2.pdf</v>
      </c>
    </row>
    <row r="5189" spans="1:28" x14ac:dyDescent="0.25">
      <c r="A5189" t="s">
        <v>5193</v>
      </c>
      <c r="B5189">
        <v>0.99796759195183404</v>
      </c>
      <c r="C5189">
        <v>0.991957147660258</v>
      </c>
      <c r="D5189">
        <v>0.94666213776518005</v>
      </c>
      <c r="E5189">
        <v>0.90237706261052897</v>
      </c>
      <c r="F5189">
        <v>0.89822286697367903</v>
      </c>
      <c r="G5189">
        <v>0.77985243894641798</v>
      </c>
      <c r="H5189">
        <v>0.48308209492777698</v>
      </c>
      <c r="I5189">
        <v>0.31237669272606999</v>
      </c>
      <c r="J5189">
        <v>0.30451464190067501</v>
      </c>
      <c r="K5189">
        <v>0.28979164306864102</v>
      </c>
      <c r="L5189">
        <v>1162.44025322836</v>
      </c>
      <c r="M5189">
        <v>20.986200209313498</v>
      </c>
      <c r="N5189">
        <v>57.310923611212203</v>
      </c>
      <c r="O5189">
        <v>54.895110546322996</v>
      </c>
      <c r="P5189">
        <v>-7.1444496894105994E-2</v>
      </c>
      <c r="Q5189">
        <v>0.25249011505658497</v>
      </c>
      <c r="R5189">
        <v>0.98355129135433905</v>
      </c>
      <c r="S5189" t="s">
        <v>10772</v>
      </c>
      <c r="T5189" t="s">
        <v>11164</v>
      </c>
      <c r="U5189" t="s">
        <v>11164</v>
      </c>
      <c r="V5189" t="s">
        <v>11164</v>
      </c>
      <c r="W5189" t="s">
        <v>16307</v>
      </c>
      <c r="X5189">
        <v>26</v>
      </c>
      <c r="Y5189" t="s">
        <v>21771</v>
      </c>
      <c r="Z5189" t="s">
        <v>27339</v>
      </c>
      <c r="AA5189">
        <v>0.71853141082874539</v>
      </c>
      <c r="AB5189" t="str">
        <f>HYPERLINK("Melting_Curves/meltCurve_Q9P2M7_CGN.pdf", "Melting_Curves/meltCurve_Q9P2M7_CGN.pdf")</f>
        <v>Melting_Curves/meltCurve_Q9P2M7_CGN.pdf</v>
      </c>
    </row>
    <row r="5190" spans="1:28" x14ac:dyDescent="0.25">
      <c r="A5190" t="s">
        <v>5194</v>
      </c>
      <c r="B5190">
        <v>0.99796759195183404</v>
      </c>
      <c r="C5190">
        <v>0.900820885733701</v>
      </c>
      <c r="D5190">
        <v>0.86683555218921404</v>
      </c>
      <c r="E5190">
        <v>0.733726207196018</v>
      </c>
      <c r="F5190">
        <v>0.56935807190725696</v>
      </c>
      <c r="G5190">
        <v>0.32449463092147401</v>
      </c>
      <c r="H5190">
        <v>0.242897344847187</v>
      </c>
      <c r="I5190">
        <v>0.197519337612274</v>
      </c>
      <c r="J5190">
        <v>0.160653233654034</v>
      </c>
      <c r="K5190">
        <v>0.125758909273602</v>
      </c>
      <c r="L5190">
        <v>561.15396464322396</v>
      </c>
      <c r="M5190">
        <v>11.206031703911799</v>
      </c>
      <c r="N5190">
        <v>50.825511513088202</v>
      </c>
      <c r="O5190">
        <v>48.560778096105501</v>
      </c>
      <c r="P5190">
        <v>-5.3314087539988599E-2</v>
      </c>
      <c r="Q5190">
        <v>7.6154223878559704E-2</v>
      </c>
      <c r="R5190">
        <v>0.99375463081180104</v>
      </c>
      <c r="S5190" t="s">
        <v>10773</v>
      </c>
      <c r="T5190" t="s">
        <v>11164</v>
      </c>
      <c r="U5190" t="s">
        <v>11164</v>
      </c>
      <c r="V5190" t="s">
        <v>11164</v>
      </c>
      <c r="W5190" t="s">
        <v>16308</v>
      </c>
      <c r="X5190">
        <v>7</v>
      </c>
      <c r="Y5190" t="s">
        <v>21772</v>
      </c>
      <c r="Z5190" t="s">
        <v>27340</v>
      </c>
      <c r="AA5190">
        <v>0.50659895832101298</v>
      </c>
      <c r="AB5190" t="str">
        <f>HYPERLINK("Melting_Curves/meltCurve_Q9P2N5_RBM27.pdf", "Melting_Curves/meltCurve_Q9P2N5_RBM27.pdf")</f>
        <v>Melting_Curves/meltCurve_Q9P2N5_RBM27.pdf</v>
      </c>
    </row>
    <row r="5191" spans="1:28" x14ac:dyDescent="0.25">
      <c r="A5191" t="s">
        <v>5195</v>
      </c>
      <c r="B5191">
        <v>0.99796759195183404</v>
      </c>
      <c r="C5191">
        <v>1.09548767215243</v>
      </c>
      <c r="D5191">
        <v>1.04408772247009</v>
      </c>
      <c r="E5191">
        <v>0.95588054473911599</v>
      </c>
      <c r="F5191">
        <v>0.58143579267434398</v>
      </c>
      <c r="G5191">
        <v>0.22353037378513299</v>
      </c>
      <c r="H5191">
        <v>0.12528871246311801</v>
      </c>
      <c r="I5191">
        <v>0.11170620010712</v>
      </c>
      <c r="J5191">
        <v>0.10090820637216601</v>
      </c>
      <c r="K5191">
        <v>7.6272022125379493E-2</v>
      </c>
      <c r="L5191">
        <v>1600.8987705811201</v>
      </c>
      <c r="M5191">
        <v>31.7013508135833</v>
      </c>
      <c r="N5191">
        <v>50.853327950789797</v>
      </c>
      <c r="O5191">
        <v>50.299717444051403</v>
      </c>
      <c r="P5191">
        <v>-0.14196456129778401</v>
      </c>
      <c r="Q5191">
        <v>9.8998740572583593E-2</v>
      </c>
      <c r="R5191">
        <v>0.99305414104560497</v>
      </c>
      <c r="S5191" t="s">
        <v>10774</v>
      </c>
      <c r="T5191" t="s">
        <v>11164</v>
      </c>
      <c r="U5191" t="s">
        <v>11164</v>
      </c>
      <c r="V5191" t="s">
        <v>11164</v>
      </c>
      <c r="W5191" t="s">
        <v>16309</v>
      </c>
      <c r="X5191">
        <v>13</v>
      </c>
      <c r="Y5191" t="s">
        <v>21773</v>
      </c>
      <c r="Z5191" t="s">
        <v>27341</v>
      </c>
      <c r="AA5191">
        <v>0.50942901342934621</v>
      </c>
      <c r="AB5191" t="str">
        <f>HYPERLINK("Melting_Curves/meltCurve_Q9P2R3_ANKFY1.pdf", "Melting_Curves/meltCurve_Q9P2R3_ANKFY1.pdf")</f>
        <v>Melting_Curves/meltCurve_Q9P2R3_ANKFY1.pdf</v>
      </c>
    </row>
    <row r="5192" spans="1:28" x14ac:dyDescent="0.25">
      <c r="A5192" t="s">
        <v>5196</v>
      </c>
      <c r="B5192">
        <v>0.99796759195183404</v>
      </c>
      <c r="C5192">
        <v>0.95242803930983999</v>
      </c>
      <c r="D5192">
        <v>0.96939282839977903</v>
      </c>
      <c r="E5192">
        <v>0.87110065803868397</v>
      </c>
      <c r="F5192">
        <v>0.53148614226055002</v>
      </c>
      <c r="G5192">
        <v>0.22991479406453599</v>
      </c>
      <c r="H5192">
        <v>0.20068982877536701</v>
      </c>
      <c r="I5192">
        <v>0.179923033326256</v>
      </c>
      <c r="J5192">
        <v>0.13730441768496399</v>
      </c>
      <c r="K5192">
        <v>0.106626035237921</v>
      </c>
      <c r="L5192">
        <v>1244.3984009246899</v>
      </c>
      <c r="M5192">
        <v>25.000108012925001</v>
      </c>
      <c r="N5192">
        <v>50.4412280577328</v>
      </c>
      <c r="O5192">
        <v>49.460515984767397</v>
      </c>
      <c r="P5192">
        <v>-0.10861354679596701</v>
      </c>
      <c r="Q5192">
        <v>0.14048214222080099</v>
      </c>
      <c r="R5192">
        <v>0.99547641007530596</v>
      </c>
      <c r="S5192" t="s">
        <v>10775</v>
      </c>
      <c r="T5192" t="s">
        <v>11164</v>
      </c>
      <c r="U5192" t="s">
        <v>11164</v>
      </c>
      <c r="V5192" t="s">
        <v>11164</v>
      </c>
      <c r="W5192" t="s">
        <v>16310</v>
      </c>
      <c r="X5192">
        <v>4</v>
      </c>
      <c r="Y5192" t="s">
        <v>21774</v>
      </c>
      <c r="Z5192" t="s">
        <v>27342</v>
      </c>
      <c r="AA5192">
        <v>0.51401244219912112</v>
      </c>
      <c r="AB5192" t="str">
        <f>HYPERLINK("Melting_Curves/meltCurve_Q9P2W1_2_PSMC3IP.pdf", "Melting_Curves/meltCurve_Q9P2W1_2_PSMC3IP.pdf")</f>
        <v>Melting_Curves/meltCurve_Q9P2W1_2_PSMC3IP.pdf</v>
      </c>
    </row>
    <row r="5193" spans="1:28" x14ac:dyDescent="0.25">
      <c r="A5193" t="s">
        <v>5197</v>
      </c>
      <c r="B5193">
        <v>0.99796759195183404</v>
      </c>
      <c r="C5193">
        <v>1.06072816057865</v>
      </c>
      <c r="D5193">
        <v>0.97889297421826205</v>
      </c>
      <c r="E5193">
        <v>0.957797227135884</v>
      </c>
      <c r="F5193">
        <v>0.89617807865447896</v>
      </c>
      <c r="G5193">
        <v>0.530185526496319</v>
      </c>
      <c r="H5193">
        <v>0.58913919257004299</v>
      </c>
      <c r="I5193">
        <v>0.48169991953304198</v>
      </c>
      <c r="J5193">
        <v>0.44922904512891298</v>
      </c>
      <c r="K5193">
        <v>0.31669155432094898</v>
      </c>
      <c r="L5193">
        <v>983.93640009136902</v>
      </c>
      <c r="M5193">
        <v>18.639706617193699</v>
      </c>
      <c r="N5193">
        <v>57.6135488691611</v>
      </c>
      <c r="O5193">
        <v>52.190798860950999</v>
      </c>
      <c r="P5193">
        <v>-5.4012635688172099E-2</v>
      </c>
      <c r="Q5193">
        <v>0.395088886517377</v>
      </c>
      <c r="R5193">
        <v>0.94368512105229996</v>
      </c>
      <c r="S5193" t="s">
        <v>10776</v>
      </c>
      <c r="T5193" t="s">
        <v>11164</v>
      </c>
      <c r="U5193" t="s">
        <v>11164</v>
      </c>
      <c r="V5193" t="s">
        <v>11164</v>
      </c>
      <c r="W5193" t="s">
        <v>16311</v>
      </c>
      <c r="X5193">
        <v>3</v>
      </c>
      <c r="Y5193" t="s">
        <v>21775</v>
      </c>
      <c r="Z5193" t="s">
        <v>27343</v>
      </c>
      <c r="AA5193">
        <v>0.72189134736029614</v>
      </c>
      <c r="AB5193" t="str">
        <f>HYPERLINK("Melting_Curves/meltCurve_Q9P2X0_DPM3.pdf", "Melting_Curves/meltCurve_Q9P2X0_DPM3.pdf")</f>
        <v>Melting_Curves/meltCurve_Q9P2X0_DPM3.pdf</v>
      </c>
    </row>
    <row r="5194" spans="1:28" x14ac:dyDescent="0.25">
      <c r="A5194" t="s">
        <v>5198</v>
      </c>
      <c r="B5194">
        <v>0.99796759195183404</v>
      </c>
      <c r="C5194">
        <v>1.2219562321445001</v>
      </c>
      <c r="D5194">
        <v>1.29869461800766</v>
      </c>
      <c r="E5194">
        <v>1.1769744563982301</v>
      </c>
      <c r="F5194">
        <v>0.98166418641807496</v>
      </c>
      <c r="G5194">
        <v>0.40289260593679899</v>
      </c>
      <c r="H5194">
        <v>0.27931598073904601</v>
      </c>
      <c r="I5194">
        <v>0.21420120143723601</v>
      </c>
      <c r="J5194">
        <v>0.20403710656365001</v>
      </c>
      <c r="K5194">
        <v>0.14445882670563201</v>
      </c>
      <c r="L5194">
        <v>3306.6171272452002</v>
      </c>
      <c r="M5194">
        <v>62.552673013488999</v>
      </c>
      <c r="N5194">
        <v>53.320407578967597</v>
      </c>
      <c r="O5194">
        <v>52.8073774152612</v>
      </c>
      <c r="P5194">
        <v>-0.23447532151036701</v>
      </c>
      <c r="Q5194">
        <v>0.2082178522424</v>
      </c>
      <c r="R5194">
        <v>0.91430985456768299</v>
      </c>
      <c r="S5194" t="s">
        <v>10777</v>
      </c>
      <c r="T5194" t="s">
        <v>11164</v>
      </c>
      <c r="U5194" t="s">
        <v>11164</v>
      </c>
      <c r="V5194" t="s">
        <v>11164</v>
      </c>
      <c r="W5194" t="s">
        <v>16312</v>
      </c>
      <c r="X5194">
        <v>1</v>
      </c>
      <c r="Y5194" t="s">
        <v>21776</v>
      </c>
      <c r="Z5194" t="s">
        <v>27344</v>
      </c>
      <c r="AA5194">
        <v>0.62801876710382865</v>
      </c>
      <c r="AB5194" t="str">
        <f>HYPERLINK("Melting_Curves/meltCurve_Q9P2X3_IMPACT.pdf", "Melting_Curves/meltCurve_Q9P2X3_IMPACT.pdf")</f>
        <v>Melting_Curves/meltCurve_Q9P2X3_IMPACT.pdf</v>
      </c>
    </row>
    <row r="5195" spans="1:28" x14ac:dyDescent="0.25">
      <c r="A5195" t="s">
        <v>5199</v>
      </c>
      <c r="B5195">
        <v>0.99796759195183404</v>
      </c>
      <c r="C5195">
        <v>0.97686755000095404</v>
      </c>
      <c r="D5195">
        <v>0.94462114633866301</v>
      </c>
      <c r="E5195">
        <v>0.892575794534332</v>
      </c>
      <c r="F5195">
        <v>0.801620164248946</v>
      </c>
      <c r="G5195">
        <v>0.51401185939897398</v>
      </c>
      <c r="H5195">
        <v>0.243496292335148</v>
      </c>
      <c r="I5195">
        <v>0.135954287634863</v>
      </c>
      <c r="J5195">
        <v>0.10192574168564</v>
      </c>
      <c r="K5195">
        <v>6.5770483602610993E-2</v>
      </c>
      <c r="L5195">
        <v>930.61262419072204</v>
      </c>
      <c r="M5195">
        <v>17.353655474676199</v>
      </c>
      <c r="N5195">
        <v>53.849914828287602</v>
      </c>
      <c r="O5195">
        <v>52.929404782906602</v>
      </c>
      <c r="P5195">
        <v>-7.9121336527293598E-2</v>
      </c>
      <c r="Q5195">
        <v>3.4760920831626199E-2</v>
      </c>
      <c r="R5195">
        <v>0.99600514325376799</v>
      </c>
      <c r="S5195" t="s">
        <v>10778</v>
      </c>
      <c r="T5195" t="s">
        <v>11164</v>
      </c>
      <c r="U5195" t="s">
        <v>11164</v>
      </c>
      <c r="V5195" t="s">
        <v>11164</v>
      </c>
      <c r="W5195" t="s">
        <v>16313</v>
      </c>
      <c r="X5195">
        <v>19</v>
      </c>
      <c r="Y5195" t="s">
        <v>21777</v>
      </c>
      <c r="Z5195" t="s">
        <v>27345</v>
      </c>
      <c r="AA5195">
        <v>0.5838502020592462</v>
      </c>
      <c r="AB5195" t="str">
        <f>HYPERLINK("Melting_Curves/meltCurve_Q9UBB4_ATXN10.pdf", "Melting_Curves/meltCurve_Q9UBB4_ATXN10.pdf")</f>
        <v>Melting_Curves/meltCurve_Q9UBB4_ATXN10.pdf</v>
      </c>
    </row>
    <row r="5196" spans="1:28" x14ac:dyDescent="0.25">
      <c r="A5196" t="s">
        <v>5200</v>
      </c>
      <c r="B5196">
        <v>0.99796759195183404</v>
      </c>
      <c r="C5196">
        <v>1.02876400324871</v>
      </c>
      <c r="D5196">
        <v>0.91200217519036297</v>
      </c>
      <c r="E5196">
        <v>0.84127707502453897</v>
      </c>
      <c r="F5196">
        <v>0.78515806017604395</v>
      </c>
      <c r="G5196">
        <v>0.54373053963677198</v>
      </c>
      <c r="H5196">
        <v>0.40530896263065203</v>
      </c>
      <c r="I5196">
        <v>0.24288440521869101</v>
      </c>
      <c r="J5196">
        <v>0.13926874258944399</v>
      </c>
      <c r="K5196">
        <v>0.109431507326217</v>
      </c>
      <c r="L5196">
        <v>621.67443935887798</v>
      </c>
      <c r="M5196">
        <v>11.318656542488601</v>
      </c>
      <c r="N5196">
        <v>54.924732151421097</v>
      </c>
      <c r="O5196">
        <v>53.2940689954455</v>
      </c>
      <c r="P5196">
        <v>-5.3111338238553102E-2</v>
      </c>
      <c r="Q5196">
        <v>0</v>
      </c>
      <c r="R5196">
        <v>0.99218984574179103</v>
      </c>
      <c r="S5196" t="s">
        <v>10779</v>
      </c>
      <c r="T5196" t="s">
        <v>11164</v>
      </c>
      <c r="U5196" t="s">
        <v>11164</v>
      </c>
      <c r="V5196" t="s">
        <v>11164</v>
      </c>
      <c r="W5196" t="s">
        <v>16314</v>
      </c>
      <c r="X5196">
        <v>16</v>
      </c>
      <c r="Y5196" t="s">
        <v>21778</v>
      </c>
      <c r="Z5196" t="s">
        <v>27346</v>
      </c>
      <c r="AA5196">
        <v>0.61159752678732104</v>
      </c>
      <c r="AB5196" t="str">
        <f>HYPERLINK("Melting_Curves/meltCurve_Q9UBB6_NCDN.pdf", "Melting_Curves/meltCurve_Q9UBB6_NCDN.pdf")</f>
        <v>Melting_Curves/meltCurve_Q9UBB6_NCDN.pdf</v>
      </c>
    </row>
    <row r="5197" spans="1:28" x14ac:dyDescent="0.25">
      <c r="A5197" t="s">
        <v>5201</v>
      </c>
      <c r="B5197">
        <v>0.99796759195183404</v>
      </c>
      <c r="C5197">
        <v>1.0250046693664101</v>
      </c>
      <c r="D5197">
        <v>0.99308540502738896</v>
      </c>
      <c r="E5197">
        <v>0.78667068612023205</v>
      </c>
      <c r="F5197">
        <v>0.29641781144034701</v>
      </c>
      <c r="G5197">
        <v>0.169485010113711</v>
      </c>
      <c r="H5197">
        <v>0.141177693507721</v>
      </c>
      <c r="I5197">
        <v>0.108132205221651</v>
      </c>
      <c r="J5197">
        <v>9.53746166573331E-2</v>
      </c>
      <c r="K5197">
        <v>6.66972056523851E-2</v>
      </c>
      <c r="L5197">
        <v>1538.8142103242401</v>
      </c>
      <c r="M5197">
        <v>31.883223656219201</v>
      </c>
      <c r="N5197">
        <v>48.628825894954801</v>
      </c>
      <c r="O5197">
        <v>48.075393191664901</v>
      </c>
      <c r="P5197">
        <v>-0.14816661531313199</v>
      </c>
      <c r="Q5197">
        <v>0.106347342393628</v>
      </c>
      <c r="R5197">
        <v>0.99724363579264397</v>
      </c>
      <c r="S5197" t="s">
        <v>10780</v>
      </c>
      <c r="T5197" t="s">
        <v>11164</v>
      </c>
      <c r="U5197" t="s">
        <v>11164</v>
      </c>
      <c r="V5197" t="s">
        <v>11164</v>
      </c>
      <c r="W5197" t="s">
        <v>16315</v>
      </c>
      <c r="X5197">
        <v>5</v>
      </c>
      <c r="Y5197" t="s">
        <v>21779</v>
      </c>
      <c r="Z5197" t="s">
        <v>27347</v>
      </c>
      <c r="AA5197">
        <v>0.44659320333265412</v>
      </c>
      <c r="AB5197" t="str">
        <f>HYPERLINK("Melting_Curves/meltCurve_Q9UBB9_TFIP11.pdf", "Melting_Curves/meltCurve_Q9UBB9_TFIP11.pdf")</f>
        <v>Melting_Curves/meltCurve_Q9UBB9_TFIP11.pdf</v>
      </c>
    </row>
    <row r="5198" spans="1:28" x14ac:dyDescent="0.25">
      <c r="A5198" t="s">
        <v>5202</v>
      </c>
      <c r="B5198">
        <v>0.99796759195183404</v>
      </c>
      <c r="C5198">
        <v>1.0101742536759499</v>
      </c>
      <c r="D5198">
        <v>1.01088964865238</v>
      </c>
      <c r="E5198">
        <v>0.96033579402401004</v>
      </c>
      <c r="F5198">
        <v>0.83687838266874204</v>
      </c>
      <c r="G5198">
        <v>0.56771646723963598</v>
      </c>
      <c r="H5198">
        <v>0.37299996390523399</v>
      </c>
      <c r="I5198">
        <v>0.25264631151426398</v>
      </c>
      <c r="J5198">
        <v>0.21870114317574199</v>
      </c>
      <c r="K5198">
        <v>0.16143061188000801</v>
      </c>
      <c r="L5198">
        <v>1002.3483910956101</v>
      </c>
      <c r="M5198">
        <v>18.612829216880701</v>
      </c>
      <c r="N5198">
        <v>55.009927314610302</v>
      </c>
      <c r="O5198">
        <v>53.242449677502002</v>
      </c>
      <c r="P5198">
        <v>-7.32401000544768E-2</v>
      </c>
      <c r="Q5198">
        <v>0.16201552366147001</v>
      </c>
      <c r="R5198">
        <v>0.998544217173439</v>
      </c>
      <c r="S5198" t="s">
        <v>10781</v>
      </c>
      <c r="T5198" t="s">
        <v>11164</v>
      </c>
      <c r="U5198" t="s">
        <v>11164</v>
      </c>
      <c r="V5198" t="s">
        <v>11164</v>
      </c>
      <c r="W5198" t="s">
        <v>16316</v>
      </c>
      <c r="X5198">
        <v>14</v>
      </c>
      <c r="Y5198" t="s">
        <v>21780</v>
      </c>
      <c r="Z5198" t="s">
        <v>27348</v>
      </c>
      <c r="AA5198">
        <v>0.64392282560359193</v>
      </c>
      <c r="AB5198" t="str">
        <f>HYPERLINK("Melting_Curves/meltCurve_Q9UBC2_2_EPS15L1.pdf", "Melting_Curves/meltCurve_Q9UBC2_2_EPS15L1.pdf")</f>
        <v>Melting_Curves/meltCurve_Q9UBC2_2_EPS15L1.pdf</v>
      </c>
    </row>
    <row r="5199" spans="1:28" x14ac:dyDescent="0.25">
      <c r="A5199" t="s">
        <v>5203</v>
      </c>
      <c r="B5199">
        <v>0.99796759195183404</v>
      </c>
      <c r="C5199">
        <v>1.0176463851728901</v>
      </c>
      <c r="D5199">
        <v>0.97815441731713204</v>
      </c>
      <c r="E5199">
        <v>1.01134484961886</v>
      </c>
      <c r="F5199">
        <v>0.83600055191264599</v>
      </c>
      <c r="G5199">
        <v>0.73329283067135598</v>
      </c>
      <c r="H5199">
        <v>0.42191460265040098</v>
      </c>
      <c r="I5199">
        <v>0.17355082255375401</v>
      </c>
      <c r="J5199">
        <v>0.104044790056271</v>
      </c>
      <c r="K5199">
        <v>8.2070832025253906E-2</v>
      </c>
      <c r="L5199">
        <v>1024.4022656716099</v>
      </c>
      <c r="M5199">
        <v>18.222087992356101</v>
      </c>
      <c r="N5199">
        <v>56.297792662576299</v>
      </c>
      <c r="O5199">
        <v>55.553670659134703</v>
      </c>
      <c r="P5199">
        <v>-8.0955611062411906E-2</v>
      </c>
      <c r="Q5199">
        <v>1.2809059893751499E-2</v>
      </c>
      <c r="R5199">
        <v>0.99405893251561095</v>
      </c>
      <c r="S5199" t="s">
        <v>10782</v>
      </c>
      <c r="T5199" t="s">
        <v>11164</v>
      </c>
      <c r="U5199" t="s">
        <v>11164</v>
      </c>
      <c r="V5199" t="s">
        <v>11164</v>
      </c>
      <c r="W5199" t="s">
        <v>16317</v>
      </c>
      <c r="X5199">
        <v>24</v>
      </c>
      <c r="Y5199" t="s">
        <v>21781</v>
      </c>
      <c r="Z5199" t="s">
        <v>27349</v>
      </c>
      <c r="AA5199">
        <v>0.65562273190605347</v>
      </c>
      <c r="AB5199" t="str">
        <f>HYPERLINK("Melting_Curves/meltCurve_Q9UBE0_SAE1.pdf", "Melting_Curves/meltCurve_Q9UBE0_SAE1.pdf")</f>
        <v>Melting_Curves/meltCurve_Q9UBE0_SAE1.pdf</v>
      </c>
    </row>
    <row r="5200" spans="1:28" x14ac:dyDescent="0.25">
      <c r="A5200" t="s">
        <v>5204</v>
      </c>
      <c r="B5200">
        <v>0.99796759195183404</v>
      </c>
      <c r="C5200">
        <v>1.05752953577067</v>
      </c>
      <c r="D5200">
        <v>1.02419855317328</v>
      </c>
      <c r="E5200">
        <v>0.84096959819050399</v>
      </c>
      <c r="F5200">
        <v>0.67724077254758897</v>
      </c>
      <c r="G5200">
        <v>0.66099356048128699</v>
      </c>
      <c r="H5200">
        <v>0.40507118758015298</v>
      </c>
      <c r="I5200">
        <v>0.17656858357522701</v>
      </c>
      <c r="J5200">
        <v>0.11954698636302701</v>
      </c>
      <c r="K5200">
        <v>8.0486149393975401E-2</v>
      </c>
      <c r="L5200">
        <v>680.34553804335201</v>
      </c>
      <c r="M5200">
        <v>12.385133586092699</v>
      </c>
      <c r="N5200">
        <v>54.932434410774597</v>
      </c>
      <c r="O5200">
        <v>53.5592551592338</v>
      </c>
      <c r="P5200">
        <v>-5.7822754312795897E-2</v>
      </c>
      <c r="Q5200">
        <v>0</v>
      </c>
      <c r="R5200">
        <v>0.97572710332340995</v>
      </c>
      <c r="S5200" t="s">
        <v>10783</v>
      </c>
      <c r="T5200" t="s">
        <v>11164</v>
      </c>
      <c r="U5200" t="s">
        <v>11164</v>
      </c>
      <c r="V5200" t="s">
        <v>11164</v>
      </c>
      <c r="W5200" t="s">
        <v>16318</v>
      </c>
      <c r="X5200">
        <v>17</v>
      </c>
      <c r="Y5200" t="s">
        <v>21782</v>
      </c>
      <c r="Z5200" t="s">
        <v>27350</v>
      </c>
      <c r="AA5200">
        <v>0.6123292670116226</v>
      </c>
      <c r="AB5200" t="str">
        <f>HYPERLINK("Melting_Curves/meltCurve_Q9UBF2_COPG2.pdf", "Melting_Curves/meltCurve_Q9UBF2_COPG2.pdf")</f>
        <v>Melting_Curves/meltCurve_Q9UBF2_COPG2.pdf</v>
      </c>
    </row>
    <row r="5201" spans="1:28" x14ac:dyDescent="0.25">
      <c r="A5201" t="s">
        <v>5205</v>
      </c>
      <c r="B5201">
        <v>0.99796759195183404</v>
      </c>
      <c r="C5201">
        <v>0.99300373054382696</v>
      </c>
      <c r="D5201">
        <v>0.994835726515227</v>
      </c>
      <c r="E5201">
        <v>0.93798479419230296</v>
      </c>
      <c r="F5201">
        <v>0.97234360573715295</v>
      </c>
      <c r="G5201">
        <v>0.838266873323948</v>
      </c>
      <c r="H5201">
        <v>1.00278801541973</v>
      </c>
      <c r="I5201">
        <v>0.89971964867114096</v>
      </c>
      <c r="J5201">
        <v>1.24195774197013</v>
      </c>
      <c r="K5201">
        <v>1.22768429433717</v>
      </c>
      <c r="L5201">
        <v>15000</v>
      </c>
      <c r="M5201">
        <v>238.69940182820099</v>
      </c>
      <c r="O5201">
        <v>62.836133385525699</v>
      </c>
      <c r="P5201">
        <v>0.22395521032958901</v>
      </c>
      <c r="Q5201">
        <v>1.23581926025947</v>
      </c>
      <c r="R5201">
        <v>0.72641193040496599</v>
      </c>
      <c r="S5201" t="s">
        <v>10784</v>
      </c>
      <c r="T5201" t="s">
        <v>11164</v>
      </c>
      <c r="U5201" t="s">
        <v>11164</v>
      </c>
      <c r="V5201" t="s">
        <v>11164</v>
      </c>
      <c r="W5201" t="s">
        <v>16319</v>
      </c>
      <c r="X5201">
        <v>3</v>
      </c>
      <c r="Y5201" t="s">
        <v>21783</v>
      </c>
      <c r="Z5201" t="s">
        <v>27351</v>
      </c>
      <c r="AA5201">
        <v>1.0326674755964811</v>
      </c>
      <c r="AB5201" t="str">
        <f>HYPERLINK("Melting_Curves/meltCurve_Q9UBF6_RNF7.pdf", "Melting_Curves/meltCurve_Q9UBF6_RNF7.pdf")</f>
        <v>Melting_Curves/meltCurve_Q9UBF6_RNF7.pdf</v>
      </c>
    </row>
    <row r="5202" spans="1:28" x14ac:dyDescent="0.25">
      <c r="A5202" t="s">
        <v>5206</v>
      </c>
      <c r="B5202">
        <v>0.99796759195183404</v>
      </c>
      <c r="C5202">
        <v>0.91422988462849097</v>
      </c>
      <c r="D5202">
        <v>0.901931929419995</v>
      </c>
      <c r="E5202">
        <v>0.86877963634480404</v>
      </c>
      <c r="F5202">
        <v>0.77754877610631501</v>
      </c>
      <c r="G5202">
        <v>0.61312796191480701</v>
      </c>
      <c r="H5202">
        <v>0.30869365232949098</v>
      </c>
      <c r="I5202">
        <v>0.15623165425730001</v>
      </c>
      <c r="J5202">
        <v>0.133767667261455</v>
      </c>
      <c r="K5202">
        <v>9.7568129329953193E-2</v>
      </c>
      <c r="L5202">
        <v>719.34765644787501</v>
      </c>
      <c r="M5202">
        <v>13.1725236772618</v>
      </c>
      <c r="N5202">
        <v>54.609706887851303</v>
      </c>
      <c r="O5202">
        <v>53.397129221861697</v>
      </c>
      <c r="P5202">
        <v>-6.1682784159789297E-2</v>
      </c>
      <c r="Q5202">
        <v>0</v>
      </c>
      <c r="R5202">
        <v>0.98292255192986999</v>
      </c>
      <c r="S5202" t="s">
        <v>10785</v>
      </c>
      <c r="T5202" t="s">
        <v>11164</v>
      </c>
      <c r="U5202" t="s">
        <v>11164</v>
      </c>
      <c r="V5202" t="s">
        <v>11164</v>
      </c>
      <c r="W5202" t="s">
        <v>16320</v>
      </c>
      <c r="X5202">
        <v>7</v>
      </c>
      <c r="Y5202" t="s">
        <v>21784</v>
      </c>
      <c r="Z5202" t="s">
        <v>27352</v>
      </c>
      <c r="AA5202">
        <v>0.60267423304948997</v>
      </c>
      <c r="AB5202" t="str">
        <f>HYPERLINK("Melting_Curves/meltCurve_Q9UBF8_2_PI4KB.pdf", "Melting_Curves/meltCurve_Q9UBF8_2_PI4KB.pdf")</f>
        <v>Melting_Curves/meltCurve_Q9UBF8_2_PI4KB.pdf</v>
      </c>
    </row>
    <row r="5203" spans="1:28" x14ac:dyDescent="0.25">
      <c r="A5203" t="s">
        <v>5207</v>
      </c>
      <c r="B5203">
        <v>0.99796759195183404</v>
      </c>
      <c r="C5203">
        <v>1.0103867104980699</v>
      </c>
      <c r="D5203">
        <v>0.92347569166088805</v>
      </c>
      <c r="E5203">
        <v>0.93610959374239799</v>
      </c>
      <c r="F5203">
        <v>0.84881594806963201</v>
      </c>
      <c r="G5203">
        <v>0.67154798781459601</v>
      </c>
      <c r="H5203">
        <v>0.60132780014404197</v>
      </c>
      <c r="I5203">
        <v>0.38443154726344902</v>
      </c>
      <c r="J5203">
        <v>0.26719171450662099</v>
      </c>
      <c r="K5203">
        <v>0.27508105538810401</v>
      </c>
      <c r="L5203">
        <v>592.38981028161697</v>
      </c>
      <c r="M5203">
        <v>10.2322913087638</v>
      </c>
      <c r="N5203">
        <v>58.536803930519</v>
      </c>
      <c r="O5203">
        <v>55.813588777704403</v>
      </c>
      <c r="P5203">
        <v>-4.3416778474485301E-2</v>
      </c>
      <c r="Q5203">
        <v>5.3128121143868397E-2</v>
      </c>
      <c r="R5203">
        <v>0.98694563157151904</v>
      </c>
      <c r="S5203" t="s">
        <v>10786</v>
      </c>
      <c r="T5203" t="s">
        <v>11164</v>
      </c>
      <c r="U5203" t="s">
        <v>11164</v>
      </c>
      <c r="V5203" t="s">
        <v>11164</v>
      </c>
      <c r="W5203" t="s">
        <v>16321</v>
      </c>
      <c r="X5203">
        <v>4</v>
      </c>
      <c r="Y5203" t="s">
        <v>21785</v>
      </c>
      <c r="Z5203" t="s">
        <v>27353</v>
      </c>
      <c r="AA5203">
        <v>0.70626727071654682</v>
      </c>
      <c r="AB5203" t="str">
        <f>HYPERLINK("Melting_Curves/meltCurve_Q9UBI6_GNG12.pdf", "Melting_Curves/meltCurve_Q9UBI6_GNG12.pdf")</f>
        <v>Melting_Curves/meltCurve_Q9UBI6_GNG12.pdf</v>
      </c>
    </row>
    <row r="5204" spans="1:28" x14ac:dyDescent="0.25">
      <c r="A5204" t="s">
        <v>5208</v>
      </c>
      <c r="B5204">
        <v>0.99796759195183404</v>
      </c>
      <c r="C5204">
        <v>0.969987348763512</v>
      </c>
      <c r="D5204">
        <v>0.95786459291111703</v>
      </c>
      <c r="E5204">
        <v>0.92438354830830904</v>
      </c>
      <c r="F5204">
        <v>0.66620413109412602</v>
      </c>
      <c r="G5204">
        <v>0.335027976917393</v>
      </c>
      <c r="H5204">
        <v>0.26206194236117603</v>
      </c>
      <c r="I5204">
        <v>0.21433488190099401</v>
      </c>
      <c r="J5204">
        <v>0.154357604433697</v>
      </c>
      <c r="K5204">
        <v>0.10504592953049301</v>
      </c>
      <c r="L5204">
        <v>1080.1214250984201</v>
      </c>
      <c r="M5204">
        <v>21.1054138134099</v>
      </c>
      <c r="N5204">
        <v>52.030748730521601</v>
      </c>
      <c r="O5204">
        <v>50.724643060173399</v>
      </c>
      <c r="P5204">
        <v>-8.8805107263542502E-2</v>
      </c>
      <c r="Q5204">
        <v>0.14628738816428299</v>
      </c>
      <c r="R5204">
        <v>0.99343854069738102</v>
      </c>
      <c r="S5204" t="s">
        <v>10787</v>
      </c>
      <c r="T5204" t="s">
        <v>11164</v>
      </c>
      <c r="U5204" t="s">
        <v>11164</v>
      </c>
      <c r="V5204" t="s">
        <v>11164</v>
      </c>
      <c r="W5204" t="s">
        <v>16322</v>
      </c>
      <c r="X5204">
        <v>15</v>
      </c>
      <c r="Y5204" t="s">
        <v>21786</v>
      </c>
      <c r="Z5204" t="s">
        <v>27354</v>
      </c>
      <c r="AA5204">
        <v>0.5599312062420303</v>
      </c>
      <c r="AB5204" t="str">
        <f>HYPERLINK("Melting_Curves/meltCurve_Q9UBK8_2_MTRR.pdf", "Melting_Curves/meltCurve_Q9UBK8_2_MTRR.pdf")</f>
        <v>Melting_Curves/meltCurve_Q9UBK8_2_MTRR.pdf</v>
      </c>
    </row>
    <row r="5205" spans="1:28" x14ac:dyDescent="0.25">
      <c r="A5205" t="s">
        <v>5209</v>
      </c>
      <c r="B5205">
        <v>0.99796759195183404</v>
      </c>
      <c r="C5205">
        <v>1.1137544061338001</v>
      </c>
      <c r="D5205">
        <v>1.03975911730916</v>
      </c>
      <c r="E5205">
        <v>1.05627300737942</v>
      </c>
      <c r="F5205">
        <v>0.78359434931620298</v>
      </c>
      <c r="G5205">
        <v>0.573933763602687</v>
      </c>
      <c r="H5205">
        <v>0.20484944473567701</v>
      </c>
      <c r="I5205">
        <v>0.15747878817080399</v>
      </c>
      <c r="J5205">
        <v>0.11636676886764701</v>
      </c>
      <c r="K5205">
        <v>6.1495905769926501E-2</v>
      </c>
      <c r="L5205">
        <v>1232.97519616561</v>
      </c>
      <c r="M5205">
        <v>22.950337000236299</v>
      </c>
      <c r="N5205">
        <v>54.106967347632498</v>
      </c>
      <c r="O5205">
        <v>53.320736688141302</v>
      </c>
      <c r="P5205">
        <v>-9.95328047742743E-2</v>
      </c>
      <c r="Q5205">
        <v>7.5035652444333203E-2</v>
      </c>
      <c r="R5205">
        <v>0.98208109814055</v>
      </c>
      <c r="S5205" t="s">
        <v>10788</v>
      </c>
      <c r="T5205" t="s">
        <v>11164</v>
      </c>
      <c r="U5205" t="s">
        <v>11164</v>
      </c>
      <c r="V5205" t="s">
        <v>11164</v>
      </c>
      <c r="W5205" t="s">
        <v>16323</v>
      </c>
      <c r="X5205">
        <v>5</v>
      </c>
      <c r="Y5205" t="s">
        <v>21787</v>
      </c>
      <c r="Z5205" t="s">
        <v>27355</v>
      </c>
      <c r="AA5205">
        <v>0.59995823109964164</v>
      </c>
      <c r="AB5205" t="str">
        <f>HYPERLINK("Melting_Curves/meltCurve_Q9UBL6_2_CPNE7.pdf", "Melting_Curves/meltCurve_Q9UBL6_2_CPNE7.pdf")</f>
        <v>Melting_Curves/meltCurve_Q9UBL6_2_CPNE7.pdf</v>
      </c>
    </row>
    <row r="5206" spans="1:28" x14ac:dyDescent="0.25">
      <c r="A5206" t="s">
        <v>5210</v>
      </c>
      <c r="B5206">
        <v>0.99796759195183404</v>
      </c>
      <c r="C5206">
        <v>1.22954469374678</v>
      </c>
      <c r="D5206">
        <v>0.97309414958955598</v>
      </c>
      <c r="E5206">
        <v>0.87199684122172705</v>
      </c>
      <c r="F5206">
        <v>0.95549373653613101</v>
      </c>
      <c r="G5206">
        <v>0.390035987924439</v>
      </c>
      <c r="H5206">
        <v>0.26512316587478901</v>
      </c>
      <c r="I5206">
        <v>0.17042886879352001</v>
      </c>
      <c r="J5206">
        <v>0.157242094355621</v>
      </c>
      <c r="K5206">
        <v>0.11675575232263399</v>
      </c>
      <c r="L5206">
        <v>2476.15373121538</v>
      </c>
      <c r="M5206">
        <v>46.942917952460398</v>
      </c>
      <c r="N5206">
        <v>53.2176797322184</v>
      </c>
      <c r="O5206">
        <v>52.652726438044802</v>
      </c>
      <c r="P5206">
        <v>-0.18509976818651</v>
      </c>
      <c r="Q5206">
        <v>0.169544866857432</v>
      </c>
      <c r="R5206">
        <v>0.95234067881491802</v>
      </c>
      <c r="S5206" t="s">
        <v>10789</v>
      </c>
      <c r="T5206" t="s">
        <v>11164</v>
      </c>
      <c r="U5206" t="s">
        <v>11164</v>
      </c>
      <c r="V5206" t="s">
        <v>11164</v>
      </c>
      <c r="W5206" t="s">
        <v>16324</v>
      </c>
      <c r="X5206">
        <v>5</v>
      </c>
      <c r="Y5206" t="s">
        <v>21788</v>
      </c>
      <c r="Z5206" t="s">
        <v>27356</v>
      </c>
      <c r="AA5206">
        <v>0.60767491581011002</v>
      </c>
      <c r="AB5206" t="str">
        <f>HYPERLINK("Melting_Curves/meltCurve_Q9UBM7_DHCR7.pdf", "Melting_Curves/meltCurve_Q9UBM7_DHCR7.pdf")</f>
        <v>Melting_Curves/meltCurve_Q9UBM7_DHCR7.pdf</v>
      </c>
    </row>
    <row r="5207" spans="1:28" x14ac:dyDescent="0.25">
      <c r="A5207" t="s">
        <v>5211</v>
      </c>
      <c r="B5207">
        <v>0.99796759195183404</v>
      </c>
      <c r="C5207">
        <v>0.98421507893764304</v>
      </c>
      <c r="D5207">
        <v>1.01232073070323</v>
      </c>
      <c r="E5207">
        <v>1.0067966693002699</v>
      </c>
      <c r="F5207">
        <v>1.0371112692551001</v>
      </c>
      <c r="G5207">
        <v>0.58792914351296199</v>
      </c>
      <c r="H5207">
        <v>0.57730822099229795</v>
      </c>
      <c r="I5207">
        <v>0.66120488822906198</v>
      </c>
      <c r="J5207">
        <v>0.73691012330222705</v>
      </c>
      <c r="K5207">
        <v>0.54148005658660403</v>
      </c>
      <c r="L5207">
        <v>5948.7309296775902</v>
      </c>
      <c r="M5207">
        <v>114.458502769662</v>
      </c>
      <c r="O5207">
        <v>51.956957175035498</v>
      </c>
      <c r="P5207">
        <v>-0.20941058357817</v>
      </c>
      <c r="Q5207">
        <v>0.61976310484678998</v>
      </c>
      <c r="R5207">
        <v>0.93174096556673003</v>
      </c>
      <c r="S5207" t="s">
        <v>10790</v>
      </c>
      <c r="T5207" t="s">
        <v>11164</v>
      </c>
      <c r="U5207" t="s">
        <v>11164</v>
      </c>
      <c r="V5207" t="s">
        <v>11164</v>
      </c>
      <c r="W5207" t="s">
        <v>16325</v>
      </c>
      <c r="X5207">
        <v>7</v>
      </c>
      <c r="Y5207" t="s">
        <v>21789</v>
      </c>
      <c r="Z5207" t="s">
        <v>27357</v>
      </c>
      <c r="AA5207">
        <v>0.8097026283460419</v>
      </c>
      <c r="AB5207" t="str">
        <f>HYPERLINK("Melting_Curves/meltCurve_Q9UBN6_TNFRSF10D.pdf", "Melting_Curves/meltCurve_Q9UBN6_TNFRSF10D.pdf")</f>
        <v>Melting_Curves/meltCurve_Q9UBN6_TNFRSF10D.pdf</v>
      </c>
    </row>
    <row r="5208" spans="1:28" x14ac:dyDescent="0.25">
      <c r="A5208" t="s">
        <v>5212</v>
      </c>
      <c r="B5208">
        <v>0.99796759195183404</v>
      </c>
      <c r="C5208">
        <v>0.99603140365478904</v>
      </c>
      <c r="D5208">
        <v>1.0012701427108699</v>
      </c>
      <c r="E5208">
        <v>0.86761206632824095</v>
      </c>
      <c r="F5208">
        <v>0.69762199038964701</v>
      </c>
      <c r="G5208">
        <v>0.21982567216903601</v>
      </c>
      <c r="H5208">
        <v>0.171393789142402</v>
      </c>
      <c r="I5208">
        <v>0.14267495126638399</v>
      </c>
      <c r="J5208">
        <v>0.15077808682688601</v>
      </c>
      <c r="K5208">
        <v>0.108051701370907</v>
      </c>
      <c r="L5208">
        <v>1573.77481663717</v>
      </c>
      <c r="M5208">
        <v>30.922381242810999</v>
      </c>
      <c r="N5208">
        <v>51.386306503109097</v>
      </c>
      <c r="O5208">
        <v>50.682925702364599</v>
      </c>
      <c r="P5208">
        <v>-0.132987483252268</v>
      </c>
      <c r="Q5208">
        <v>0.12811937793726499</v>
      </c>
      <c r="R5208">
        <v>0.99172653591489701</v>
      </c>
      <c r="S5208" t="s">
        <v>10791</v>
      </c>
      <c r="T5208" t="s">
        <v>11164</v>
      </c>
      <c r="U5208" t="s">
        <v>11164</v>
      </c>
      <c r="V5208" t="s">
        <v>11164</v>
      </c>
      <c r="W5208" t="s">
        <v>16326</v>
      </c>
      <c r="X5208">
        <v>8</v>
      </c>
      <c r="Y5208" t="s">
        <v>21790</v>
      </c>
      <c r="Z5208" t="s">
        <v>27358</v>
      </c>
      <c r="AA5208">
        <v>0.53703838970228512</v>
      </c>
      <c r="AB5208" t="str">
        <f>HYPERLINK("Melting_Curves/meltCurve_Q9UBP0_3_SPAST.pdf", "Melting_Curves/meltCurve_Q9UBP0_3_SPAST.pdf")</f>
        <v>Melting_Curves/meltCurve_Q9UBP0_3_SPAST.pdf</v>
      </c>
    </row>
    <row r="5209" spans="1:28" x14ac:dyDescent="0.25">
      <c r="A5209" t="s">
        <v>5213</v>
      </c>
      <c r="B5209">
        <v>0.99796759195183404</v>
      </c>
      <c r="C5209">
        <v>1.0823994659557701</v>
      </c>
      <c r="D5209">
        <v>1.02456612753273</v>
      </c>
      <c r="E5209">
        <v>1.05725461861036</v>
      </c>
      <c r="F5209">
        <v>0.95348965605341496</v>
      </c>
      <c r="G5209">
        <v>0.93596542945538397</v>
      </c>
      <c r="H5209">
        <v>0.87638482895626502</v>
      </c>
      <c r="I5209">
        <v>0.21441118694546901</v>
      </c>
      <c r="J5209">
        <v>8.3766514682388493E-2</v>
      </c>
      <c r="K5209">
        <v>7.5056249505686207E-2</v>
      </c>
      <c r="L5209">
        <v>3446.3726149362901</v>
      </c>
      <c r="M5209">
        <v>58.199091708139498</v>
      </c>
      <c r="N5209">
        <v>59.377748708075202</v>
      </c>
      <c r="O5209">
        <v>59.147172690543002</v>
      </c>
      <c r="P5209">
        <v>-0.22805807821253299</v>
      </c>
      <c r="Q5209">
        <v>7.2907863890428901E-2</v>
      </c>
      <c r="R5209">
        <v>0.98971588156225898</v>
      </c>
      <c r="S5209" t="s">
        <v>10792</v>
      </c>
      <c r="T5209" t="s">
        <v>11164</v>
      </c>
      <c r="U5209" t="s">
        <v>11164</v>
      </c>
      <c r="V5209" t="s">
        <v>11164</v>
      </c>
      <c r="W5209" t="s">
        <v>16327</v>
      </c>
      <c r="X5209">
        <v>9</v>
      </c>
      <c r="Y5209" t="s">
        <v>21791</v>
      </c>
      <c r="Z5209" t="s">
        <v>27359</v>
      </c>
      <c r="AA5209">
        <v>0.7612160290078015</v>
      </c>
      <c r="AB5209" t="str">
        <f>HYPERLINK("Melting_Curves/meltCurve_Q9UBP6_METTL1.pdf", "Melting_Curves/meltCurve_Q9UBP6_METTL1.pdf")</f>
        <v>Melting_Curves/meltCurve_Q9UBP6_METTL1.pdf</v>
      </c>
    </row>
    <row r="5210" spans="1:28" x14ac:dyDescent="0.25">
      <c r="A5210" t="s">
        <v>5214</v>
      </c>
      <c r="B5210">
        <v>0.99796759195183404</v>
      </c>
      <c r="C5210">
        <v>1.0764124866073701</v>
      </c>
      <c r="D5210">
        <v>1.0185635320034201</v>
      </c>
      <c r="E5210">
        <v>0.95832993293270097</v>
      </c>
      <c r="F5210">
        <v>0.55637668380943595</v>
      </c>
      <c r="G5210">
        <v>0.29059137225923498</v>
      </c>
      <c r="H5210">
        <v>0.206829059798954</v>
      </c>
      <c r="I5210">
        <v>0.19053300245659399</v>
      </c>
      <c r="J5210">
        <v>0.12016084513631201</v>
      </c>
      <c r="K5210">
        <v>0.13463219850925601</v>
      </c>
      <c r="L5210">
        <v>1466.69201491899</v>
      </c>
      <c r="M5210">
        <v>29.1964537761129</v>
      </c>
      <c r="N5210">
        <v>50.9018309886441</v>
      </c>
      <c r="O5210">
        <v>50.001363778534298</v>
      </c>
      <c r="P5210">
        <v>-0.122788636155839</v>
      </c>
      <c r="Q5210">
        <v>0.15886268390368399</v>
      </c>
      <c r="R5210">
        <v>0.99158940409174401</v>
      </c>
      <c r="S5210" t="s">
        <v>10793</v>
      </c>
      <c r="T5210" t="s">
        <v>11164</v>
      </c>
      <c r="U5210" t="s">
        <v>11164</v>
      </c>
      <c r="V5210" t="s">
        <v>11164</v>
      </c>
      <c r="W5210" t="s">
        <v>16328</v>
      </c>
      <c r="X5210">
        <v>3</v>
      </c>
      <c r="Y5210" t="s">
        <v>21792</v>
      </c>
      <c r="Z5210" t="s">
        <v>27360</v>
      </c>
      <c r="AA5210">
        <v>0.53541669578199891</v>
      </c>
      <c r="AB5210" t="str">
        <f>HYPERLINK("Melting_Curves/meltCurve_Q9UBP9_4_GULP1.pdf", "Melting_Curves/meltCurve_Q9UBP9_4_GULP1.pdf")</f>
        <v>Melting_Curves/meltCurve_Q9UBP9_4_GULP1.pdf</v>
      </c>
    </row>
    <row r="5211" spans="1:28" x14ac:dyDescent="0.25">
      <c r="A5211" t="s">
        <v>5215</v>
      </c>
      <c r="B5211">
        <v>0.99796759195183404</v>
      </c>
      <c r="C5211">
        <v>1.0121379416318199</v>
      </c>
      <c r="D5211">
        <v>0.98736562717512899</v>
      </c>
      <c r="E5211">
        <v>0.976251008533076</v>
      </c>
      <c r="F5211">
        <v>0.85888330990026396</v>
      </c>
      <c r="G5211">
        <v>0.75374476863975204</v>
      </c>
      <c r="H5211">
        <v>0.77271328948788998</v>
      </c>
      <c r="I5211">
        <v>0.535471562082384</v>
      </c>
      <c r="J5211">
        <v>0.31405725093805398</v>
      </c>
      <c r="K5211">
        <v>0.17039132371702501</v>
      </c>
      <c r="L5211">
        <v>776.15408203285801</v>
      </c>
      <c r="M5211">
        <v>12.7772946156056</v>
      </c>
      <c r="N5211">
        <v>60.744799400027901</v>
      </c>
      <c r="O5211">
        <v>59.314545498159703</v>
      </c>
      <c r="P5211">
        <v>-5.3864148912117701E-2</v>
      </c>
      <c r="Q5211">
        <v>0</v>
      </c>
      <c r="R5211">
        <v>0.96429810192794596</v>
      </c>
      <c r="S5211" t="s">
        <v>10794</v>
      </c>
      <c r="T5211" t="s">
        <v>11164</v>
      </c>
      <c r="U5211" t="s">
        <v>11164</v>
      </c>
      <c r="V5211" t="s">
        <v>11164</v>
      </c>
      <c r="W5211" t="s">
        <v>16329</v>
      </c>
      <c r="X5211">
        <v>9</v>
      </c>
      <c r="Y5211" t="s">
        <v>21793</v>
      </c>
      <c r="Z5211" t="s">
        <v>27361</v>
      </c>
      <c r="AA5211">
        <v>0.77199586486522942</v>
      </c>
      <c r="AB5211" t="str">
        <f>HYPERLINK("Melting_Curves/meltCurve_Q9UBQ0_VPS29.pdf", "Melting_Curves/meltCurve_Q9UBQ0_VPS29.pdf")</f>
        <v>Melting_Curves/meltCurve_Q9UBQ0_VPS29.pdf</v>
      </c>
    </row>
    <row r="5212" spans="1:28" x14ac:dyDescent="0.25">
      <c r="A5212" t="s">
        <v>5216</v>
      </c>
      <c r="B5212">
        <v>0.99796759195183404</v>
      </c>
      <c r="C5212">
        <v>0.96366278336863498</v>
      </c>
      <c r="D5212">
        <v>0.97146768075724499</v>
      </c>
      <c r="E5212">
        <v>0.89758774447216705</v>
      </c>
      <c r="F5212">
        <v>0.76787626855839497</v>
      </c>
      <c r="G5212">
        <v>0.62530234184369504</v>
      </c>
      <c r="H5212">
        <v>0.37859530891377702</v>
      </c>
      <c r="I5212">
        <v>0.18107409394270599</v>
      </c>
      <c r="J5212">
        <v>8.9100539067320197E-2</v>
      </c>
      <c r="K5212">
        <v>6.1988332920747298E-2</v>
      </c>
      <c r="L5212">
        <v>782.04456073157996</v>
      </c>
      <c r="M5212">
        <v>14.2004039633388</v>
      </c>
      <c r="N5212">
        <v>55.071994172023203</v>
      </c>
      <c r="O5212">
        <v>54.0143438027184</v>
      </c>
      <c r="P5212">
        <v>-6.5733350153854994E-2</v>
      </c>
      <c r="Q5212">
        <v>0</v>
      </c>
      <c r="R5212">
        <v>0.99494672701134601</v>
      </c>
      <c r="S5212" t="s">
        <v>10795</v>
      </c>
      <c r="T5212" t="s">
        <v>11164</v>
      </c>
      <c r="U5212" t="s">
        <v>11164</v>
      </c>
      <c r="V5212" t="s">
        <v>11164</v>
      </c>
      <c r="W5212" t="s">
        <v>16330</v>
      </c>
      <c r="X5212">
        <v>9</v>
      </c>
      <c r="Y5212" t="s">
        <v>21794</v>
      </c>
      <c r="Z5212" t="s">
        <v>27362</v>
      </c>
      <c r="AA5212">
        <v>0.61654248574692494</v>
      </c>
      <c r="AB5212" t="str">
        <f>HYPERLINK("Melting_Curves/meltCurve_Q9UBQ7_GRHPR.pdf", "Melting_Curves/meltCurve_Q9UBQ7_GRHPR.pdf")</f>
        <v>Melting_Curves/meltCurve_Q9UBQ7_GRHPR.pdf</v>
      </c>
    </row>
    <row r="5213" spans="1:28" x14ac:dyDescent="0.25">
      <c r="A5213" t="s">
        <v>5217</v>
      </c>
      <c r="B5213">
        <v>0.99796759195183404</v>
      </c>
      <c r="C5213">
        <v>0.95535076043609801</v>
      </c>
      <c r="D5213">
        <v>0.92572659579778804</v>
      </c>
      <c r="E5213">
        <v>0.80813828003127297</v>
      </c>
      <c r="F5213">
        <v>0.501908061214975</v>
      </c>
      <c r="G5213">
        <v>0.27309751569617902</v>
      </c>
      <c r="H5213">
        <v>0.215897499300686</v>
      </c>
      <c r="I5213">
        <v>0.167046545208141</v>
      </c>
      <c r="J5213">
        <v>0.13345479796614801</v>
      </c>
      <c r="K5213">
        <v>7.6335592750589099E-2</v>
      </c>
      <c r="L5213">
        <v>843.52313643154298</v>
      </c>
      <c r="M5213">
        <v>16.978392704836899</v>
      </c>
      <c r="N5213">
        <v>50.381843222825601</v>
      </c>
      <c r="O5213">
        <v>49.008290983882098</v>
      </c>
      <c r="P5213">
        <v>-7.7518260732130501E-2</v>
      </c>
      <c r="Q5213">
        <v>0.10502680420566</v>
      </c>
      <c r="R5213">
        <v>0.99556048305212097</v>
      </c>
      <c r="S5213" t="s">
        <v>10796</v>
      </c>
      <c r="T5213" t="s">
        <v>11164</v>
      </c>
      <c r="U5213" t="s">
        <v>11164</v>
      </c>
      <c r="V5213" t="s">
        <v>11164</v>
      </c>
      <c r="W5213" t="s">
        <v>16331</v>
      </c>
      <c r="X5213">
        <v>7</v>
      </c>
      <c r="Y5213" t="s">
        <v>21795</v>
      </c>
      <c r="Z5213" t="s">
        <v>27363</v>
      </c>
      <c r="AA5213">
        <v>0.49894888645044261</v>
      </c>
      <c r="AB5213" t="str">
        <f>HYPERLINK("Melting_Curves/meltCurve_Q9UBS0_RPS6KB2.pdf", "Melting_Curves/meltCurve_Q9UBS0_RPS6KB2.pdf")</f>
        <v>Melting_Curves/meltCurve_Q9UBS0_RPS6KB2.pdf</v>
      </c>
    </row>
    <row r="5214" spans="1:28" x14ac:dyDescent="0.25">
      <c r="A5214" t="s">
        <v>5218</v>
      </c>
      <c r="B5214">
        <v>0.99796759195183404</v>
      </c>
      <c r="C5214">
        <v>0.99382721538450103</v>
      </c>
      <c r="D5214">
        <v>0.90516103640341505</v>
      </c>
      <c r="E5214">
        <v>0.84441430711063903</v>
      </c>
      <c r="F5214">
        <v>0.74803211361042299</v>
      </c>
      <c r="G5214">
        <v>0.801976241187767</v>
      </c>
      <c r="H5214">
        <v>0.62876141374021699</v>
      </c>
      <c r="I5214">
        <v>0.50018660128261405</v>
      </c>
      <c r="J5214">
        <v>0.30781874620586702</v>
      </c>
      <c r="K5214">
        <v>0.16569965746139401</v>
      </c>
      <c r="L5214">
        <v>536.27585348084995</v>
      </c>
      <c r="M5214">
        <v>9.03716970172575</v>
      </c>
      <c r="N5214">
        <v>59.341109086902698</v>
      </c>
      <c r="O5214">
        <v>56.651718613915797</v>
      </c>
      <c r="P5214">
        <v>-3.9908896117503902E-2</v>
      </c>
      <c r="Q5214">
        <v>0</v>
      </c>
      <c r="R5214">
        <v>0.94235657073233403</v>
      </c>
      <c r="S5214" t="s">
        <v>10797</v>
      </c>
      <c r="T5214" t="s">
        <v>11164</v>
      </c>
      <c r="U5214" t="s">
        <v>11164</v>
      </c>
      <c r="V5214" t="s">
        <v>11164</v>
      </c>
      <c r="W5214" t="s">
        <v>16332</v>
      </c>
      <c r="X5214">
        <v>9</v>
      </c>
      <c r="Y5214" t="s">
        <v>21796</v>
      </c>
      <c r="Z5214" t="s">
        <v>27364</v>
      </c>
      <c r="AA5214">
        <v>0.71786735117347256</v>
      </c>
      <c r="AB5214" t="str">
        <f>HYPERLINK("Melting_Curves/meltCurve_Q9UBS4_DNAJB11.pdf", "Melting_Curves/meltCurve_Q9UBS4_DNAJB11.pdf")</f>
        <v>Melting_Curves/meltCurve_Q9UBS4_DNAJB11.pdf</v>
      </c>
    </row>
    <row r="5215" spans="1:28" x14ac:dyDescent="0.25">
      <c r="A5215" t="s">
        <v>5219</v>
      </c>
      <c r="B5215">
        <v>0.99796759195183404</v>
      </c>
      <c r="C5215">
        <v>0.96832447517949805</v>
      </c>
      <c r="D5215">
        <v>0.93038164095369102</v>
      </c>
      <c r="E5215">
        <v>0.84223716750864297</v>
      </c>
      <c r="F5215">
        <v>0.78989096269263703</v>
      </c>
      <c r="G5215">
        <v>0.35866650567404701</v>
      </c>
      <c r="H5215">
        <v>0.15101689799219001</v>
      </c>
      <c r="I5215">
        <v>0.119499056426769</v>
      </c>
      <c r="J5215">
        <v>7.8855112283446493E-2</v>
      </c>
      <c r="K5215">
        <v>6.2162760369996302E-2</v>
      </c>
      <c r="L5215">
        <v>1114.33117178978</v>
      </c>
      <c r="M5215">
        <v>21.331552634522499</v>
      </c>
      <c r="N5215">
        <v>52.525536625617903</v>
      </c>
      <c r="O5215">
        <v>51.786040174323801</v>
      </c>
      <c r="P5215">
        <v>-9.7318654134253404E-2</v>
      </c>
      <c r="Q5215">
        <v>5.4992167874301098E-2</v>
      </c>
      <c r="R5215">
        <v>0.98693121395441497</v>
      </c>
      <c r="S5215" t="s">
        <v>10798</v>
      </c>
      <c r="T5215" t="s">
        <v>11164</v>
      </c>
      <c r="U5215" t="s">
        <v>11164</v>
      </c>
      <c r="V5215" t="s">
        <v>11164</v>
      </c>
      <c r="W5215" t="s">
        <v>16333</v>
      </c>
      <c r="X5215">
        <v>5</v>
      </c>
      <c r="Y5215" t="s">
        <v>21797</v>
      </c>
      <c r="Z5215" t="s">
        <v>27365</v>
      </c>
      <c r="AA5215">
        <v>0.5459839507215033</v>
      </c>
      <c r="AB5215" t="str">
        <f>HYPERLINK("Melting_Curves/meltCurve_Q9UBS8_2_RNF14.pdf", "Melting_Curves/meltCurve_Q9UBS8_2_RNF14.pdf")</f>
        <v>Melting_Curves/meltCurve_Q9UBS8_2_RNF14.pdf</v>
      </c>
    </row>
    <row r="5216" spans="1:28" x14ac:dyDescent="0.25">
      <c r="A5216" t="s">
        <v>5220</v>
      </c>
      <c r="B5216">
        <v>0.99796759195183404</v>
      </c>
      <c r="C5216">
        <v>1.0135304141716699</v>
      </c>
      <c r="D5216">
        <v>1.00106586990149</v>
      </c>
      <c r="E5216">
        <v>0.98163400625438402</v>
      </c>
      <c r="F5216">
        <v>0.84715034553278501</v>
      </c>
      <c r="G5216">
        <v>0.78224494624224905</v>
      </c>
      <c r="H5216">
        <v>0.37214825804658302</v>
      </c>
      <c r="I5216">
        <v>0.17162791682922099</v>
      </c>
      <c r="J5216">
        <v>0.104339845937175</v>
      </c>
      <c r="K5216">
        <v>7.5500166725532503E-2</v>
      </c>
      <c r="L5216">
        <v>1220.2581833326001</v>
      </c>
      <c r="M5216">
        <v>21.783025439367801</v>
      </c>
      <c r="N5216">
        <v>56.242634038176597</v>
      </c>
      <c r="O5216">
        <v>55.553059683432302</v>
      </c>
      <c r="P5216">
        <v>-9.3959826548695294E-2</v>
      </c>
      <c r="Q5216">
        <v>4.15225381915037E-2</v>
      </c>
      <c r="R5216">
        <v>0.99232964543851598</v>
      </c>
      <c r="S5216" t="s">
        <v>10799</v>
      </c>
      <c r="T5216" t="s">
        <v>11164</v>
      </c>
      <c r="U5216" t="s">
        <v>11164</v>
      </c>
      <c r="V5216" t="s">
        <v>11164</v>
      </c>
      <c r="W5216" t="s">
        <v>16334</v>
      </c>
      <c r="X5216">
        <v>31</v>
      </c>
      <c r="Y5216" t="s">
        <v>21798</v>
      </c>
      <c r="Z5216" t="s">
        <v>27366</v>
      </c>
      <c r="AA5216">
        <v>0.6582539481452272</v>
      </c>
      <c r="AB5216" t="str">
        <f>HYPERLINK("Melting_Curves/meltCurve_Q9UBT2_UBA2.pdf", "Melting_Curves/meltCurve_Q9UBT2_UBA2.pdf")</f>
        <v>Melting_Curves/meltCurve_Q9UBT2_UBA2.pdf</v>
      </c>
    </row>
    <row r="5217" spans="1:28" x14ac:dyDescent="0.25">
      <c r="A5217" t="s">
        <v>5221</v>
      </c>
      <c r="B5217">
        <v>0.99796759195183404</v>
      </c>
      <c r="C5217">
        <v>1.04595049991728</v>
      </c>
      <c r="D5217">
        <v>1.05139014144525</v>
      </c>
      <c r="E5217">
        <v>1.0043036550392399</v>
      </c>
      <c r="F5217">
        <v>0.50902533607228795</v>
      </c>
      <c r="G5217">
        <v>0.17006235520496199</v>
      </c>
      <c r="H5217">
        <v>0.15357628434878101</v>
      </c>
      <c r="I5217">
        <v>0.17952134629059899</v>
      </c>
      <c r="J5217">
        <v>0.12951769629607199</v>
      </c>
      <c r="K5217">
        <v>8.9037310725839397E-2</v>
      </c>
      <c r="L5217">
        <v>3000.3511055470099</v>
      </c>
      <c r="M5217">
        <v>60.049829615524303</v>
      </c>
      <c r="N5217">
        <v>50.243235329729103</v>
      </c>
      <c r="O5217">
        <v>49.909035077831298</v>
      </c>
      <c r="P5217">
        <v>-0.25816728637362402</v>
      </c>
      <c r="Q5217">
        <v>0.141721136436114</v>
      </c>
      <c r="R5217">
        <v>0.99436073492288801</v>
      </c>
      <c r="S5217" t="s">
        <v>10800</v>
      </c>
      <c r="T5217" t="s">
        <v>11164</v>
      </c>
      <c r="U5217" t="s">
        <v>11164</v>
      </c>
      <c r="V5217" t="s">
        <v>11164</v>
      </c>
      <c r="W5217" t="s">
        <v>16335</v>
      </c>
      <c r="X5217">
        <v>2</v>
      </c>
      <c r="Y5217" t="s">
        <v>21799</v>
      </c>
      <c r="Z5217" t="s">
        <v>27367</v>
      </c>
      <c r="AA5217">
        <v>0.51393141228175143</v>
      </c>
      <c r="AB5217" t="str">
        <f>HYPERLINK("Melting_Curves/meltCurve_Q9UBT7_2_CTNNAL1.pdf", "Melting_Curves/meltCurve_Q9UBT7_2_CTNNAL1.pdf")</f>
        <v>Melting_Curves/meltCurve_Q9UBT7_2_CTNNAL1.pdf</v>
      </c>
    </row>
    <row r="5218" spans="1:28" x14ac:dyDescent="0.25">
      <c r="A5218" t="s">
        <v>5222</v>
      </c>
      <c r="B5218">
        <v>0.99796759195183404</v>
      </c>
      <c r="C5218">
        <v>0.78545141945810304</v>
      </c>
      <c r="D5218">
        <v>1.0400442985588401</v>
      </c>
      <c r="E5218">
        <v>0.92163541115345304</v>
      </c>
      <c r="F5218">
        <v>0.83966037962640505</v>
      </c>
      <c r="G5218">
        <v>0.60936754478802702</v>
      </c>
      <c r="H5218">
        <v>0.42454801438443501</v>
      </c>
      <c r="I5218">
        <v>0.226697592476751</v>
      </c>
      <c r="J5218">
        <v>0.21621091846936499</v>
      </c>
      <c r="K5218">
        <v>0.15334147681142801</v>
      </c>
      <c r="L5218">
        <v>825.66666081769802</v>
      </c>
      <c r="M5218">
        <v>15.0398297103484</v>
      </c>
      <c r="N5218">
        <v>55.717498760896802</v>
      </c>
      <c r="O5218">
        <v>53.9555321275514</v>
      </c>
      <c r="P5218">
        <v>-6.2782961181157698E-2</v>
      </c>
      <c r="Q5218">
        <v>9.91521888932448E-2</v>
      </c>
      <c r="R5218">
        <v>0.95228772367224102</v>
      </c>
      <c r="S5218" t="s">
        <v>10801</v>
      </c>
      <c r="T5218" t="s">
        <v>11164</v>
      </c>
      <c r="U5218" t="s">
        <v>11164</v>
      </c>
      <c r="V5218" t="s">
        <v>11164</v>
      </c>
      <c r="W5218" t="s">
        <v>16336</v>
      </c>
      <c r="X5218">
        <v>3</v>
      </c>
      <c r="Y5218" t="s">
        <v>21800</v>
      </c>
      <c r="Z5218" t="s">
        <v>27368</v>
      </c>
      <c r="AA5218">
        <v>0.64951846142766601</v>
      </c>
      <c r="AB5218" t="str">
        <f>HYPERLINK("Melting_Curves/meltCurve_Q9UBU6_FAM8A1.pdf", "Melting_Curves/meltCurve_Q9UBU6_FAM8A1.pdf")</f>
        <v>Melting_Curves/meltCurve_Q9UBU6_FAM8A1.pdf</v>
      </c>
    </row>
    <row r="5219" spans="1:28" x14ac:dyDescent="0.25">
      <c r="A5219" t="s">
        <v>5223</v>
      </c>
      <c r="B5219">
        <v>0.99796759195183404</v>
      </c>
      <c r="C5219">
        <v>0.90645177341157002</v>
      </c>
      <c r="D5219">
        <v>0.87889221625715297</v>
      </c>
      <c r="E5219">
        <v>0.92609654408252096</v>
      </c>
      <c r="F5219">
        <v>0.66272116775071499</v>
      </c>
      <c r="G5219">
        <v>0.36748031265331699</v>
      </c>
      <c r="H5219">
        <v>0.248411952254708</v>
      </c>
      <c r="I5219">
        <v>0.17189750121963401</v>
      </c>
      <c r="J5219">
        <v>0.13278291827818001</v>
      </c>
      <c r="K5219">
        <v>9.3992272334849497E-2</v>
      </c>
      <c r="L5219">
        <v>858.13118385160101</v>
      </c>
      <c r="M5219">
        <v>16.606499914916199</v>
      </c>
      <c r="N5219">
        <v>52.303259011420799</v>
      </c>
      <c r="O5219">
        <v>50.942530431936902</v>
      </c>
      <c r="P5219">
        <v>-7.4126332158267902E-2</v>
      </c>
      <c r="Q5219">
        <v>9.0494165378536801E-2</v>
      </c>
      <c r="R5219">
        <v>0.98341526722072303</v>
      </c>
      <c r="S5219" t="s">
        <v>10802</v>
      </c>
      <c r="T5219" t="s">
        <v>11164</v>
      </c>
      <c r="U5219" t="s">
        <v>11164</v>
      </c>
      <c r="V5219" t="s">
        <v>11164</v>
      </c>
      <c r="W5219" t="s">
        <v>16337</v>
      </c>
      <c r="X5219">
        <v>9</v>
      </c>
      <c r="Y5219" t="s">
        <v>21801</v>
      </c>
      <c r="Z5219" t="s">
        <v>27369</v>
      </c>
      <c r="AA5219">
        <v>0.55093421884117011</v>
      </c>
      <c r="AB5219" t="str">
        <f>HYPERLINK("Melting_Curves/meltCurve_Q9UBU8_2_MORF4L1.pdf", "Melting_Curves/meltCurve_Q9UBU8_2_MORF4L1.pdf")</f>
        <v>Melting_Curves/meltCurve_Q9UBU8_2_MORF4L1.pdf</v>
      </c>
    </row>
    <row r="5220" spans="1:28" x14ac:dyDescent="0.25">
      <c r="A5220" t="s">
        <v>5224</v>
      </c>
      <c r="B5220">
        <v>0.99796759195183404</v>
      </c>
      <c r="C5220">
        <v>0.90962789105201802</v>
      </c>
      <c r="D5220">
        <v>0.89438852596775698</v>
      </c>
      <c r="E5220">
        <v>0.83728557148711602</v>
      </c>
      <c r="F5220">
        <v>0.76671361547482098</v>
      </c>
      <c r="G5220">
        <v>0.59052255923600205</v>
      </c>
      <c r="H5220">
        <v>0.459072445288635</v>
      </c>
      <c r="I5220">
        <v>0.21878391758548801</v>
      </c>
      <c r="J5220">
        <v>0.19172384896759001</v>
      </c>
      <c r="K5220">
        <v>0.13077107778618299</v>
      </c>
      <c r="L5220">
        <v>559.65889815966295</v>
      </c>
      <c r="M5220">
        <v>10.1199602733851</v>
      </c>
      <c r="N5220">
        <v>55.302473889250003</v>
      </c>
      <c r="O5220">
        <v>53.273356477819704</v>
      </c>
      <c r="P5220">
        <v>-4.7512791165507003E-2</v>
      </c>
      <c r="Q5220">
        <v>0</v>
      </c>
      <c r="R5220">
        <v>0.98288577964610002</v>
      </c>
      <c r="S5220" t="s">
        <v>10803</v>
      </c>
      <c r="T5220" t="s">
        <v>11164</v>
      </c>
      <c r="U5220" t="s">
        <v>11164</v>
      </c>
      <c r="V5220" t="s">
        <v>11164</v>
      </c>
      <c r="W5220" t="s">
        <v>16338</v>
      </c>
      <c r="X5220">
        <v>4</v>
      </c>
      <c r="Y5220" t="s">
        <v>21802</v>
      </c>
      <c r="Z5220" t="s">
        <v>27370</v>
      </c>
      <c r="AA5220">
        <v>0.62071244377743906</v>
      </c>
      <c r="AB5220" t="str">
        <f>HYPERLINK("Melting_Curves/meltCurve_Q9UBV8_PEF1.pdf", "Melting_Curves/meltCurve_Q9UBV8_PEF1.pdf")</f>
        <v>Melting_Curves/meltCurve_Q9UBV8_PEF1.pdf</v>
      </c>
    </row>
    <row r="5221" spans="1:28" x14ac:dyDescent="0.25">
      <c r="A5221" t="s">
        <v>5225</v>
      </c>
      <c r="B5221">
        <v>0.99796759195183404</v>
      </c>
      <c r="C5221">
        <v>1.00257454404947</v>
      </c>
      <c r="D5221">
        <v>1.00249007935005</v>
      </c>
      <c r="E5221">
        <v>0.87421633408642996</v>
      </c>
      <c r="F5221">
        <v>0.69708298805050395</v>
      </c>
      <c r="G5221">
        <v>0.51656021273299801</v>
      </c>
      <c r="H5221">
        <v>0.42485372511151298</v>
      </c>
      <c r="I5221">
        <v>0.30813168478473102</v>
      </c>
      <c r="J5221">
        <v>0.34319326706154102</v>
      </c>
      <c r="K5221">
        <v>0.30573424430391</v>
      </c>
      <c r="L5221">
        <v>839.90832679664504</v>
      </c>
      <c r="M5221">
        <v>16.409593639689</v>
      </c>
      <c r="N5221">
        <v>54.166820250828799</v>
      </c>
      <c r="O5221">
        <v>50.4419393546411</v>
      </c>
      <c r="P5221">
        <v>-5.71415364494521E-2</v>
      </c>
      <c r="Q5221">
        <v>0.29745330706886702</v>
      </c>
      <c r="R5221">
        <v>0.99548704631184404</v>
      </c>
      <c r="S5221" t="s">
        <v>10804</v>
      </c>
      <c r="T5221" t="s">
        <v>11164</v>
      </c>
      <c r="U5221" t="s">
        <v>11164</v>
      </c>
      <c r="V5221" t="s">
        <v>11164</v>
      </c>
      <c r="W5221" t="s">
        <v>16339</v>
      </c>
      <c r="X5221">
        <v>3</v>
      </c>
      <c r="Y5221" t="s">
        <v>21803</v>
      </c>
      <c r="Z5221" t="s">
        <v>27371</v>
      </c>
      <c r="AA5221">
        <v>0.6420487230596531</v>
      </c>
      <c r="AB5221" t="str">
        <f>HYPERLINK("Melting_Curves/meltCurve_Q9UBW7_ZMYM2.pdf", "Melting_Curves/meltCurve_Q9UBW7_ZMYM2.pdf")</f>
        <v>Melting_Curves/meltCurve_Q9UBW7_ZMYM2.pdf</v>
      </c>
    </row>
    <row r="5222" spans="1:28" x14ac:dyDescent="0.25">
      <c r="A5222" t="s">
        <v>5226</v>
      </c>
      <c r="B5222">
        <v>0.99796759195183404</v>
      </c>
      <c r="C5222">
        <v>1.02873258692402</v>
      </c>
      <c r="D5222">
        <v>0.99187784035028104</v>
      </c>
      <c r="E5222">
        <v>0.93098331799671097</v>
      </c>
      <c r="F5222">
        <v>0.80775403820747205</v>
      </c>
      <c r="G5222">
        <v>1.8078115463889699</v>
      </c>
      <c r="H5222">
        <v>1.5678186034117001</v>
      </c>
      <c r="I5222">
        <v>0.691177409400212</v>
      </c>
      <c r="J5222">
        <v>0.263987268958496</v>
      </c>
      <c r="K5222">
        <v>0.18007976901317499</v>
      </c>
      <c r="L5222">
        <v>8676.0565817245606</v>
      </c>
      <c r="M5222">
        <v>141.808197538618</v>
      </c>
      <c r="N5222">
        <v>61.434867776329398</v>
      </c>
      <c r="O5222">
        <v>61.169455826421199</v>
      </c>
      <c r="P5222">
        <v>-0.45130107719135398</v>
      </c>
      <c r="Q5222">
        <v>0.22131879562269699</v>
      </c>
      <c r="R5222">
        <v>0.55085184237663398</v>
      </c>
      <c r="S5222" t="s">
        <v>10805</v>
      </c>
      <c r="T5222" t="s">
        <v>11164</v>
      </c>
      <c r="U5222" t="s">
        <v>11164</v>
      </c>
      <c r="V5222" t="s">
        <v>11164</v>
      </c>
      <c r="W5222" t="s">
        <v>16340</v>
      </c>
      <c r="X5222">
        <v>6</v>
      </c>
      <c r="Y5222" t="s">
        <v>21804</v>
      </c>
      <c r="Z5222" t="s">
        <v>27372</v>
      </c>
      <c r="AA5222">
        <v>0.84923805333048064</v>
      </c>
      <c r="AB5222" t="str">
        <f>HYPERLINK("Melting_Curves/meltCurve_Q9UBW8_COPS7A.pdf", "Melting_Curves/meltCurve_Q9UBW8_COPS7A.pdf")</f>
        <v>Melting_Curves/meltCurve_Q9UBW8_COPS7A.pdf</v>
      </c>
    </row>
    <row r="5223" spans="1:28" x14ac:dyDescent="0.25">
      <c r="A5223" t="s">
        <v>5227</v>
      </c>
      <c r="B5223">
        <v>0.99796759195183404</v>
      </c>
      <c r="C5223">
        <v>1.08047631591299</v>
      </c>
      <c r="D5223">
        <v>0.95859860581205603</v>
      </c>
      <c r="E5223">
        <v>0.96438165941260601</v>
      </c>
      <c r="F5223">
        <v>1.02333357875213</v>
      </c>
      <c r="G5223">
        <v>1.3420887061353499</v>
      </c>
      <c r="H5223">
        <v>0.49885778190642199</v>
      </c>
      <c r="I5223">
        <v>0.49972161698631601</v>
      </c>
      <c r="J5223">
        <v>0.30231529681073699</v>
      </c>
      <c r="K5223">
        <v>0.116560802414759</v>
      </c>
      <c r="L5223">
        <v>14295.1275041508</v>
      </c>
      <c r="M5223">
        <v>250</v>
      </c>
      <c r="N5223">
        <v>57.398091977786699</v>
      </c>
      <c r="O5223">
        <v>57.176850868803299</v>
      </c>
      <c r="P5223">
        <v>-0.75839356633599897</v>
      </c>
      <c r="Q5223">
        <v>0.306199107647466</v>
      </c>
      <c r="R5223">
        <v>0.85729773383730701</v>
      </c>
      <c r="S5223" t="s">
        <v>10806</v>
      </c>
      <c r="T5223" t="s">
        <v>11164</v>
      </c>
      <c r="U5223" t="s">
        <v>11164</v>
      </c>
      <c r="V5223" t="s">
        <v>11164</v>
      </c>
      <c r="W5223" t="s">
        <v>16341</v>
      </c>
      <c r="X5223">
        <v>2</v>
      </c>
      <c r="Y5223" t="s">
        <v>21805</v>
      </c>
      <c r="Z5223" t="s">
        <v>27373</v>
      </c>
      <c r="AA5223">
        <v>0.77297725978329512</v>
      </c>
      <c r="AB5223" t="str">
        <f>HYPERLINK("Melting_Curves/meltCurve_Q9UDR5_AASS.pdf", "Melting_Curves/meltCurve_Q9UDR5_AASS.pdf")</f>
        <v>Melting_Curves/meltCurve_Q9UDR5_AASS.pdf</v>
      </c>
    </row>
    <row r="5224" spans="1:28" x14ac:dyDescent="0.25">
      <c r="A5224" t="s">
        <v>5228</v>
      </c>
      <c r="B5224">
        <v>0.99796759195183404</v>
      </c>
      <c r="C5224">
        <v>0.99137109919913202</v>
      </c>
      <c r="D5224">
        <v>0.96913882516475902</v>
      </c>
      <c r="E5224">
        <v>0.94303716385729497</v>
      </c>
      <c r="F5224">
        <v>0.85424783855398201</v>
      </c>
      <c r="G5224">
        <v>0.68196076341657796</v>
      </c>
      <c r="H5224">
        <v>0.70204687606848504</v>
      </c>
      <c r="I5224">
        <v>0.63364424583454604</v>
      </c>
      <c r="J5224">
        <v>0.786600853849453</v>
      </c>
      <c r="K5224">
        <v>0.67573453240630499</v>
      </c>
      <c r="L5224">
        <v>1585.6720617598701</v>
      </c>
      <c r="M5224">
        <v>31.778158591381501</v>
      </c>
      <c r="O5224">
        <v>49.701836094453597</v>
      </c>
      <c r="P5224">
        <v>-4.92580212699903E-2</v>
      </c>
      <c r="Q5224">
        <v>0.69183856366645002</v>
      </c>
      <c r="R5224">
        <v>0.91350280003070194</v>
      </c>
      <c r="S5224" t="s">
        <v>10807</v>
      </c>
      <c r="T5224" t="s">
        <v>11164</v>
      </c>
      <c r="U5224" t="s">
        <v>11164</v>
      </c>
      <c r="V5224" t="s">
        <v>11164</v>
      </c>
      <c r="W5224" t="s">
        <v>16342</v>
      </c>
      <c r="X5224">
        <v>8</v>
      </c>
      <c r="Y5224" t="s">
        <v>21806</v>
      </c>
      <c r="Z5224" t="s">
        <v>27374</v>
      </c>
      <c r="AA5224">
        <v>0.82601316133074476</v>
      </c>
      <c r="AB5224" t="str">
        <f>HYPERLINK("Melting_Curves/meltCurve_Q9UDX5_MTFP1.pdf", "Melting_Curves/meltCurve_Q9UDX5_MTFP1.pdf")</f>
        <v>Melting_Curves/meltCurve_Q9UDX5_MTFP1.pdf</v>
      </c>
    </row>
    <row r="5225" spans="1:28" x14ac:dyDescent="0.25">
      <c r="A5225" t="s">
        <v>5229</v>
      </c>
      <c r="B5225">
        <v>0.99796759195183404</v>
      </c>
      <c r="C5225">
        <v>1.0442485508069099</v>
      </c>
      <c r="D5225">
        <v>1.05898482681274</v>
      </c>
      <c r="E5225">
        <v>1.0103903716413301</v>
      </c>
      <c r="F5225">
        <v>0.70051259494378404</v>
      </c>
      <c r="G5225">
        <v>0.22140362535295799</v>
      </c>
      <c r="H5225">
        <v>0.189436937278013</v>
      </c>
      <c r="I5225">
        <v>0.147268430457206</v>
      </c>
      <c r="J5225">
        <v>0.11126345957089501</v>
      </c>
      <c r="K5225">
        <v>7.9300162082904996E-2</v>
      </c>
      <c r="L5225">
        <v>2060.0975040267799</v>
      </c>
      <c r="M5225">
        <v>40.3698857538539</v>
      </c>
      <c r="N5225">
        <v>51.406804350642197</v>
      </c>
      <c r="O5225">
        <v>50.905809034815697</v>
      </c>
      <c r="P5225">
        <v>-0.17290001612203301</v>
      </c>
      <c r="Q5225">
        <v>0.12790458694866799</v>
      </c>
      <c r="R5225">
        <v>0.99314447743686496</v>
      </c>
      <c r="S5225" t="s">
        <v>10808</v>
      </c>
      <c r="T5225" t="s">
        <v>11164</v>
      </c>
      <c r="U5225" t="s">
        <v>11164</v>
      </c>
      <c r="V5225" t="s">
        <v>11164</v>
      </c>
      <c r="W5225" t="s">
        <v>16343</v>
      </c>
      <c r="X5225">
        <v>14</v>
      </c>
      <c r="Y5225" t="s">
        <v>21807</v>
      </c>
      <c r="Z5225" t="s">
        <v>27375</v>
      </c>
      <c r="AA5225">
        <v>0.53878653381594122</v>
      </c>
      <c r="AB5225" t="str">
        <f>HYPERLINK("Melting_Curves/meltCurve_Q9UDY2_3_TJP2.pdf", "Melting_Curves/meltCurve_Q9UDY2_3_TJP2.pdf")</f>
        <v>Melting_Curves/meltCurve_Q9UDY2_3_TJP2.pdf</v>
      </c>
    </row>
    <row r="5226" spans="1:28" x14ac:dyDescent="0.25">
      <c r="A5226" t="s">
        <v>5230</v>
      </c>
      <c r="B5226">
        <v>0.99796759195183404</v>
      </c>
      <c r="C5226">
        <v>1.0109350237071399</v>
      </c>
      <c r="D5226">
        <v>1.0135678557136401</v>
      </c>
      <c r="E5226">
        <v>0.81970032275188698</v>
      </c>
      <c r="F5226">
        <v>0.46316010874724001</v>
      </c>
      <c r="G5226">
        <v>0.26116653230407499</v>
      </c>
      <c r="H5226">
        <v>9.6111281773090404E-2</v>
      </c>
      <c r="I5226">
        <v>7.4589089674534606E-2</v>
      </c>
      <c r="J5226">
        <v>7.5800736407988498E-2</v>
      </c>
      <c r="K5226">
        <v>5.5138192694288601E-2</v>
      </c>
      <c r="L5226">
        <v>1054.41742146257</v>
      </c>
      <c r="M5226">
        <v>21.181895197590801</v>
      </c>
      <c r="N5226">
        <v>50.0816525540613</v>
      </c>
      <c r="O5226">
        <v>49.3418773816406</v>
      </c>
      <c r="P5226">
        <v>-0.100880880951266</v>
      </c>
      <c r="Q5226">
        <v>6.0042048911039703E-2</v>
      </c>
      <c r="R5226">
        <v>0.99690619682625403</v>
      </c>
      <c r="S5226" t="s">
        <v>10809</v>
      </c>
      <c r="T5226" t="s">
        <v>11164</v>
      </c>
      <c r="U5226" t="s">
        <v>11164</v>
      </c>
      <c r="V5226" t="s">
        <v>11164</v>
      </c>
      <c r="W5226" t="s">
        <v>16344</v>
      </c>
      <c r="X5226">
        <v>3</v>
      </c>
      <c r="Y5226" t="s">
        <v>21808</v>
      </c>
      <c r="Z5226" t="s">
        <v>27376</v>
      </c>
      <c r="AA5226">
        <v>0.47161304926791919</v>
      </c>
      <c r="AB5226" t="str">
        <f>HYPERLINK("Melting_Curves/meltCurve_Q9UDY4_DNAJB4.pdf", "Melting_Curves/meltCurve_Q9UDY4_DNAJB4.pdf")</f>
        <v>Melting_Curves/meltCurve_Q9UDY4_DNAJB4.pdf</v>
      </c>
    </row>
    <row r="5227" spans="1:28" x14ac:dyDescent="0.25">
      <c r="A5227" t="s">
        <v>5231</v>
      </c>
      <c r="B5227">
        <v>0.99796759195183404</v>
      </c>
      <c r="C5227">
        <v>1.01415878329007</v>
      </c>
      <c r="D5227">
        <v>0.91347418141530601</v>
      </c>
      <c r="E5227">
        <v>0.88326944214450898</v>
      </c>
      <c r="F5227">
        <v>0.75119309707170001</v>
      </c>
      <c r="G5227">
        <v>0.24121407266167899</v>
      </c>
      <c r="H5227">
        <v>0.19552689890966801</v>
      </c>
      <c r="I5227">
        <v>0.101559212714786</v>
      </c>
      <c r="J5227">
        <v>0.113453519675455</v>
      </c>
      <c r="K5227">
        <v>0.132560127852801</v>
      </c>
      <c r="L5227">
        <v>1679.4370186460601</v>
      </c>
      <c r="M5227">
        <v>32.716455432744901</v>
      </c>
      <c r="N5227">
        <v>51.771393999468799</v>
      </c>
      <c r="O5227">
        <v>51.142450927142697</v>
      </c>
      <c r="P5227">
        <v>-0.14058288615939499</v>
      </c>
      <c r="Q5227">
        <v>0.12096587908489199</v>
      </c>
      <c r="R5227">
        <v>0.98599883240701303</v>
      </c>
      <c r="S5227" t="s">
        <v>10810</v>
      </c>
      <c r="T5227" t="s">
        <v>11164</v>
      </c>
      <c r="U5227" t="s">
        <v>11164</v>
      </c>
      <c r="V5227" t="s">
        <v>11164</v>
      </c>
      <c r="W5227" t="s">
        <v>16345</v>
      </c>
      <c r="X5227">
        <v>5</v>
      </c>
      <c r="Y5227" t="s">
        <v>21809</v>
      </c>
      <c r="Z5227" t="s">
        <v>27377</v>
      </c>
      <c r="AA5227">
        <v>0.54558592566006292</v>
      </c>
      <c r="AB5227" t="str">
        <f>HYPERLINK("Melting_Curves/meltCurve_Q9UDY8_2_MALT1.pdf", "Melting_Curves/meltCurve_Q9UDY8_2_MALT1.pdf")</f>
        <v>Melting_Curves/meltCurve_Q9UDY8_2_MALT1.pdf</v>
      </c>
    </row>
    <row r="5228" spans="1:28" x14ac:dyDescent="0.25">
      <c r="A5228" t="s">
        <v>5232</v>
      </c>
      <c r="B5228">
        <v>0.99796759195183404</v>
      </c>
      <c r="C5228">
        <v>1.1055024447124799</v>
      </c>
      <c r="D5228">
        <v>1.0241545490845301</v>
      </c>
      <c r="E5228">
        <v>0.99600408414688402</v>
      </c>
      <c r="F5228">
        <v>0.94411458720091801</v>
      </c>
      <c r="G5228">
        <v>0.74040813687427898</v>
      </c>
      <c r="H5228">
        <v>0.75908002030549504</v>
      </c>
      <c r="I5228">
        <v>0.74919633018639298</v>
      </c>
      <c r="J5228">
        <v>1.0433398302740799</v>
      </c>
      <c r="K5228">
        <v>0.96798043317562599</v>
      </c>
      <c r="L5228">
        <v>12575.085867527599</v>
      </c>
      <c r="M5228">
        <v>250</v>
      </c>
      <c r="O5228">
        <v>50.297124554210498</v>
      </c>
      <c r="P5228">
        <v>-0.18390595008070201</v>
      </c>
      <c r="Q5228">
        <v>0.85200095245288898</v>
      </c>
      <c r="R5228">
        <v>0.41919702463115399</v>
      </c>
      <c r="S5228" t="s">
        <v>10811</v>
      </c>
      <c r="T5228" t="s">
        <v>11164</v>
      </c>
      <c r="U5228" t="s">
        <v>11164</v>
      </c>
      <c r="V5228" t="s">
        <v>11164</v>
      </c>
      <c r="W5228" t="s">
        <v>16346</v>
      </c>
      <c r="X5228">
        <v>16</v>
      </c>
      <c r="Y5228" t="s">
        <v>21810</v>
      </c>
      <c r="Z5228" t="s">
        <v>27378</v>
      </c>
      <c r="AA5228">
        <v>0.91762862278502066</v>
      </c>
      <c r="AB5228" t="str">
        <f>HYPERLINK("Melting_Curves/meltCurve_Q9UEE9_CFDP1.pdf", "Melting_Curves/meltCurve_Q9UEE9_CFDP1.pdf")</f>
        <v>Melting_Curves/meltCurve_Q9UEE9_CFDP1.pdf</v>
      </c>
    </row>
    <row r="5229" spans="1:28" x14ac:dyDescent="0.25">
      <c r="A5229" t="s">
        <v>5233</v>
      </c>
      <c r="B5229">
        <v>0.99796759195183404</v>
      </c>
      <c r="C5229">
        <v>0.974190736002709</v>
      </c>
      <c r="D5229">
        <v>0.92717736591570599</v>
      </c>
      <c r="E5229">
        <v>1.0245418962184001</v>
      </c>
      <c r="F5229">
        <v>0.88833189617906705</v>
      </c>
      <c r="G5229">
        <v>0.71839410879897603</v>
      </c>
      <c r="H5229">
        <v>0.51584527831474603</v>
      </c>
      <c r="I5229">
        <v>0.37634837558721901</v>
      </c>
      <c r="J5229">
        <v>0.33258661352825197</v>
      </c>
      <c r="K5229">
        <v>0.22328073070357299</v>
      </c>
      <c r="L5229">
        <v>881.92486557326299</v>
      </c>
      <c r="M5229">
        <v>15.7355392620407</v>
      </c>
      <c r="N5229">
        <v>57.897678063195798</v>
      </c>
      <c r="O5229">
        <v>55.1649213091493</v>
      </c>
      <c r="P5229">
        <v>-5.7220531468405701E-2</v>
      </c>
      <c r="Q5229">
        <v>0.19766287980692501</v>
      </c>
      <c r="R5229">
        <v>0.98755496363802697</v>
      </c>
      <c r="S5229" t="s">
        <v>10812</v>
      </c>
      <c r="T5229" t="s">
        <v>11164</v>
      </c>
      <c r="U5229" t="s">
        <v>11164</v>
      </c>
      <c r="V5229" t="s">
        <v>11164</v>
      </c>
      <c r="W5229" t="s">
        <v>16347</v>
      </c>
      <c r="X5229">
        <v>4</v>
      </c>
      <c r="Y5229" t="s">
        <v>21811</v>
      </c>
      <c r="Z5229" t="s">
        <v>27379</v>
      </c>
      <c r="AA5229">
        <v>0.71617255961074966</v>
      </c>
      <c r="AB5229" t="str">
        <f>HYPERLINK("Melting_Curves/meltCurve_Q9UEG4_ZNF629.pdf", "Melting_Curves/meltCurve_Q9UEG4_ZNF629.pdf")</f>
        <v>Melting_Curves/meltCurve_Q9UEG4_ZNF629.pdf</v>
      </c>
    </row>
    <row r="5230" spans="1:28" x14ac:dyDescent="0.25">
      <c r="A5230" t="s">
        <v>5234</v>
      </c>
      <c r="B5230">
        <v>0.99796759195183404</v>
      </c>
      <c r="C5230">
        <v>0.95766378116928097</v>
      </c>
      <c r="D5230">
        <v>0.83964401712037295</v>
      </c>
      <c r="E5230">
        <v>0.86132069953550505</v>
      </c>
      <c r="F5230">
        <v>0.81518749222505305</v>
      </c>
      <c r="G5230">
        <v>0.55351605378392799</v>
      </c>
      <c r="H5230">
        <v>0.47274238210665098</v>
      </c>
      <c r="I5230">
        <v>0.35498914298898998</v>
      </c>
      <c r="J5230">
        <v>0.25685544944772798</v>
      </c>
      <c r="K5230">
        <v>0.32400683775519201</v>
      </c>
      <c r="L5230">
        <v>503.77721465413703</v>
      </c>
      <c r="M5230">
        <v>9.2520740183846808</v>
      </c>
      <c r="N5230">
        <v>56.415393326515698</v>
      </c>
      <c r="O5230">
        <v>52.087748020449297</v>
      </c>
      <c r="P5230">
        <v>-3.8313997541416803E-2</v>
      </c>
      <c r="Q5230">
        <v>0.13775637588827799</v>
      </c>
      <c r="R5230">
        <v>0.96612821860678599</v>
      </c>
      <c r="S5230" t="s">
        <v>10813</v>
      </c>
      <c r="T5230" t="s">
        <v>11164</v>
      </c>
      <c r="U5230" t="s">
        <v>11164</v>
      </c>
      <c r="V5230" t="s">
        <v>11164</v>
      </c>
      <c r="W5230" t="s">
        <v>16348</v>
      </c>
      <c r="X5230">
        <v>3</v>
      </c>
      <c r="Y5230" t="s">
        <v>18273</v>
      </c>
      <c r="Z5230" t="s">
        <v>27380</v>
      </c>
      <c r="AA5230">
        <v>0.65151004700880555</v>
      </c>
      <c r="AB5230" t="str">
        <f>HYPERLINK("Melting_Curves/meltCurve_Q9UEL6_MPZL1.pdf", "Melting_Curves/meltCurve_Q9UEL6_MPZL1.pdf")</f>
        <v>Melting_Curves/meltCurve_Q9UEL6_MPZL1.pdf</v>
      </c>
    </row>
    <row r="5231" spans="1:28" x14ac:dyDescent="0.25">
      <c r="A5231" t="s">
        <v>5235</v>
      </c>
      <c r="B5231">
        <v>0.99796759195183404</v>
      </c>
      <c r="C5231">
        <v>1.0092524991340099</v>
      </c>
      <c r="D5231">
        <v>1.0112552034994799</v>
      </c>
      <c r="E5231">
        <v>1.0155303033152201</v>
      </c>
      <c r="F5231">
        <v>0.71871532617209399</v>
      </c>
      <c r="G5231">
        <v>0.41829647202108899</v>
      </c>
      <c r="H5231">
        <v>0.29475722036377699</v>
      </c>
      <c r="I5231">
        <v>0.23962211009814499</v>
      </c>
      <c r="J5231">
        <v>0.199752575790762</v>
      </c>
      <c r="K5231">
        <v>0.176737279155425</v>
      </c>
      <c r="L5231">
        <v>1313.92391743646</v>
      </c>
      <c r="M5231">
        <v>25.423019068844699</v>
      </c>
      <c r="N5231">
        <v>52.778933809326702</v>
      </c>
      <c r="O5231">
        <v>51.365859403158503</v>
      </c>
      <c r="P5231">
        <v>-9.8350834240304996E-2</v>
      </c>
      <c r="Q5231">
        <v>0.20515946551502201</v>
      </c>
      <c r="R5231">
        <v>0.99427676682384203</v>
      </c>
      <c r="S5231" t="s">
        <v>10814</v>
      </c>
      <c r="T5231" t="s">
        <v>11164</v>
      </c>
      <c r="U5231" t="s">
        <v>11164</v>
      </c>
      <c r="V5231" t="s">
        <v>11164</v>
      </c>
      <c r="W5231" t="s">
        <v>16349</v>
      </c>
      <c r="X5231">
        <v>8</v>
      </c>
      <c r="Y5231" t="s">
        <v>21812</v>
      </c>
      <c r="Z5231" t="s">
        <v>27381</v>
      </c>
      <c r="AA5231">
        <v>0.60099095625155075</v>
      </c>
      <c r="AB5231" t="str">
        <f>HYPERLINK("Melting_Curves/meltCurve_Q9UER7_3_DAXX.pdf", "Melting_Curves/meltCurve_Q9UER7_3_DAXX.pdf")</f>
        <v>Melting_Curves/meltCurve_Q9UER7_3_DAXX.pdf</v>
      </c>
    </row>
    <row r="5232" spans="1:28" x14ac:dyDescent="0.25">
      <c r="A5232" t="s">
        <v>5236</v>
      </c>
      <c r="B5232">
        <v>0.99796759195183404</v>
      </c>
      <c r="C5232">
        <v>1.1286471986161499</v>
      </c>
      <c r="D5232">
        <v>1.0805669499259301</v>
      </c>
      <c r="E5232">
        <v>1.0338627708549599</v>
      </c>
      <c r="F5232">
        <v>0.84330993990647296</v>
      </c>
      <c r="G5232">
        <v>0.717972202909405</v>
      </c>
      <c r="H5232">
        <v>0.24233325719377799</v>
      </c>
      <c r="I5232">
        <v>0.20657365472207601</v>
      </c>
      <c r="J5232">
        <v>0.165383853188181</v>
      </c>
      <c r="K5232">
        <v>0.10359218727062</v>
      </c>
      <c r="L5232">
        <v>1549.29275619534</v>
      </c>
      <c r="M5232">
        <v>28.353474442804501</v>
      </c>
      <c r="N5232">
        <v>55.210241311684399</v>
      </c>
      <c r="O5232">
        <v>54.372433130316203</v>
      </c>
      <c r="P5232">
        <v>-0.11387162992557499</v>
      </c>
      <c r="Q5232">
        <v>0.12653709368661301</v>
      </c>
      <c r="R5232">
        <v>0.97335014413515997</v>
      </c>
      <c r="S5232" t="s">
        <v>10815</v>
      </c>
      <c r="T5232" t="s">
        <v>11164</v>
      </c>
      <c r="U5232" t="s">
        <v>11164</v>
      </c>
      <c r="V5232" t="s">
        <v>11164</v>
      </c>
      <c r="W5232" t="s">
        <v>16350</v>
      </c>
      <c r="X5232">
        <v>2</v>
      </c>
      <c r="Y5232" t="s">
        <v>21813</v>
      </c>
      <c r="Z5232" t="s">
        <v>27382</v>
      </c>
      <c r="AA5232">
        <v>0.64632515356708953</v>
      </c>
      <c r="AB5232" t="str">
        <f>HYPERLINK("Melting_Curves/meltCurve_Q9UET6_2_FTSJ1.pdf", "Melting_Curves/meltCurve_Q9UET6_2_FTSJ1.pdf")</f>
        <v>Melting_Curves/meltCurve_Q9UET6_2_FTSJ1.pdf</v>
      </c>
    </row>
    <row r="5233" spans="1:28" x14ac:dyDescent="0.25">
      <c r="A5233" t="s">
        <v>5237</v>
      </c>
      <c r="B5233">
        <v>0.99796759195183404</v>
      </c>
      <c r="C5233">
        <v>0.99190070736843805</v>
      </c>
      <c r="D5233">
        <v>0.98228611615568295</v>
      </c>
      <c r="E5233">
        <v>0.94306208894365895</v>
      </c>
      <c r="F5233">
        <v>0.83229292558131696</v>
      </c>
      <c r="G5233">
        <v>0.54289348209828903</v>
      </c>
      <c r="H5233">
        <v>0.53348828011881799</v>
      </c>
      <c r="I5233">
        <v>0.46080541240094802</v>
      </c>
      <c r="J5233">
        <v>0.48049381389856899</v>
      </c>
      <c r="K5233">
        <v>0.404152958872813</v>
      </c>
      <c r="L5233">
        <v>1340.0271821504</v>
      </c>
      <c r="M5233">
        <v>26.0774290289026</v>
      </c>
      <c r="N5233">
        <v>56.445745344450799</v>
      </c>
      <c r="O5233">
        <v>51.087147127850699</v>
      </c>
      <c r="P5233">
        <v>-6.9969708822018001E-2</v>
      </c>
      <c r="Q5233">
        <v>0.45170788802470502</v>
      </c>
      <c r="R5233">
        <v>0.98565798999840804</v>
      </c>
      <c r="S5233" t="s">
        <v>10816</v>
      </c>
      <c r="T5233" t="s">
        <v>11164</v>
      </c>
      <c r="U5233" t="s">
        <v>11164</v>
      </c>
      <c r="V5233" t="s">
        <v>11164</v>
      </c>
      <c r="W5233" t="s">
        <v>16351</v>
      </c>
      <c r="X5233">
        <v>10</v>
      </c>
      <c r="Y5233" t="s">
        <v>21814</v>
      </c>
      <c r="Z5233" t="s">
        <v>27383</v>
      </c>
      <c r="AA5233">
        <v>0.7191250026298277</v>
      </c>
      <c r="AB5233" t="str">
        <f>HYPERLINK("Melting_Curves/meltCurve_Q9UEU0_VTI1B.pdf", "Melting_Curves/meltCurve_Q9UEU0_VTI1B.pdf")</f>
        <v>Melting_Curves/meltCurve_Q9UEU0_VTI1B.pdf</v>
      </c>
    </row>
    <row r="5234" spans="1:28" x14ac:dyDescent="0.25">
      <c r="A5234" t="s">
        <v>5238</v>
      </c>
      <c r="B5234">
        <v>0.99796759195183404</v>
      </c>
      <c r="C5234">
        <v>0.94325941087617704</v>
      </c>
      <c r="D5234">
        <v>1.00005165646496</v>
      </c>
      <c r="E5234">
        <v>0.90933836755217801</v>
      </c>
      <c r="F5234">
        <v>0.72386545920828005</v>
      </c>
      <c r="G5234">
        <v>0.65345773294931098</v>
      </c>
      <c r="H5234">
        <v>0.51460438524277496</v>
      </c>
      <c r="I5234">
        <v>0.27884877887361698</v>
      </c>
      <c r="J5234">
        <v>0.20550035769194</v>
      </c>
      <c r="K5234">
        <v>5.9639852831183698E-2</v>
      </c>
      <c r="L5234">
        <v>643.79327246149398</v>
      </c>
      <c r="M5234">
        <v>11.4398534872546</v>
      </c>
      <c r="N5234">
        <v>56.276356484836903</v>
      </c>
      <c r="O5234">
        <v>54.639073377170398</v>
      </c>
      <c r="P5234">
        <v>-5.2358004482463097E-2</v>
      </c>
      <c r="Q5234">
        <v>0</v>
      </c>
      <c r="R5234">
        <v>0.98107312554437898</v>
      </c>
      <c r="S5234" t="s">
        <v>10817</v>
      </c>
      <c r="T5234" t="s">
        <v>11164</v>
      </c>
      <c r="U5234" t="s">
        <v>11164</v>
      </c>
      <c r="V5234" t="s">
        <v>11164</v>
      </c>
      <c r="W5234" t="s">
        <v>16352</v>
      </c>
      <c r="X5234">
        <v>3</v>
      </c>
      <c r="Y5234" t="s">
        <v>21815</v>
      </c>
      <c r="Z5234" t="s">
        <v>27384</v>
      </c>
      <c r="AA5234">
        <v>0.65011631418911153</v>
      </c>
      <c r="AB5234" t="str">
        <f>HYPERLINK("Melting_Curves/meltCurve_Q9UEW8_STK39.pdf", "Melting_Curves/meltCurve_Q9UEW8_STK39.pdf")</f>
        <v>Melting_Curves/meltCurve_Q9UEW8_STK39.pdf</v>
      </c>
    </row>
    <row r="5235" spans="1:28" x14ac:dyDescent="0.25">
      <c r="A5235" t="s">
        <v>5239</v>
      </c>
      <c r="B5235">
        <v>0.99796759195183404</v>
      </c>
      <c r="C5235">
        <v>1.0586460777233699</v>
      </c>
      <c r="D5235">
        <v>1.0061875292387401</v>
      </c>
      <c r="E5235">
        <v>0.96907531306200101</v>
      </c>
      <c r="F5235">
        <v>0.848521467898812</v>
      </c>
      <c r="G5235">
        <v>0.80081120915265402</v>
      </c>
      <c r="H5235">
        <v>0.68508998702200796</v>
      </c>
      <c r="I5235">
        <v>0.48677856582495499</v>
      </c>
      <c r="J5235">
        <v>0.40100954705709402</v>
      </c>
      <c r="K5235">
        <v>0.28469063902359798</v>
      </c>
      <c r="L5235">
        <v>609.51426511561897</v>
      </c>
      <c r="M5235">
        <v>9.96818605385808</v>
      </c>
      <c r="N5235">
        <v>61.145978866755698</v>
      </c>
      <c r="O5235">
        <v>58.837825039922002</v>
      </c>
      <c r="P5235">
        <v>-4.2375343064475698E-2</v>
      </c>
      <c r="Q5235">
        <v>0</v>
      </c>
      <c r="R5235">
        <v>0.98772738935623905</v>
      </c>
      <c r="S5235" t="s">
        <v>10818</v>
      </c>
      <c r="T5235" t="s">
        <v>11164</v>
      </c>
      <c r="U5235" t="s">
        <v>11164</v>
      </c>
      <c r="V5235" t="s">
        <v>11164</v>
      </c>
      <c r="W5235" t="s">
        <v>16353</v>
      </c>
      <c r="X5235">
        <v>12</v>
      </c>
      <c r="Y5235" t="s">
        <v>21816</v>
      </c>
      <c r="Z5235" t="s">
        <v>27385</v>
      </c>
      <c r="AA5235">
        <v>0.76535756633690855</v>
      </c>
      <c r="AB5235" t="str">
        <f>HYPERLINK("Melting_Curves/meltCurve_Q9UEY8_2_ADD3.pdf", "Melting_Curves/meltCurve_Q9UEY8_2_ADD3.pdf")</f>
        <v>Melting_Curves/meltCurve_Q9UEY8_2_ADD3.pdf</v>
      </c>
    </row>
    <row r="5236" spans="1:28" x14ac:dyDescent="0.25">
      <c r="A5236" t="s">
        <v>5240</v>
      </c>
      <c r="B5236">
        <v>0.99796759195183404</v>
      </c>
      <c r="C5236">
        <v>0.784442270774515</v>
      </c>
      <c r="D5236">
        <v>0.81747958142105204</v>
      </c>
      <c r="E5236">
        <v>0.68651365322990998</v>
      </c>
      <c r="F5236">
        <v>0.84926801395506801</v>
      </c>
      <c r="G5236">
        <v>0.41244715105292501</v>
      </c>
      <c r="H5236">
        <v>0.27519297707018398</v>
      </c>
      <c r="I5236">
        <v>0.233301688910871</v>
      </c>
      <c r="J5236">
        <v>0.23565914801310101</v>
      </c>
      <c r="K5236">
        <v>0.111699189018457</v>
      </c>
      <c r="L5236">
        <v>422.22761010993003</v>
      </c>
      <c r="M5236">
        <v>7.9877443118375</v>
      </c>
      <c r="N5236">
        <v>52.859429844337697</v>
      </c>
      <c r="O5236">
        <v>49.8548997790149</v>
      </c>
      <c r="P5236">
        <v>-4.0100539974347198E-2</v>
      </c>
      <c r="Q5236">
        <v>0</v>
      </c>
      <c r="R5236">
        <v>0.89179592243604799</v>
      </c>
      <c r="S5236" t="s">
        <v>10819</v>
      </c>
      <c r="T5236" t="s">
        <v>11164</v>
      </c>
      <c r="U5236" t="s">
        <v>11164</v>
      </c>
      <c r="V5236" t="s">
        <v>11164</v>
      </c>
      <c r="W5236" t="s">
        <v>16354</v>
      </c>
      <c r="X5236">
        <v>3</v>
      </c>
      <c r="Y5236" t="s">
        <v>21817</v>
      </c>
      <c r="Z5236" t="s">
        <v>27386</v>
      </c>
      <c r="AA5236">
        <v>0.55144953633282856</v>
      </c>
      <c r="AB5236" t="str">
        <f>HYPERLINK("Melting_Curves/meltCurve_Q9UFC0_LRWD1.pdf", "Melting_Curves/meltCurve_Q9UFC0_LRWD1.pdf")</f>
        <v>Melting_Curves/meltCurve_Q9UFC0_LRWD1.pdf</v>
      </c>
    </row>
    <row r="5237" spans="1:28" x14ac:dyDescent="0.25">
      <c r="A5237" t="s">
        <v>5241</v>
      </c>
      <c r="B5237">
        <v>0.99796759195183404</v>
      </c>
      <c r="C5237">
        <v>1.0038094703573399</v>
      </c>
      <c r="D5237">
        <v>0.97368457789839302</v>
      </c>
      <c r="E5237">
        <v>0.94872376983645401</v>
      </c>
      <c r="F5237">
        <v>0.76052423268923897</v>
      </c>
      <c r="G5237">
        <v>0.74607237510356905</v>
      </c>
      <c r="H5237">
        <v>0.780975285165463</v>
      </c>
      <c r="I5237">
        <v>0.77191384589759005</v>
      </c>
      <c r="J5237">
        <v>1.0939014183495199</v>
      </c>
      <c r="K5237">
        <v>1.3293074236111899</v>
      </c>
      <c r="L5237">
        <v>15000</v>
      </c>
      <c r="M5237">
        <v>233.09010761659101</v>
      </c>
      <c r="O5237">
        <v>64.348057845418197</v>
      </c>
      <c r="P5237">
        <v>0.29824537428954701</v>
      </c>
      <c r="Q5237">
        <v>1.32934062869029</v>
      </c>
      <c r="R5237">
        <v>0.26715253127386801</v>
      </c>
      <c r="S5237" t="s">
        <v>10820</v>
      </c>
      <c r="T5237" t="s">
        <v>11164</v>
      </c>
      <c r="U5237" t="s">
        <v>11164</v>
      </c>
      <c r="V5237" t="s">
        <v>11164</v>
      </c>
      <c r="W5237" t="s">
        <v>16355</v>
      </c>
      <c r="X5237">
        <v>5</v>
      </c>
      <c r="Y5237" t="s">
        <v>21818</v>
      </c>
      <c r="Z5237" t="s">
        <v>27387</v>
      </c>
      <c r="AA5237">
        <v>1.029018610526236</v>
      </c>
      <c r="AB5237" t="str">
        <f>HYPERLINK("Melting_Curves/meltCurve_Q9UFG5_C19orf25.pdf", "Melting_Curves/meltCurve_Q9UFG5_C19orf25.pdf")</f>
        <v>Melting_Curves/meltCurve_Q9UFG5_C19orf25.pdf</v>
      </c>
    </row>
    <row r="5238" spans="1:28" x14ac:dyDescent="0.25">
      <c r="A5238" t="s">
        <v>5242</v>
      </c>
      <c r="B5238">
        <v>0.99796759195183404</v>
      </c>
      <c r="C5238">
        <v>1.07181986277162</v>
      </c>
      <c r="D5238">
        <v>1.02963877042118</v>
      </c>
      <c r="E5238">
        <v>0.990482237464963</v>
      </c>
      <c r="F5238">
        <v>0.89862037879979395</v>
      </c>
      <c r="G5238">
        <v>0.51768684117998898</v>
      </c>
      <c r="H5238">
        <v>0.34493489276071498</v>
      </c>
      <c r="I5238">
        <v>0.20378438948261801</v>
      </c>
      <c r="J5238">
        <v>0.22803185424596401</v>
      </c>
      <c r="K5238">
        <v>0.13445983359372499</v>
      </c>
      <c r="L5238">
        <v>1366.72517551701</v>
      </c>
      <c r="M5238">
        <v>25.564808776652001</v>
      </c>
      <c r="N5238">
        <v>54.407577320923799</v>
      </c>
      <c r="O5238">
        <v>53.137271965166697</v>
      </c>
      <c r="P5238">
        <v>-9.8689927690478393E-2</v>
      </c>
      <c r="Q5238">
        <v>0.179489118725117</v>
      </c>
      <c r="R5238">
        <v>0.98941828650211905</v>
      </c>
      <c r="S5238" t="s">
        <v>10821</v>
      </c>
      <c r="T5238" t="s">
        <v>11164</v>
      </c>
      <c r="U5238" t="s">
        <v>11164</v>
      </c>
      <c r="V5238" t="s">
        <v>11164</v>
      </c>
      <c r="W5238" t="s">
        <v>16356</v>
      </c>
      <c r="X5238">
        <v>5</v>
      </c>
      <c r="Y5238" t="s">
        <v>21819</v>
      </c>
      <c r="Z5238" t="s">
        <v>27388</v>
      </c>
      <c r="AA5238">
        <v>0.63666226818053551</v>
      </c>
      <c r="AB5238" t="str">
        <f>HYPERLINK("Melting_Curves/meltCurve_Q9UFW8_CGGBP1.pdf", "Melting_Curves/meltCurve_Q9UFW8_CGGBP1.pdf")</f>
        <v>Melting_Curves/meltCurve_Q9UFW8_CGGBP1.pdf</v>
      </c>
    </row>
    <row r="5239" spans="1:28" x14ac:dyDescent="0.25">
      <c r="A5239" t="s">
        <v>5243</v>
      </c>
      <c r="B5239">
        <v>0.99796759195183404</v>
      </c>
      <c r="C5239">
        <v>0.98631644340142899</v>
      </c>
      <c r="D5239">
        <v>0.99297912868626903</v>
      </c>
      <c r="E5239">
        <v>1.12666617607144</v>
      </c>
      <c r="F5239">
        <v>0.80311464532326904</v>
      </c>
      <c r="G5239">
        <v>0.50130122640858199</v>
      </c>
      <c r="H5239">
        <v>0.275535632311597</v>
      </c>
      <c r="I5239">
        <v>0.24262398424392501</v>
      </c>
      <c r="J5239">
        <v>0.18276699938263</v>
      </c>
      <c r="K5239">
        <v>0.167775436522341</v>
      </c>
      <c r="L5239">
        <v>1455.67873006747</v>
      </c>
      <c r="M5239">
        <v>27.566084126198199</v>
      </c>
      <c r="N5239">
        <v>53.7378065473901</v>
      </c>
      <c r="O5239">
        <v>52.531316618030601</v>
      </c>
      <c r="P5239">
        <v>-0.10628389750645099</v>
      </c>
      <c r="Q5239">
        <v>0.18984762041480999</v>
      </c>
      <c r="R5239">
        <v>0.98157017720327799</v>
      </c>
      <c r="S5239" t="s">
        <v>10822</v>
      </c>
      <c r="T5239" t="s">
        <v>11164</v>
      </c>
      <c r="U5239" t="s">
        <v>11164</v>
      </c>
      <c r="V5239" t="s">
        <v>11164</v>
      </c>
      <c r="W5239" t="s">
        <v>16357</v>
      </c>
      <c r="X5239">
        <v>4</v>
      </c>
      <c r="Y5239" t="s">
        <v>21820</v>
      </c>
      <c r="Z5239" t="s">
        <v>27389</v>
      </c>
      <c r="AA5239">
        <v>0.62273680014285726</v>
      </c>
      <c r="AB5239" t="str">
        <f>HYPERLINK("Melting_Curves/meltCurve_Q9UG56_2_PISD.pdf", "Melting_Curves/meltCurve_Q9UG56_2_PISD.pdf")</f>
        <v>Melting_Curves/meltCurve_Q9UG56_2_PISD.pdf</v>
      </c>
    </row>
    <row r="5240" spans="1:28" x14ac:dyDescent="0.25">
      <c r="A5240" t="s">
        <v>5244</v>
      </c>
      <c r="B5240">
        <v>0.99796759195183404</v>
      </c>
      <c r="C5240">
        <v>1.0499044836212099</v>
      </c>
      <c r="D5240">
        <v>1.0084899147942199</v>
      </c>
      <c r="E5240">
        <v>0.90142753920992003</v>
      </c>
      <c r="F5240">
        <v>0.65543192645687398</v>
      </c>
      <c r="G5240">
        <v>0.38937753708275702</v>
      </c>
      <c r="H5240">
        <v>0.24373011892332799</v>
      </c>
      <c r="I5240">
        <v>0.20490888146598699</v>
      </c>
      <c r="J5240">
        <v>0.15422934416095899</v>
      </c>
      <c r="K5240">
        <v>0.11576837028767401</v>
      </c>
      <c r="L5240">
        <v>994.810073311476</v>
      </c>
      <c r="M5240">
        <v>19.356720069061399</v>
      </c>
      <c r="N5240">
        <v>52.252310376502301</v>
      </c>
      <c r="O5240">
        <v>50.854429305195701</v>
      </c>
      <c r="P5240">
        <v>-8.2195558045859596E-2</v>
      </c>
      <c r="Q5240">
        <v>0.136247595877381</v>
      </c>
      <c r="R5240">
        <v>0.99595817760369199</v>
      </c>
      <c r="S5240" t="s">
        <v>10823</v>
      </c>
      <c r="T5240" t="s">
        <v>11164</v>
      </c>
      <c r="U5240" t="s">
        <v>11164</v>
      </c>
      <c r="V5240" t="s">
        <v>11164</v>
      </c>
      <c r="W5240" t="s">
        <v>16358</v>
      </c>
      <c r="X5240">
        <v>5</v>
      </c>
      <c r="Y5240" t="s">
        <v>21821</v>
      </c>
      <c r="Z5240" t="s">
        <v>27390</v>
      </c>
      <c r="AA5240">
        <v>0.56253114638213586</v>
      </c>
      <c r="AB5240" t="str">
        <f>HYPERLINK("Melting_Curves/meltCurve_Q9UG63_ABCF2.pdf", "Melting_Curves/meltCurve_Q9UG63_ABCF2.pdf")</f>
        <v>Melting_Curves/meltCurve_Q9UG63_ABCF2.pdf</v>
      </c>
    </row>
    <row r="5241" spans="1:28" x14ac:dyDescent="0.25">
      <c r="A5241" t="s">
        <v>5245</v>
      </c>
      <c r="B5241">
        <v>0.99796759195183404</v>
      </c>
      <c r="C5241">
        <v>0.94534862402405995</v>
      </c>
      <c r="D5241">
        <v>1.0621997167007899</v>
      </c>
      <c r="E5241">
        <v>0.91867435078846005</v>
      </c>
      <c r="F5241">
        <v>0.83180190134330001</v>
      </c>
      <c r="G5241">
        <v>0.366157754052995</v>
      </c>
      <c r="H5241">
        <v>0.249745059337595</v>
      </c>
      <c r="I5241">
        <v>0.19084069657739999</v>
      </c>
      <c r="J5241">
        <v>0.16225447983633501</v>
      </c>
      <c r="K5241">
        <v>0.19430281898618301</v>
      </c>
      <c r="L5241">
        <v>1752.10607718647</v>
      </c>
      <c r="M5241">
        <v>33.699019978612398</v>
      </c>
      <c r="N5241">
        <v>52.7220963865527</v>
      </c>
      <c r="O5241">
        <v>51.810724310984</v>
      </c>
      <c r="P5241">
        <v>-0.132313926348713</v>
      </c>
      <c r="Q5241">
        <v>0.18629654525185799</v>
      </c>
      <c r="R5241">
        <v>0.98992070288073497</v>
      </c>
      <c r="S5241" t="s">
        <v>10824</v>
      </c>
      <c r="T5241" t="s">
        <v>11164</v>
      </c>
      <c r="U5241" t="s">
        <v>11164</v>
      </c>
      <c r="V5241" t="s">
        <v>11164</v>
      </c>
      <c r="W5241" t="s">
        <v>16359</v>
      </c>
      <c r="X5241">
        <v>3</v>
      </c>
      <c r="Y5241" t="s">
        <v>21822</v>
      </c>
      <c r="Z5241" t="s">
        <v>27391</v>
      </c>
      <c r="AA5241">
        <v>0.59704946633109546</v>
      </c>
      <c r="AB5241" t="str">
        <f>HYPERLINK("Melting_Curves/meltCurve_Q9UGC7_MTRF1L.pdf", "Melting_Curves/meltCurve_Q9UGC7_MTRF1L.pdf")</f>
        <v>Melting_Curves/meltCurve_Q9UGC7_MTRF1L.pdf</v>
      </c>
    </row>
    <row r="5242" spans="1:28" x14ac:dyDescent="0.25">
      <c r="A5242" t="s">
        <v>5246</v>
      </c>
      <c r="B5242">
        <v>0.99796759195183404</v>
      </c>
      <c r="C5242">
        <v>1.01933915965656</v>
      </c>
      <c r="D5242">
        <v>1.0928300566618201</v>
      </c>
      <c r="E5242">
        <v>1.0612736607492099</v>
      </c>
      <c r="F5242">
        <v>0.99347321102979702</v>
      </c>
      <c r="G5242">
        <v>0.79135898254037396</v>
      </c>
      <c r="H5242">
        <v>0.56340088094819496</v>
      </c>
      <c r="I5242">
        <v>0.37372860507057898</v>
      </c>
      <c r="J5242">
        <v>0.31462961427158398</v>
      </c>
      <c r="K5242">
        <v>0.36923949383215199</v>
      </c>
      <c r="L5242">
        <v>1523.20013547893</v>
      </c>
      <c r="M5242">
        <v>27.328195350994001</v>
      </c>
      <c r="N5242">
        <v>58.018364371927099</v>
      </c>
      <c r="O5242">
        <v>55.441419804903902</v>
      </c>
      <c r="P5242">
        <v>-8.2656730918624993E-2</v>
      </c>
      <c r="Q5242">
        <v>0.32925487897154199</v>
      </c>
      <c r="R5242">
        <v>0.98098155555214805</v>
      </c>
      <c r="S5242" t="s">
        <v>10825</v>
      </c>
      <c r="T5242" t="s">
        <v>11164</v>
      </c>
      <c r="U5242" t="s">
        <v>11164</v>
      </c>
      <c r="V5242" t="s">
        <v>11164</v>
      </c>
      <c r="W5242" t="s">
        <v>16360</v>
      </c>
      <c r="X5242">
        <v>41</v>
      </c>
      <c r="Y5242" t="s">
        <v>21823</v>
      </c>
      <c r="Z5242" t="s">
        <v>27392</v>
      </c>
      <c r="AA5242">
        <v>0.75305162274812687</v>
      </c>
      <c r="AB5242" t="str">
        <f>HYPERLINK("Melting_Curves/meltCurve_Q9UGI8_TES.pdf", "Melting_Curves/meltCurve_Q9UGI8_TES.pdf")</f>
        <v>Melting_Curves/meltCurve_Q9UGI8_TES.pdf</v>
      </c>
    </row>
    <row r="5243" spans="1:28" x14ac:dyDescent="0.25">
      <c r="A5243" t="s">
        <v>5247</v>
      </c>
      <c r="B5243">
        <v>0.99796759195183404</v>
      </c>
      <c r="C5243">
        <v>1.0176929752933099</v>
      </c>
      <c r="D5243">
        <v>1.0348935315610199</v>
      </c>
      <c r="E5243">
        <v>0.999691419244635</v>
      </c>
      <c r="F5243">
        <v>0.82722502364117001</v>
      </c>
      <c r="G5243">
        <v>0.65535606884841502</v>
      </c>
      <c r="H5243">
        <v>0.406687733251969</v>
      </c>
      <c r="I5243">
        <v>0.184427771696624</v>
      </c>
      <c r="J5243">
        <v>0.13520505999805699</v>
      </c>
      <c r="K5243">
        <v>0.10001583556801801</v>
      </c>
      <c r="L5243">
        <v>953.74922751450299</v>
      </c>
      <c r="M5243">
        <v>17.195015484205801</v>
      </c>
      <c r="N5243">
        <v>55.775346920083301</v>
      </c>
      <c r="O5243">
        <v>54.732714128316999</v>
      </c>
      <c r="P5243">
        <v>-7.4979918035088994E-2</v>
      </c>
      <c r="Q5243">
        <v>4.53950077208502E-2</v>
      </c>
      <c r="R5243">
        <v>0.995783723953788</v>
      </c>
      <c r="S5243" t="s">
        <v>10826</v>
      </c>
      <c r="T5243" t="s">
        <v>11164</v>
      </c>
      <c r="U5243" t="s">
        <v>11164</v>
      </c>
      <c r="V5243" t="s">
        <v>11164</v>
      </c>
      <c r="W5243" t="s">
        <v>16361</v>
      </c>
      <c r="X5243">
        <v>41</v>
      </c>
      <c r="Y5243" t="s">
        <v>21823</v>
      </c>
      <c r="Z5243" t="s">
        <v>27393</v>
      </c>
      <c r="AA5243">
        <v>0.64471513343233178</v>
      </c>
      <c r="AB5243" t="str">
        <f>HYPERLINK("Melting_Curves/meltCurve_Q9UGI8_2_TES.pdf", "Melting_Curves/meltCurve_Q9UGI8_2_TES.pdf")</f>
        <v>Melting_Curves/meltCurve_Q9UGI8_2_TES.pdf</v>
      </c>
    </row>
    <row r="5244" spans="1:28" x14ac:dyDescent="0.25">
      <c r="A5244" t="s">
        <v>5248</v>
      </c>
      <c r="B5244">
        <v>0.99796759195183404</v>
      </c>
      <c r="C5244">
        <v>0.99673380494767005</v>
      </c>
      <c r="D5244">
        <v>0.96913489941207698</v>
      </c>
      <c r="E5244">
        <v>0.94779582134409301</v>
      </c>
      <c r="F5244">
        <v>0.81820443066047099</v>
      </c>
      <c r="G5244">
        <v>0.57988014574898294</v>
      </c>
      <c r="H5244">
        <v>0.45980031009189198</v>
      </c>
      <c r="I5244">
        <v>0.38553945101651499</v>
      </c>
      <c r="J5244">
        <v>0.346440912022555</v>
      </c>
      <c r="K5244">
        <v>0.27032428599561298</v>
      </c>
      <c r="L5244">
        <v>855.30674356447798</v>
      </c>
      <c r="M5244">
        <v>16.063458196816502</v>
      </c>
      <c r="N5244">
        <v>56.121805058893102</v>
      </c>
      <c r="O5244">
        <v>52.440801271584299</v>
      </c>
      <c r="P5244">
        <v>-5.5102466016729003E-2</v>
      </c>
      <c r="Q5244">
        <v>0.28050501795739202</v>
      </c>
      <c r="R5244">
        <v>0.99509890107305199</v>
      </c>
      <c r="S5244" t="s">
        <v>10827</v>
      </c>
      <c r="T5244" t="s">
        <v>11164</v>
      </c>
      <c r="U5244" t="s">
        <v>11164</v>
      </c>
      <c r="V5244" t="s">
        <v>11164</v>
      </c>
      <c r="W5244" t="s">
        <v>16362</v>
      </c>
      <c r="X5244">
        <v>9</v>
      </c>
      <c r="Y5244" t="s">
        <v>21824</v>
      </c>
      <c r="Z5244" t="s">
        <v>27394</v>
      </c>
      <c r="AA5244">
        <v>0.68188909605247328</v>
      </c>
      <c r="AB5244" t="str">
        <f>HYPERLINK("Melting_Curves/meltCurve_Q9UGP4_LIMD1.pdf", "Melting_Curves/meltCurve_Q9UGP4_LIMD1.pdf")</f>
        <v>Melting_Curves/meltCurve_Q9UGP4_LIMD1.pdf</v>
      </c>
    </row>
    <row r="5245" spans="1:28" x14ac:dyDescent="0.25">
      <c r="A5245" t="s">
        <v>5249</v>
      </c>
      <c r="B5245">
        <v>0.99796759195183404</v>
      </c>
      <c r="C5245">
        <v>1.0011006756182901</v>
      </c>
      <c r="D5245">
        <v>1.0221993304474299</v>
      </c>
      <c r="E5245">
        <v>0.95326944954148796</v>
      </c>
      <c r="F5245">
        <v>0.85160144162495499</v>
      </c>
      <c r="G5245">
        <v>0.63693600261618</v>
      </c>
      <c r="H5245">
        <v>0.48823748319008903</v>
      </c>
      <c r="I5245">
        <v>0.21264615823155</v>
      </c>
      <c r="J5245">
        <v>0.112337498646812</v>
      </c>
      <c r="K5245">
        <v>7.4377982735694306E-2</v>
      </c>
      <c r="L5245">
        <v>854.32051670060298</v>
      </c>
      <c r="M5245">
        <v>15.182770784215901</v>
      </c>
      <c r="N5245">
        <v>56.269078747166702</v>
      </c>
      <c r="O5245">
        <v>55.320007867275798</v>
      </c>
      <c r="P5245">
        <v>-6.8619990148484702E-2</v>
      </c>
      <c r="Q5245">
        <v>0</v>
      </c>
      <c r="R5245">
        <v>0.99476818114618804</v>
      </c>
      <c r="S5245" t="s">
        <v>10828</v>
      </c>
      <c r="T5245" t="s">
        <v>11164</v>
      </c>
      <c r="U5245" t="s">
        <v>11164</v>
      </c>
      <c r="V5245" t="s">
        <v>11164</v>
      </c>
      <c r="W5245" t="s">
        <v>16363</v>
      </c>
      <c r="X5245">
        <v>16</v>
      </c>
      <c r="Y5245" t="s">
        <v>21825</v>
      </c>
      <c r="Z5245" t="s">
        <v>27395</v>
      </c>
      <c r="AA5245">
        <v>0.65299376798681097</v>
      </c>
      <c r="AB5245" t="str">
        <f>HYPERLINK("Melting_Curves/meltCurve_Q9UGP8_SEC63.pdf", "Melting_Curves/meltCurve_Q9UGP8_SEC63.pdf")</f>
        <v>Melting_Curves/meltCurve_Q9UGP8_SEC63.pdf</v>
      </c>
    </row>
    <row r="5246" spans="1:28" x14ac:dyDescent="0.25">
      <c r="A5246" t="s">
        <v>5250</v>
      </c>
      <c r="B5246">
        <v>0.99796759195183404</v>
      </c>
      <c r="C5246">
        <v>0.98726547495933703</v>
      </c>
      <c r="D5246">
        <v>0.95338435672075295</v>
      </c>
      <c r="E5246">
        <v>0.83374698497684097</v>
      </c>
      <c r="F5246">
        <v>0.63498363660958501</v>
      </c>
      <c r="G5246">
        <v>0.48658238402541998</v>
      </c>
      <c r="H5246">
        <v>0.39503474181589299</v>
      </c>
      <c r="I5246">
        <v>0.280560550843236</v>
      </c>
      <c r="J5246">
        <v>0.22037812471885901</v>
      </c>
      <c r="K5246">
        <v>0.135250717694127</v>
      </c>
      <c r="L5246">
        <v>550.95814728721302</v>
      </c>
      <c r="M5246">
        <v>10.379762811327099</v>
      </c>
      <c r="N5246">
        <v>53.894303520993802</v>
      </c>
      <c r="O5246">
        <v>51.223214207785603</v>
      </c>
      <c r="P5246">
        <v>-4.70027740474072E-2</v>
      </c>
      <c r="Q5246">
        <v>7.2572908611888101E-2</v>
      </c>
      <c r="R5246">
        <v>0.99463307856309202</v>
      </c>
      <c r="S5246" t="s">
        <v>10829</v>
      </c>
      <c r="T5246" t="s">
        <v>11164</v>
      </c>
      <c r="U5246" t="s">
        <v>11164</v>
      </c>
      <c r="V5246" t="s">
        <v>11164</v>
      </c>
      <c r="W5246" t="s">
        <v>16364</v>
      </c>
      <c r="X5246">
        <v>5</v>
      </c>
      <c r="Y5246" t="s">
        <v>21826</v>
      </c>
      <c r="Z5246" t="s">
        <v>27396</v>
      </c>
      <c r="AA5246">
        <v>0.58999514969727318</v>
      </c>
      <c r="AB5246" t="str">
        <f>HYPERLINK("Melting_Curves/meltCurve_Q9UGU0_2_TCF20.pdf", "Melting_Curves/meltCurve_Q9UGU0_2_TCF20.pdf")</f>
        <v>Melting_Curves/meltCurve_Q9UGU0_2_TCF20.pdf</v>
      </c>
    </row>
    <row r="5247" spans="1:28" x14ac:dyDescent="0.25">
      <c r="A5247" t="s">
        <v>5251</v>
      </c>
      <c r="B5247">
        <v>0.99796759195183404</v>
      </c>
      <c r="C5247">
        <v>1.02198438903216</v>
      </c>
      <c r="D5247">
        <v>1.05520779477677</v>
      </c>
      <c r="E5247">
        <v>0.82704690293141303</v>
      </c>
      <c r="F5247">
        <v>0.50268704048355295</v>
      </c>
      <c r="G5247">
        <v>0.142022998077797</v>
      </c>
      <c r="H5247">
        <v>0.100698547786848</v>
      </c>
      <c r="I5247">
        <v>7.0381384953588103E-2</v>
      </c>
      <c r="J5247">
        <v>4.5097569657094702E-2</v>
      </c>
      <c r="K5247">
        <v>4.11986643041359E-2</v>
      </c>
      <c r="L5247">
        <v>1281.44446169514</v>
      </c>
      <c r="M5247">
        <v>25.719342843843702</v>
      </c>
      <c r="N5247">
        <v>50.024210385544301</v>
      </c>
      <c r="O5247">
        <v>49.525867453830202</v>
      </c>
      <c r="P5247">
        <v>-0.123484343477303</v>
      </c>
      <c r="Q5247">
        <v>4.8872161416651197E-2</v>
      </c>
      <c r="R5247">
        <v>0.99499908086909705</v>
      </c>
      <c r="S5247" t="s">
        <v>10830</v>
      </c>
      <c r="T5247" t="s">
        <v>11164</v>
      </c>
      <c r="U5247" t="s">
        <v>11164</v>
      </c>
      <c r="V5247" t="s">
        <v>11164</v>
      </c>
      <c r="W5247" t="s">
        <v>16365</v>
      </c>
      <c r="X5247">
        <v>6</v>
      </c>
      <c r="Y5247" t="s">
        <v>21827</v>
      </c>
      <c r="Z5247" t="s">
        <v>27397</v>
      </c>
      <c r="AA5247">
        <v>0.46331453473476458</v>
      </c>
      <c r="AB5247" t="str">
        <f>HYPERLINK("Melting_Curves/meltCurve_Q9UH62_ARMCX3.pdf", "Melting_Curves/meltCurve_Q9UH62_ARMCX3.pdf")</f>
        <v>Melting_Curves/meltCurve_Q9UH62_ARMCX3.pdf</v>
      </c>
    </row>
    <row r="5248" spans="1:28" x14ac:dyDescent="0.25">
      <c r="A5248" t="s">
        <v>5252</v>
      </c>
      <c r="B5248">
        <v>0.99796759195183404</v>
      </c>
      <c r="C5248">
        <v>1.00059527782925</v>
      </c>
      <c r="D5248">
        <v>0.97476212810728302</v>
      </c>
      <c r="E5248">
        <v>0.98130500891639905</v>
      </c>
      <c r="F5248">
        <v>0.95717852085635802</v>
      </c>
      <c r="G5248">
        <v>0.64293016578681295</v>
      </c>
      <c r="H5248">
        <v>0.682921564667198</v>
      </c>
      <c r="I5248">
        <v>0.70750445800189898</v>
      </c>
      <c r="J5248">
        <v>0.73553722421794498</v>
      </c>
      <c r="K5248">
        <v>0.53748864036779398</v>
      </c>
      <c r="L5248">
        <v>12647.0359756875</v>
      </c>
      <c r="M5248">
        <v>250</v>
      </c>
      <c r="O5248">
        <v>50.584906638280103</v>
      </c>
      <c r="P5248">
        <v>-0.41850874156358298</v>
      </c>
      <c r="Q5248">
        <v>0.66127639076411604</v>
      </c>
      <c r="R5248">
        <v>0.91240402267471399</v>
      </c>
      <c r="S5248" t="s">
        <v>10831</v>
      </c>
      <c r="T5248" t="s">
        <v>11164</v>
      </c>
      <c r="U5248" t="s">
        <v>11164</v>
      </c>
      <c r="V5248" t="s">
        <v>11164</v>
      </c>
      <c r="W5248" t="s">
        <v>16366</v>
      </c>
      <c r="X5248">
        <v>2</v>
      </c>
      <c r="Y5248" t="s">
        <v>21828</v>
      </c>
      <c r="Z5248" t="s">
        <v>27398</v>
      </c>
      <c r="AA5248">
        <v>0.81472730130732818</v>
      </c>
      <c r="AB5248" t="str">
        <f>HYPERLINK("Melting_Curves/meltCurve_Q9UHA4_LAMTOR3.pdf", "Melting_Curves/meltCurve_Q9UHA4_LAMTOR3.pdf")</f>
        <v>Melting_Curves/meltCurve_Q9UHA4_LAMTOR3.pdf</v>
      </c>
    </row>
    <row r="5249" spans="1:28" x14ac:dyDescent="0.25">
      <c r="A5249" t="s">
        <v>5253</v>
      </c>
      <c r="B5249">
        <v>0.99796759195183404</v>
      </c>
      <c r="C5249">
        <v>0.97193706516752099</v>
      </c>
      <c r="D5249">
        <v>0.892895955596401</v>
      </c>
      <c r="E5249">
        <v>0.81075469295142</v>
      </c>
      <c r="F5249">
        <v>0.711448725999271</v>
      </c>
      <c r="G5249">
        <v>0.412508865197591</v>
      </c>
      <c r="H5249">
        <v>0.301971515952074</v>
      </c>
      <c r="I5249">
        <v>0.248510950344039</v>
      </c>
      <c r="J5249">
        <v>0.22713833356932001</v>
      </c>
      <c r="K5249">
        <v>0.209434752270418</v>
      </c>
      <c r="L5249">
        <v>692.43331256629403</v>
      </c>
      <c r="M5249">
        <v>13.513079143926801</v>
      </c>
      <c r="N5249">
        <v>52.797624740489603</v>
      </c>
      <c r="O5249">
        <v>50.158578375076502</v>
      </c>
      <c r="P5249">
        <v>-5.6298258649248999E-2</v>
      </c>
      <c r="Q5249">
        <v>0.164243391353142</v>
      </c>
      <c r="R5249">
        <v>0.98960917747634702</v>
      </c>
      <c r="S5249" t="s">
        <v>10832</v>
      </c>
      <c r="T5249" t="s">
        <v>11164</v>
      </c>
      <c r="U5249" t="s">
        <v>11164</v>
      </c>
      <c r="V5249" t="s">
        <v>11164</v>
      </c>
      <c r="W5249" t="s">
        <v>16367</v>
      </c>
      <c r="X5249">
        <v>15</v>
      </c>
      <c r="Y5249" t="s">
        <v>21829</v>
      </c>
      <c r="Z5249" t="s">
        <v>27399</v>
      </c>
      <c r="AA5249">
        <v>0.57985740528837637</v>
      </c>
      <c r="AB5249" t="str">
        <f>HYPERLINK("Melting_Curves/meltCurve_Q9UHB6_LIMA1.pdf", "Melting_Curves/meltCurve_Q9UHB6_LIMA1.pdf")</f>
        <v>Melting_Curves/meltCurve_Q9UHB6_LIMA1.pdf</v>
      </c>
    </row>
    <row r="5250" spans="1:28" x14ac:dyDescent="0.25">
      <c r="A5250" t="s">
        <v>5254</v>
      </c>
      <c r="B5250">
        <v>0.99796759195183404</v>
      </c>
      <c r="C5250">
        <v>1.0032328642660899</v>
      </c>
      <c r="D5250">
        <v>0.98370493548029803</v>
      </c>
      <c r="E5250">
        <v>0.96100486637716598</v>
      </c>
      <c r="F5250">
        <v>0.85879585585076001</v>
      </c>
      <c r="G5250">
        <v>0.80238128888376503</v>
      </c>
      <c r="H5250">
        <v>0.371163061010088</v>
      </c>
      <c r="I5250">
        <v>0.21416965440881</v>
      </c>
      <c r="J5250">
        <v>0.15161728228344501</v>
      </c>
      <c r="K5250">
        <v>0.114722635251796</v>
      </c>
      <c r="L5250">
        <v>1321.12214510033</v>
      </c>
      <c r="M5250">
        <v>23.661044106403899</v>
      </c>
      <c r="N5250">
        <v>56.370476061619897</v>
      </c>
      <c r="O5250">
        <v>55.441062736618903</v>
      </c>
      <c r="P5250">
        <v>-9.5963556886093093E-2</v>
      </c>
      <c r="Q5250">
        <v>0.100591814044624</v>
      </c>
      <c r="R5250">
        <v>0.98969235728117799</v>
      </c>
      <c r="S5250" t="s">
        <v>10833</v>
      </c>
      <c r="T5250" t="s">
        <v>11164</v>
      </c>
      <c r="U5250" t="s">
        <v>11164</v>
      </c>
      <c r="V5250" t="s">
        <v>11164</v>
      </c>
      <c r="W5250" t="s">
        <v>16368</v>
      </c>
      <c r="X5250">
        <v>12</v>
      </c>
      <c r="Y5250" t="s">
        <v>21830</v>
      </c>
      <c r="Z5250" t="s">
        <v>27400</v>
      </c>
      <c r="AA5250">
        <v>0.67317998970720161</v>
      </c>
      <c r="AB5250" t="str">
        <f>HYPERLINK("Melting_Curves/meltCurve_Q9UHD1_CHORDC1.pdf", "Melting_Curves/meltCurve_Q9UHD1_CHORDC1.pdf")</f>
        <v>Melting_Curves/meltCurve_Q9UHD1_CHORDC1.pdf</v>
      </c>
    </row>
    <row r="5251" spans="1:28" x14ac:dyDescent="0.25">
      <c r="A5251" t="s">
        <v>5255</v>
      </c>
      <c r="B5251">
        <v>0.99796759195183404</v>
      </c>
      <c r="C5251">
        <v>1.0949883093823201</v>
      </c>
      <c r="D5251">
        <v>1.05482673060757</v>
      </c>
      <c r="E5251">
        <v>0.93151393886506295</v>
      </c>
      <c r="F5251">
        <v>0.62652607677363503</v>
      </c>
      <c r="G5251">
        <v>0.233691470068735</v>
      </c>
      <c r="H5251">
        <v>0.23040445485793601</v>
      </c>
      <c r="I5251">
        <v>0.20440623130112201</v>
      </c>
      <c r="J5251">
        <v>0.23514795787812501</v>
      </c>
      <c r="K5251">
        <v>0.13532507326576501</v>
      </c>
      <c r="L5251">
        <v>1892.2765601962301</v>
      </c>
      <c r="M5251">
        <v>37.6055599407104</v>
      </c>
      <c r="N5251">
        <v>50.985437165230699</v>
      </c>
      <c r="O5251">
        <v>50.177381190889797</v>
      </c>
      <c r="P5251">
        <v>-0.15098765699358799</v>
      </c>
      <c r="Q5251">
        <v>0.19414591524580599</v>
      </c>
      <c r="R5251">
        <v>0.98663917709933202</v>
      </c>
      <c r="S5251" t="s">
        <v>10834</v>
      </c>
      <c r="T5251" t="s">
        <v>11164</v>
      </c>
      <c r="U5251" t="s">
        <v>11164</v>
      </c>
      <c r="V5251" t="s">
        <v>11164</v>
      </c>
      <c r="W5251" t="s">
        <v>16369</v>
      </c>
      <c r="X5251">
        <v>2</v>
      </c>
      <c r="Y5251" t="s">
        <v>21831</v>
      </c>
      <c r="Z5251" t="s">
        <v>27401</v>
      </c>
      <c r="AA5251">
        <v>0.55508995239990255</v>
      </c>
      <c r="AB5251" t="str">
        <f>HYPERLINK("Melting_Curves/meltCurve_Q9UHD2_TBK1.pdf", "Melting_Curves/meltCurve_Q9UHD2_TBK1.pdf")</f>
        <v>Melting_Curves/meltCurve_Q9UHD2_TBK1.pdf</v>
      </c>
    </row>
    <row r="5252" spans="1:28" x14ac:dyDescent="0.25">
      <c r="A5252" t="s">
        <v>5256</v>
      </c>
      <c r="B5252">
        <v>0.99796759195183404</v>
      </c>
      <c r="C5252">
        <v>0.98780559025222103</v>
      </c>
      <c r="D5252">
        <v>0.91535524421108205</v>
      </c>
      <c r="E5252">
        <v>0.88287715231825703</v>
      </c>
      <c r="F5252">
        <v>0.76085634327945295</v>
      </c>
      <c r="G5252">
        <v>1.0163852600685901</v>
      </c>
      <c r="H5252">
        <v>0.74007677408699601</v>
      </c>
      <c r="I5252">
        <v>0.247598331098624</v>
      </c>
      <c r="J5252">
        <v>0.165871550597463</v>
      </c>
      <c r="K5252">
        <v>0.126881829599575</v>
      </c>
      <c r="L5252">
        <v>2708.1791582142901</v>
      </c>
      <c r="M5252">
        <v>46.323229194670397</v>
      </c>
      <c r="N5252">
        <v>58.872276615745797</v>
      </c>
      <c r="O5252">
        <v>58.3540180221162</v>
      </c>
      <c r="P5252">
        <v>-0.17111817812246999</v>
      </c>
      <c r="Q5252">
        <v>0.13776117065224999</v>
      </c>
      <c r="R5252">
        <v>0.93229885824766701</v>
      </c>
      <c r="S5252" t="s">
        <v>10835</v>
      </c>
      <c r="T5252" t="s">
        <v>11164</v>
      </c>
      <c r="U5252" t="s">
        <v>11164</v>
      </c>
      <c r="V5252" t="s">
        <v>11164</v>
      </c>
      <c r="W5252" t="s">
        <v>16370</v>
      </c>
      <c r="X5252">
        <v>28</v>
      </c>
      <c r="Y5252" t="s">
        <v>21832</v>
      </c>
      <c r="Z5252" t="s">
        <v>27402</v>
      </c>
      <c r="AA5252">
        <v>0.75708177217090333</v>
      </c>
      <c r="AB5252" t="str">
        <f>HYPERLINK("Melting_Curves/meltCurve_Q9UHD8_7_SEPT9.pdf", "Melting_Curves/meltCurve_Q9UHD8_7_SEPT9.pdf")</f>
        <v>Melting_Curves/meltCurve_Q9UHD8_7_SEPT9.pdf</v>
      </c>
    </row>
    <row r="5253" spans="1:28" x14ac:dyDescent="0.25">
      <c r="A5253" t="s">
        <v>5257</v>
      </c>
      <c r="B5253">
        <v>0.99796759195183404</v>
      </c>
      <c r="C5253">
        <v>1.1131476777807301</v>
      </c>
      <c r="D5253">
        <v>1.1093584373706999</v>
      </c>
      <c r="E5253">
        <v>1.04180077001425</v>
      </c>
      <c r="F5253">
        <v>0.87598465918806601</v>
      </c>
      <c r="G5253">
        <v>0.58782755825217303</v>
      </c>
      <c r="H5253">
        <v>0.60026580289701503</v>
      </c>
      <c r="I5253">
        <v>0.61211088651923196</v>
      </c>
      <c r="J5253">
        <v>0.69914893410495704</v>
      </c>
      <c r="K5253">
        <v>0.526822146807845</v>
      </c>
      <c r="L5253">
        <v>12589.195610023</v>
      </c>
      <c r="M5253">
        <v>250</v>
      </c>
      <c r="O5253">
        <v>50.353560746265003</v>
      </c>
      <c r="P5253">
        <v>-0.48999135215523199</v>
      </c>
      <c r="Q5253">
        <v>0.60523505772769703</v>
      </c>
      <c r="R5253">
        <v>0.91620371558757396</v>
      </c>
      <c r="S5253" t="s">
        <v>10836</v>
      </c>
      <c r="T5253" t="s">
        <v>11164</v>
      </c>
      <c r="U5253" t="s">
        <v>11164</v>
      </c>
      <c r="V5253" t="s">
        <v>11164</v>
      </c>
      <c r="W5253" t="s">
        <v>16371</v>
      </c>
      <c r="X5253">
        <v>5</v>
      </c>
      <c r="Y5253" t="s">
        <v>21833</v>
      </c>
      <c r="Z5253" t="s">
        <v>27403</v>
      </c>
      <c r="AA5253">
        <v>0.78102959352220469</v>
      </c>
      <c r="AB5253" t="str">
        <f>HYPERLINK("Melting_Curves/meltCurve_Q9UHD9_UBQLN2.pdf", "Melting_Curves/meltCurve_Q9UHD9_UBQLN2.pdf")</f>
        <v>Melting_Curves/meltCurve_Q9UHD9_UBQLN2.pdf</v>
      </c>
    </row>
    <row r="5254" spans="1:28" x14ac:dyDescent="0.25">
      <c r="A5254" t="s">
        <v>5258</v>
      </c>
      <c r="B5254">
        <v>0.99796759195183404</v>
      </c>
      <c r="C5254">
        <v>0.94927653029432901</v>
      </c>
      <c r="D5254">
        <v>0.92174121240427198</v>
      </c>
      <c r="E5254">
        <v>0.95377522497096001</v>
      </c>
      <c r="F5254">
        <v>0.87724557346030096</v>
      </c>
      <c r="G5254">
        <v>0.72013671038140104</v>
      </c>
      <c r="H5254">
        <v>0.74262384300801099</v>
      </c>
      <c r="I5254">
        <v>0.76789163788248804</v>
      </c>
      <c r="J5254">
        <v>0.43628193988561398</v>
      </c>
      <c r="K5254">
        <v>0.38530567757210199</v>
      </c>
      <c r="L5254">
        <v>458.32954276081102</v>
      </c>
      <c r="M5254">
        <v>7.0979204503175497</v>
      </c>
      <c r="N5254">
        <v>64.572369576961506</v>
      </c>
      <c r="O5254">
        <v>60.035009948874801</v>
      </c>
      <c r="P5254">
        <v>-2.9609499828920801E-2</v>
      </c>
      <c r="Q5254">
        <v>0</v>
      </c>
      <c r="R5254">
        <v>0.88274719552561098</v>
      </c>
      <c r="S5254" t="s">
        <v>10837</v>
      </c>
      <c r="T5254" t="s">
        <v>11164</v>
      </c>
      <c r="U5254" t="s">
        <v>11164</v>
      </c>
      <c r="V5254" t="s">
        <v>11164</v>
      </c>
      <c r="W5254" t="s">
        <v>16372</v>
      </c>
      <c r="X5254">
        <v>1</v>
      </c>
      <c r="Y5254" t="s">
        <v>21834</v>
      </c>
      <c r="Z5254" t="s">
        <v>27404</v>
      </c>
      <c r="AA5254">
        <v>0.79640038631402454</v>
      </c>
      <c r="AB5254" t="str">
        <f>HYPERLINK("Melting_Curves/meltCurve_Q9UHE8_STEAP1.pdf", "Melting_Curves/meltCurve_Q9UHE8_STEAP1.pdf")</f>
        <v>Melting_Curves/meltCurve_Q9UHE8_STEAP1.pdf</v>
      </c>
    </row>
    <row r="5255" spans="1:28" x14ac:dyDescent="0.25">
      <c r="A5255" t="s">
        <v>5259</v>
      </c>
      <c r="B5255">
        <v>0.99796759195183404</v>
      </c>
      <c r="C5255">
        <v>1.07223675246864</v>
      </c>
      <c r="D5255">
        <v>1.0121042355890499</v>
      </c>
      <c r="E5255">
        <v>0.91434249287129599</v>
      </c>
      <c r="F5255">
        <v>0.86275048097412799</v>
      </c>
      <c r="G5255">
        <v>0.56258961116862904</v>
      </c>
      <c r="H5255">
        <v>0.538944343417746</v>
      </c>
      <c r="I5255">
        <v>0.50460386762759402</v>
      </c>
      <c r="J5255">
        <v>0.66722288962171605</v>
      </c>
      <c r="K5255">
        <v>0.61488872759021795</v>
      </c>
      <c r="L5255">
        <v>12586.698280602999</v>
      </c>
      <c r="M5255">
        <v>250</v>
      </c>
      <c r="O5255">
        <v>50.343579266850497</v>
      </c>
      <c r="P5255">
        <v>-0.524334724031571</v>
      </c>
      <c r="Q5255">
        <v>0.57764987962118097</v>
      </c>
      <c r="R5255">
        <v>0.93255571907607304</v>
      </c>
      <c r="S5255" t="s">
        <v>10838</v>
      </c>
      <c r="T5255" t="s">
        <v>11164</v>
      </c>
      <c r="U5255" t="s">
        <v>11164</v>
      </c>
      <c r="V5255" t="s">
        <v>11164</v>
      </c>
      <c r="W5255" t="s">
        <v>16373</v>
      </c>
      <c r="X5255">
        <v>6</v>
      </c>
      <c r="Y5255" t="s">
        <v>21835</v>
      </c>
      <c r="Z5255" t="s">
        <v>27405</v>
      </c>
      <c r="AA5255">
        <v>0.76558785362891002</v>
      </c>
      <c r="AB5255" t="str">
        <f>HYPERLINK("Melting_Curves/meltCurve_Q9UHG2_PCSK1N.pdf", "Melting_Curves/meltCurve_Q9UHG2_PCSK1N.pdf")</f>
        <v>Melting_Curves/meltCurve_Q9UHG2_PCSK1N.pdf</v>
      </c>
    </row>
    <row r="5256" spans="1:28" x14ac:dyDescent="0.25">
      <c r="A5256" t="s">
        <v>5260</v>
      </c>
      <c r="B5256">
        <v>0.99796759195183404</v>
      </c>
      <c r="C5256">
        <v>1.0496233829332799</v>
      </c>
      <c r="D5256">
        <v>1.0585263047667699</v>
      </c>
      <c r="E5256">
        <v>1.0082469418312801</v>
      </c>
      <c r="F5256">
        <v>0.98506470457663298</v>
      </c>
      <c r="G5256">
        <v>0.69695212874010704</v>
      </c>
      <c r="H5256">
        <v>0.70183091430544597</v>
      </c>
      <c r="I5256">
        <v>0.63255166627944304</v>
      </c>
      <c r="J5256">
        <v>0.51360257514954699</v>
      </c>
      <c r="K5256">
        <v>0.223754051674564</v>
      </c>
      <c r="L5256">
        <v>645.18871414797002</v>
      </c>
      <c r="M5256">
        <v>10.3409256040605</v>
      </c>
      <c r="N5256">
        <v>62.391761831778602</v>
      </c>
      <c r="O5256">
        <v>60.193741690513797</v>
      </c>
      <c r="P5256">
        <v>-4.2966881322608098E-2</v>
      </c>
      <c r="Q5256">
        <v>0</v>
      </c>
      <c r="R5256">
        <v>0.92074579656904698</v>
      </c>
      <c r="S5256" t="s">
        <v>10839</v>
      </c>
      <c r="T5256" t="s">
        <v>11164</v>
      </c>
      <c r="U5256" t="s">
        <v>11164</v>
      </c>
      <c r="V5256" t="s">
        <v>11164</v>
      </c>
      <c r="W5256" t="s">
        <v>16374</v>
      </c>
      <c r="X5256">
        <v>8</v>
      </c>
      <c r="Y5256" t="s">
        <v>21836</v>
      </c>
      <c r="Z5256" t="s">
        <v>27406</v>
      </c>
      <c r="AA5256">
        <v>0.79478915299179087</v>
      </c>
      <c r="AB5256" t="str">
        <f>HYPERLINK("Melting_Curves/meltCurve_Q9UHG3_PCYOX1.pdf", "Melting_Curves/meltCurve_Q9UHG3_PCYOX1.pdf")</f>
        <v>Melting_Curves/meltCurve_Q9UHG3_PCYOX1.pdf</v>
      </c>
    </row>
    <row r="5257" spans="1:28" x14ac:dyDescent="0.25">
      <c r="A5257" t="s">
        <v>5261</v>
      </c>
      <c r="B5257">
        <v>0.99796759195183404</v>
      </c>
      <c r="C5257">
        <v>0.89444496996171696</v>
      </c>
      <c r="D5257">
        <v>0.85302255297037399</v>
      </c>
      <c r="E5257">
        <v>0.77135745494025398</v>
      </c>
      <c r="F5257">
        <v>0.50909394304815503</v>
      </c>
      <c r="G5257">
        <v>0.26662630162231199</v>
      </c>
      <c r="H5257">
        <v>0.16249887278223499</v>
      </c>
      <c r="I5257">
        <v>0.14505543841295099</v>
      </c>
      <c r="J5257">
        <v>0.115376439064863</v>
      </c>
      <c r="K5257">
        <v>8.55640880190814E-2</v>
      </c>
      <c r="L5257">
        <v>663.20220830506105</v>
      </c>
      <c r="M5257">
        <v>13.3624288115745</v>
      </c>
      <c r="N5257">
        <v>50.0728058190318</v>
      </c>
      <c r="O5257">
        <v>48.559807997981501</v>
      </c>
      <c r="P5257">
        <v>-6.4985548627753104E-2</v>
      </c>
      <c r="Q5257">
        <v>5.5505551737392203E-2</v>
      </c>
      <c r="R5257">
        <v>0.99006426098596001</v>
      </c>
      <c r="S5257" t="s">
        <v>10840</v>
      </c>
      <c r="T5257" t="s">
        <v>11164</v>
      </c>
      <c r="U5257" t="s">
        <v>11164</v>
      </c>
      <c r="V5257" t="s">
        <v>11164</v>
      </c>
      <c r="W5257" t="s">
        <v>16375</v>
      </c>
      <c r="X5257">
        <v>6</v>
      </c>
      <c r="Y5257" t="s">
        <v>21837</v>
      </c>
      <c r="Z5257" t="s">
        <v>27407</v>
      </c>
      <c r="AA5257">
        <v>0.47674355937296897</v>
      </c>
      <c r="AB5257" t="str">
        <f>HYPERLINK("Melting_Curves/meltCurve_Q9UHI6_DDX20.pdf", "Melting_Curves/meltCurve_Q9UHI6_DDX20.pdf")</f>
        <v>Melting_Curves/meltCurve_Q9UHI6_DDX20.pdf</v>
      </c>
    </row>
    <row r="5258" spans="1:28" x14ac:dyDescent="0.25">
      <c r="A5258" t="s">
        <v>5262</v>
      </c>
      <c r="B5258">
        <v>0.99796759195183404</v>
      </c>
      <c r="C5258">
        <v>1.0062038858086699</v>
      </c>
      <c r="D5258">
        <v>0.97699629982700498</v>
      </c>
      <c r="E5258">
        <v>0.93322219520026595</v>
      </c>
      <c r="F5258">
        <v>0.81297052788132496</v>
      </c>
      <c r="G5258">
        <v>0.54418689515904795</v>
      </c>
      <c r="H5258">
        <v>0.25857549458509899</v>
      </c>
      <c r="I5258">
        <v>0.166592113962924</v>
      </c>
      <c r="J5258">
        <v>0.15009843039568299</v>
      </c>
      <c r="K5258">
        <v>9.8493408660334E-2</v>
      </c>
      <c r="L5258">
        <v>1065.34755497679</v>
      </c>
      <c r="M5258">
        <v>19.88856032851</v>
      </c>
      <c r="N5258">
        <v>54.127664413386199</v>
      </c>
      <c r="O5258">
        <v>53.0331248877348</v>
      </c>
      <c r="P5258">
        <v>-8.5014551996975399E-2</v>
      </c>
      <c r="Q5258">
        <v>9.3260220971448399E-2</v>
      </c>
      <c r="R5258">
        <v>0.99825186376298802</v>
      </c>
      <c r="S5258" t="s">
        <v>10841</v>
      </c>
      <c r="T5258" t="s">
        <v>11164</v>
      </c>
      <c r="U5258" t="s">
        <v>11164</v>
      </c>
      <c r="V5258" t="s">
        <v>11164</v>
      </c>
      <c r="W5258" t="s">
        <v>16376</v>
      </c>
      <c r="X5258">
        <v>11</v>
      </c>
      <c r="Y5258" t="s">
        <v>21838</v>
      </c>
      <c r="Z5258" t="s">
        <v>27408</v>
      </c>
      <c r="AA5258">
        <v>0.60522953871095853</v>
      </c>
      <c r="AB5258" t="str">
        <f>HYPERLINK("Melting_Curves/meltCurve_Q9UHJ6_SHPK.pdf", "Melting_Curves/meltCurve_Q9UHJ6_SHPK.pdf")</f>
        <v>Melting_Curves/meltCurve_Q9UHJ6_SHPK.pdf</v>
      </c>
    </row>
    <row r="5259" spans="1:28" x14ac:dyDescent="0.25">
      <c r="A5259" t="s">
        <v>5263</v>
      </c>
      <c r="B5259">
        <v>0.99796759195183404</v>
      </c>
      <c r="C5259">
        <v>0.96496020701621699</v>
      </c>
      <c r="D5259">
        <v>0.92172591041297502</v>
      </c>
      <c r="E5259">
        <v>0.93002387580773105</v>
      </c>
      <c r="F5259">
        <v>0.82108944101414705</v>
      </c>
      <c r="G5259">
        <v>0.63201679179222303</v>
      </c>
      <c r="H5259">
        <v>0.30844127276897398</v>
      </c>
      <c r="I5259">
        <v>0.19717744062120501</v>
      </c>
      <c r="J5259">
        <v>0.17658463263521601</v>
      </c>
      <c r="K5259">
        <v>0.118901291686262</v>
      </c>
      <c r="L5259">
        <v>946.89512192382301</v>
      </c>
      <c r="M5259">
        <v>17.409139281416699</v>
      </c>
      <c r="N5259">
        <v>55.007270575432997</v>
      </c>
      <c r="O5259">
        <v>53.688248069412602</v>
      </c>
      <c r="P5259">
        <v>-7.3884333584394501E-2</v>
      </c>
      <c r="Q5259">
        <v>8.8640248950761905E-2</v>
      </c>
      <c r="R5259">
        <v>0.99090193376039803</v>
      </c>
      <c r="S5259" t="s">
        <v>10842</v>
      </c>
      <c r="T5259" t="s">
        <v>11164</v>
      </c>
      <c r="U5259" t="s">
        <v>11164</v>
      </c>
      <c r="V5259" t="s">
        <v>11164</v>
      </c>
      <c r="W5259" t="s">
        <v>16377</v>
      </c>
      <c r="X5259">
        <v>3</v>
      </c>
      <c r="Y5259" t="s">
        <v>21839</v>
      </c>
      <c r="Z5259" t="s">
        <v>27409</v>
      </c>
      <c r="AA5259">
        <v>0.62947717459414565</v>
      </c>
      <c r="AB5259" t="str">
        <f>HYPERLINK("Melting_Curves/meltCurve_Q9UHP3_USP25.pdf", "Melting_Curves/meltCurve_Q9UHP3_USP25.pdf")</f>
        <v>Melting_Curves/meltCurve_Q9UHP3_USP25.pdf</v>
      </c>
    </row>
    <row r="5260" spans="1:28" x14ac:dyDescent="0.25">
      <c r="A5260" t="s">
        <v>5264</v>
      </c>
      <c r="B5260">
        <v>0.99796759195183404</v>
      </c>
      <c r="C5260">
        <v>0.94543438190045603</v>
      </c>
      <c r="D5260">
        <v>0.911624066263788</v>
      </c>
      <c r="E5260">
        <v>0.97413464031015795</v>
      </c>
      <c r="F5260">
        <v>0.87148180984219104</v>
      </c>
      <c r="G5260">
        <v>0.66597258388102298</v>
      </c>
      <c r="H5260">
        <v>0.630095193278841</v>
      </c>
      <c r="I5260">
        <v>0.53110662709114298</v>
      </c>
      <c r="J5260">
        <v>0.530243216136007</v>
      </c>
      <c r="K5260">
        <v>0.36535557825421999</v>
      </c>
      <c r="L5260">
        <v>470.42140516346802</v>
      </c>
      <c r="M5260">
        <v>8.0280505893034793</v>
      </c>
      <c r="N5260">
        <v>62.406149535661598</v>
      </c>
      <c r="O5260">
        <v>55.296842342839902</v>
      </c>
      <c r="P5260">
        <v>-2.9298157342575001E-2</v>
      </c>
      <c r="Q5260">
        <v>0.19368264445512001</v>
      </c>
      <c r="R5260">
        <v>0.95512774263336297</v>
      </c>
      <c r="S5260" t="s">
        <v>10843</v>
      </c>
      <c r="T5260" t="s">
        <v>11164</v>
      </c>
      <c r="U5260" t="s">
        <v>11164</v>
      </c>
      <c r="V5260" t="s">
        <v>11164</v>
      </c>
      <c r="W5260" t="s">
        <v>16378</v>
      </c>
      <c r="X5260">
        <v>8</v>
      </c>
      <c r="Y5260" t="s">
        <v>21840</v>
      </c>
      <c r="Z5260" t="s">
        <v>27410</v>
      </c>
      <c r="AA5260">
        <v>0.7523741135041645</v>
      </c>
      <c r="AB5260" t="str">
        <f>HYPERLINK("Melting_Curves/meltCurve_Q9UHQ4_BCAP29.pdf", "Melting_Curves/meltCurve_Q9UHQ4_BCAP29.pdf")</f>
        <v>Melting_Curves/meltCurve_Q9UHQ4_BCAP29.pdf</v>
      </c>
    </row>
    <row r="5261" spans="1:28" x14ac:dyDescent="0.25">
      <c r="A5261" t="s">
        <v>5265</v>
      </c>
      <c r="B5261">
        <v>0.99796759195183404</v>
      </c>
      <c r="C5261">
        <v>1.03115535724091</v>
      </c>
      <c r="D5261">
        <v>1.1153957917719</v>
      </c>
      <c r="E5261">
        <v>1.0549232189564699</v>
      </c>
      <c r="F5261">
        <v>0.87896876512856903</v>
      </c>
      <c r="G5261">
        <v>0.48957482435453198</v>
      </c>
      <c r="H5261">
        <v>0.445669773792568</v>
      </c>
      <c r="I5261">
        <v>0.27914671908414301</v>
      </c>
      <c r="J5261">
        <v>0.18859529982329901</v>
      </c>
      <c r="K5261">
        <v>0.118224348015423</v>
      </c>
      <c r="L5261">
        <v>1053.92153586892</v>
      </c>
      <c r="M5261">
        <v>19.492242615975901</v>
      </c>
      <c r="N5261">
        <v>55.119929079562802</v>
      </c>
      <c r="O5261">
        <v>53.509334096976502</v>
      </c>
      <c r="P5261">
        <v>-7.6935585292694494E-2</v>
      </c>
      <c r="Q5261">
        <v>0.155228324923679</v>
      </c>
      <c r="R5261">
        <v>0.96520728743023199</v>
      </c>
      <c r="S5261" t="s">
        <v>10844</v>
      </c>
      <c r="T5261" t="s">
        <v>11164</v>
      </c>
      <c r="U5261" t="s">
        <v>11164</v>
      </c>
      <c r="V5261" t="s">
        <v>11164</v>
      </c>
      <c r="W5261" t="s">
        <v>16379</v>
      </c>
      <c r="X5261">
        <v>5</v>
      </c>
      <c r="Y5261" t="s">
        <v>21841</v>
      </c>
      <c r="Z5261" t="s">
        <v>27411</v>
      </c>
      <c r="AA5261">
        <v>0.6463816123826206</v>
      </c>
      <c r="AB5261" t="str">
        <f>HYPERLINK("Melting_Curves/meltCurve_Q9UHQ9_CYB5R1.pdf", "Melting_Curves/meltCurve_Q9UHQ9_CYB5R1.pdf")</f>
        <v>Melting_Curves/meltCurve_Q9UHQ9_CYB5R1.pdf</v>
      </c>
    </row>
    <row r="5262" spans="1:28" x14ac:dyDescent="0.25">
      <c r="A5262" t="s">
        <v>5266</v>
      </c>
      <c r="B5262">
        <v>0.99796759195183404</v>
      </c>
      <c r="C5262">
        <v>1.03741784566402</v>
      </c>
      <c r="D5262">
        <v>0.97872511881515001</v>
      </c>
      <c r="E5262">
        <v>0.97877547799388698</v>
      </c>
      <c r="F5262">
        <v>0.89408700174772504</v>
      </c>
      <c r="G5262">
        <v>0.76001631024824201</v>
      </c>
      <c r="H5262">
        <v>0.62070112627306695</v>
      </c>
      <c r="I5262">
        <v>0.37164153945193501</v>
      </c>
      <c r="J5262">
        <v>0.25406093231478499</v>
      </c>
      <c r="K5262">
        <v>0.147938949055689</v>
      </c>
      <c r="L5262">
        <v>792.08443770711494</v>
      </c>
      <c r="M5262">
        <v>13.4576092570369</v>
      </c>
      <c r="N5262">
        <v>58.857737874815399</v>
      </c>
      <c r="O5262">
        <v>57.603684001552502</v>
      </c>
      <c r="P5262">
        <v>-5.8415032872776003E-2</v>
      </c>
      <c r="Q5262">
        <v>0</v>
      </c>
      <c r="R5262">
        <v>0.99591248713291003</v>
      </c>
      <c r="S5262" t="s">
        <v>10845</v>
      </c>
      <c r="T5262" t="s">
        <v>11164</v>
      </c>
      <c r="U5262" t="s">
        <v>11164</v>
      </c>
      <c r="V5262" t="s">
        <v>11164</v>
      </c>
      <c r="W5262" t="s">
        <v>16380</v>
      </c>
      <c r="X5262">
        <v>12</v>
      </c>
      <c r="Y5262" t="s">
        <v>21842</v>
      </c>
      <c r="Z5262" t="s">
        <v>27412</v>
      </c>
      <c r="AA5262">
        <v>0.72551607196884083</v>
      </c>
      <c r="AB5262" t="str">
        <f>HYPERLINK("Melting_Curves/meltCurve_Q9UHR4_BAIAP2L1.pdf", "Melting_Curves/meltCurve_Q9UHR4_BAIAP2L1.pdf")</f>
        <v>Melting_Curves/meltCurve_Q9UHR4_BAIAP2L1.pdf</v>
      </c>
    </row>
    <row r="5263" spans="1:28" x14ac:dyDescent="0.25">
      <c r="A5263" t="s">
        <v>5267</v>
      </c>
      <c r="B5263">
        <v>0.99796759195183404</v>
      </c>
      <c r="C5263">
        <v>1.06152193538319</v>
      </c>
      <c r="D5263">
        <v>1.0408619397215999</v>
      </c>
      <c r="E5263">
        <v>1.0204232782492</v>
      </c>
      <c r="F5263">
        <v>0.91655787487489804</v>
      </c>
      <c r="G5263">
        <v>0.80985098644417297</v>
      </c>
      <c r="H5263">
        <v>0.89414297297057799</v>
      </c>
      <c r="I5263">
        <v>0.81292485908566803</v>
      </c>
      <c r="J5263">
        <v>0.92972762548150101</v>
      </c>
      <c r="K5263">
        <v>0.77651356018951101</v>
      </c>
      <c r="L5263">
        <v>12542.544428506801</v>
      </c>
      <c r="M5263">
        <v>250</v>
      </c>
      <c r="O5263">
        <v>50.166953604190802</v>
      </c>
      <c r="P5263">
        <v>-0.19356362416775799</v>
      </c>
      <c r="Q5263">
        <v>0.84463200038695896</v>
      </c>
      <c r="R5263">
        <v>0.76493923574854406</v>
      </c>
      <c r="S5263" t="s">
        <v>10846</v>
      </c>
      <c r="T5263" t="s">
        <v>11164</v>
      </c>
      <c r="U5263" t="s">
        <v>11164</v>
      </c>
      <c r="V5263" t="s">
        <v>11164</v>
      </c>
      <c r="W5263" t="s">
        <v>16381</v>
      </c>
      <c r="X5263">
        <v>17</v>
      </c>
      <c r="Y5263" t="s">
        <v>21843</v>
      </c>
      <c r="Z5263" t="s">
        <v>27413</v>
      </c>
      <c r="AA5263">
        <v>0.91285315240933262</v>
      </c>
      <c r="AB5263" t="str">
        <f>HYPERLINK("Melting_Curves/meltCurve_Q9UHV9_PFDN2.pdf", "Melting_Curves/meltCurve_Q9UHV9_PFDN2.pdf")</f>
        <v>Melting_Curves/meltCurve_Q9UHV9_PFDN2.pdf</v>
      </c>
    </row>
    <row r="5264" spans="1:28" x14ac:dyDescent="0.25">
      <c r="A5264" t="s">
        <v>5268</v>
      </c>
      <c r="B5264">
        <v>0.99796759195183404</v>
      </c>
      <c r="C5264">
        <v>1.0097658338425699</v>
      </c>
      <c r="D5264">
        <v>0.90891563562614797</v>
      </c>
      <c r="E5264">
        <v>0.91875915346046699</v>
      </c>
      <c r="F5264">
        <v>0.890550802642187</v>
      </c>
      <c r="G5264">
        <v>0.83367213132273199</v>
      </c>
      <c r="H5264">
        <v>0.71277765707197505</v>
      </c>
      <c r="I5264">
        <v>0.670738186584109</v>
      </c>
      <c r="J5264">
        <v>0.81124248664495002</v>
      </c>
      <c r="K5264">
        <v>0.65183818172112395</v>
      </c>
      <c r="L5264">
        <v>485.152380319163</v>
      </c>
      <c r="M5264">
        <v>9.2212489126152608</v>
      </c>
      <c r="O5264">
        <v>50.315528497527801</v>
      </c>
      <c r="P5264">
        <v>-1.6094487440101501E-2</v>
      </c>
      <c r="Q5264">
        <v>0.64895574548799295</v>
      </c>
      <c r="R5264">
        <v>0.84494436301732301</v>
      </c>
      <c r="S5264" t="s">
        <v>10847</v>
      </c>
      <c r="T5264" t="s">
        <v>11164</v>
      </c>
      <c r="U5264" t="s">
        <v>11164</v>
      </c>
      <c r="V5264" t="s">
        <v>11164</v>
      </c>
      <c r="W5264" t="s">
        <v>16382</v>
      </c>
      <c r="X5264">
        <v>5</v>
      </c>
      <c r="Y5264" t="s">
        <v>21844</v>
      </c>
      <c r="Z5264" t="s">
        <v>27414</v>
      </c>
      <c r="AA5264">
        <v>0.8402505109769367</v>
      </c>
      <c r="AB5264" t="str">
        <f>HYPERLINK("Melting_Curves/meltCurve_Q9UHW5_GPN3.pdf", "Melting_Curves/meltCurve_Q9UHW5_GPN3.pdf")</f>
        <v>Melting_Curves/meltCurve_Q9UHW5_GPN3.pdf</v>
      </c>
    </row>
    <row r="5265" spans="1:28" x14ac:dyDescent="0.25">
      <c r="A5265" t="s">
        <v>5269</v>
      </c>
      <c r="B5265">
        <v>0.99796759195183404</v>
      </c>
      <c r="C5265">
        <v>0.98567340088087596</v>
      </c>
      <c r="D5265">
        <v>0.92426899993991396</v>
      </c>
      <c r="E5265">
        <v>0.79577995463594997</v>
      </c>
      <c r="F5265">
        <v>0.65282381605463602</v>
      </c>
      <c r="G5265">
        <v>0.456873076811951</v>
      </c>
      <c r="H5265">
        <v>0.23109311125896601</v>
      </c>
      <c r="I5265">
        <v>0.167146402382749</v>
      </c>
      <c r="J5265">
        <v>0.129035104415126</v>
      </c>
      <c r="K5265">
        <v>9.1310334870332105E-2</v>
      </c>
      <c r="L5265">
        <v>631.68117825752904</v>
      </c>
      <c r="M5265">
        <v>12.0683903305627</v>
      </c>
      <c r="N5265">
        <v>52.525873745758602</v>
      </c>
      <c r="O5265">
        <v>50.966812204674703</v>
      </c>
      <c r="P5265">
        <v>-5.7985220207276998E-2</v>
      </c>
      <c r="Q5265">
        <v>2.0706401669529698E-2</v>
      </c>
      <c r="R5265">
        <v>0.99709164841223896</v>
      </c>
      <c r="S5265" t="s">
        <v>10848</v>
      </c>
      <c r="T5265" t="s">
        <v>11164</v>
      </c>
      <c r="U5265" t="s">
        <v>11164</v>
      </c>
      <c r="V5265" t="s">
        <v>11164</v>
      </c>
      <c r="W5265" t="s">
        <v>16383</v>
      </c>
      <c r="X5265">
        <v>12</v>
      </c>
      <c r="Y5265" t="s">
        <v>21845</v>
      </c>
      <c r="Z5265" t="s">
        <v>27415</v>
      </c>
      <c r="AA5265">
        <v>0.54383654081743993</v>
      </c>
      <c r="AB5265" t="str">
        <f>HYPERLINK("Melting_Curves/meltCurve_Q9UHX1_4_PUF60.pdf", "Melting_Curves/meltCurve_Q9UHX1_4_PUF60.pdf")</f>
        <v>Melting_Curves/meltCurve_Q9UHX1_4_PUF60.pdf</v>
      </c>
    </row>
    <row r="5266" spans="1:28" x14ac:dyDescent="0.25">
      <c r="A5266" t="s">
        <v>5270</v>
      </c>
      <c r="B5266">
        <v>0.99796759195183404</v>
      </c>
      <c r="C5266">
        <v>0.99022915930121902</v>
      </c>
      <c r="D5266">
        <v>0.91925532156246903</v>
      </c>
      <c r="E5266">
        <v>0.77472817420655105</v>
      </c>
      <c r="F5266">
        <v>0.49061374262149199</v>
      </c>
      <c r="G5266">
        <v>0.35717697305822399</v>
      </c>
      <c r="H5266">
        <v>0.20484736745566701</v>
      </c>
      <c r="I5266">
        <v>0.111469869701148</v>
      </c>
      <c r="J5266">
        <v>7.5418397717153696E-2</v>
      </c>
      <c r="K5266">
        <v>5.0628261641733903E-2</v>
      </c>
      <c r="L5266">
        <v>661.59611134563102</v>
      </c>
      <c r="M5266">
        <v>13.074032166159601</v>
      </c>
      <c r="N5266">
        <v>50.761879701791599</v>
      </c>
      <c r="O5266">
        <v>49.4638387448488</v>
      </c>
      <c r="P5266">
        <v>-6.4772061814433804E-2</v>
      </c>
      <c r="Q5266">
        <v>1.9943885759820201E-2</v>
      </c>
      <c r="R5266">
        <v>0.99726405095086101</v>
      </c>
      <c r="S5266" t="s">
        <v>10849</v>
      </c>
      <c r="T5266" t="s">
        <v>11164</v>
      </c>
      <c r="U5266" t="s">
        <v>11164</v>
      </c>
      <c r="V5266" t="s">
        <v>11164</v>
      </c>
      <c r="W5266" t="s">
        <v>16384</v>
      </c>
      <c r="X5266">
        <v>5</v>
      </c>
      <c r="Y5266" t="s">
        <v>21846</v>
      </c>
      <c r="Z5266" t="s">
        <v>27416</v>
      </c>
      <c r="AA5266">
        <v>0.48825203059820488</v>
      </c>
      <c r="AB5266" t="str">
        <f>HYPERLINK("Melting_Curves/meltCurve_Q9UHY1_NRBP1.pdf", "Melting_Curves/meltCurve_Q9UHY1_NRBP1.pdf")</f>
        <v>Melting_Curves/meltCurve_Q9UHY1_NRBP1.pdf</v>
      </c>
    </row>
    <row r="5267" spans="1:28" x14ac:dyDescent="0.25">
      <c r="A5267" t="s">
        <v>5271</v>
      </c>
      <c r="B5267">
        <v>0.99796759195183404</v>
      </c>
      <c r="C5267">
        <v>0.97958477437271796</v>
      </c>
      <c r="D5267">
        <v>0.94725378624243495</v>
      </c>
      <c r="E5267">
        <v>0.873058463432974</v>
      </c>
      <c r="F5267">
        <v>0.76010167288507502</v>
      </c>
      <c r="G5267">
        <v>0.45164585389831002</v>
      </c>
      <c r="H5267">
        <v>0.25211464970070802</v>
      </c>
      <c r="I5267">
        <v>0.201924247424421</v>
      </c>
      <c r="J5267">
        <v>0.16518093117121299</v>
      </c>
      <c r="K5267">
        <v>0.111225491023761</v>
      </c>
      <c r="L5267">
        <v>879.141091450727</v>
      </c>
      <c r="M5267">
        <v>16.735237122510998</v>
      </c>
      <c r="N5267">
        <v>53.272650401068098</v>
      </c>
      <c r="O5267">
        <v>51.799441880270102</v>
      </c>
      <c r="P5267">
        <v>-7.2394266166016394E-2</v>
      </c>
      <c r="Q5267">
        <v>0.103750746996842</v>
      </c>
      <c r="R5267">
        <v>0.99528820483939895</v>
      </c>
      <c r="S5267" t="s">
        <v>10850</v>
      </c>
      <c r="T5267" t="s">
        <v>11164</v>
      </c>
      <c r="U5267" t="s">
        <v>11164</v>
      </c>
      <c r="V5267" t="s">
        <v>11164</v>
      </c>
      <c r="W5267" t="s">
        <v>16385</v>
      </c>
      <c r="X5267">
        <v>8</v>
      </c>
      <c r="Y5267" t="s">
        <v>21847</v>
      </c>
      <c r="Z5267" t="s">
        <v>27417</v>
      </c>
      <c r="AA5267">
        <v>0.58239495792436335</v>
      </c>
      <c r="AB5267" t="str">
        <f>HYPERLINK("Melting_Curves/meltCurve_Q9UHY7_ENOPH1.pdf", "Melting_Curves/meltCurve_Q9UHY7_ENOPH1.pdf")</f>
        <v>Melting_Curves/meltCurve_Q9UHY7_ENOPH1.pdf</v>
      </c>
    </row>
    <row r="5268" spans="1:28" x14ac:dyDescent="0.25">
      <c r="A5268" t="s">
        <v>5272</v>
      </c>
      <c r="B5268">
        <v>0.99796759195183404</v>
      </c>
      <c r="C5268">
        <v>1.2855674509538</v>
      </c>
      <c r="D5268">
        <v>1.3489325228228199</v>
      </c>
      <c r="E5268">
        <v>1.09003511751833</v>
      </c>
      <c r="F5268">
        <v>1.07427799127412</v>
      </c>
      <c r="G5268">
        <v>1.04518349187843</v>
      </c>
      <c r="H5268">
        <v>0.48421004873634099</v>
      </c>
      <c r="I5268">
        <v>0.36659523162874502</v>
      </c>
      <c r="J5268">
        <v>0.14825938970777799</v>
      </c>
      <c r="K5268">
        <v>0.29560502621941598</v>
      </c>
      <c r="L5268">
        <v>8213.0270711250905</v>
      </c>
      <c r="M5268">
        <v>143.96285334015499</v>
      </c>
      <c r="N5268">
        <v>57.359221304902597</v>
      </c>
      <c r="O5268">
        <v>57.038619824597603</v>
      </c>
      <c r="P5268">
        <v>-0.46055038700150902</v>
      </c>
      <c r="Q5268">
        <v>0.270112879892909</v>
      </c>
      <c r="R5268">
        <v>0.861539994172</v>
      </c>
      <c r="S5268" t="s">
        <v>10851</v>
      </c>
      <c r="T5268" t="s">
        <v>11164</v>
      </c>
      <c r="U5268" t="s">
        <v>11164</v>
      </c>
      <c r="V5268" t="s">
        <v>11164</v>
      </c>
      <c r="W5268" t="s">
        <v>16386</v>
      </c>
      <c r="X5268">
        <v>2</v>
      </c>
      <c r="Y5268" t="s">
        <v>21848</v>
      </c>
      <c r="Z5268" t="s">
        <v>27418</v>
      </c>
      <c r="AA5268">
        <v>0.75813216722102295</v>
      </c>
      <c r="AB5268" t="str">
        <f>HYPERLINK("Melting_Curves/meltCurve_Q9UI08_EVL.pdf", "Melting_Curves/meltCurve_Q9UI08_EVL.pdf")</f>
        <v>Melting_Curves/meltCurve_Q9UI08_EVL.pdf</v>
      </c>
    </row>
    <row r="5269" spans="1:28" x14ac:dyDescent="0.25">
      <c r="A5269" t="s">
        <v>5273</v>
      </c>
      <c r="B5269">
        <v>0.99796759195183404</v>
      </c>
      <c r="C5269">
        <v>0.97199452972074396</v>
      </c>
      <c r="D5269">
        <v>0.98494690445033195</v>
      </c>
      <c r="E5269">
        <v>0.94979406529780097</v>
      </c>
      <c r="F5269">
        <v>0.77038687872713396</v>
      </c>
      <c r="G5269">
        <v>0.54852393052216097</v>
      </c>
      <c r="H5269">
        <v>0.35577959841512302</v>
      </c>
      <c r="I5269">
        <v>0.15724248784623401</v>
      </c>
      <c r="J5269">
        <v>0.111535245813975</v>
      </c>
      <c r="K5269">
        <v>5.8256082796464798E-2</v>
      </c>
      <c r="L5269">
        <v>800.44180119175496</v>
      </c>
      <c r="M5269">
        <v>14.6496458599182</v>
      </c>
      <c r="N5269">
        <v>54.6389866321041</v>
      </c>
      <c r="O5269">
        <v>53.651156528409899</v>
      </c>
      <c r="P5269">
        <v>-6.8270988950491704E-2</v>
      </c>
      <c r="Q5269">
        <v>0</v>
      </c>
      <c r="R5269">
        <v>0.99813893205409299</v>
      </c>
      <c r="S5269" t="s">
        <v>10852</v>
      </c>
      <c r="T5269" t="s">
        <v>11164</v>
      </c>
      <c r="U5269" t="s">
        <v>11164</v>
      </c>
      <c r="V5269" t="s">
        <v>11164</v>
      </c>
      <c r="W5269" t="s">
        <v>16387</v>
      </c>
      <c r="X5269">
        <v>12</v>
      </c>
      <c r="Y5269" t="s">
        <v>21849</v>
      </c>
      <c r="Z5269" t="s">
        <v>27419</v>
      </c>
      <c r="AA5269">
        <v>0.60305489071163332</v>
      </c>
      <c r="AB5269" t="str">
        <f>HYPERLINK("Melting_Curves/meltCurve_Q9UI12_2_ATP6V1H.pdf", "Melting_Curves/meltCurve_Q9UI12_2_ATP6V1H.pdf")</f>
        <v>Melting_Curves/meltCurve_Q9UI12_2_ATP6V1H.pdf</v>
      </c>
    </row>
    <row r="5270" spans="1:28" x14ac:dyDescent="0.25">
      <c r="A5270" t="s">
        <v>5274</v>
      </c>
      <c r="B5270">
        <v>0.99796759195183404</v>
      </c>
      <c r="C5270">
        <v>1.0484219051975801</v>
      </c>
      <c r="D5270">
        <v>0.962137620950965</v>
      </c>
      <c r="E5270">
        <v>0.90872707283658205</v>
      </c>
      <c r="F5270">
        <v>0.81573139286526697</v>
      </c>
      <c r="G5270">
        <v>0.58820445489433604</v>
      </c>
      <c r="H5270">
        <v>0.41178678286527798</v>
      </c>
      <c r="I5270">
        <v>0.36236003230217501</v>
      </c>
      <c r="J5270">
        <v>0.20500485708184699</v>
      </c>
      <c r="K5270">
        <v>0.127059858504986</v>
      </c>
      <c r="L5270">
        <v>634.03730788726602</v>
      </c>
      <c r="M5270">
        <v>11.3317029494466</v>
      </c>
      <c r="N5270">
        <v>56.165277733656701</v>
      </c>
      <c r="O5270">
        <v>54.294931216458998</v>
      </c>
      <c r="P5270">
        <v>-5.10957980681436E-2</v>
      </c>
      <c r="Q5270">
        <v>2.1008728328299399E-2</v>
      </c>
      <c r="R5270">
        <v>0.98992040915757096</v>
      </c>
      <c r="S5270" t="s">
        <v>10853</v>
      </c>
      <c r="T5270" t="s">
        <v>11164</v>
      </c>
      <c r="U5270" t="s">
        <v>11164</v>
      </c>
      <c r="V5270" t="s">
        <v>11164</v>
      </c>
      <c r="W5270" t="s">
        <v>16388</v>
      </c>
      <c r="X5270">
        <v>4</v>
      </c>
      <c r="Y5270" t="s">
        <v>21850</v>
      </c>
      <c r="Z5270" t="s">
        <v>27420</v>
      </c>
      <c r="AA5270">
        <v>0.64841070761097619</v>
      </c>
      <c r="AB5270" t="str">
        <f>HYPERLINK("Melting_Curves/meltCurve_Q9UI26_IPO11.pdf", "Melting_Curves/meltCurve_Q9UI26_IPO11.pdf")</f>
        <v>Melting_Curves/meltCurve_Q9UI26_IPO11.pdf</v>
      </c>
    </row>
    <row r="5271" spans="1:28" x14ac:dyDescent="0.25">
      <c r="A5271" t="s">
        <v>5275</v>
      </c>
      <c r="B5271">
        <v>0.99796759195183404</v>
      </c>
      <c r="C5271">
        <v>0.94350915538733904</v>
      </c>
      <c r="D5271">
        <v>0.91904571569698401</v>
      </c>
      <c r="E5271">
        <v>0.87171135688244505</v>
      </c>
      <c r="F5271">
        <v>0.87472494997745398</v>
      </c>
      <c r="G5271">
        <v>0.68492779123785497</v>
      </c>
      <c r="H5271">
        <v>0.54419688593811899</v>
      </c>
      <c r="I5271">
        <v>0.35776721866848199</v>
      </c>
      <c r="J5271">
        <v>0.40738055769617298</v>
      </c>
      <c r="K5271">
        <v>0.37172498390731401</v>
      </c>
      <c r="L5271">
        <v>646.41851272727195</v>
      </c>
      <c r="M5271">
        <v>11.8020746553811</v>
      </c>
      <c r="N5271">
        <v>58.625118449143997</v>
      </c>
      <c r="O5271">
        <v>53.270070782441302</v>
      </c>
      <c r="P5271">
        <v>-4.0453273537204598E-2</v>
      </c>
      <c r="Q5271">
        <v>0.269825046754399</v>
      </c>
      <c r="R5271">
        <v>0.96798564969969503</v>
      </c>
      <c r="S5271" t="s">
        <v>10854</v>
      </c>
      <c r="T5271" t="s">
        <v>11164</v>
      </c>
      <c r="U5271" t="s">
        <v>11164</v>
      </c>
      <c r="V5271" t="s">
        <v>11164</v>
      </c>
      <c r="W5271" t="s">
        <v>16389</v>
      </c>
      <c r="X5271">
        <v>9</v>
      </c>
      <c r="Y5271" t="s">
        <v>21851</v>
      </c>
      <c r="Z5271" t="s">
        <v>27421</v>
      </c>
      <c r="AA5271">
        <v>0.71334212214159365</v>
      </c>
      <c r="AB5271" t="str">
        <f>HYPERLINK("Melting_Curves/meltCurve_Q9UI30_TRMT112.pdf", "Melting_Curves/meltCurve_Q9UI30_TRMT112.pdf")</f>
        <v>Melting_Curves/meltCurve_Q9UI30_TRMT112.pdf</v>
      </c>
    </row>
    <row r="5272" spans="1:28" x14ac:dyDescent="0.25">
      <c r="A5272" t="s">
        <v>5276</v>
      </c>
      <c r="B5272">
        <v>0.99796759195183404</v>
      </c>
      <c r="C5272">
        <v>1.21993467054336</v>
      </c>
      <c r="D5272">
        <v>1.0474594444207901</v>
      </c>
      <c r="E5272">
        <v>1.0252718917963</v>
      </c>
      <c r="F5272">
        <v>0.898150440369055</v>
      </c>
      <c r="G5272">
        <v>0.57367458414472705</v>
      </c>
      <c r="H5272">
        <v>0.46223614372065602</v>
      </c>
      <c r="I5272">
        <v>0.52698040072063501</v>
      </c>
      <c r="J5272">
        <v>0.37169591725842999</v>
      </c>
      <c r="K5272">
        <v>0.43719239367827101</v>
      </c>
      <c r="L5272">
        <v>2020.67755586932</v>
      </c>
      <c r="M5272">
        <v>38.735662912056299</v>
      </c>
      <c r="N5272">
        <v>55.305083097184102</v>
      </c>
      <c r="O5272">
        <v>52.027367509537797</v>
      </c>
      <c r="P5272">
        <v>-0.103390803361621</v>
      </c>
      <c r="Q5272">
        <v>0.44452856981805899</v>
      </c>
      <c r="R5272">
        <v>0.92726395079453405</v>
      </c>
      <c r="S5272" t="s">
        <v>10855</v>
      </c>
      <c r="T5272" t="s">
        <v>11164</v>
      </c>
      <c r="U5272" t="s">
        <v>11164</v>
      </c>
      <c r="V5272" t="s">
        <v>11164</v>
      </c>
      <c r="W5272" t="s">
        <v>16390</v>
      </c>
      <c r="X5272">
        <v>3</v>
      </c>
      <c r="Y5272" t="s">
        <v>21852</v>
      </c>
      <c r="Z5272" t="s">
        <v>27422</v>
      </c>
      <c r="AA5272">
        <v>0.7274639197216789</v>
      </c>
      <c r="AB5272" t="str">
        <f>HYPERLINK("Melting_Curves/meltCurve_Q9UI43_FTSJ2.pdf", "Melting_Curves/meltCurve_Q9UI43_FTSJ2.pdf")</f>
        <v>Melting_Curves/meltCurve_Q9UI43_FTSJ2.pdf</v>
      </c>
    </row>
    <row r="5273" spans="1:28" x14ac:dyDescent="0.25">
      <c r="A5273" t="s">
        <v>5277</v>
      </c>
      <c r="B5273">
        <v>0.99796759195183404</v>
      </c>
      <c r="C5273">
        <v>1.10416302446583</v>
      </c>
      <c r="D5273">
        <v>1.0776596748881699</v>
      </c>
      <c r="E5273">
        <v>1.04840510996025</v>
      </c>
      <c r="F5273">
        <v>0.89016154800764302</v>
      </c>
      <c r="G5273">
        <v>0.70091044287264104</v>
      </c>
      <c r="H5273">
        <v>0.33860496832950299</v>
      </c>
      <c r="I5273">
        <v>0.20193467878037699</v>
      </c>
      <c r="J5273">
        <v>0.17267492918611299</v>
      </c>
      <c r="K5273">
        <v>0.129410447121839</v>
      </c>
      <c r="L5273">
        <v>1397.5840781229999</v>
      </c>
      <c r="M5273">
        <v>25.432652369982701</v>
      </c>
      <c r="N5273">
        <v>55.6341645333722</v>
      </c>
      <c r="O5273">
        <v>54.615983929457997</v>
      </c>
      <c r="P5273">
        <v>-0.100829447742944</v>
      </c>
      <c r="Q5273">
        <v>0.133896039547586</v>
      </c>
      <c r="R5273">
        <v>0.98503994002876405</v>
      </c>
      <c r="S5273" t="s">
        <v>10856</v>
      </c>
      <c r="T5273" t="s">
        <v>11164</v>
      </c>
      <c r="U5273" t="s">
        <v>11164</v>
      </c>
      <c r="V5273" t="s">
        <v>11164</v>
      </c>
      <c r="W5273" t="s">
        <v>16391</v>
      </c>
      <c r="X5273">
        <v>11</v>
      </c>
      <c r="Y5273" t="s">
        <v>21853</v>
      </c>
      <c r="Z5273" t="s">
        <v>27423</v>
      </c>
      <c r="AA5273">
        <v>0.65937300636176355</v>
      </c>
      <c r="AB5273" t="str">
        <f>HYPERLINK("Melting_Curves/meltCurve_Q9UIC8_LCMT1.pdf", "Melting_Curves/meltCurve_Q9UIC8_LCMT1.pdf")</f>
        <v>Melting_Curves/meltCurve_Q9UIC8_LCMT1.pdf</v>
      </c>
    </row>
    <row r="5274" spans="1:28" x14ac:dyDescent="0.25">
      <c r="A5274" t="s">
        <v>5278</v>
      </c>
      <c r="B5274">
        <v>0.99796759195183404</v>
      </c>
      <c r="C5274">
        <v>1.0611981856058299</v>
      </c>
      <c r="D5274">
        <v>0.94307547029921002</v>
      </c>
      <c r="E5274">
        <v>0.87734086405409395</v>
      </c>
      <c r="F5274">
        <v>0.77590673330118598</v>
      </c>
      <c r="G5274">
        <v>0.361260934168391</v>
      </c>
      <c r="H5274">
        <v>0.18744056226188199</v>
      </c>
      <c r="I5274">
        <v>0.21388260151375199</v>
      </c>
      <c r="J5274">
        <v>0.259283668762327</v>
      </c>
      <c r="K5274">
        <v>0.26348683885077101</v>
      </c>
      <c r="L5274">
        <v>1688.9129901357601</v>
      </c>
      <c r="M5274">
        <v>32.900189826821197</v>
      </c>
      <c r="N5274">
        <v>52.282602594208399</v>
      </c>
      <c r="O5274">
        <v>51.145903298196103</v>
      </c>
      <c r="P5274">
        <v>-0.124684719483589</v>
      </c>
      <c r="Q5274">
        <v>0.22467513307714501</v>
      </c>
      <c r="R5274">
        <v>0.980643451320801</v>
      </c>
      <c r="S5274" t="s">
        <v>10857</v>
      </c>
      <c r="T5274" t="s">
        <v>11164</v>
      </c>
      <c r="U5274" t="s">
        <v>11164</v>
      </c>
      <c r="V5274" t="s">
        <v>11164</v>
      </c>
      <c r="W5274" t="s">
        <v>16392</v>
      </c>
      <c r="X5274">
        <v>4</v>
      </c>
      <c r="Y5274" t="s">
        <v>21854</v>
      </c>
      <c r="Z5274" t="s">
        <v>27424</v>
      </c>
      <c r="AA5274">
        <v>0.59918808954104608</v>
      </c>
      <c r="AB5274" t="str">
        <f>HYPERLINK("Melting_Curves/meltCurve_Q9UID3_VPS51.pdf", "Melting_Curves/meltCurve_Q9UID3_VPS51.pdf")</f>
        <v>Melting_Curves/meltCurve_Q9UID3_VPS51.pdf</v>
      </c>
    </row>
    <row r="5275" spans="1:28" x14ac:dyDescent="0.25">
      <c r="A5275" t="s">
        <v>5279</v>
      </c>
      <c r="B5275">
        <v>0.99796759195183404</v>
      </c>
      <c r="C5275">
        <v>0.94267164680729798</v>
      </c>
      <c r="D5275">
        <v>0.98466935208371098</v>
      </c>
      <c r="E5275">
        <v>0.92242121667176002</v>
      </c>
      <c r="F5275">
        <v>0.49428812523961102</v>
      </c>
      <c r="G5275">
        <v>0.23287776849972999</v>
      </c>
      <c r="H5275">
        <v>0.222495210248283</v>
      </c>
      <c r="I5275">
        <v>0.17236260952118701</v>
      </c>
      <c r="J5275">
        <v>0.149646210853151</v>
      </c>
      <c r="K5275">
        <v>0.123240456916633</v>
      </c>
      <c r="L5275">
        <v>1594.1665233265401</v>
      </c>
      <c r="M5275">
        <v>32.131052448774497</v>
      </c>
      <c r="N5275">
        <v>50.234414899739001</v>
      </c>
      <c r="O5275">
        <v>49.423516279665598</v>
      </c>
      <c r="P5275">
        <v>-0.135929366889178</v>
      </c>
      <c r="Q5275">
        <v>0.16366586686297099</v>
      </c>
      <c r="R5275">
        <v>0.99420472682912997</v>
      </c>
      <c r="S5275" t="s">
        <v>10858</v>
      </c>
      <c r="T5275" t="s">
        <v>11164</v>
      </c>
      <c r="U5275" t="s">
        <v>11164</v>
      </c>
      <c r="V5275" t="s">
        <v>11164</v>
      </c>
      <c r="W5275" t="s">
        <v>16393</v>
      </c>
      <c r="X5275">
        <v>2</v>
      </c>
      <c r="Y5275" t="s">
        <v>21855</v>
      </c>
      <c r="Z5275" t="s">
        <v>27425</v>
      </c>
      <c r="AA5275">
        <v>0.5197790044645888</v>
      </c>
      <c r="AB5275" t="str">
        <f>HYPERLINK("Melting_Curves/meltCurve_Q9UIG0_2_BAZ1B.pdf", "Melting_Curves/meltCurve_Q9UIG0_2_BAZ1B.pdf")</f>
        <v>Melting_Curves/meltCurve_Q9UIG0_2_BAZ1B.pdf</v>
      </c>
    </row>
    <row r="5276" spans="1:28" x14ac:dyDescent="0.25">
      <c r="A5276" t="s">
        <v>5280</v>
      </c>
      <c r="B5276">
        <v>0.99796759195183404</v>
      </c>
      <c r="C5276">
        <v>1.05625878417916</v>
      </c>
      <c r="D5276">
        <v>0.94506247792615095</v>
      </c>
      <c r="E5276">
        <v>0.90042497305579305</v>
      </c>
      <c r="F5276">
        <v>0.76831435587651797</v>
      </c>
      <c r="G5276">
        <v>0.71583624648609701</v>
      </c>
      <c r="H5276">
        <v>0.72183526880399695</v>
      </c>
      <c r="I5276">
        <v>0.71222206181459302</v>
      </c>
      <c r="J5276">
        <v>0.94064322893276697</v>
      </c>
      <c r="K5276">
        <v>1.45037793745118</v>
      </c>
      <c r="L5276">
        <v>15000</v>
      </c>
      <c r="M5276">
        <v>226.08091724005499</v>
      </c>
      <c r="O5276">
        <v>66.342733270622404</v>
      </c>
      <c r="P5276">
        <v>0.42597150862946298</v>
      </c>
      <c r="Q5276">
        <v>1.5</v>
      </c>
      <c r="R5276">
        <v>0.30855718916934399</v>
      </c>
      <c r="S5276" t="s">
        <v>10859</v>
      </c>
      <c r="T5276" t="s">
        <v>11164</v>
      </c>
      <c r="U5276" t="s">
        <v>11164</v>
      </c>
      <c r="V5276" t="s">
        <v>11164</v>
      </c>
      <c r="W5276" t="s">
        <v>16394</v>
      </c>
      <c r="X5276">
        <v>19</v>
      </c>
      <c r="Y5276" t="s">
        <v>21856</v>
      </c>
      <c r="Z5276" t="s">
        <v>27426</v>
      </c>
      <c r="AA5276">
        <v>1.0113255480213921</v>
      </c>
      <c r="AB5276" t="str">
        <f>HYPERLINK("Melting_Curves/meltCurve_Q9UII2_ATPIF1.pdf", "Melting_Curves/meltCurve_Q9UII2_ATPIF1.pdf")</f>
        <v>Melting_Curves/meltCurve_Q9UII2_ATPIF1.pdf</v>
      </c>
    </row>
    <row r="5277" spans="1:28" x14ac:dyDescent="0.25">
      <c r="A5277" t="s">
        <v>5281</v>
      </c>
      <c r="B5277">
        <v>0.99796759195183404</v>
      </c>
      <c r="C5277">
        <v>0.98589342127962798</v>
      </c>
      <c r="D5277">
        <v>0.99705890994982105</v>
      </c>
      <c r="E5277">
        <v>0.98021824027769899</v>
      </c>
      <c r="F5277">
        <v>0.81340720829527702</v>
      </c>
      <c r="G5277">
        <v>0.641269440517934</v>
      </c>
      <c r="H5277">
        <v>0.56450855066208305</v>
      </c>
      <c r="I5277">
        <v>0.29991647354568801</v>
      </c>
      <c r="J5277">
        <v>0.120697340969161</v>
      </c>
      <c r="K5277">
        <v>0.110154652870621</v>
      </c>
      <c r="L5277">
        <v>758.31674238786604</v>
      </c>
      <c r="M5277">
        <v>13.314816115073899</v>
      </c>
      <c r="N5277">
        <v>56.952851539296198</v>
      </c>
      <c r="O5277">
        <v>55.7141785099261</v>
      </c>
      <c r="P5277">
        <v>-5.9755713663498501E-2</v>
      </c>
      <c r="Q5277">
        <v>0</v>
      </c>
      <c r="R5277">
        <v>0.98539962310851303</v>
      </c>
      <c r="S5277" t="s">
        <v>10860</v>
      </c>
      <c r="T5277" t="s">
        <v>11164</v>
      </c>
      <c r="U5277" t="s">
        <v>11164</v>
      </c>
      <c r="V5277" t="s">
        <v>11164</v>
      </c>
      <c r="W5277" t="s">
        <v>16395</v>
      </c>
      <c r="X5277">
        <v>12</v>
      </c>
      <c r="Y5277" t="s">
        <v>21857</v>
      </c>
      <c r="Z5277" t="s">
        <v>27427</v>
      </c>
      <c r="AA5277">
        <v>0.67201437675447151</v>
      </c>
      <c r="AB5277" t="str">
        <f>HYPERLINK("Melting_Curves/meltCurve_Q9UIJ7_AK3.pdf", "Melting_Curves/meltCurve_Q9UIJ7_AK3.pdf")</f>
        <v>Melting_Curves/meltCurve_Q9UIJ7_AK3.pdf</v>
      </c>
    </row>
    <row r="5278" spans="1:28" x14ac:dyDescent="0.25">
      <c r="A5278" t="s">
        <v>5282</v>
      </c>
      <c r="B5278">
        <v>0.99796759195183404</v>
      </c>
      <c r="C5278">
        <v>0.96062776056312704</v>
      </c>
      <c r="D5278">
        <v>1.0136400803477801</v>
      </c>
      <c r="E5278">
        <v>1.06270912736107</v>
      </c>
      <c r="F5278">
        <v>0.90241671774363297</v>
      </c>
      <c r="G5278">
        <v>0.611936848142696</v>
      </c>
      <c r="H5278">
        <v>1.0258197769717201</v>
      </c>
      <c r="I5278">
        <v>1.06997091139228</v>
      </c>
      <c r="J5278">
        <v>1.3523096226664799</v>
      </c>
      <c r="K5278">
        <v>1.3252803228241901</v>
      </c>
      <c r="L5278">
        <v>15000</v>
      </c>
      <c r="M5278">
        <v>244.55568595289699</v>
      </c>
      <c r="O5278">
        <v>61.331621531771098</v>
      </c>
      <c r="P5278">
        <v>0.33773453728033298</v>
      </c>
      <c r="Q5278">
        <v>1.33879902437538</v>
      </c>
      <c r="R5278">
        <v>0.57320514253561305</v>
      </c>
      <c r="S5278" t="s">
        <v>10861</v>
      </c>
      <c r="T5278" t="s">
        <v>11164</v>
      </c>
      <c r="U5278" t="s">
        <v>11164</v>
      </c>
      <c r="V5278" t="s">
        <v>11164</v>
      </c>
      <c r="W5278" t="s">
        <v>16396</v>
      </c>
      <c r="X5278">
        <v>1</v>
      </c>
      <c r="Y5278" t="s">
        <v>21858</v>
      </c>
      <c r="Z5278" t="s">
        <v>27428</v>
      </c>
      <c r="AA5278">
        <v>1.0639302637056509</v>
      </c>
      <c r="AB5278" t="str">
        <f>HYPERLINK("Melting_Curves/meltCurve_Q9UIL1_3_SCOC.pdf", "Melting_Curves/meltCurve_Q9UIL1_3_SCOC.pdf")</f>
        <v>Melting_Curves/meltCurve_Q9UIL1_3_SCOC.pdf</v>
      </c>
    </row>
    <row r="5279" spans="1:28" x14ac:dyDescent="0.25">
      <c r="A5279" t="s">
        <v>5283</v>
      </c>
      <c r="B5279">
        <v>0.99796759195183404</v>
      </c>
      <c r="C5279">
        <v>1.0789558403003701</v>
      </c>
      <c r="D5279">
        <v>0.99702016888770395</v>
      </c>
      <c r="E5279">
        <v>0.97677029526713299</v>
      </c>
      <c r="F5279">
        <v>0.90989873649122499</v>
      </c>
      <c r="G5279">
        <v>0.81345250151526105</v>
      </c>
      <c r="H5279">
        <v>0.50728915081653403</v>
      </c>
      <c r="I5279">
        <v>0.33085201288696497</v>
      </c>
      <c r="J5279">
        <v>0.20086314716809101</v>
      </c>
      <c r="K5279">
        <v>0.17151913318006901</v>
      </c>
      <c r="L5279">
        <v>1082.0647569902001</v>
      </c>
      <c r="M5279">
        <v>18.985997602276701</v>
      </c>
      <c r="N5279">
        <v>57.808250413133102</v>
      </c>
      <c r="O5279">
        <v>56.371806850366703</v>
      </c>
      <c r="P5279">
        <v>-7.4310950831906503E-2</v>
      </c>
      <c r="Q5279">
        <v>0.117481267084869</v>
      </c>
      <c r="R5279">
        <v>0.99227309362016103</v>
      </c>
      <c r="S5279" t="s">
        <v>10862</v>
      </c>
      <c r="T5279" t="s">
        <v>11164</v>
      </c>
      <c r="U5279" t="s">
        <v>11164</v>
      </c>
      <c r="V5279" t="s">
        <v>11164</v>
      </c>
      <c r="W5279" t="s">
        <v>16397</v>
      </c>
      <c r="X5279">
        <v>7</v>
      </c>
      <c r="Y5279" t="s">
        <v>21859</v>
      </c>
      <c r="Z5279" t="s">
        <v>27429</v>
      </c>
      <c r="AA5279">
        <v>0.71350772970269138</v>
      </c>
      <c r="AB5279" t="str">
        <f>HYPERLINK("Melting_Curves/meltCurve_Q9UIM3_FKBPL.pdf", "Melting_Curves/meltCurve_Q9UIM3_FKBPL.pdf")</f>
        <v>Melting_Curves/meltCurve_Q9UIM3_FKBPL.pdf</v>
      </c>
    </row>
    <row r="5280" spans="1:28" x14ac:dyDescent="0.25">
      <c r="A5280" t="s">
        <v>5284</v>
      </c>
      <c r="B5280">
        <v>0.99796759195183404</v>
      </c>
      <c r="C5280">
        <v>1.0530681482325199</v>
      </c>
      <c r="D5280">
        <v>0.99604162387275996</v>
      </c>
      <c r="E5280">
        <v>0.89756122654950199</v>
      </c>
      <c r="F5280">
        <v>0.97372701519473004</v>
      </c>
      <c r="G5280">
        <v>0.82440970043268302</v>
      </c>
      <c r="H5280">
        <v>0.72703289255415404</v>
      </c>
      <c r="I5280">
        <v>0.72040060509366299</v>
      </c>
      <c r="J5280">
        <v>0.68898612244277702</v>
      </c>
      <c r="K5280">
        <v>0.41553916122385298</v>
      </c>
      <c r="L5280">
        <v>493.80475853967903</v>
      </c>
      <c r="M5280">
        <v>7.3497863669955601</v>
      </c>
      <c r="O5280">
        <v>62.749446787910998</v>
      </c>
      <c r="P5280">
        <v>-2.93276493876076E-2</v>
      </c>
      <c r="Q5280">
        <v>0</v>
      </c>
      <c r="R5280">
        <v>0.89994888045351096</v>
      </c>
      <c r="S5280" t="s">
        <v>10863</v>
      </c>
      <c r="T5280" t="s">
        <v>11164</v>
      </c>
      <c r="U5280" t="s">
        <v>11164</v>
      </c>
      <c r="V5280" t="s">
        <v>11164</v>
      </c>
      <c r="W5280" t="s">
        <v>16398</v>
      </c>
      <c r="X5280">
        <v>5</v>
      </c>
      <c r="Y5280" t="s">
        <v>21860</v>
      </c>
      <c r="Z5280" t="s">
        <v>27430</v>
      </c>
      <c r="AA5280">
        <v>0.84033837061088346</v>
      </c>
      <c r="AB5280" t="str">
        <f>HYPERLINK("Melting_Curves/meltCurve_Q9UIQ6_3_LNPEP.pdf", "Melting_Curves/meltCurve_Q9UIQ6_3_LNPEP.pdf")</f>
        <v>Melting_Curves/meltCurve_Q9UIQ6_3_LNPEP.pdf</v>
      </c>
    </row>
    <row r="5281" spans="1:28" x14ac:dyDescent="0.25">
      <c r="A5281" t="s">
        <v>5285</v>
      </c>
      <c r="B5281">
        <v>0.99796759195183404</v>
      </c>
      <c r="C5281">
        <v>0.99370863987646096</v>
      </c>
      <c r="D5281">
        <v>0.98351903165006405</v>
      </c>
      <c r="E5281">
        <v>0.90265886397462403</v>
      </c>
      <c r="F5281">
        <v>0.78228374801141398</v>
      </c>
      <c r="G5281">
        <v>0.58702372435383499</v>
      </c>
      <c r="H5281">
        <v>0.39391682964084002</v>
      </c>
      <c r="I5281">
        <v>0.29086791733290102</v>
      </c>
      <c r="J5281">
        <v>0.19018417876239899</v>
      </c>
      <c r="K5281">
        <v>0.15425253661753299</v>
      </c>
      <c r="L5281">
        <v>696.98769574893504</v>
      </c>
      <c r="M5281">
        <v>12.731633586624101</v>
      </c>
      <c r="N5281">
        <v>55.439334974692002</v>
      </c>
      <c r="O5281">
        <v>53.446687348272398</v>
      </c>
      <c r="P5281">
        <v>-5.5172104756797603E-2</v>
      </c>
      <c r="Q5281">
        <v>7.3739801374792302E-2</v>
      </c>
      <c r="R5281">
        <v>0.99928779730619399</v>
      </c>
      <c r="S5281" t="s">
        <v>10864</v>
      </c>
      <c r="T5281" t="s">
        <v>11164</v>
      </c>
      <c r="U5281" t="s">
        <v>11164</v>
      </c>
      <c r="V5281" t="s">
        <v>11164</v>
      </c>
      <c r="W5281" t="s">
        <v>16399</v>
      </c>
      <c r="X5281">
        <v>8</v>
      </c>
      <c r="Y5281" t="s">
        <v>21861</v>
      </c>
      <c r="Z5281" t="s">
        <v>27431</v>
      </c>
      <c r="AA5281">
        <v>0.63577547718584981</v>
      </c>
      <c r="AB5281" t="str">
        <f>HYPERLINK("Melting_Curves/meltCurve_Q9UJ41_RABGEF1.pdf", "Melting_Curves/meltCurve_Q9UJ41_RABGEF1.pdf")</f>
        <v>Melting_Curves/meltCurve_Q9UJ41_RABGEF1.pdf</v>
      </c>
    </row>
    <row r="5282" spans="1:28" x14ac:dyDescent="0.25">
      <c r="A5282" t="s">
        <v>5286</v>
      </c>
      <c r="B5282">
        <v>0.99796759195183404</v>
      </c>
      <c r="C5282">
        <v>0.92827761436293699</v>
      </c>
      <c r="D5282">
        <v>0.88534099884423301</v>
      </c>
      <c r="E5282">
        <v>0.83849412820228597</v>
      </c>
      <c r="F5282">
        <v>0.75044728312209896</v>
      </c>
      <c r="G5282">
        <v>0.68915318361268496</v>
      </c>
      <c r="H5282">
        <v>0.61800875712893499</v>
      </c>
      <c r="I5282">
        <v>0.43125515232252998</v>
      </c>
      <c r="J5282">
        <v>0.23479163891093899</v>
      </c>
      <c r="K5282">
        <v>0.11187397398097</v>
      </c>
      <c r="L5282">
        <v>520.43543681084805</v>
      </c>
      <c r="M5282">
        <v>9.0230575391939194</v>
      </c>
      <c r="N5282">
        <v>57.678377150089403</v>
      </c>
      <c r="O5282">
        <v>55.056770952422603</v>
      </c>
      <c r="P5282">
        <v>-4.1001078924588603E-2</v>
      </c>
      <c r="Q5282">
        <v>0</v>
      </c>
      <c r="R5282">
        <v>0.94693256509243795</v>
      </c>
      <c r="S5282" t="s">
        <v>10865</v>
      </c>
      <c r="T5282" t="s">
        <v>11164</v>
      </c>
      <c r="U5282" t="s">
        <v>11164</v>
      </c>
      <c r="V5282" t="s">
        <v>11164</v>
      </c>
      <c r="W5282" t="s">
        <v>16400</v>
      </c>
      <c r="X5282">
        <v>8</v>
      </c>
      <c r="Y5282" t="s">
        <v>21862</v>
      </c>
      <c r="Z5282" t="s">
        <v>27432</v>
      </c>
      <c r="AA5282">
        <v>0.67840025908652468</v>
      </c>
      <c r="AB5282" t="str">
        <f>HYPERLINK("Melting_Curves/meltCurve_Q9UJ70_NAGK.pdf", "Melting_Curves/meltCurve_Q9UJ70_NAGK.pdf")</f>
        <v>Melting_Curves/meltCurve_Q9UJ70_NAGK.pdf</v>
      </c>
    </row>
    <row r="5283" spans="1:28" x14ac:dyDescent="0.25">
      <c r="A5283" t="s">
        <v>5287</v>
      </c>
      <c r="B5283">
        <v>0.99796759195183404</v>
      </c>
      <c r="C5283">
        <v>1.0015832604149599</v>
      </c>
      <c r="D5283">
        <v>0.94359482595117095</v>
      </c>
      <c r="E5283">
        <v>0.89499885205598595</v>
      </c>
      <c r="F5283">
        <v>0.83521206933846104</v>
      </c>
      <c r="G5283">
        <v>1.3880535006216701</v>
      </c>
      <c r="H5283">
        <v>1.2226929904654</v>
      </c>
      <c r="I5283">
        <v>0.86463652668643998</v>
      </c>
      <c r="J5283">
        <v>0.33141535722208498</v>
      </c>
      <c r="K5283">
        <v>0.18429358207018801</v>
      </c>
      <c r="L5283">
        <v>4089.2006711079998</v>
      </c>
      <c r="M5283">
        <v>65.307687758215394</v>
      </c>
      <c r="N5283">
        <v>63.035832057346802</v>
      </c>
      <c r="O5283">
        <v>62.555752718887298</v>
      </c>
      <c r="P5283">
        <v>-0.21482803534054001</v>
      </c>
      <c r="Q5283">
        <v>0.17689778038734599</v>
      </c>
      <c r="R5283">
        <v>0.79670302825295303</v>
      </c>
      <c r="S5283" t="s">
        <v>10866</v>
      </c>
      <c r="T5283" t="s">
        <v>11164</v>
      </c>
      <c r="U5283" t="s">
        <v>11164</v>
      </c>
      <c r="V5283" t="s">
        <v>11164</v>
      </c>
      <c r="W5283" t="s">
        <v>16401</v>
      </c>
      <c r="X5283">
        <v>9</v>
      </c>
      <c r="Y5283" t="s">
        <v>21863</v>
      </c>
      <c r="Z5283" t="s">
        <v>27433</v>
      </c>
      <c r="AA5283">
        <v>0.88057184810123557</v>
      </c>
      <c r="AB5283" t="str">
        <f>HYPERLINK("Melting_Curves/meltCurve_Q9UJA5_TRMT6.pdf", "Melting_Curves/meltCurve_Q9UJA5_TRMT6.pdf")</f>
        <v>Melting_Curves/meltCurve_Q9UJA5_TRMT6.pdf</v>
      </c>
    </row>
    <row r="5284" spans="1:28" x14ac:dyDescent="0.25">
      <c r="A5284" t="s">
        <v>5288</v>
      </c>
      <c r="B5284">
        <v>0.99796759195183404</v>
      </c>
      <c r="C5284">
        <v>0.94032921485916998</v>
      </c>
      <c r="D5284">
        <v>0.96595015012050101</v>
      </c>
      <c r="E5284">
        <v>0.87457233948804602</v>
      </c>
      <c r="F5284">
        <v>0.77653864383256199</v>
      </c>
      <c r="G5284">
        <v>0.78483602995452595</v>
      </c>
      <c r="H5284">
        <v>0.64089330511891196</v>
      </c>
      <c r="I5284">
        <v>0.49057584971250701</v>
      </c>
      <c r="J5284">
        <v>0.50437769194348903</v>
      </c>
      <c r="K5284">
        <v>0.26968629816326301</v>
      </c>
      <c r="L5284">
        <v>435.09642588375999</v>
      </c>
      <c r="M5284">
        <v>7.0894794070865697</v>
      </c>
      <c r="N5284">
        <v>61.3721257696875</v>
      </c>
      <c r="O5284">
        <v>57.050522884373002</v>
      </c>
      <c r="P5284">
        <v>-3.1121645078739098E-2</v>
      </c>
      <c r="Q5284">
        <v>0</v>
      </c>
      <c r="R5284">
        <v>0.95685016796782696</v>
      </c>
      <c r="S5284" t="s">
        <v>10867</v>
      </c>
      <c r="T5284" t="s">
        <v>11164</v>
      </c>
      <c r="U5284" t="s">
        <v>11164</v>
      </c>
      <c r="V5284" t="s">
        <v>11164</v>
      </c>
      <c r="W5284" t="s">
        <v>16402</v>
      </c>
      <c r="X5284">
        <v>27</v>
      </c>
      <c r="Y5284" t="s">
        <v>21864</v>
      </c>
      <c r="Z5284" t="s">
        <v>27434</v>
      </c>
      <c r="AA5284">
        <v>0.73977231451742476</v>
      </c>
      <c r="AB5284" t="str">
        <f>HYPERLINK("Melting_Curves/meltCurve_Q9UJS0_SLC25A13.pdf", "Melting_Curves/meltCurve_Q9UJS0_SLC25A13.pdf")</f>
        <v>Melting_Curves/meltCurve_Q9UJS0_SLC25A13.pdf</v>
      </c>
    </row>
    <row r="5285" spans="1:28" x14ac:dyDescent="0.25">
      <c r="A5285" t="s">
        <v>5289</v>
      </c>
      <c r="B5285">
        <v>0.99796759195183404</v>
      </c>
      <c r="C5285">
        <v>1.0661977161520499</v>
      </c>
      <c r="D5285">
        <v>1.0013648886102</v>
      </c>
      <c r="E5285">
        <v>0.96283267072357404</v>
      </c>
      <c r="F5285">
        <v>0.79353377195619901</v>
      </c>
      <c r="G5285">
        <v>0.34291050249093002</v>
      </c>
      <c r="H5285">
        <v>0.23929211284989099</v>
      </c>
      <c r="I5285">
        <v>0.18279317240481199</v>
      </c>
      <c r="J5285">
        <v>0.193148951081869</v>
      </c>
      <c r="K5285">
        <v>0.18766272704901801</v>
      </c>
      <c r="L5285">
        <v>1812.2211477508799</v>
      </c>
      <c r="M5285">
        <v>35.075811333025399</v>
      </c>
      <c r="N5285">
        <v>52.388615018760397</v>
      </c>
      <c r="O5285">
        <v>51.498768396216597</v>
      </c>
      <c r="P5285">
        <v>-0.137613468366141</v>
      </c>
      <c r="Q5285">
        <v>0.19181924569247499</v>
      </c>
      <c r="R5285">
        <v>0.99597415255774402</v>
      </c>
      <c r="S5285" t="s">
        <v>10868</v>
      </c>
      <c r="T5285" t="s">
        <v>11164</v>
      </c>
      <c r="U5285" t="s">
        <v>11164</v>
      </c>
      <c r="V5285" t="s">
        <v>11164</v>
      </c>
      <c r="W5285" t="s">
        <v>16403</v>
      </c>
      <c r="X5285">
        <v>25</v>
      </c>
      <c r="Y5285" t="s">
        <v>21865</v>
      </c>
      <c r="Z5285" t="s">
        <v>27435</v>
      </c>
      <c r="AA5285">
        <v>0.59064862925412676</v>
      </c>
      <c r="AB5285" t="str">
        <f>HYPERLINK("Melting_Curves/meltCurve_Q9UJU6_DBNL.pdf", "Melting_Curves/meltCurve_Q9UJU6_DBNL.pdf")</f>
        <v>Melting_Curves/meltCurve_Q9UJU6_DBNL.pdf</v>
      </c>
    </row>
    <row r="5286" spans="1:28" x14ac:dyDescent="0.25">
      <c r="A5286" t="s">
        <v>5290</v>
      </c>
      <c r="B5286">
        <v>0.99796759195183404</v>
      </c>
      <c r="C5286">
        <v>1.0625791303829999</v>
      </c>
      <c r="D5286">
        <v>0.89967343614290496</v>
      </c>
      <c r="E5286">
        <v>1.1169915645817601</v>
      </c>
      <c r="F5286">
        <v>0.87756977143886605</v>
      </c>
      <c r="G5286">
        <v>0.28255668967609898</v>
      </c>
      <c r="H5286">
        <v>0.16340417231002499</v>
      </c>
      <c r="I5286">
        <v>6.6290386363962395E-2</v>
      </c>
      <c r="J5286">
        <v>5.1981509423455599E-2</v>
      </c>
      <c r="K5286">
        <v>9.5221045824286601E-2</v>
      </c>
      <c r="L5286">
        <v>2354.3806156400401</v>
      </c>
      <c r="M5286">
        <v>45.019445783346299</v>
      </c>
      <c r="N5286">
        <v>52.5230105643722</v>
      </c>
      <c r="O5286">
        <v>52.194094893770398</v>
      </c>
      <c r="P5286">
        <v>-0.19664459213930899</v>
      </c>
      <c r="Q5286">
        <v>8.8067559796266501E-2</v>
      </c>
      <c r="R5286">
        <v>0.98232607037887198</v>
      </c>
      <c r="S5286" t="s">
        <v>10869</v>
      </c>
      <c r="T5286" t="s">
        <v>11164</v>
      </c>
      <c r="U5286" t="s">
        <v>11164</v>
      </c>
      <c r="V5286" t="s">
        <v>11164</v>
      </c>
      <c r="W5286" t="s">
        <v>16404</v>
      </c>
      <c r="X5286">
        <v>23</v>
      </c>
      <c r="Y5286" t="s">
        <v>21865</v>
      </c>
      <c r="Z5286" t="s">
        <v>27436</v>
      </c>
      <c r="AA5286">
        <v>0.5556561777937058</v>
      </c>
      <c r="AB5286" t="str">
        <f>HYPERLINK("Melting_Curves/meltCurve_Q9UJU6_2_DBNL.pdf", "Melting_Curves/meltCurve_Q9UJU6_2_DBNL.pdf")</f>
        <v>Melting_Curves/meltCurve_Q9UJU6_2_DBNL.pdf</v>
      </c>
    </row>
    <row r="5287" spans="1:28" x14ac:dyDescent="0.25">
      <c r="A5287" t="s">
        <v>5291</v>
      </c>
      <c r="B5287">
        <v>0.99796759195183404</v>
      </c>
      <c r="C5287">
        <v>1.01423090956405</v>
      </c>
      <c r="D5287">
        <v>0.96496138783223195</v>
      </c>
      <c r="E5287">
        <v>0.84250334752182099</v>
      </c>
      <c r="F5287">
        <v>0.68288769668272498</v>
      </c>
      <c r="G5287">
        <v>0.903567950665641</v>
      </c>
      <c r="H5287">
        <v>0.65479316415243305</v>
      </c>
      <c r="I5287">
        <v>0.66268763131777997</v>
      </c>
      <c r="J5287">
        <v>0.81278236922062197</v>
      </c>
      <c r="K5287">
        <v>0.84937563688088202</v>
      </c>
      <c r="L5287">
        <v>1916.12847138404</v>
      </c>
      <c r="M5287">
        <v>42.038358104671097</v>
      </c>
      <c r="O5287">
        <v>45.4776919247414</v>
      </c>
      <c r="P5287">
        <v>-5.5067909697546699E-2</v>
      </c>
      <c r="Q5287">
        <v>0.76170739418051103</v>
      </c>
      <c r="R5287">
        <v>0.64351503823898404</v>
      </c>
      <c r="S5287" t="s">
        <v>10870</v>
      </c>
      <c r="T5287" t="s">
        <v>11164</v>
      </c>
      <c r="U5287" t="s">
        <v>11164</v>
      </c>
      <c r="V5287" t="s">
        <v>11164</v>
      </c>
      <c r="W5287" t="s">
        <v>16405</v>
      </c>
      <c r="X5287">
        <v>5</v>
      </c>
      <c r="Y5287" t="s">
        <v>21866</v>
      </c>
      <c r="Z5287" t="s">
        <v>27437</v>
      </c>
      <c r="AA5287">
        <v>0.83054252755855651</v>
      </c>
      <c r="AB5287" t="str">
        <f>HYPERLINK("Melting_Curves/meltCurve_Q9UJW0_2_DCTN4.pdf", "Melting_Curves/meltCurve_Q9UJW0_2_DCTN4.pdf")</f>
        <v>Melting_Curves/meltCurve_Q9UJW0_2_DCTN4.pdf</v>
      </c>
    </row>
    <row r="5288" spans="1:28" x14ac:dyDescent="0.25">
      <c r="A5288" t="s">
        <v>5292</v>
      </c>
      <c r="B5288">
        <v>0.99796759195183404</v>
      </c>
      <c r="C5288">
        <v>1.00084877983459</v>
      </c>
      <c r="D5288">
        <v>0.94255933566750005</v>
      </c>
      <c r="E5288">
        <v>0.55286914940602605</v>
      </c>
      <c r="F5288">
        <v>0.34699719117566902</v>
      </c>
      <c r="G5288">
        <v>0.32216533101614397</v>
      </c>
      <c r="H5288">
        <v>0.342561925404469</v>
      </c>
      <c r="I5288">
        <v>0.17719602300859399</v>
      </c>
      <c r="J5288">
        <v>0.17184730854275501</v>
      </c>
      <c r="K5288">
        <v>0.16118667713338999</v>
      </c>
      <c r="L5288">
        <v>1058.0289197801001</v>
      </c>
      <c r="M5288">
        <v>22.780431491048699</v>
      </c>
      <c r="N5288">
        <v>47.675531992264098</v>
      </c>
      <c r="O5288">
        <v>46.091180411990003</v>
      </c>
      <c r="P5288">
        <v>-9.6093297580916601E-2</v>
      </c>
      <c r="Q5288">
        <v>0.22232071865664699</v>
      </c>
      <c r="R5288">
        <v>0.97252003884513705</v>
      </c>
      <c r="S5288" t="s">
        <v>10871</v>
      </c>
      <c r="T5288" t="s">
        <v>11164</v>
      </c>
      <c r="U5288" t="s">
        <v>11164</v>
      </c>
      <c r="V5288" t="s">
        <v>11164</v>
      </c>
      <c r="W5288" t="s">
        <v>16406</v>
      </c>
      <c r="X5288">
        <v>2</v>
      </c>
      <c r="Y5288" t="s">
        <v>21867</v>
      </c>
      <c r="Z5288" t="s">
        <v>27438</v>
      </c>
      <c r="AA5288">
        <v>0.47497632836580539</v>
      </c>
      <c r="AB5288" t="str">
        <f>HYPERLINK("Melting_Curves/meltCurve_Q9UJX2_3_CDC23.pdf", "Melting_Curves/meltCurve_Q9UJX2_3_CDC23.pdf")</f>
        <v>Melting_Curves/meltCurve_Q9UJX2_3_CDC23.pdf</v>
      </c>
    </row>
    <row r="5289" spans="1:28" x14ac:dyDescent="0.25">
      <c r="A5289" t="s">
        <v>5293</v>
      </c>
      <c r="B5289">
        <v>0.99796759195183404</v>
      </c>
      <c r="C5289">
        <v>1.06923451947989</v>
      </c>
      <c r="D5289">
        <v>1.0060033265360599</v>
      </c>
      <c r="E5289">
        <v>0.89442901188941104</v>
      </c>
      <c r="F5289">
        <v>0.61771888767990102</v>
      </c>
      <c r="G5289">
        <v>0.53110648550038397</v>
      </c>
      <c r="H5289">
        <v>0.37247199633067102</v>
      </c>
      <c r="I5289">
        <v>0.27619697427638801</v>
      </c>
      <c r="J5289">
        <v>0.17186695450133699</v>
      </c>
      <c r="K5289">
        <v>0.13138560054906501</v>
      </c>
      <c r="L5289">
        <v>660.38915499379402</v>
      </c>
      <c r="M5289">
        <v>12.425015814694101</v>
      </c>
      <c r="N5289">
        <v>54.011923706283902</v>
      </c>
      <c r="O5289">
        <v>51.829533425547403</v>
      </c>
      <c r="P5289">
        <v>-5.4553775672273798E-2</v>
      </c>
      <c r="Q5289">
        <v>8.99326960793638E-2</v>
      </c>
      <c r="R5289">
        <v>0.98251411906220099</v>
      </c>
      <c r="S5289" t="s">
        <v>10872</v>
      </c>
      <c r="T5289" t="s">
        <v>11164</v>
      </c>
      <c r="U5289" t="s">
        <v>11164</v>
      </c>
      <c r="V5289" t="s">
        <v>11164</v>
      </c>
      <c r="W5289" t="s">
        <v>16407</v>
      </c>
      <c r="X5289">
        <v>7</v>
      </c>
      <c r="Y5289" t="s">
        <v>21868</v>
      </c>
      <c r="Z5289" t="s">
        <v>27439</v>
      </c>
      <c r="AA5289">
        <v>0.59829935674315338</v>
      </c>
      <c r="AB5289" t="str">
        <f>HYPERLINK("Melting_Curves/meltCurve_Q9UJX3_2_ANAPC7.pdf", "Melting_Curves/meltCurve_Q9UJX3_2_ANAPC7.pdf")</f>
        <v>Melting_Curves/meltCurve_Q9UJX3_2_ANAPC7.pdf</v>
      </c>
    </row>
    <row r="5290" spans="1:28" x14ac:dyDescent="0.25">
      <c r="A5290" t="s">
        <v>5294</v>
      </c>
      <c r="B5290">
        <v>0.99796759195183404</v>
      </c>
      <c r="C5290">
        <v>1.03112927864801</v>
      </c>
      <c r="D5290">
        <v>0.96261030332279895</v>
      </c>
      <c r="E5290">
        <v>0.92202739602341599</v>
      </c>
      <c r="F5290">
        <v>0.86886046566872799</v>
      </c>
      <c r="G5290">
        <v>0.95977483932417196</v>
      </c>
      <c r="H5290">
        <v>0.60888946079628103</v>
      </c>
      <c r="I5290">
        <v>0.43260928561870798</v>
      </c>
      <c r="J5290">
        <v>0.23867370284599401</v>
      </c>
      <c r="K5290">
        <v>0.21068594252154599</v>
      </c>
      <c r="L5290">
        <v>1156.35108192551</v>
      </c>
      <c r="M5290">
        <v>19.734635414541099</v>
      </c>
      <c r="N5290">
        <v>59.5061179694682</v>
      </c>
      <c r="O5290">
        <v>58.003293840393901</v>
      </c>
      <c r="P5290">
        <v>-7.39697675114247E-2</v>
      </c>
      <c r="Q5290">
        <v>0.13039325760721199</v>
      </c>
      <c r="R5290">
        <v>0.96916712229230895</v>
      </c>
      <c r="S5290" t="s">
        <v>10873</v>
      </c>
      <c r="T5290" t="s">
        <v>11164</v>
      </c>
      <c r="U5290" t="s">
        <v>11164</v>
      </c>
      <c r="V5290" t="s">
        <v>11164</v>
      </c>
      <c r="W5290" t="s">
        <v>16408</v>
      </c>
      <c r="X5290">
        <v>1</v>
      </c>
      <c r="Y5290" t="s">
        <v>21869</v>
      </c>
      <c r="Z5290" t="s">
        <v>27440</v>
      </c>
      <c r="AA5290">
        <v>0.76085580972611</v>
      </c>
      <c r="AB5290" t="str">
        <f>HYPERLINK("Melting_Curves/meltCurve_Q9UJX5_2_ANAPC4.pdf", "Melting_Curves/meltCurve_Q9UJX5_2_ANAPC4.pdf")</f>
        <v>Melting_Curves/meltCurve_Q9UJX5_2_ANAPC4.pdf</v>
      </c>
    </row>
    <row r="5291" spans="1:28" x14ac:dyDescent="0.25">
      <c r="A5291" t="s">
        <v>5295</v>
      </c>
      <c r="B5291">
        <v>0.99796759195183404</v>
      </c>
      <c r="C5291">
        <v>1.0414381760766001</v>
      </c>
      <c r="D5291">
        <v>1.0244344578653699</v>
      </c>
      <c r="E5291">
        <v>0.89972689402811701</v>
      </c>
      <c r="F5291">
        <v>0.75825688943857095</v>
      </c>
      <c r="G5291">
        <v>0.55470382148129904</v>
      </c>
      <c r="H5291">
        <v>0.347100040482546</v>
      </c>
      <c r="I5291">
        <v>0.24657420798315099</v>
      </c>
      <c r="J5291">
        <v>0.17394574699086801</v>
      </c>
      <c r="K5291">
        <v>0.114574739179338</v>
      </c>
      <c r="L5291">
        <v>770.08055383684098</v>
      </c>
      <c r="M5291">
        <v>14.2575768244833</v>
      </c>
      <c r="N5291">
        <v>54.657053544134399</v>
      </c>
      <c r="O5291">
        <v>52.982793576072197</v>
      </c>
      <c r="P5291">
        <v>-6.2072917477883703E-2</v>
      </c>
      <c r="Q5291">
        <v>7.7433311252134998E-2</v>
      </c>
      <c r="R5291">
        <v>0.99555540828672295</v>
      </c>
      <c r="S5291" t="s">
        <v>10874</v>
      </c>
      <c r="T5291" t="s">
        <v>11164</v>
      </c>
      <c r="U5291" t="s">
        <v>11164</v>
      </c>
      <c r="V5291" t="s">
        <v>11164</v>
      </c>
      <c r="W5291" t="s">
        <v>16409</v>
      </c>
      <c r="X5291">
        <v>5</v>
      </c>
      <c r="Y5291" t="s">
        <v>21870</v>
      </c>
      <c r="Z5291" t="s">
        <v>27441</v>
      </c>
      <c r="AA5291">
        <v>0.61601974272832827</v>
      </c>
      <c r="AB5291" t="str">
        <f>HYPERLINK("Melting_Curves/meltCurve_Q9UJX6_2_ANAPC2.pdf", "Melting_Curves/meltCurve_Q9UJX6_2_ANAPC2.pdf")</f>
        <v>Melting_Curves/meltCurve_Q9UJX6_2_ANAPC2.pdf</v>
      </c>
    </row>
    <row r="5292" spans="1:28" x14ac:dyDescent="0.25">
      <c r="A5292" t="s">
        <v>5296</v>
      </c>
      <c r="B5292">
        <v>0.99796759195183404</v>
      </c>
      <c r="C5292">
        <v>0.97751183574074696</v>
      </c>
      <c r="D5292">
        <v>0.96929964609483898</v>
      </c>
      <c r="E5292">
        <v>0.85263139077009198</v>
      </c>
      <c r="F5292">
        <v>0.82028867191555299</v>
      </c>
      <c r="G5292">
        <v>0.60291837929240799</v>
      </c>
      <c r="H5292">
        <v>0.42234135508236298</v>
      </c>
      <c r="I5292">
        <v>0.42015497501701099</v>
      </c>
      <c r="J5292">
        <v>0.40503165087788401</v>
      </c>
      <c r="K5292">
        <v>0.291396223992412</v>
      </c>
      <c r="L5292">
        <v>692.76339165091395</v>
      </c>
      <c r="M5292">
        <v>13.083605795800599</v>
      </c>
      <c r="N5292">
        <v>56.652226702838298</v>
      </c>
      <c r="O5292">
        <v>51.757823348290998</v>
      </c>
      <c r="P5292">
        <v>-4.5040582589274299E-2</v>
      </c>
      <c r="Q5292">
        <v>0.28741329322893799</v>
      </c>
      <c r="R5292">
        <v>0.98128475104914203</v>
      </c>
      <c r="S5292" t="s">
        <v>10875</v>
      </c>
      <c r="T5292" t="s">
        <v>11164</v>
      </c>
      <c r="U5292" t="s">
        <v>11164</v>
      </c>
      <c r="V5292" t="s">
        <v>11164</v>
      </c>
      <c r="W5292" t="s">
        <v>16410</v>
      </c>
      <c r="X5292">
        <v>3</v>
      </c>
      <c r="Y5292" t="s">
        <v>21871</v>
      </c>
      <c r="Z5292" t="s">
        <v>27442</v>
      </c>
      <c r="AA5292">
        <v>0.68057731870685345</v>
      </c>
      <c r="AB5292" t="str">
        <f>HYPERLINK("Melting_Curves/meltCurve_Q9UJY1_HSPB8.pdf", "Melting_Curves/meltCurve_Q9UJY1_HSPB8.pdf")</f>
        <v>Melting_Curves/meltCurve_Q9UJY1_HSPB8.pdf</v>
      </c>
    </row>
    <row r="5293" spans="1:28" x14ac:dyDescent="0.25">
      <c r="A5293" t="s">
        <v>5297</v>
      </c>
      <c r="B5293">
        <v>0.99796759195183404</v>
      </c>
      <c r="C5293">
        <v>0.96616174799284305</v>
      </c>
      <c r="D5293">
        <v>0.98358735159522903</v>
      </c>
      <c r="E5293">
        <v>0.90279353567996301</v>
      </c>
      <c r="F5293">
        <v>0.55349120816055297</v>
      </c>
      <c r="G5293">
        <v>0.40003123860197198</v>
      </c>
      <c r="H5293">
        <v>0.33150671732547199</v>
      </c>
      <c r="I5293">
        <v>0.28860964992611698</v>
      </c>
      <c r="J5293">
        <v>0.25860798741675101</v>
      </c>
      <c r="K5293">
        <v>0.18177571038794399</v>
      </c>
      <c r="L5293">
        <v>1041.48160993325</v>
      </c>
      <c r="M5293">
        <v>20.863795768192301</v>
      </c>
      <c r="N5293">
        <v>51.585014805687003</v>
      </c>
      <c r="O5293">
        <v>49.466327609988397</v>
      </c>
      <c r="P5293">
        <v>-7.95902773168157E-2</v>
      </c>
      <c r="Q5293">
        <v>0.245213027312258</v>
      </c>
      <c r="R5293">
        <v>0.98827671543484397</v>
      </c>
      <c r="S5293" t="s">
        <v>10876</v>
      </c>
      <c r="T5293" t="s">
        <v>11164</v>
      </c>
      <c r="U5293" t="s">
        <v>11164</v>
      </c>
      <c r="V5293" t="s">
        <v>11164</v>
      </c>
      <c r="W5293" t="s">
        <v>16411</v>
      </c>
      <c r="X5293">
        <v>9</v>
      </c>
      <c r="Y5293" t="s">
        <v>21872</v>
      </c>
      <c r="Z5293" t="s">
        <v>27443</v>
      </c>
      <c r="AA5293">
        <v>0.57945082040011242</v>
      </c>
      <c r="AB5293" t="str">
        <f>HYPERLINK("Melting_Curves/meltCurve_Q9UJY4_GGA2.pdf", "Melting_Curves/meltCurve_Q9UJY4_GGA2.pdf")</f>
        <v>Melting_Curves/meltCurve_Q9UJY4_GGA2.pdf</v>
      </c>
    </row>
    <row r="5294" spans="1:28" x14ac:dyDescent="0.25">
      <c r="A5294" t="s">
        <v>5298</v>
      </c>
      <c r="B5294">
        <v>0.99796759195183404</v>
      </c>
      <c r="C5294">
        <v>1.0789074538710799</v>
      </c>
      <c r="D5294">
        <v>1.0565311277317</v>
      </c>
      <c r="E5294">
        <v>1.03937787436492</v>
      </c>
      <c r="F5294">
        <v>0.87261944641378997</v>
      </c>
      <c r="G5294">
        <v>0.59024715701247499</v>
      </c>
      <c r="H5294">
        <v>0.291852124787982</v>
      </c>
      <c r="I5294">
        <v>0.18443885812595401</v>
      </c>
      <c r="J5294">
        <v>0.12924312688161699</v>
      </c>
      <c r="K5294">
        <v>0.117450164911358</v>
      </c>
      <c r="L5294">
        <v>1329.6225547916999</v>
      </c>
      <c r="M5294">
        <v>24.565735993174201</v>
      </c>
      <c r="N5294">
        <v>54.7185067375881</v>
      </c>
      <c r="O5294">
        <v>53.7702429294052</v>
      </c>
      <c r="P5294">
        <v>-0.100861285282818</v>
      </c>
      <c r="Q5294">
        <v>0.11693952483202601</v>
      </c>
      <c r="R5294">
        <v>0.99155634634768197</v>
      </c>
      <c r="S5294" t="s">
        <v>10877</v>
      </c>
      <c r="T5294" t="s">
        <v>11164</v>
      </c>
      <c r="U5294" t="s">
        <v>11164</v>
      </c>
      <c r="V5294" t="s">
        <v>11164</v>
      </c>
      <c r="W5294" t="s">
        <v>16412</v>
      </c>
      <c r="X5294">
        <v>12</v>
      </c>
      <c r="Y5294" t="s">
        <v>21873</v>
      </c>
      <c r="Z5294" t="s">
        <v>27444</v>
      </c>
      <c r="AA5294">
        <v>0.62893061556564378</v>
      </c>
      <c r="AB5294" t="str">
        <f>HYPERLINK("Melting_Curves/meltCurve_Q9UJY5_4_GGA1.pdf", "Melting_Curves/meltCurve_Q9UJY5_4_GGA1.pdf")</f>
        <v>Melting_Curves/meltCurve_Q9UJY5_4_GGA1.pdf</v>
      </c>
    </row>
    <row r="5295" spans="1:28" x14ac:dyDescent="0.25">
      <c r="A5295" t="s">
        <v>5299</v>
      </c>
      <c r="B5295">
        <v>0.99796759195183404</v>
      </c>
      <c r="C5295">
        <v>1.0136438188249299</v>
      </c>
      <c r="D5295">
        <v>0.96367488353436703</v>
      </c>
      <c r="E5295">
        <v>0.914054512902293</v>
      </c>
      <c r="F5295">
        <v>0.90408361488606104</v>
      </c>
      <c r="G5295">
        <v>0.69967456325554001</v>
      </c>
      <c r="H5295">
        <v>0.84337418720817003</v>
      </c>
      <c r="I5295">
        <v>1.16846389282715</v>
      </c>
      <c r="J5295">
        <v>1.04062815805598</v>
      </c>
      <c r="K5295">
        <v>1.19947706544746</v>
      </c>
      <c r="L5295">
        <v>1622.5728224392401</v>
      </c>
      <c r="M5295">
        <v>23.763978974554</v>
      </c>
      <c r="Q5295">
        <v>1.4962243303429199</v>
      </c>
      <c r="R5295">
        <v>0.19890914474888199</v>
      </c>
      <c r="S5295" t="s">
        <v>10878</v>
      </c>
      <c r="T5295" t="s">
        <v>11164</v>
      </c>
      <c r="U5295" t="s">
        <v>11164</v>
      </c>
      <c r="V5295" t="s">
        <v>11164</v>
      </c>
      <c r="W5295" t="s">
        <v>16413</v>
      </c>
      <c r="X5295">
        <v>17</v>
      </c>
      <c r="Y5295" t="s">
        <v>21874</v>
      </c>
      <c r="Z5295" t="s">
        <v>27445</v>
      </c>
      <c r="AA5295">
        <v>1.020647194864867</v>
      </c>
      <c r="AB5295" t="str">
        <f>HYPERLINK("Melting_Curves/meltCurve_Q9UJZ1_STOML2.pdf", "Melting_Curves/meltCurve_Q9UJZ1_STOML2.pdf")</f>
        <v>Melting_Curves/meltCurve_Q9UJZ1_STOML2.pdf</v>
      </c>
    </row>
    <row r="5296" spans="1:28" x14ac:dyDescent="0.25">
      <c r="A5296" t="s">
        <v>5300</v>
      </c>
      <c r="B5296">
        <v>0.99796759195183404</v>
      </c>
      <c r="C5296">
        <v>0.94970818056420503</v>
      </c>
      <c r="D5296">
        <v>0.94182092034968201</v>
      </c>
      <c r="E5296">
        <v>0.82811456184167398</v>
      </c>
      <c r="F5296">
        <v>0.85450903884701201</v>
      </c>
      <c r="G5296">
        <v>0.61728729324301601</v>
      </c>
      <c r="H5296">
        <v>0.48012237376844102</v>
      </c>
      <c r="I5296">
        <v>0.40937199517761302</v>
      </c>
      <c r="J5296">
        <v>0.51967232739202796</v>
      </c>
      <c r="K5296">
        <v>0.36294439094380998</v>
      </c>
      <c r="L5296">
        <v>621.05276606507698</v>
      </c>
      <c r="M5296">
        <v>11.814428696394099</v>
      </c>
      <c r="N5296">
        <v>58.523364184294898</v>
      </c>
      <c r="O5296">
        <v>51.129096559770197</v>
      </c>
      <c r="P5296">
        <v>-3.7572398654195101E-2</v>
      </c>
      <c r="Q5296">
        <v>0.34976094871046598</v>
      </c>
      <c r="R5296">
        <v>0.94684519519162902</v>
      </c>
      <c r="S5296" t="s">
        <v>10879</v>
      </c>
      <c r="T5296" t="s">
        <v>11164</v>
      </c>
      <c r="U5296" t="s">
        <v>11164</v>
      </c>
      <c r="V5296" t="s">
        <v>11164</v>
      </c>
      <c r="W5296" t="s">
        <v>16414</v>
      </c>
      <c r="X5296">
        <v>2</v>
      </c>
      <c r="Y5296" t="s">
        <v>21875</v>
      </c>
      <c r="Z5296" t="s">
        <v>27446</v>
      </c>
      <c r="AA5296">
        <v>0.7018145061593144</v>
      </c>
      <c r="AB5296" t="str">
        <f>HYPERLINK("Melting_Curves/meltCurve_Q9UK23_NAGPA.pdf", "Melting_Curves/meltCurve_Q9UK23_NAGPA.pdf")</f>
        <v>Melting_Curves/meltCurve_Q9UK23_NAGPA.pdf</v>
      </c>
    </row>
    <row r="5297" spans="1:28" x14ac:dyDescent="0.25">
      <c r="A5297" t="s">
        <v>5301</v>
      </c>
      <c r="B5297">
        <v>0.99796759195183404</v>
      </c>
      <c r="C5297">
        <v>1.0854200116258901</v>
      </c>
      <c r="D5297">
        <v>0.94897292706612502</v>
      </c>
      <c r="E5297">
        <v>0.91894182780608402</v>
      </c>
      <c r="F5297">
        <v>0.94760759496822</v>
      </c>
      <c r="G5297">
        <v>0.91115226020324203</v>
      </c>
      <c r="H5297">
        <v>0.98865182719810496</v>
      </c>
      <c r="I5297">
        <v>0.87807998199061499</v>
      </c>
      <c r="J5297">
        <v>1.35525252554071</v>
      </c>
      <c r="K5297">
        <v>1.3751121658237</v>
      </c>
      <c r="L5297">
        <v>15000</v>
      </c>
      <c r="M5297">
        <v>236.86605750985501</v>
      </c>
      <c r="O5297">
        <v>63.322418161384803</v>
      </c>
      <c r="P5297">
        <v>0.35102664176616</v>
      </c>
      <c r="Q5297">
        <v>1.37536580403977</v>
      </c>
      <c r="R5297">
        <v>0.85597829380005797</v>
      </c>
      <c r="S5297" t="s">
        <v>10880</v>
      </c>
      <c r="T5297" t="s">
        <v>11164</v>
      </c>
      <c r="U5297" t="s">
        <v>11164</v>
      </c>
      <c r="V5297" t="s">
        <v>11164</v>
      </c>
      <c r="W5297" t="s">
        <v>16415</v>
      </c>
      <c r="X5297">
        <v>6</v>
      </c>
      <c r="Y5297" t="s">
        <v>21876</v>
      </c>
      <c r="Z5297" t="s">
        <v>27447</v>
      </c>
      <c r="AA5297">
        <v>1.0459117108721001</v>
      </c>
      <c r="AB5297" t="str">
        <f>HYPERLINK("Melting_Curves/meltCurve_Q9UK45_LSM7.pdf", "Melting_Curves/meltCurve_Q9UK45_LSM7.pdf")</f>
        <v>Melting_Curves/meltCurve_Q9UK45_LSM7.pdf</v>
      </c>
    </row>
    <row r="5298" spans="1:28" x14ac:dyDescent="0.25">
      <c r="A5298" t="s">
        <v>5302</v>
      </c>
      <c r="B5298">
        <v>0.99796759195183404</v>
      </c>
      <c r="C5298">
        <v>0.93828394845352903</v>
      </c>
      <c r="D5298">
        <v>0.98971936753124701</v>
      </c>
      <c r="E5298">
        <v>0.895775736196883</v>
      </c>
      <c r="F5298">
        <v>0.792600289870102</v>
      </c>
      <c r="G5298">
        <v>0.60617780454149295</v>
      </c>
      <c r="H5298">
        <v>0.50514779672119803</v>
      </c>
      <c r="I5298">
        <v>0.32339876565632902</v>
      </c>
      <c r="J5298">
        <v>0.19124379055617199</v>
      </c>
      <c r="K5298">
        <v>9.8951788121680997E-2</v>
      </c>
      <c r="L5298">
        <v>628.40381812108501</v>
      </c>
      <c r="M5298">
        <v>11.1370301717762</v>
      </c>
      <c r="N5298">
        <v>56.4247208469302</v>
      </c>
      <c r="O5298">
        <v>54.697177525661601</v>
      </c>
      <c r="P5298">
        <v>-5.0919498533649701E-2</v>
      </c>
      <c r="Q5298">
        <v>0</v>
      </c>
      <c r="R5298">
        <v>0.990496423650577</v>
      </c>
      <c r="S5298" t="s">
        <v>10881</v>
      </c>
      <c r="T5298" t="s">
        <v>11164</v>
      </c>
      <c r="U5298" t="s">
        <v>11164</v>
      </c>
      <c r="V5298" t="s">
        <v>11164</v>
      </c>
      <c r="W5298" t="s">
        <v>16416</v>
      </c>
      <c r="X5298">
        <v>6</v>
      </c>
      <c r="Y5298" t="s">
        <v>21877</v>
      </c>
      <c r="Z5298" t="s">
        <v>27448</v>
      </c>
      <c r="AA5298">
        <v>0.65365096205231998</v>
      </c>
      <c r="AB5298" t="str">
        <f>HYPERLINK("Melting_Curves/meltCurve_Q9UK59_DBR1.pdf", "Melting_Curves/meltCurve_Q9UK59_DBR1.pdf")</f>
        <v>Melting_Curves/meltCurve_Q9UK59_DBR1.pdf</v>
      </c>
    </row>
    <row r="5299" spans="1:28" x14ac:dyDescent="0.25">
      <c r="A5299" t="s">
        <v>5303</v>
      </c>
      <c r="B5299">
        <v>0.99796759195183404</v>
      </c>
      <c r="C5299">
        <v>1.0769780804036599</v>
      </c>
      <c r="D5299">
        <v>1.06410543039717</v>
      </c>
      <c r="E5299">
        <v>1.02638458458266</v>
      </c>
      <c r="F5299">
        <v>0.95196774284003605</v>
      </c>
      <c r="G5299">
        <v>0.71750794147727204</v>
      </c>
      <c r="H5299">
        <v>0.76646265163918303</v>
      </c>
      <c r="I5299">
        <v>0.71160974429518298</v>
      </c>
      <c r="J5299">
        <v>0.95600050347528998</v>
      </c>
      <c r="K5299">
        <v>0.90673119094238297</v>
      </c>
      <c r="L5299">
        <v>12603.8117045859</v>
      </c>
      <c r="M5299">
        <v>250</v>
      </c>
      <c r="O5299">
        <v>50.4120208217157</v>
      </c>
      <c r="P5299">
        <v>-0.233497872908662</v>
      </c>
      <c r="Q5299">
        <v>0.81166240704078696</v>
      </c>
      <c r="R5299">
        <v>0.64486046976669797</v>
      </c>
      <c r="S5299" t="s">
        <v>10882</v>
      </c>
      <c r="T5299" t="s">
        <v>11164</v>
      </c>
      <c r="U5299" t="s">
        <v>11164</v>
      </c>
      <c r="V5299" t="s">
        <v>11164</v>
      </c>
      <c r="W5299" t="s">
        <v>16417</v>
      </c>
      <c r="X5299">
        <v>12</v>
      </c>
      <c r="Y5299" t="s">
        <v>21878</v>
      </c>
      <c r="Z5299" t="s">
        <v>27449</v>
      </c>
      <c r="AA5299">
        <v>0.89589891392670573</v>
      </c>
      <c r="AB5299" t="str">
        <f>HYPERLINK("Melting_Curves/meltCurve_Q9UK76_HN1.pdf", "Melting_Curves/meltCurve_Q9UK76_HN1.pdf")</f>
        <v>Melting_Curves/meltCurve_Q9UK76_HN1.pdf</v>
      </c>
    </row>
    <row r="5300" spans="1:28" x14ac:dyDescent="0.25">
      <c r="A5300" t="s">
        <v>5304</v>
      </c>
      <c r="B5300">
        <v>0.99796759195183404</v>
      </c>
      <c r="C5300">
        <v>1.04713540586301</v>
      </c>
      <c r="D5300">
        <v>1.0147887054086799</v>
      </c>
      <c r="E5300">
        <v>0.88754247380861295</v>
      </c>
      <c r="F5300">
        <v>0.77968833750518896</v>
      </c>
      <c r="G5300">
        <v>0.70853726660512395</v>
      </c>
      <c r="H5300">
        <v>0.51802011543586701</v>
      </c>
      <c r="I5300">
        <v>0.338304678613429</v>
      </c>
      <c r="J5300">
        <v>0.18409431215213001</v>
      </c>
      <c r="K5300">
        <v>0.16264681534828901</v>
      </c>
      <c r="L5300">
        <v>649.01616782418898</v>
      </c>
      <c r="M5300">
        <v>11.342317240702499</v>
      </c>
      <c r="N5300">
        <v>57.220773742266097</v>
      </c>
      <c r="O5300">
        <v>55.528656089020799</v>
      </c>
      <c r="P5300">
        <v>-5.1080461517379203E-2</v>
      </c>
      <c r="Q5300">
        <v>0</v>
      </c>
      <c r="R5300">
        <v>0.98794435902464095</v>
      </c>
      <c r="S5300" t="s">
        <v>10883</v>
      </c>
      <c r="T5300" t="s">
        <v>11164</v>
      </c>
      <c r="U5300" t="s">
        <v>11164</v>
      </c>
      <c r="V5300" t="s">
        <v>11164</v>
      </c>
      <c r="W5300" t="s">
        <v>16418</v>
      </c>
      <c r="X5300">
        <v>9</v>
      </c>
      <c r="Y5300" t="s">
        <v>21879</v>
      </c>
      <c r="Z5300" t="s">
        <v>27450</v>
      </c>
      <c r="AA5300">
        <v>0.67587884559085554</v>
      </c>
      <c r="AB5300" t="str">
        <f>HYPERLINK("Melting_Curves/meltCurve_Q9UK99_FBXO3.pdf", "Melting_Curves/meltCurve_Q9UK99_FBXO3.pdf")</f>
        <v>Melting_Curves/meltCurve_Q9UK99_FBXO3.pdf</v>
      </c>
    </row>
    <row r="5301" spans="1:28" x14ac:dyDescent="0.25">
      <c r="A5301" t="s">
        <v>5305</v>
      </c>
      <c r="B5301">
        <v>0.99796759195183404</v>
      </c>
      <c r="C5301">
        <v>1.0906065364264499</v>
      </c>
      <c r="D5301">
        <v>1.0825017437556199</v>
      </c>
      <c r="E5301">
        <v>1.0907285291995099</v>
      </c>
      <c r="F5301">
        <v>0.859660539032016</v>
      </c>
      <c r="G5301">
        <v>0.58990269904938197</v>
      </c>
      <c r="H5301">
        <v>0.60239395810722896</v>
      </c>
      <c r="I5301">
        <v>0.43204248800866302</v>
      </c>
      <c r="J5301">
        <v>0.460650255096202</v>
      </c>
      <c r="K5301">
        <v>0.464095101343942</v>
      </c>
      <c r="L5301">
        <v>1651.39823503154</v>
      </c>
      <c r="M5301">
        <v>31.751852717929399</v>
      </c>
      <c r="N5301">
        <v>57.556403804042503</v>
      </c>
      <c r="O5301">
        <v>51.804512241497399</v>
      </c>
      <c r="P5301">
        <v>-8.0207189925075306E-2</v>
      </c>
      <c r="Q5301">
        <v>0.476556813604263</v>
      </c>
      <c r="R5301">
        <v>0.94564056047968104</v>
      </c>
      <c r="S5301" t="s">
        <v>10884</v>
      </c>
      <c r="T5301" t="s">
        <v>11164</v>
      </c>
      <c r="U5301" t="s">
        <v>11164</v>
      </c>
      <c r="V5301" t="s">
        <v>11164</v>
      </c>
      <c r="W5301" t="s">
        <v>16419</v>
      </c>
      <c r="X5301">
        <v>6</v>
      </c>
      <c r="Y5301" t="s">
        <v>21880</v>
      </c>
      <c r="Z5301" t="s">
        <v>27451</v>
      </c>
      <c r="AA5301">
        <v>0.74140489774467588</v>
      </c>
      <c r="AB5301" t="str">
        <f>HYPERLINK("Melting_Curves/meltCurve_Q9UKB3_DNAJC12.pdf", "Melting_Curves/meltCurve_Q9UKB3_DNAJC12.pdf")</f>
        <v>Melting_Curves/meltCurve_Q9UKB3_DNAJC12.pdf</v>
      </c>
    </row>
    <row r="5302" spans="1:28" x14ac:dyDescent="0.25">
      <c r="A5302" t="s">
        <v>5306</v>
      </c>
      <c r="B5302">
        <v>0.99796759195183404</v>
      </c>
      <c r="C5302">
        <v>0.94721342158073196</v>
      </c>
      <c r="D5302">
        <v>0.94007834750647301</v>
      </c>
      <c r="E5302">
        <v>0.90755751501136295</v>
      </c>
      <c r="F5302">
        <v>0.71874075050153297</v>
      </c>
      <c r="G5302">
        <v>0.49532331658141898</v>
      </c>
      <c r="H5302">
        <v>0.29317885289385098</v>
      </c>
      <c r="I5302">
        <v>0.19709066454041599</v>
      </c>
      <c r="J5302">
        <v>0.16193882094419201</v>
      </c>
      <c r="K5302">
        <v>9.4345162155978698E-2</v>
      </c>
      <c r="L5302">
        <v>747.88398555920503</v>
      </c>
      <c r="M5302">
        <v>14.0566281986482</v>
      </c>
      <c r="N5302">
        <v>53.697446507524099</v>
      </c>
      <c r="O5302">
        <v>52.162974913288302</v>
      </c>
      <c r="P5302">
        <v>-6.33036175830793E-2</v>
      </c>
      <c r="Q5302">
        <v>6.0464604828885701E-2</v>
      </c>
      <c r="R5302">
        <v>0.99660606016851006</v>
      </c>
      <c r="S5302" t="s">
        <v>10885</v>
      </c>
      <c r="T5302" t="s">
        <v>11164</v>
      </c>
      <c r="U5302" t="s">
        <v>11164</v>
      </c>
      <c r="V5302" t="s">
        <v>11164</v>
      </c>
      <c r="W5302" t="s">
        <v>16420</v>
      </c>
      <c r="X5302">
        <v>12</v>
      </c>
      <c r="Y5302" t="s">
        <v>21881</v>
      </c>
      <c r="Z5302" t="s">
        <v>27452</v>
      </c>
      <c r="AA5302">
        <v>0.58539272632448858</v>
      </c>
      <c r="AB5302" t="str">
        <f>HYPERLINK("Melting_Curves/meltCurve_Q9UKF6_CPSF3.pdf", "Melting_Curves/meltCurve_Q9UKF6_CPSF3.pdf")</f>
        <v>Melting_Curves/meltCurve_Q9UKF6_CPSF3.pdf</v>
      </c>
    </row>
    <row r="5303" spans="1:28" x14ac:dyDescent="0.25">
      <c r="A5303" t="s">
        <v>5307</v>
      </c>
      <c r="B5303">
        <v>0.99796759195183404</v>
      </c>
      <c r="C5303">
        <v>1.0189828569361199</v>
      </c>
      <c r="D5303">
        <v>1.0142245046473499</v>
      </c>
      <c r="E5303">
        <v>0.96188472220423804</v>
      </c>
      <c r="F5303">
        <v>0.83070400188050797</v>
      </c>
      <c r="G5303">
        <v>0.47041411624873802</v>
      </c>
      <c r="H5303">
        <v>0.29020513755148503</v>
      </c>
      <c r="I5303">
        <v>0.207479961969323</v>
      </c>
      <c r="J5303">
        <v>0.14972333158034101</v>
      </c>
      <c r="K5303">
        <v>0.12950521060304801</v>
      </c>
      <c r="L5303">
        <v>1214.5683276401001</v>
      </c>
      <c r="M5303">
        <v>22.924122548403801</v>
      </c>
      <c r="N5303">
        <v>53.773599839127201</v>
      </c>
      <c r="O5303">
        <v>52.583872671459098</v>
      </c>
      <c r="P5303">
        <v>-9.3383614074877497E-2</v>
      </c>
      <c r="Q5303">
        <v>0.14319443492220901</v>
      </c>
      <c r="R5303">
        <v>0.99754912457932599</v>
      </c>
      <c r="S5303" t="s">
        <v>10886</v>
      </c>
      <c r="T5303" t="s">
        <v>11164</v>
      </c>
      <c r="U5303" t="s">
        <v>11164</v>
      </c>
      <c r="V5303" t="s">
        <v>11164</v>
      </c>
      <c r="W5303" t="s">
        <v>16421</v>
      </c>
      <c r="X5303">
        <v>14</v>
      </c>
      <c r="Y5303" t="s">
        <v>21882</v>
      </c>
      <c r="Z5303" t="s">
        <v>27453</v>
      </c>
      <c r="AA5303">
        <v>0.60840131094623784</v>
      </c>
      <c r="AB5303" t="str">
        <f>HYPERLINK("Melting_Curves/meltCurve_Q9UKG1_APPL1.pdf", "Melting_Curves/meltCurve_Q9UKG1_APPL1.pdf")</f>
        <v>Melting_Curves/meltCurve_Q9UKG1_APPL1.pdf</v>
      </c>
    </row>
    <row r="5304" spans="1:28" x14ac:dyDescent="0.25">
      <c r="A5304" t="s">
        <v>5308</v>
      </c>
      <c r="B5304">
        <v>0.99796759195183404</v>
      </c>
      <c r="C5304">
        <v>0.81689364394520203</v>
      </c>
      <c r="D5304">
        <v>1.1858551085055999</v>
      </c>
      <c r="E5304">
        <v>0.79751856609807503</v>
      </c>
      <c r="F5304">
        <v>0.71387854783865601</v>
      </c>
      <c r="G5304">
        <v>0.72004172634225205</v>
      </c>
      <c r="H5304">
        <v>0.119475783441909</v>
      </c>
      <c r="I5304">
        <v>9.5220011882123201E-2</v>
      </c>
      <c r="J5304">
        <v>0</v>
      </c>
      <c r="K5304">
        <v>0</v>
      </c>
      <c r="L5304">
        <v>1071.8197648508699</v>
      </c>
      <c r="M5304">
        <v>19.797295834036401</v>
      </c>
      <c r="N5304">
        <v>54.139705646952898</v>
      </c>
      <c r="O5304">
        <v>53.596383532895203</v>
      </c>
      <c r="P5304">
        <v>-9.2347494347105805E-2</v>
      </c>
      <c r="Q5304">
        <v>0</v>
      </c>
      <c r="R5304">
        <v>0.90892878191342596</v>
      </c>
      <c r="S5304" t="s">
        <v>10887</v>
      </c>
      <c r="T5304" t="s">
        <v>11164</v>
      </c>
      <c r="U5304" t="s">
        <v>11164</v>
      </c>
      <c r="V5304" t="s">
        <v>11164</v>
      </c>
      <c r="W5304" t="s">
        <v>16422</v>
      </c>
      <c r="X5304">
        <v>6</v>
      </c>
      <c r="Y5304" t="s">
        <v>21883</v>
      </c>
      <c r="Z5304" t="s">
        <v>27454</v>
      </c>
      <c r="AA5304">
        <v>0.58348255519950365</v>
      </c>
      <c r="AB5304" t="str">
        <f>HYPERLINK("Melting_Curves/meltCurve_Q9UKI8_TLK1.pdf", "Melting_Curves/meltCurve_Q9UKI8_TLK1.pdf")</f>
        <v>Melting_Curves/meltCurve_Q9UKI8_TLK1.pdf</v>
      </c>
    </row>
    <row r="5305" spans="1:28" x14ac:dyDescent="0.25">
      <c r="A5305" t="s">
        <v>5309</v>
      </c>
      <c r="B5305">
        <v>0.99796759195183404</v>
      </c>
      <c r="C5305">
        <v>0.96788315910575595</v>
      </c>
      <c r="D5305">
        <v>0.90751493081712198</v>
      </c>
      <c r="E5305">
        <v>0.85769724261354996</v>
      </c>
      <c r="F5305">
        <v>0.76195885182590295</v>
      </c>
      <c r="G5305">
        <v>0.51699160182748705</v>
      </c>
      <c r="H5305">
        <v>0.384098138188114</v>
      </c>
      <c r="I5305">
        <v>0.34262475436431</v>
      </c>
      <c r="J5305">
        <v>0.31527582606208299</v>
      </c>
      <c r="K5305">
        <v>0.24483211534065999</v>
      </c>
      <c r="L5305">
        <v>646.80249916505704</v>
      </c>
      <c r="M5305">
        <v>12.3412190013944</v>
      </c>
      <c r="N5305">
        <v>54.855622989210602</v>
      </c>
      <c r="O5305">
        <v>51.090861467855802</v>
      </c>
      <c r="P5305">
        <v>-4.7621315062001401E-2</v>
      </c>
      <c r="Q5305">
        <v>0.21158905910623901</v>
      </c>
      <c r="R5305">
        <v>0.99053811207736497</v>
      </c>
      <c r="S5305" t="s">
        <v>10888</v>
      </c>
      <c r="T5305" t="s">
        <v>11164</v>
      </c>
      <c r="U5305" t="s">
        <v>11164</v>
      </c>
      <c r="V5305" t="s">
        <v>11164</v>
      </c>
      <c r="W5305" t="s">
        <v>16423</v>
      </c>
      <c r="X5305">
        <v>4</v>
      </c>
      <c r="Y5305" t="s">
        <v>21884</v>
      </c>
      <c r="Z5305" t="s">
        <v>27455</v>
      </c>
      <c r="AA5305">
        <v>0.63412068943591748</v>
      </c>
      <c r="AB5305" t="str">
        <f>HYPERLINK("Melting_Curves/meltCurve_Q9UKJ3_2_GPATCH8.pdf", "Melting_Curves/meltCurve_Q9UKJ3_2_GPATCH8.pdf")</f>
        <v>Melting_Curves/meltCurve_Q9UKJ3_2_GPATCH8.pdf</v>
      </c>
    </row>
    <row r="5306" spans="1:28" x14ac:dyDescent="0.25">
      <c r="A5306" t="s">
        <v>5310</v>
      </c>
      <c r="B5306">
        <v>0.99796759195183404</v>
      </c>
      <c r="C5306">
        <v>0.99765065087079796</v>
      </c>
      <c r="D5306">
        <v>0.95056953368223496</v>
      </c>
      <c r="E5306">
        <v>0.97054187564914896</v>
      </c>
      <c r="F5306">
        <v>0.87498330976786698</v>
      </c>
      <c r="G5306">
        <v>0.95759848542446901</v>
      </c>
      <c r="H5306">
        <v>0.90461032392549201</v>
      </c>
      <c r="I5306">
        <v>0.97193369494925597</v>
      </c>
      <c r="J5306">
        <v>1.0738764376538901</v>
      </c>
      <c r="K5306">
        <v>1.1775819645629</v>
      </c>
      <c r="L5306">
        <v>15000</v>
      </c>
      <c r="M5306">
        <v>233.67008895498</v>
      </c>
      <c r="O5306">
        <v>64.188364001235101</v>
      </c>
      <c r="P5306">
        <v>0.16162563406833499</v>
      </c>
      <c r="Q5306">
        <v>1.17759201332157</v>
      </c>
      <c r="R5306">
        <v>0.53669713748689896</v>
      </c>
      <c r="S5306" t="s">
        <v>10889</v>
      </c>
      <c r="T5306" t="s">
        <v>11164</v>
      </c>
      <c r="U5306" t="s">
        <v>11164</v>
      </c>
      <c r="V5306" t="s">
        <v>11164</v>
      </c>
      <c r="W5306" t="s">
        <v>16424</v>
      </c>
      <c r="X5306">
        <v>12</v>
      </c>
      <c r="Y5306" t="s">
        <v>17011</v>
      </c>
      <c r="Z5306" t="s">
        <v>27456</v>
      </c>
      <c r="AA5306">
        <v>1.016593486105972</v>
      </c>
      <c r="AB5306" t="str">
        <f>HYPERLINK("Melting_Curves/meltCurve_Q9UKK9_NUDT5.pdf", "Melting_Curves/meltCurve_Q9UKK9_NUDT5.pdf")</f>
        <v>Melting_Curves/meltCurve_Q9UKK9_NUDT5.pdf</v>
      </c>
    </row>
    <row r="5307" spans="1:28" x14ac:dyDescent="0.25">
      <c r="A5307" t="s">
        <v>5311</v>
      </c>
      <c r="B5307">
        <v>0.99796759195183404</v>
      </c>
      <c r="C5307">
        <v>1.03263772310235</v>
      </c>
      <c r="D5307">
        <v>0.996252566328788</v>
      </c>
      <c r="E5307">
        <v>0.96130042331851995</v>
      </c>
      <c r="F5307">
        <v>0.80508399154102595</v>
      </c>
      <c r="G5307">
        <v>0.58649610858266099</v>
      </c>
      <c r="H5307">
        <v>0.31268472480332399</v>
      </c>
      <c r="I5307">
        <v>0.25174883245200003</v>
      </c>
      <c r="J5307">
        <v>0.16810070474466701</v>
      </c>
      <c r="K5307">
        <v>0.140884975419796</v>
      </c>
      <c r="L5307">
        <v>985.13919177664798</v>
      </c>
      <c r="M5307">
        <v>18.287021028148001</v>
      </c>
      <c r="N5307">
        <v>54.751507391260802</v>
      </c>
      <c r="O5307">
        <v>53.239150535982802</v>
      </c>
      <c r="P5307">
        <v>-7.4935327007470104E-2</v>
      </c>
      <c r="Q5307">
        <v>0.12740123918353199</v>
      </c>
      <c r="R5307">
        <v>0.99705834475238397</v>
      </c>
      <c r="S5307" t="s">
        <v>10890</v>
      </c>
      <c r="T5307" t="s">
        <v>11164</v>
      </c>
      <c r="U5307" t="s">
        <v>11164</v>
      </c>
      <c r="V5307" t="s">
        <v>11164</v>
      </c>
      <c r="W5307" t="s">
        <v>16425</v>
      </c>
      <c r="X5307">
        <v>13</v>
      </c>
      <c r="Y5307" t="s">
        <v>21885</v>
      </c>
      <c r="Z5307" t="s">
        <v>27457</v>
      </c>
      <c r="AA5307">
        <v>0.62997877709242378</v>
      </c>
      <c r="AB5307" t="str">
        <f>HYPERLINK("Melting_Curves/meltCurve_Q9UKN8_GTF3C4.pdf", "Melting_Curves/meltCurve_Q9UKN8_GTF3C4.pdf")</f>
        <v>Melting_Curves/meltCurve_Q9UKN8_GTF3C4.pdf</v>
      </c>
    </row>
    <row r="5308" spans="1:28" x14ac:dyDescent="0.25">
      <c r="A5308" t="s">
        <v>5312</v>
      </c>
      <c r="B5308">
        <v>0.99796759195183404</v>
      </c>
      <c r="C5308">
        <v>1.0121841630627499</v>
      </c>
      <c r="D5308">
        <v>1.0192201088308801</v>
      </c>
      <c r="E5308">
        <v>0.99704964874741098</v>
      </c>
      <c r="F5308">
        <v>0.73146328654294301</v>
      </c>
      <c r="G5308">
        <v>0.28806157453928599</v>
      </c>
      <c r="H5308">
        <v>0.244256351040056</v>
      </c>
      <c r="I5308">
        <v>0.233225628138577</v>
      </c>
      <c r="J5308">
        <v>0.22410574679006801</v>
      </c>
      <c r="K5308">
        <v>0.170915210638385</v>
      </c>
      <c r="L5308">
        <v>2193.3262780138998</v>
      </c>
      <c r="M5308">
        <v>43.033370039977903</v>
      </c>
      <c r="N5308">
        <v>51.646494408944399</v>
      </c>
      <c r="O5308">
        <v>50.858339157268802</v>
      </c>
      <c r="P5308">
        <v>-0.165863411605331</v>
      </c>
      <c r="Q5308">
        <v>0.21590853099936</v>
      </c>
      <c r="R5308">
        <v>0.99742459627820501</v>
      </c>
      <c r="S5308" t="s">
        <v>10891</v>
      </c>
      <c r="T5308" t="s">
        <v>11164</v>
      </c>
      <c r="U5308" t="s">
        <v>11164</v>
      </c>
      <c r="V5308" t="s">
        <v>11164</v>
      </c>
      <c r="W5308" t="s">
        <v>16426</v>
      </c>
      <c r="X5308">
        <v>8</v>
      </c>
      <c r="Y5308" t="s">
        <v>21886</v>
      </c>
      <c r="Z5308" t="s">
        <v>27458</v>
      </c>
      <c r="AA5308">
        <v>0.58336497939220611</v>
      </c>
      <c r="AB5308" t="str">
        <f>HYPERLINK("Melting_Curves/meltCurve_Q9UKS6_PACSIN3.pdf", "Melting_Curves/meltCurve_Q9UKS6_PACSIN3.pdf")</f>
        <v>Melting_Curves/meltCurve_Q9UKS6_PACSIN3.pdf</v>
      </c>
    </row>
    <row r="5309" spans="1:28" x14ac:dyDescent="0.25">
      <c r="A5309" t="s">
        <v>5313</v>
      </c>
      <c r="B5309">
        <v>0.99796759195183404</v>
      </c>
      <c r="C5309">
        <v>0.94847696899424405</v>
      </c>
      <c r="D5309">
        <v>0.94602948353615401</v>
      </c>
      <c r="E5309">
        <v>0.91182091878719096</v>
      </c>
      <c r="F5309">
        <v>0.71557078505207605</v>
      </c>
      <c r="G5309">
        <v>0.51989650719430203</v>
      </c>
      <c r="H5309">
        <v>0.43339609827622899</v>
      </c>
      <c r="I5309">
        <v>0.229119672670477</v>
      </c>
      <c r="J5309">
        <v>0.15257652718801701</v>
      </c>
      <c r="K5309">
        <v>8.03133404095311E-2</v>
      </c>
      <c r="L5309">
        <v>621.52799691082998</v>
      </c>
      <c r="M5309">
        <v>11.3540593290543</v>
      </c>
      <c r="N5309">
        <v>54.740581489615302</v>
      </c>
      <c r="O5309">
        <v>53.125007532081597</v>
      </c>
      <c r="P5309">
        <v>-5.34468136558705E-2</v>
      </c>
      <c r="Q5309">
        <v>0</v>
      </c>
      <c r="R5309">
        <v>0.99235345697759203</v>
      </c>
      <c r="S5309" t="s">
        <v>10892</v>
      </c>
      <c r="T5309" t="s">
        <v>11164</v>
      </c>
      <c r="U5309" t="s">
        <v>11164</v>
      </c>
      <c r="V5309" t="s">
        <v>11164</v>
      </c>
      <c r="W5309" t="s">
        <v>16427</v>
      </c>
      <c r="X5309">
        <v>4</v>
      </c>
      <c r="Y5309" t="s">
        <v>21887</v>
      </c>
      <c r="Z5309" t="s">
        <v>27459</v>
      </c>
      <c r="AA5309">
        <v>0.60629946425572923</v>
      </c>
      <c r="AB5309" t="str">
        <f>HYPERLINK("Melting_Curves/meltCurve_Q9UKT4_2_FBXO5.pdf", "Melting_Curves/meltCurve_Q9UKT4_2_FBXO5.pdf")</f>
        <v>Melting_Curves/meltCurve_Q9UKT4_2_FBXO5.pdf</v>
      </c>
    </row>
    <row r="5310" spans="1:28" x14ac:dyDescent="0.25">
      <c r="A5310" t="s">
        <v>5314</v>
      </c>
      <c r="B5310">
        <v>0.99796759195183404</v>
      </c>
      <c r="C5310">
        <v>0.93807965148278205</v>
      </c>
      <c r="D5310">
        <v>0.91030721527330705</v>
      </c>
      <c r="E5310">
        <v>0.77634783198316404</v>
      </c>
      <c r="F5310">
        <v>0.73352882925896201</v>
      </c>
      <c r="G5310">
        <v>0.73007493816367897</v>
      </c>
      <c r="H5310">
        <v>0.60144648473363505</v>
      </c>
      <c r="I5310">
        <v>0.37167684626522601</v>
      </c>
      <c r="J5310">
        <v>0.34786701269348402</v>
      </c>
      <c r="K5310">
        <v>0.16980173035365301</v>
      </c>
      <c r="L5310">
        <v>439.93014562061302</v>
      </c>
      <c r="M5310">
        <v>7.5874404978380099</v>
      </c>
      <c r="N5310">
        <v>57.9813629621205</v>
      </c>
      <c r="O5310">
        <v>54.364752169511902</v>
      </c>
      <c r="P5310">
        <v>-3.4939416813247699E-2</v>
      </c>
      <c r="Q5310">
        <v>0</v>
      </c>
      <c r="R5310">
        <v>0.94963792476884201</v>
      </c>
      <c r="S5310" t="s">
        <v>10893</v>
      </c>
      <c r="T5310" t="s">
        <v>11164</v>
      </c>
      <c r="U5310" t="s">
        <v>11164</v>
      </c>
      <c r="V5310" t="s">
        <v>11164</v>
      </c>
      <c r="W5310" t="s">
        <v>16428</v>
      </c>
      <c r="X5310">
        <v>4</v>
      </c>
      <c r="Y5310" t="s">
        <v>21888</v>
      </c>
      <c r="Z5310" t="s">
        <v>27460</v>
      </c>
      <c r="AA5310">
        <v>0.67522087815022303</v>
      </c>
      <c r="AB5310" t="str">
        <f>HYPERLINK("Melting_Curves/meltCurve_Q9UKU7_ACAD8.pdf", "Melting_Curves/meltCurve_Q9UKU7_ACAD8.pdf")</f>
        <v>Melting_Curves/meltCurve_Q9UKU7_ACAD8.pdf</v>
      </c>
    </row>
    <row r="5311" spans="1:28" x14ac:dyDescent="0.25">
      <c r="A5311" t="s">
        <v>5315</v>
      </c>
      <c r="B5311">
        <v>0.99796759195183404</v>
      </c>
      <c r="C5311">
        <v>0.97494622219023097</v>
      </c>
      <c r="D5311">
        <v>0.96763396643537702</v>
      </c>
      <c r="E5311">
        <v>0.84490300402825502</v>
      </c>
      <c r="F5311">
        <v>0.76885139686050497</v>
      </c>
      <c r="G5311">
        <v>0.49264097765738402</v>
      </c>
      <c r="H5311">
        <v>0.200473804441549</v>
      </c>
      <c r="I5311">
        <v>0.144114351646211</v>
      </c>
      <c r="J5311">
        <v>9.7600534147097295E-2</v>
      </c>
      <c r="K5311">
        <v>7.8218356483849893E-2</v>
      </c>
      <c r="L5311">
        <v>868.98560903993098</v>
      </c>
      <c r="M5311">
        <v>16.362486126157702</v>
      </c>
      <c r="N5311">
        <v>53.345468047501399</v>
      </c>
      <c r="O5311">
        <v>52.334157559966101</v>
      </c>
      <c r="P5311">
        <v>-7.5428246353650794E-2</v>
      </c>
      <c r="Q5311">
        <v>3.5063450808475602E-2</v>
      </c>
      <c r="R5311">
        <v>0.99275239098398405</v>
      </c>
      <c r="S5311" t="s">
        <v>10894</v>
      </c>
      <c r="T5311" t="s">
        <v>11164</v>
      </c>
      <c r="U5311" t="s">
        <v>11164</v>
      </c>
      <c r="V5311" t="s">
        <v>11164</v>
      </c>
      <c r="W5311" t="s">
        <v>16429</v>
      </c>
      <c r="X5311">
        <v>6</v>
      </c>
      <c r="Y5311" t="s">
        <v>21889</v>
      </c>
      <c r="Z5311" t="s">
        <v>27461</v>
      </c>
      <c r="AA5311">
        <v>0.56880471505351171</v>
      </c>
      <c r="AB5311" t="str">
        <f>HYPERLINK("Melting_Curves/meltCurve_Q9UKV5_AMFR.pdf", "Melting_Curves/meltCurve_Q9UKV5_AMFR.pdf")</f>
        <v>Melting_Curves/meltCurve_Q9UKV5_AMFR.pdf</v>
      </c>
    </row>
    <row r="5312" spans="1:28" x14ac:dyDescent="0.25">
      <c r="A5312" t="s">
        <v>5316</v>
      </c>
      <c r="B5312">
        <v>0.99796759195183404</v>
      </c>
      <c r="C5312">
        <v>0.99936758570790996</v>
      </c>
      <c r="D5312">
        <v>0.96084996020712798</v>
      </c>
      <c r="E5312">
        <v>0.85808620616970499</v>
      </c>
      <c r="F5312">
        <v>0.74537742025896603</v>
      </c>
      <c r="G5312">
        <v>0.877186258410386</v>
      </c>
      <c r="H5312">
        <v>0.68459582934975405</v>
      </c>
      <c r="I5312">
        <v>0.39054058485904403</v>
      </c>
      <c r="J5312">
        <v>0.33203216141296799</v>
      </c>
      <c r="K5312">
        <v>0.26873937987296098</v>
      </c>
      <c r="L5312">
        <v>572.81784747140398</v>
      </c>
      <c r="M5312">
        <v>9.5419511897103693</v>
      </c>
      <c r="N5312">
        <v>60.031540835354299</v>
      </c>
      <c r="O5312">
        <v>57.572351100116798</v>
      </c>
      <c r="P5312">
        <v>-4.1458708876278803E-2</v>
      </c>
      <c r="Q5312">
        <v>0</v>
      </c>
      <c r="R5312">
        <v>0.93199984771165001</v>
      </c>
      <c r="S5312" t="s">
        <v>10895</v>
      </c>
      <c r="T5312" t="s">
        <v>11164</v>
      </c>
      <c r="U5312" t="s">
        <v>11164</v>
      </c>
      <c r="V5312" t="s">
        <v>11164</v>
      </c>
      <c r="W5312" t="s">
        <v>16430</v>
      </c>
      <c r="X5312">
        <v>12</v>
      </c>
      <c r="Y5312" t="s">
        <v>21890</v>
      </c>
      <c r="Z5312" t="s">
        <v>27462</v>
      </c>
      <c r="AA5312">
        <v>0.73733473560003582</v>
      </c>
      <c r="AB5312" t="str">
        <f>HYPERLINK("Melting_Curves/meltCurve_Q9UKX7_NUP50.pdf", "Melting_Curves/meltCurve_Q9UKX7_NUP50.pdf")</f>
        <v>Melting_Curves/meltCurve_Q9UKX7_NUP50.pdf</v>
      </c>
    </row>
    <row r="5313" spans="1:28" x14ac:dyDescent="0.25">
      <c r="A5313" t="s">
        <v>5317</v>
      </c>
      <c r="B5313">
        <v>0.99796759195183404</v>
      </c>
      <c r="C5313">
        <v>0.99019482162734096</v>
      </c>
      <c r="D5313">
        <v>1.02515435265051</v>
      </c>
      <c r="E5313">
        <v>0.99160452565162005</v>
      </c>
      <c r="F5313">
        <v>0.86725884324615099</v>
      </c>
      <c r="G5313">
        <v>0.67754664419450905</v>
      </c>
      <c r="H5313">
        <v>0.83125157752309098</v>
      </c>
      <c r="I5313">
        <v>0.87919129187963296</v>
      </c>
      <c r="J5313">
        <v>1.3517377113528899</v>
      </c>
      <c r="K5313">
        <v>1.67500591850769</v>
      </c>
      <c r="L5313">
        <v>15000</v>
      </c>
      <c r="M5313">
        <v>234.87330838001199</v>
      </c>
      <c r="O5313">
        <v>63.8595870971929</v>
      </c>
      <c r="P5313">
        <v>0.45974559077251498</v>
      </c>
      <c r="Q5313">
        <v>1.5</v>
      </c>
      <c r="R5313">
        <v>0.733770038440131</v>
      </c>
      <c r="S5313" t="s">
        <v>10896</v>
      </c>
      <c r="T5313" t="s">
        <v>11164</v>
      </c>
      <c r="U5313" t="s">
        <v>11164</v>
      </c>
      <c r="V5313" t="s">
        <v>11164</v>
      </c>
      <c r="W5313" t="s">
        <v>16431</v>
      </c>
      <c r="X5313">
        <v>14</v>
      </c>
      <c r="Y5313" t="s">
        <v>21891</v>
      </c>
      <c r="Z5313" t="s">
        <v>27463</v>
      </c>
      <c r="AA5313">
        <v>1.052199636911058</v>
      </c>
      <c r="AB5313" t="str">
        <f>HYPERLINK("Melting_Curves/meltCurve_Q9UKY7_CDV3.pdf", "Melting_Curves/meltCurve_Q9UKY7_CDV3.pdf")</f>
        <v>Melting_Curves/meltCurve_Q9UKY7_CDV3.pdf</v>
      </c>
    </row>
    <row r="5314" spans="1:28" x14ac:dyDescent="0.25">
      <c r="A5314" t="s">
        <v>5318</v>
      </c>
      <c r="B5314">
        <v>0.99796759195183404</v>
      </c>
      <c r="C5314">
        <v>0.77607954002898605</v>
      </c>
      <c r="D5314">
        <v>0.79864407942793902</v>
      </c>
      <c r="E5314">
        <v>0.69197835983431899</v>
      </c>
      <c r="F5314">
        <v>0.31437134103629899</v>
      </c>
      <c r="G5314">
        <v>0.24435385250073999</v>
      </c>
      <c r="H5314">
        <v>0.108174015751514</v>
      </c>
      <c r="I5314">
        <v>8.4346655330977294E-2</v>
      </c>
      <c r="J5314">
        <v>3.20851466450277E-2</v>
      </c>
      <c r="K5314">
        <v>2.8209085375307301E-2</v>
      </c>
      <c r="L5314">
        <v>551.91333655154403</v>
      </c>
      <c r="M5314">
        <v>11.488104429861799</v>
      </c>
      <c r="N5314">
        <v>48.042158793715402</v>
      </c>
      <c r="O5314">
        <v>46.655606826561602</v>
      </c>
      <c r="P5314">
        <v>-6.1575581266491403E-2</v>
      </c>
      <c r="Q5314">
        <v>0</v>
      </c>
      <c r="R5314">
        <v>0.97079797526566602</v>
      </c>
      <c r="S5314" t="s">
        <v>10897</v>
      </c>
      <c r="T5314" t="s">
        <v>11164</v>
      </c>
      <c r="U5314" t="s">
        <v>11164</v>
      </c>
      <c r="V5314" t="s">
        <v>11164</v>
      </c>
      <c r="W5314" t="s">
        <v>16432</v>
      </c>
      <c r="X5314">
        <v>1</v>
      </c>
      <c r="Y5314" t="s">
        <v>21892</v>
      </c>
      <c r="Z5314" t="s">
        <v>27464</v>
      </c>
      <c r="AA5314">
        <v>0.40133040654615332</v>
      </c>
      <c r="AB5314" t="str">
        <f>HYPERLINK("Melting_Curves/meltCurve_Q9UKZ1_CNOT11.pdf", "Melting_Curves/meltCurve_Q9UKZ1_CNOT11.pdf")</f>
        <v>Melting_Curves/meltCurve_Q9UKZ1_CNOT11.pdf</v>
      </c>
    </row>
    <row r="5315" spans="1:28" x14ac:dyDescent="0.25">
      <c r="A5315" t="s">
        <v>5319</v>
      </c>
      <c r="B5315">
        <v>0.99796759195183404</v>
      </c>
      <c r="C5315">
        <v>0.89874116128131598</v>
      </c>
      <c r="D5315">
        <v>0.88033238289901306</v>
      </c>
      <c r="E5315">
        <v>0.93044334189437405</v>
      </c>
      <c r="F5315">
        <v>0.80142280195737803</v>
      </c>
      <c r="G5315">
        <v>0.41867510901865601</v>
      </c>
      <c r="H5315">
        <v>0.308972730282491</v>
      </c>
      <c r="I5315">
        <v>0.21622801938216599</v>
      </c>
      <c r="J5315">
        <v>0.187567089762601</v>
      </c>
      <c r="K5315">
        <v>9.8022259719637295E-2</v>
      </c>
      <c r="L5315">
        <v>935.91094503465399</v>
      </c>
      <c r="M5315">
        <v>17.757989158584198</v>
      </c>
      <c r="N5315">
        <v>53.5492434735526</v>
      </c>
      <c r="O5315">
        <v>52.048935299590703</v>
      </c>
      <c r="P5315">
        <v>-7.4870085242501799E-2</v>
      </c>
      <c r="Q5315">
        <v>0.122264268371144</v>
      </c>
      <c r="R5315">
        <v>0.97262617967058795</v>
      </c>
      <c r="S5315" t="s">
        <v>10898</v>
      </c>
      <c r="T5315" t="s">
        <v>11164</v>
      </c>
      <c r="U5315" t="s">
        <v>11164</v>
      </c>
      <c r="V5315" t="s">
        <v>11164</v>
      </c>
      <c r="W5315" t="s">
        <v>16433</v>
      </c>
      <c r="X5315">
        <v>3</v>
      </c>
      <c r="Y5315" t="s">
        <v>21893</v>
      </c>
      <c r="Z5315" t="s">
        <v>27465</v>
      </c>
      <c r="AA5315">
        <v>0.59488620813926141</v>
      </c>
      <c r="AB5315" t="str">
        <f>HYPERLINK("Melting_Curves/meltCurve_Q9UL15_BAG5.pdf", "Melting_Curves/meltCurve_Q9UL15_BAG5.pdf")</f>
        <v>Melting_Curves/meltCurve_Q9UL15_BAG5.pdf</v>
      </c>
    </row>
    <row r="5316" spans="1:28" x14ac:dyDescent="0.25">
      <c r="A5316" t="s">
        <v>5320</v>
      </c>
      <c r="B5316">
        <v>0.99796759195183404</v>
      </c>
      <c r="C5316">
        <v>0.99737740695324695</v>
      </c>
      <c r="D5316">
        <v>1.0057811153824201</v>
      </c>
      <c r="E5316">
        <v>0.93673272134817498</v>
      </c>
      <c r="F5316">
        <v>0.84681015867874199</v>
      </c>
      <c r="G5316">
        <v>0.66588565363903396</v>
      </c>
      <c r="H5316">
        <v>0.67547750625873804</v>
      </c>
      <c r="I5316">
        <v>0.57444829556135102</v>
      </c>
      <c r="J5316">
        <v>0.646765108735886</v>
      </c>
      <c r="K5316">
        <v>0.34589295230858802</v>
      </c>
      <c r="L5316">
        <v>420.98912640356599</v>
      </c>
      <c r="M5316">
        <v>6.8631742532476103</v>
      </c>
      <c r="N5316">
        <v>64.2891709511904</v>
      </c>
      <c r="O5316">
        <v>56.766069181323601</v>
      </c>
      <c r="P5316">
        <v>-2.6196264756189101E-2</v>
      </c>
      <c r="Q5316">
        <v>0.135034991781879</v>
      </c>
      <c r="R5316">
        <v>0.90385604387720098</v>
      </c>
      <c r="S5316" t="s">
        <v>10899</v>
      </c>
      <c r="T5316" t="s">
        <v>11164</v>
      </c>
      <c r="U5316" t="s">
        <v>11164</v>
      </c>
      <c r="V5316" t="s">
        <v>11164</v>
      </c>
      <c r="W5316" t="s">
        <v>16434</v>
      </c>
      <c r="X5316">
        <v>15</v>
      </c>
      <c r="Y5316" t="s">
        <v>21894</v>
      </c>
      <c r="Z5316" t="s">
        <v>27466</v>
      </c>
      <c r="AA5316">
        <v>0.77153007693326037</v>
      </c>
      <c r="AB5316" t="str">
        <f>HYPERLINK("Melting_Curves/meltCurve_Q9UL25_RAB21.pdf", "Melting_Curves/meltCurve_Q9UL25_RAB21.pdf")</f>
        <v>Melting_Curves/meltCurve_Q9UL25_RAB21.pdf</v>
      </c>
    </row>
    <row r="5317" spans="1:28" x14ac:dyDescent="0.25">
      <c r="A5317" t="s">
        <v>5321</v>
      </c>
      <c r="B5317">
        <v>0.99796759195183404</v>
      </c>
      <c r="C5317">
        <v>1.14114267477222</v>
      </c>
      <c r="D5317">
        <v>1.1046609655605599</v>
      </c>
      <c r="E5317">
        <v>1.1377660497122399</v>
      </c>
      <c r="F5317">
        <v>0.96831577314836004</v>
      </c>
      <c r="G5317">
        <v>0.55566416965751297</v>
      </c>
      <c r="H5317">
        <v>0.52763150309190099</v>
      </c>
      <c r="I5317">
        <v>0.35588549028636202</v>
      </c>
      <c r="J5317">
        <v>0.24501460908390599</v>
      </c>
      <c r="K5317">
        <v>0.17342797334461599</v>
      </c>
      <c r="L5317">
        <v>1085.19225805821</v>
      </c>
      <c r="M5317">
        <v>19.699858923517699</v>
      </c>
      <c r="N5317">
        <v>56.585714535121603</v>
      </c>
      <c r="O5317">
        <v>54.528083807215502</v>
      </c>
      <c r="P5317">
        <v>-7.1956799254926998E-2</v>
      </c>
      <c r="Q5317">
        <v>0.203338292298856</v>
      </c>
      <c r="R5317">
        <v>0.93218802436437997</v>
      </c>
      <c r="S5317" t="s">
        <v>10900</v>
      </c>
      <c r="T5317" t="s">
        <v>11164</v>
      </c>
      <c r="U5317" t="s">
        <v>11164</v>
      </c>
      <c r="V5317" t="s">
        <v>11164</v>
      </c>
      <c r="W5317" t="s">
        <v>16435</v>
      </c>
      <c r="X5317">
        <v>4</v>
      </c>
      <c r="Y5317" t="s">
        <v>21895</v>
      </c>
      <c r="Z5317" t="s">
        <v>27467</v>
      </c>
      <c r="AA5317">
        <v>0.69274607267372657</v>
      </c>
      <c r="AB5317" t="str">
        <f>HYPERLINK("Melting_Curves/meltCurve_Q9UL26_RAB22A.pdf", "Melting_Curves/meltCurve_Q9UL26_RAB22A.pdf")</f>
        <v>Melting_Curves/meltCurve_Q9UL26_RAB22A.pdf</v>
      </c>
    </row>
    <row r="5318" spans="1:28" x14ac:dyDescent="0.25">
      <c r="A5318" t="s">
        <v>5322</v>
      </c>
      <c r="B5318">
        <v>0.99796759195183404</v>
      </c>
      <c r="C5318">
        <v>0.72712846196784597</v>
      </c>
      <c r="D5318">
        <v>0.83663856671345604</v>
      </c>
      <c r="E5318">
        <v>0.80908925777460705</v>
      </c>
      <c r="F5318">
        <v>0.34758370373265302</v>
      </c>
      <c r="G5318">
        <v>0.237466574654982</v>
      </c>
      <c r="H5318">
        <v>0.13778781681879201</v>
      </c>
      <c r="I5318">
        <v>0.10855119058139601</v>
      </c>
      <c r="J5318">
        <v>0.111439282769004</v>
      </c>
      <c r="K5318">
        <v>6.2411046100174401E-2</v>
      </c>
      <c r="L5318">
        <v>579.71979631210297</v>
      </c>
      <c r="M5318">
        <v>11.878497634452</v>
      </c>
      <c r="N5318">
        <v>48.978231412701199</v>
      </c>
      <c r="O5318">
        <v>47.482595860424901</v>
      </c>
      <c r="P5318">
        <v>-6.1263826937026498E-2</v>
      </c>
      <c r="Q5318">
        <v>2.06720219785019E-2</v>
      </c>
      <c r="R5318">
        <v>0.93233292587925398</v>
      </c>
      <c r="S5318" t="s">
        <v>10901</v>
      </c>
      <c r="T5318" t="s">
        <v>11164</v>
      </c>
      <c r="U5318" t="s">
        <v>11164</v>
      </c>
      <c r="V5318" t="s">
        <v>11164</v>
      </c>
      <c r="W5318" t="s">
        <v>16436</v>
      </c>
      <c r="X5318">
        <v>1</v>
      </c>
      <c r="Y5318" t="s">
        <v>21896</v>
      </c>
      <c r="Z5318" t="s">
        <v>27468</v>
      </c>
      <c r="AA5318">
        <v>0.43583286535109739</v>
      </c>
      <c r="AB5318" t="str">
        <f>HYPERLINK("Melting_Curves/meltCurve_Q9UL42_PNMA2.pdf", "Melting_Curves/meltCurve_Q9UL42_PNMA2.pdf")</f>
        <v>Melting_Curves/meltCurve_Q9UL42_PNMA2.pdf</v>
      </c>
    </row>
    <row r="5319" spans="1:28" x14ac:dyDescent="0.25">
      <c r="A5319" t="s">
        <v>5323</v>
      </c>
      <c r="B5319">
        <v>0.99796759195183404</v>
      </c>
      <c r="C5319">
        <v>0.94845807595989995</v>
      </c>
      <c r="D5319">
        <v>0.94441727923441798</v>
      </c>
      <c r="E5319">
        <v>0.96833646984278199</v>
      </c>
      <c r="F5319">
        <v>0.896893233096276</v>
      </c>
      <c r="G5319">
        <v>0.85316625545788705</v>
      </c>
      <c r="H5319">
        <v>0.66293754912777803</v>
      </c>
      <c r="I5319">
        <v>0.39105733069315501</v>
      </c>
      <c r="J5319">
        <v>0.35409305878772401</v>
      </c>
      <c r="K5319">
        <v>0.25540720179187298</v>
      </c>
      <c r="L5319">
        <v>907.81162049992599</v>
      </c>
      <c r="M5319">
        <v>15.5282700754528</v>
      </c>
      <c r="N5319">
        <v>59.876495702666297</v>
      </c>
      <c r="O5319">
        <v>57.518032607630197</v>
      </c>
      <c r="P5319">
        <v>-5.7134588610038603E-2</v>
      </c>
      <c r="Q5319">
        <v>0.15354902902034201</v>
      </c>
      <c r="R5319">
        <v>0.98336436825318196</v>
      </c>
      <c r="S5319" t="s">
        <v>10902</v>
      </c>
      <c r="T5319" t="s">
        <v>11164</v>
      </c>
      <c r="U5319" t="s">
        <v>11164</v>
      </c>
      <c r="V5319" t="s">
        <v>11164</v>
      </c>
      <c r="W5319" t="s">
        <v>16437</v>
      </c>
      <c r="X5319">
        <v>9</v>
      </c>
      <c r="Y5319" t="s">
        <v>21897</v>
      </c>
      <c r="Z5319" t="s">
        <v>27469</v>
      </c>
      <c r="AA5319">
        <v>0.76136572498760724</v>
      </c>
      <c r="AB5319" t="str">
        <f>HYPERLINK("Melting_Curves/meltCurve_Q9UL46_PSME2.pdf", "Melting_Curves/meltCurve_Q9UL46_PSME2.pdf")</f>
        <v>Melting_Curves/meltCurve_Q9UL46_PSME2.pdf</v>
      </c>
    </row>
    <row r="5320" spans="1:28" x14ac:dyDescent="0.25">
      <c r="A5320" t="s">
        <v>5324</v>
      </c>
      <c r="B5320">
        <v>0.99796759195183404</v>
      </c>
      <c r="C5320">
        <v>0.969259138730027</v>
      </c>
      <c r="D5320">
        <v>0.87643829467439005</v>
      </c>
      <c r="E5320">
        <v>0.857277534752792</v>
      </c>
      <c r="F5320">
        <v>0.52754823960442598</v>
      </c>
      <c r="G5320">
        <v>0.40251703266904598</v>
      </c>
      <c r="H5320">
        <v>0.27232359002793599</v>
      </c>
      <c r="I5320">
        <v>0.24606950059025501</v>
      </c>
      <c r="J5320">
        <v>0.218404032226689</v>
      </c>
      <c r="K5320">
        <v>0.24661105847523601</v>
      </c>
      <c r="L5320">
        <v>824.44662037598403</v>
      </c>
      <c r="M5320">
        <v>16.641361049547498</v>
      </c>
      <c r="N5320">
        <v>51.269928963205103</v>
      </c>
      <c r="O5320">
        <v>48.843204433841201</v>
      </c>
      <c r="P5320">
        <v>-6.6899608951740699E-2</v>
      </c>
      <c r="Q5320">
        <v>0.21463835152791799</v>
      </c>
      <c r="R5320">
        <v>0.98859747010424903</v>
      </c>
      <c r="S5320" t="s">
        <v>10903</v>
      </c>
      <c r="T5320" t="s">
        <v>11164</v>
      </c>
      <c r="U5320" t="s">
        <v>11164</v>
      </c>
      <c r="V5320" t="s">
        <v>11164</v>
      </c>
      <c r="W5320" t="s">
        <v>16438</v>
      </c>
      <c r="X5320">
        <v>3</v>
      </c>
      <c r="Y5320" t="s">
        <v>21898</v>
      </c>
      <c r="Z5320" t="s">
        <v>27470</v>
      </c>
      <c r="AA5320">
        <v>0.55712994779434222</v>
      </c>
      <c r="AB5320" t="str">
        <f>HYPERLINK("Melting_Curves/meltCurve_Q9UL54_2_TAOK2.pdf", "Melting_Curves/meltCurve_Q9UL54_2_TAOK2.pdf")</f>
        <v>Melting_Curves/meltCurve_Q9UL54_2_TAOK2.pdf</v>
      </c>
    </row>
    <row r="5321" spans="1:28" x14ac:dyDescent="0.25">
      <c r="A5321" t="s">
        <v>5325</v>
      </c>
      <c r="B5321">
        <v>0.99796759195183404</v>
      </c>
      <c r="C5321">
        <v>0.93068947092284404</v>
      </c>
      <c r="D5321">
        <v>0.940368038041831</v>
      </c>
      <c r="E5321">
        <v>0.87582268672438701</v>
      </c>
      <c r="F5321">
        <v>0.76188652365314302</v>
      </c>
      <c r="G5321">
        <v>0.482231153705524</v>
      </c>
      <c r="H5321">
        <v>0.35469710246020503</v>
      </c>
      <c r="I5321">
        <v>0.16727936749425801</v>
      </c>
      <c r="J5321">
        <v>0.101808043925042</v>
      </c>
      <c r="K5321">
        <v>7.93738391993008E-2</v>
      </c>
      <c r="L5321">
        <v>694.91229085709801</v>
      </c>
      <c r="M5321">
        <v>12.862862776572801</v>
      </c>
      <c r="N5321">
        <v>54.024675952210004</v>
      </c>
      <c r="O5321">
        <v>52.768899796261401</v>
      </c>
      <c r="P5321">
        <v>-6.09508238537501E-2</v>
      </c>
      <c r="Q5321">
        <v>0</v>
      </c>
      <c r="R5321">
        <v>0.99348416713217702</v>
      </c>
      <c r="S5321" t="s">
        <v>10904</v>
      </c>
      <c r="T5321" t="s">
        <v>11164</v>
      </c>
      <c r="U5321" t="s">
        <v>11164</v>
      </c>
      <c r="V5321" t="s">
        <v>11164</v>
      </c>
      <c r="W5321" t="s">
        <v>16439</v>
      </c>
      <c r="X5321">
        <v>7</v>
      </c>
      <c r="Y5321" t="s">
        <v>21899</v>
      </c>
      <c r="Z5321" t="s">
        <v>27471</v>
      </c>
      <c r="AA5321">
        <v>0.58501436148328778</v>
      </c>
      <c r="AB5321" t="str">
        <f>HYPERLINK("Melting_Curves/meltCurve_Q9ULC3_RAB23.pdf", "Melting_Curves/meltCurve_Q9ULC3_RAB23.pdf")</f>
        <v>Melting_Curves/meltCurve_Q9ULC3_RAB23.pdf</v>
      </c>
    </row>
    <row r="5322" spans="1:28" x14ac:dyDescent="0.25">
      <c r="A5322" t="s">
        <v>5326</v>
      </c>
      <c r="B5322">
        <v>0.99796759195183404</v>
      </c>
      <c r="C5322">
        <v>0.97287535850030105</v>
      </c>
      <c r="D5322">
        <v>0.88845329171144105</v>
      </c>
      <c r="E5322">
        <v>0.82783082441817601</v>
      </c>
      <c r="F5322">
        <v>0.64681802400661903</v>
      </c>
      <c r="G5322">
        <v>0.58095076452507699</v>
      </c>
      <c r="H5322">
        <v>0.37441959824798199</v>
      </c>
      <c r="I5322">
        <v>0.29816797866261002</v>
      </c>
      <c r="J5322">
        <v>0.13903229602373901</v>
      </c>
      <c r="K5322">
        <v>8.3257214704593602E-2</v>
      </c>
      <c r="L5322">
        <v>526.51571357508703</v>
      </c>
      <c r="M5322">
        <v>9.7049095924232294</v>
      </c>
      <c r="N5322">
        <v>54.252531324805503</v>
      </c>
      <c r="O5322">
        <v>52.099290228039003</v>
      </c>
      <c r="P5322">
        <v>-4.6594695597076699E-2</v>
      </c>
      <c r="Q5322">
        <v>0</v>
      </c>
      <c r="R5322">
        <v>0.98715584963986203</v>
      </c>
      <c r="S5322" t="s">
        <v>10905</v>
      </c>
      <c r="T5322" t="s">
        <v>11164</v>
      </c>
      <c r="U5322" t="s">
        <v>11164</v>
      </c>
      <c r="V5322" t="s">
        <v>11164</v>
      </c>
      <c r="W5322" t="s">
        <v>16440</v>
      </c>
      <c r="X5322">
        <v>7</v>
      </c>
      <c r="Y5322" t="s">
        <v>21900</v>
      </c>
      <c r="Z5322" t="s">
        <v>27472</v>
      </c>
      <c r="AA5322">
        <v>0.59105830607562249</v>
      </c>
      <c r="AB5322" t="str">
        <f>HYPERLINK("Melting_Curves/meltCurve_Q9ULC4_MCTS1.pdf", "Melting_Curves/meltCurve_Q9ULC4_MCTS1.pdf")</f>
        <v>Melting_Curves/meltCurve_Q9ULC4_MCTS1.pdf</v>
      </c>
    </row>
    <row r="5323" spans="1:28" x14ac:dyDescent="0.25">
      <c r="A5323" t="s">
        <v>5327</v>
      </c>
      <c r="B5323">
        <v>0.99796759195183404</v>
      </c>
      <c r="C5323">
        <v>0.87194625760139099</v>
      </c>
      <c r="D5323">
        <v>1.16887419177792</v>
      </c>
      <c r="E5323">
        <v>1.06763368380725</v>
      </c>
      <c r="F5323">
        <v>0.84609787314336005</v>
      </c>
      <c r="G5323">
        <v>0.82180786547321205</v>
      </c>
      <c r="H5323">
        <v>0.46357235408417902</v>
      </c>
      <c r="I5323">
        <v>0.46961547483845001</v>
      </c>
      <c r="J5323">
        <v>0.39997184041800199</v>
      </c>
      <c r="K5323">
        <v>0.36255167540171002</v>
      </c>
      <c r="L5323">
        <v>1339.7499218462499</v>
      </c>
      <c r="M5323">
        <v>24.460915105780899</v>
      </c>
      <c r="N5323">
        <v>58.065656725736098</v>
      </c>
      <c r="O5323">
        <v>54.4089189153202</v>
      </c>
      <c r="P5323">
        <v>-7.0224595995363903E-2</v>
      </c>
      <c r="Q5323">
        <v>0.37520107854245</v>
      </c>
      <c r="R5323">
        <v>0.91136614914179703</v>
      </c>
      <c r="S5323" t="s">
        <v>10906</v>
      </c>
      <c r="T5323" t="s">
        <v>11164</v>
      </c>
      <c r="U5323" t="s">
        <v>11164</v>
      </c>
      <c r="V5323" t="s">
        <v>11164</v>
      </c>
      <c r="W5323" t="s">
        <v>16441</v>
      </c>
      <c r="X5323">
        <v>1</v>
      </c>
      <c r="Y5323" t="s">
        <v>21901</v>
      </c>
      <c r="Z5323" t="s">
        <v>27473</v>
      </c>
      <c r="AA5323">
        <v>0.75084352130784271</v>
      </c>
      <c r="AB5323" t="str">
        <f>HYPERLINK("Melting_Curves/meltCurve_Q9ULD5_ZNF777.pdf", "Melting_Curves/meltCurve_Q9ULD5_ZNF777.pdf")</f>
        <v>Melting_Curves/meltCurve_Q9ULD5_ZNF777.pdf</v>
      </c>
    </row>
    <row r="5324" spans="1:28" x14ac:dyDescent="0.25">
      <c r="A5324" t="s">
        <v>5328</v>
      </c>
      <c r="B5324">
        <v>0.99796759195183404</v>
      </c>
      <c r="C5324">
        <v>1.00128700296816</v>
      </c>
      <c r="D5324">
        <v>0.95583811017013098</v>
      </c>
      <c r="E5324">
        <v>0.82646638824313101</v>
      </c>
      <c r="F5324">
        <v>0.75629337877678104</v>
      </c>
      <c r="G5324">
        <v>0.74518201003411499</v>
      </c>
      <c r="H5324">
        <v>0.47364691531557701</v>
      </c>
      <c r="I5324">
        <v>0.20009609597748601</v>
      </c>
      <c r="J5324">
        <v>0.134597129435856</v>
      </c>
      <c r="K5324">
        <v>0.130288932038963</v>
      </c>
      <c r="L5324">
        <v>701.458580416112</v>
      </c>
      <c r="M5324">
        <v>12.4841767811071</v>
      </c>
      <c r="N5324">
        <v>56.187812327825903</v>
      </c>
      <c r="O5324">
        <v>54.804551843426601</v>
      </c>
      <c r="P5324">
        <v>-5.6960406950779599E-2</v>
      </c>
      <c r="Q5324">
        <v>0</v>
      </c>
      <c r="R5324">
        <v>0.96930224919852503</v>
      </c>
      <c r="S5324" t="s">
        <v>10907</v>
      </c>
      <c r="T5324" t="s">
        <v>11164</v>
      </c>
      <c r="U5324" t="s">
        <v>11164</v>
      </c>
      <c r="V5324" t="s">
        <v>11164</v>
      </c>
      <c r="W5324" t="s">
        <v>16442</v>
      </c>
      <c r="X5324">
        <v>11</v>
      </c>
      <c r="Y5324" t="s">
        <v>21902</v>
      </c>
      <c r="Z5324" t="s">
        <v>27474</v>
      </c>
      <c r="AA5324">
        <v>0.64905996447173209</v>
      </c>
      <c r="AB5324" t="str">
        <f>HYPERLINK("Melting_Curves/meltCurve_Q9ULE6_PALD1.pdf", "Melting_Curves/meltCurve_Q9ULE6_PALD1.pdf")</f>
        <v>Melting_Curves/meltCurve_Q9ULE6_PALD1.pdf</v>
      </c>
    </row>
    <row r="5325" spans="1:28" x14ac:dyDescent="0.25">
      <c r="A5325" t="s">
        <v>5329</v>
      </c>
      <c r="B5325">
        <v>0.99796759195183404</v>
      </c>
      <c r="C5325">
        <v>0.652785689414633</v>
      </c>
      <c r="D5325">
        <v>0.638052088893303</v>
      </c>
      <c r="E5325">
        <v>0.78079562652483303</v>
      </c>
      <c r="F5325">
        <v>0.69439612033914799</v>
      </c>
      <c r="G5325">
        <v>0.79694576240339898</v>
      </c>
      <c r="H5325">
        <v>0.66240526092372098</v>
      </c>
      <c r="I5325">
        <v>0.61863906821676196</v>
      </c>
      <c r="J5325">
        <v>0.78228761312091299</v>
      </c>
      <c r="K5325">
        <v>0.729510242715806</v>
      </c>
      <c r="L5325">
        <v>9433.6009738486991</v>
      </c>
      <c r="M5325">
        <v>250</v>
      </c>
      <c r="O5325">
        <v>37.731994254985501</v>
      </c>
      <c r="P5325">
        <v>-0.48665285838100197</v>
      </c>
      <c r="Q5325">
        <v>0.70620191435241597</v>
      </c>
      <c r="R5325">
        <v>0.67224560653106702</v>
      </c>
      <c r="S5325" t="s">
        <v>10908</v>
      </c>
      <c r="T5325" t="s">
        <v>11164</v>
      </c>
      <c r="U5325" t="s">
        <v>11164</v>
      </c>
      <c r="V5325" t="s">
        <v>11164</v>
      </c>
      <c r="W5325" t="s">
        <v>16443</v>
      </c>
      <c r="X5325">
        <v>4</v>
      </c>
      <c r="Y5325" t="s">
        <v>21903</v>
      </c>
      <c r="Z5325" t="s">
        <v>27475</v>
      </c>
      <c r="AA5325">
        <v>0.71342341925735586</v>
      </c>
      <c r="AB5325" t="str">
        <f>HYPERLINK("Melting_Curves/meltCurve_Q9ULF5_SLC39A10.pdf", "Melting_Curves/meltCurve_Q9ULF5_SLC39A10.pdf")</f>
        <v>Melting_Curves/meltCurve_Q9ULF5_SLC39A10.pdf</v>
      </c>
    </row>
    <row r="5326" spans="1:28" x14ac:dyDescent="0.25">
      <c r="A5326" t="s">
        <v>5330</v>
      </c>
      <c r="B5326">
        <v>0.99796759195183404</v>
      </c>
      <c r="C5326">
        <v>0.870148924837437</v>
      </c>
      <c r="D5326">
        <v>0.62659484066981896</v>
      </c>
      <c r="E5326">
        <v>0.77556568770967105</v>
      </c>
      <c r="F5326">
        <v>0.79845386438424104</v>
      </c>
      <c r="G5326">
        <v>0.79884995560535599</v>
      </c>
      <c r="H5326">
        <v>0.33074762813856301</v>
      </c>
      <c r="I5326">
        <v>0.47120083440486799</v>
      </c>
      <c r="J5326">
        <v>0.21428905813694099</v>
      </c>
      <c r="K5326">
        <v>0</v>
      </c>
      <c r="L5326">
        <v>440.49418484304101</v>
      </c>
      <c r="M5326">
        <v>7.9014977595558999</v>
      </c>
      <c r="N5326">
        <v>55.748192333830097</v>
      </c>
      <c r="O5326">
        <v>52.516412241241099</v>
      </c>
      <c r="P5326">
        <v>-3.7658974796238899E-2</v>
      </c>
      <c r="Q5326">
        <v>0</v>
      </c>
      <c r="R5326">
        <v>0.75492014105375904</v>
      </c>
      <c r="S5326" t="s">
        <v>10909</v>
      </c>
      <c r="T5326" t="s">
        <v>11164</v>
      </c>
      <c r="U5326" t="s">
        <v>11164</v>
      </c>
      <c r="V5326" t="s">
        <v>11164</v>
      </c>
      <c r="W5326" t="s">
        <v>16444</v>
      </c>
      <c r="X5326">
        <v>1</v>
      </c>
      <c r="Y5326" t="s">
        <v>21904</v>
      </c>
      <c r="Z5326" t="s">
        <v>27476</v>
      </c>
      <c r="AA5326">
        <v>0.62492859307575244</v>
      </c>
      <c r="AB5326" t="str">
        <f>HYPERLINK("Melting_Curves/meltCurve_Q9ULH0_5_KIDINS220.pdf", "Melting_Curves/meltCurve_Q9ULH0_5_KIDINS220.pdf")</f>
        <v>Melting_Curves/meltCurve_Q9ULH0_5_KIDINS220.pdf</v>
      </c>
    </row>
    <row r="5327" spans="1:28" x14ac:dyDescent="0.25">
      <c r="A5327" t="s">
        <v>5331</v>
      </c>
      <c r="B5327">
        <v>0.99796759195183404</v>
      </c>
      <c r="C5327">
        <v>0.88827178704536502</v>
      </c>
      <c r="D5327">
        <v>1.1606668490084</v>
      </c>
      <c r="E5327">
        <v>0.98131542165388297</v>
      </c>
      <c r="F5327">
        <v>0.78516672655991304</v>
      </c>
      <c r="G5327">
        <v>0.58250622649758099</v>
      </c>
      <c r="H5327">
        <v>0.32188126653188798</v>
      </c>
      <c r="I5327">
        <v>0.16173708484269</v>
      </c>
      <c r="J5327">
        <v>0.12394769976997</v>
      </c>
      <c r="K5327">
        <v>0</v>
      </c>
      <c r="L5327">
        <v>913.95664519478998</v>
      </c>
      <c r="M5327">
        <v>16.667819267141901</v>
      </c>
      <c r="N5327">
        <v>54.833607752725001</v>
      </c>
      <c r="O5327">
        <v>54.0625485050058</v>
      </c>
      <c r="P5327">
        <v>-7.7081699638922294E-2</v>
      </c>
      <c r="Q5327">
        <v>0</v>
      </c>
      <c r="R5327">
        <v>0.97013843756138596</v>
      </c>
      <c r="S5327" t="s">
        <v>10910</v>
      </c>
      <c r="T5327" t="s">
        <v>11164</v>
      </c>
      <c r="U5327" t="s">
        <v>11164</v>
      </c>
      <c r="V5327" t="s">
        <v>11164</v>
      </c>
      <c r="W5327" t="s">
        <v>16445</v>
      </c>
      <c r="X5327">
        <v>1</v>
      </c>
      <c r="Y5327" t="s">
        <v>21905</v>
      </c>
      <c r="Z5327" t="s">
        <v>27477</v>
      </c>
      <c r="AA5327">
        <v>0.60806452349801277</v>
      </c>
      <c r="AB5327" t="str">
        <f>HYPERLINK("Melting_Curves/meltCurve_Q9ULH1_ASAP1.pdf", "Melting_Curves/meltCurve_Q9ULH1_ASAP1.pdf")</f>
        <v>Melting_Curves/meltCurve_Q9ULH1_ASAP1.pdf</v>
      </c>
    </row>
    <row r="5328" spans="1:28" x14ac:dyDescent="0.25">
      <c r="A5328" t="s">
        <v>5332</v>
      </c>
      <c r="B5328">
        <v>0.99796759195183404</v>
      </c>
      <c r="C5328">
        <v>1.0649240426357001</v>
      </c>
      <c r="D5328">
        <v>0.87884563105857205</v>
      </c>
      <c r="E5328">
        <v>0.63873296518731104</v>
      </c>
      <c r="F5328">
        <v>0.71008022389460401</v>
      </c>
      <c r="G5328">
        <v>0.57944091306970702</v>
      </c>
      <c r="H5328">
        <v>0.61757110239234803</v>
      </c>
      <c r="I5328">
        <v>0.41497199033627602</v>
      </c>
      <c r="J5328">
        <v>0.437207812462301</v>
      </c>
      <c r="K5328">
        <v>0.16001094357636</v>
      </c>
      <c r="L5328">
        <v>344.411611858897</v>
      </c>
      <c r="M5328">
        <v>5.9957493873784102</v>
      </c>
      <c r="N5328">
        <v>57.442631187033399</v>
      </c>
      <c r="O5328">
        <v>52.029926370479302</v>
      </c>
      <c r="P5328">
        <v>-2.8902669417612999E-2</v>
      </c>
      <c r="Q5328">
        <v>0</v>
      </c>
      <c r="R5328">
        <v>0.87665367580585896</v>
      </c>
      <c r="S5328" t="s">
        <v>10911</v>
      </c>
      <c r="T5328" t="s">
        <v>11164</v>
      </c>
      <c r="U5328" t="s">
        <v>11164</v>
      </c>
      <c r="V5328" t="s">
        <v>11164</v>
      </c>
      <c r="W5328" t="s">
        <v>16446</v>
      </c>
      <c r="X5328">
        <v>6</v>
      </c>
      <c r="Y5328" t="s">
        <v>21906</v>
      </c>
      <c r="Z5328" t="s">
        <v>27478</v>
      </c>
      <c r="AA5328">
        <v>0.64695717705926037</v>
      </c>
      <c r="AB5328" t="str">
        <f>HYPERLINK("Melting_Curves/meltCurve_Q9ULH7_4_MKL2.pdf", "Melting_Curves/meltCurve_Q9ULH7_4_MKL2.pdf")</f>
        <v>Melting_Curves/meltCurve_Q9ULH7_4_MKL2.pdf</v>
      </c>
    </row>
    <row r="5329" spans="1:28" x14ac:dyDescent="0.25">
      <c r="A5329" t="s">
        <v>5333</v>
      </c>
      <c r="B5329">
        <v>0.99796759195183404</v>
      </c>
      <c r="C5329">
        <v>1.0653662184267401</v>
      </c>
      <c r="D5329">
        <v>1.0173822132850501</v>
      </c>
      <c r="E5329">
        <v>1.0221235475709101</v>
      </c>
      <c r="F5329">
        <v>0.970374299089244</v>
      </c>
      <c r="G5329">
        <v>0.74586625665320905</v>
      </c>
      <c r="H5329">
        <v>0.53454607114108899</v>
      </c>
      <c r="I5329">
        <v>0.42170502565462697</v>
      </c>
      <c r="J5329">
        <v>0.28519675629182401</v>
      </c>
      <c r="K5329">
        <v>0.16595849157356801</v>
      </c>
      <c r="L5329">
        <v>906.96625446588996</v>
      </c>
      <c r="M5329">
        <v>15.7490182261194</v>
      </c>
      <c r="N5329">
        <v>58.556011258636403</v>
      </c>
      <c r="O5329">
        <v>56.684231352286602</v>
      </c>
      <c r="P5329">
        <v>-6.1509237166867903E-2</v>
      </c>
      <c r="Q5329">
        <v>0.11453201897477699</v>
      </c>
      <c r="R5329">
        <v>0.98527092870306798</v>
      </c>
      <c r="S5329" t="s">
        <v>10912</v>
      </c>
      <c r="T5329" t="s">
        <v>11164</v>
      </c>
      <c r="U5329" t="s">
        <v>11164</v>
      </c>
      <c r="V5329" t="s">
        <v>11164</v>
      </c>
      <c r="W5329" t="s">
        <v>16447</v>
      </c>
      <c r="X5329">
        <v>5</v>
      </c>
      <c r="Y5329" t="s">
        <v>21907</v>
      </c>
      <c r="Z5329" t="s">
        <v>27479</v>
      </c>
      <c r="AA5329">
        <v>0.7279846435321371</v>
      </c>
      <c r="AB5329" t="str">
        <f>HYPERLINK("Melting_Curves/meltCurve_Q9ULJ3_2_ZBTB21.pdf", "Melting_Curves/meltCurve_Q9ULJ3_2_ZBTB21.pdf")</f>
        <v>Melting_Curves/meltCurve_Q9ULJ3_2_ZBTB21.pdf</v>
      </c>
    </row>
    <row r="5330" spans="1:28" x14ac:dyDescent="0.25">
      <c r="A5330" t="s">
        <v>5334</v>
      </c>
      <c r="B5330">
        <v>0.99796759195183404</v>
      </c>
      <c r="C5330">
        <v>1.0619873817813399</v>
      </c>
      <c r="D5330">
        <v>0.97492752229659696</v>
      </c>
      <c r="E5330">
        <v>1.00237741630657</v>
      </c>
      <c r="F5330">
        <v>0.87347562675629897</v>
      </c>
      <c r="G5330">
        <v>0.80691757296689204</v>
      </c>
      <c r="H5330">
        <v>0.64201936949437799</v>
      </c>
      <c r="I5330">
        <v>0.36176118980866601</v>
      </c>
      <c r="J5330">
        <v>0.124429837330176</v>
      </c>
      <c r="K5330">
        <v>7.3266118184863102E-2</v>
      </c>
      <c r="L5330">
        <v>1053.5582261623399</v>
      </c>
      <c r="M5330">
        <v>17.9634786410579</v>
      </c>
      <c r="N5330">
        <v>58.650014451145097</v>
      </c>
      <c r="O5330">
        <v>57.937661550984103</v>
      </c>
      <c r="P5330">
        <v>-7.7515952659930901E-2</v>
      </c>
      <c r="Q5330">
        <v>0</v>
      </c>
      <c r="R5330">
        <v>0.98576358733730796</v>
      </c>
      <c r="S5330" t="s">
        <v>10913</v>
      </c>
      <c r="T5330" t="s">
        <v>11164</v>
      </c>
      <c r="U5330" t="s">
        <v>11164</v>
      </c>
      <c r="V5330" t="s">
        <v>11164</v>
      </c>
      <c r="W5330" t="s">
        <v>16448</v>
      </c>
      <c r="X5330">
        <v>1</v>
      </c>
      <c r="Y5330" t="s">
        <v>21908</v>
      </c>
      <c r="Z5330" t="s">
        <v>27480</v>
      </c>
      <c r="AA5330">
        <v>0.72578739272514914</v>
      </c>
      <c r="AB5330" t="str">
        <f>HYPERLINK("Melting_Curves/meltCurve_Q9ULJ6_ZMIZ1.pdf", "Melting_Curves/meltCurve_Q9ULJ6_ZMIZ1.pdf")</f>
        <v>Melting_Curves/meltCurve_Q9ULJ6_ZMIZ1.pdf</v>
      </c>
    </row>
    <row r="5331" spans="1:28" x14ac:dyDescent="0.25">
      <c r="A5331" t="s">
        <v>5335</v>
      </c>
      <c r="B5331">
        <v>0.99796759195183404</v>
      </c>
      <c r="C5331">
        <v>0.98751933646048395</v>
      </c>
      <c r="D5331">
        <v>0.97843118617934399</v>
      </c>
      <c r="E5331">
        <v>0.75937220388684801</v>
      </c>
      <c r="F5331">
        <v>0.72912834453606701</v>
      </c>
      <c r="G5331">
        <v>0.49655817729305801</v>
      </c>
      <c r="H5331">
        <v>0.43700512431365701</v>
      </c>
      <c r="I5331">
        <v>0.34173667975442201</v>
      </c>
      <c r="J5331">
        <v>0.16570709146169901</v>
      </c>
      <c r="K5331">
        <v>0.106092770210496</v>
      </c>
      <c r="L5331">
        <v>509.79899611339499</v>
      </c>
      <c r="M5331">
        <v>9.3141859802406799</v>
      </c>
      <c r="N5331">
        <v>54.733607111352597</v>
      </c>
      <c r="O5331">
        <v>52.388230023227798</v>
      </c>
      <c r="P5331">
        <v>-4.44762380273876E-2</v>
      </c>
      <c r="Q5331">
        <v>0</v>
      </c>
      <c r="R5331">
        <v>0.97916711038715498</v>
      </c>
      <c r="S5331" t="s">
        <v>10914</v>
      </c>
      <c r="T5331" t="s">
        <v>11164</v>
      </c>
      <c r="U5331" t="s">
        <v>11164</v>
      </c>
      <c r="V5331" t="s">
        <v>11164</v>
      </c>
      <c r="W5331" t="s">
        <v>16449</v>
      </c>
      <c r="X5331">
        <v>3</v>
      </c>
      <c r="Y5331" t="s">
        <v>21909</v>
      </c>
      <c r="Z5331" t="s">
        <v>27481</v>
      </c>
      <c r="AA5331">
        <v>0.60362811923182769</v>
      </c>
      <c r="AB5331" t="str">
        <f>HYPERLINK("Melting_Curves/meltCurve_Q9ULJ7_2_ANKRD50.pdf", "Melting_Curves/meltCurve_Q9ULJ7_2_ANKRD50.pdf")</f>
        <v>Melting_Curves/meltCurve_Q9ULJ7_2_ANKRD50.pdf</v>
      </c>
    </row>
    <row r="5332" spans="1:28" x14ac:dyDescent="0.25">
      <c r="A5332" t="s">
        <v>5336</v>
      </c>
      <c r="B5332">
        <v>0.99796759195183404</v>
      </c>
      <c r="C5332">
        <v>1.02972491702226</v>
      </c>
      <c r="D5332">
        <v>1.0209375953186799</v>
      </c>
      <c r="E5332">
        <v>0.97198975568048995</v>
      </c>
      <c r="F5332">
        <v>0.86855971029012302</v>
      </c>
      <c r="G5332">
        <v>0.69353859029245501</v>
      </c>
      <c r="H5332">
        <v>0.27207067156008402</v>
      </c>
      <c r="I5332">
        <v>0.18395927833133399</v>
      </c>
      <c r="J5332">
        <v>0.189024404885062</v>
      </c>
      <c r="K5332">
        <v>9.6402175076854002E-2</v>
      </c>
      <c r="L5332">
        <v>1418.85552436681</v>
      </c>
      <c r="M5332">
        <v>25.9731117462788</v>
      </c>
      <c r="N5332">
        <v>55.223524722928502</v>
      </c>
      <c r="O5332">
        <v>54.307113591981299</v>
      </c>
      <c r="P5332">
        <v>-0.104959870970806</v>
      </c>
      <c r="Q5332">
        <v>0.122168821230281</v>
      </c>
      <c r="R5332">
        <v>0.99171073187374303</v>
      </c>
      <c r="S5332" t="s">
        <v>10915</v>
      </c>
      <c r="T5332" t="s">
        <v>11164</v>
      </c>
      <c r="U5332" t="s">
        <v>11164</v>
      </c>
      <c r="V5332" t="s">
        <v>11164</v>
      </c>
      <c r="W5332" t="s">
        <v>16450</v>
      </c>
      <c r="X5332">
        <v>7</v>
      </c>
      <c r="Y5332" t="s">
        <v>21910</v>
      </c>
      <c r="Z5332" t="s">
        <v>27482</v>
      </c>
      <c r="AA5332">
        <v>0.64509500143507903</v>
      </c>
      <c r="AB5332" t="str">
        <f>HYPERLINK("Melting_Curves/meltCurve_Q9ULP9_2_TBC1D24.pdf", "Melting_Curves/meltCurve_Q9ULP9_2_TBC1D24.pdf")</f>
        <v>Melting_Curves/meltCurve_Q9ULP9_2_TBC1D24.pdf</v>
      </c>
    </row>
    <row r="5333" spans="1:28" x14ac:dyDescent="0.25">
      <c r="A5333" t="s">
        <v>5337</v>
      </c>
      <c r="B5333">
        <v>0.99796759195183404</v>
      </c>
      <c r="C5333">
        <v>0.93673069060068004</v>
      </c>
      <c r="D5333">
        <v>0.97569413383659498</v>
      </c>
      <c r="E5333">
        <v>0.85472845333599301</v>
      </c>
      <c r="F5333">
        <v>0.79460230248619501</v>
      </c>
      <c r="G5333">
        <v>0.82723225126948097</v>
      </c>
      <c r="H5333">
        <v>1.3387805283112499</v>
      </c>
      <c r="I5333">
        <v>1.5368693830368401</v>
      </c>
      <c r="J5333">
        <v>1.9012718774514901</v>
      </c>
      <c r="K5333">
        <v>1.80816936623304</v>
      </c>
      <c r="L5333">
        <v>14307.375607801299</v>
      </c>
      <c r="M5333">
        <v>250</v>
      </c>
      <c r="O5333">
        <v>57.225840136247399</v>
      </c>
      <c r="P5333">
        <v>0.54608197921874602</v>
      </c>
      <c r="Q5333">
        <v>1.5</v>
      </c>
      <c r="R5333">
        <v>0.77487358186981004</v>
      </c>
      <c r="S5333" t="s">
        <v>10916</v>
      </c>
      <c r="T5333" t="s">
        <v>11164</v>
      </c>
      <c r="U5333" t="s">
        <v>11164</v>
      </c>
      <c r="V5333" t="s">
        <v>11164</v>
      </c>
      <c r="W5333" t="s">
        <v>16451</v>
      </c>
      <c r="X5333">
        <v>9</v>
      </c>
      <c r="Y5333" t="s">
        <v>21911</v>
      </c>
      <c r="Z5333" t="s">
        <v>27483</v>
      </c>
      <c r="AA5333">
        <v>1.1627914077035391</v>
      </c>
      <c r="AB5333" t="str">
        <f>HYPERLINK("Melting_Curves/meltCurve_Q9ULR0_ISY1.pdf", "Melting_Curves/meltCurve_Q9ULR0_ISY1.pdf")</f>
        <v>Melting_Curves/meltCurve_Q9ULR0_ISY1.pdf</v>
      </c>
    </row>
    <row r="5334" spans="1:28" x14ac:dyDescent="0.25">
      <c r="A5334" t="s">
        <v>5338</v>
      </c>
      <c r="B5334">
        <v>0.99796759195183404</v>
      </c>
      <c r="C5334">
        <v>1.01230314056728</v>
      </c>
      <c r="D5334">
        <v>1.09022132091553</v>
      </c>
      <c r="E5334">
        <v>0.86213826658507897</v>
      </c>
      <c r="F5334">
        <v>0.875395704635894</v>
      </c>
      <c r="G5334">
        <v>0.64783041629973004</v>
      </c>
      <c r="H5334">
        <v>0.362369538861812</v>
      </c>
      <c r="I5334">
        <v>0.60423217838016297</v>
      </c>
      <c r="J5334">
        <v>0.39154425981941698</v>
      </c>
      <c r="K5334">
        <v>0.223512790133783</v>
      </c>
      <c r="L5334">
        <v>768.63688189467405</v>
      </c>
      <c r="M5334">
        <v>14.2434629690298</v>
      </c>
      <c r="N5334">
        <v>57.502875627102</v>
      </c>
      <c r="O5334">
        <v>52.933894298673103</v>
      </c>
      <c r="P5334">
        <v>-4.76405974398387E-2</v>
      </c>
      <c r="Q5334">
        <v>0.29188837512631099</v>
      </c>
      <c r="R5334">
        <v>0.89046814000421903</v>
      </c>
      <c r="S5334" t="s">
        <v>10917</v>
      </c>
      <c r="T5334" t="s">
        <v>11164</v>
      </c>
      <c r="U5334" t="s">
        <v>11164</v>
      </c>
      <c r="V5334" t="s">
        <v>11164</v>
      </c>
      <c r="W5334" t="s">
        <v>16452</v>
      </c>
      <c r="X5334">
        <v>7</v>
      </c>
      <c r="Y5334" t="s">
        <v>21912</v>
      </c>
      <c r="Z5334" t="s">
        <v>27484</v>
      </c>
      <c r="AA5334">
        <v>0.7042292087485762</v>
      </c>
      <c r="AB5334" t="str">
        <f>HYPERLINK("Melting_Curves/meltCurve_Q9ULT8_HECTD1.pdf", "Melting_Curves/meltCurve_Q9ULT8_HECTD1.pdf")</f>
        <v>Melting_Curves/meltCurve_Q9ULT8_HECTD1.pdf</v>
      </c>
    </row>
    <row r="5335" spans="1:28" x14ac:dyDescent="0.25">
      <c r="A5335" t="s">
        <v>5339</v>
      </c>
      <c r="B5335">
        <v>0.99796759195183404</v>
      </c>
      <c r="C5335">
        <v>1.0512188638818301</v>
      </c>
      <c r="D5335">
        <v>0.99196642050364403</v>
      </c>
      <c r="E5335">
        <v>0.92826867702058202</v>
      </c>
      <c r="F5335">
        <v>0.80490149460676896</v>
      </c>
      <c r="G5335">
        <v>0.65688249898655404</v>
      </c>
      <c r="H5335">
        <v>0.294434819935874</v>
      </c>
      <c r="I5335">
        <v>0.168222149192229</v>
      </c>
      <c r="J5335">
        <v>0.13443187051956301</v>
      </c>
      <c r="K5335">
        <v>0.114573921937076</v>
      </c>
      <c r="L5335">
        <v>1003.4210815819901</v>
      </c>
      <c r="M5335">
        <v>18.398327370485902</v>
      </c>
      <c r="N5335">
        <v>54.984423598577202</v>
      </c>
      <c r="O5335">
        <v>53.906646938042798</v>
      </c>
      <c r="P5335">
        <v>-7.9417642421851495E-2</v>
      </c>
      <c r="Q5335">
        <v>6.9275184606816698E-2</v>
      </c>
      <c r="R5335">
        <v>0.991729581765325</v>
      </c>
      <c r="S5335" t="s">
        <v>10918</v>
      </c>
      <c r="T5335" t="s">
        <v>11164</v>
      </c>
      <c r="U5335" t="s">
        <v>11164</v>
      </c>
      <c r="V5335" t="s">
        <v>11164</v>
      </c>
      <c r="W5335" t="s">
        <v>16453</v>
      </c>
      <c r="X5335">
        <v>18</v>
      </c>
      <c r="Y5335" t="s">
        <v>21913</v>
      </c>
      <c r="Z5335" t="s">
        <v>27485</v>
      </c>
      <c r="AA5335">
        <v>0.62536580692548582</v>
      </c>
      <c r="AB5335" t="str">
        <f>HYPERLINK("Melting_Curves/meltCurve_Q9ULV4_CORO1C.pdf", "Melting_Curves/meltCurve_Q9ULV4_CORO1C.pdf")</f>
        <v>Melting_Curves/meltCurve_Q9ULV4_CORO1C.pdf</v>
      </c>
    </row>
    <row r="5336" spans="1:28" x14ac:dyDescent="0.25">
      <c r="A5336" t="s">
        <v>5340</v>
      </c>
      <c r="B5336">
        <v>0.99796759195183404</v>
      </c>
      <c r="C5336">
        <v>0.97336889137840599</v>
      </c>
      <c r="D5336">
        <v>0.91395910171285999</v>
      </c>
      <c r="E5336">
        <v>0.87699330120640995</v>
      </c>
      <c r="F5336">
        <v>0.76487620431238601</v>
      </c>
      <c r="G5336">
        <v>0.73429181473723704</v>
      </c>
      <c r="H5336">
        <v>0.77226887815129297</v>
      </c>
      <c r="I5336">
        <v>0.713596898262984</v>
      </c>
      <c r="J5336">
        <v>0.45184849768399399</v>
      </c>
      <c r="K5336">
        <v>0.25071255462213698</v>
      </c>
      <c r="L5336">
        <v>436.443229577257</v>
      </c>
      <c r="M5336">
        <v>6.9223702597275496</v>
      </c>
      <c r="N5336">
        <v>63.048235223597203</v>
      </c>
      <c r="O5336">
        <v>58.417274437436603</v>
      </c>
      <c r="P5336">
        <v>-2.9681884060560101E-2</v>
      </c>
      <c r="Q5336">
        <v>0</v>
      </c>
      <c r="R5336">
        <v>0.85477099907368204</v>
      </c>
      <c r="S5336" t="s">
        <v>10919</v>
      </c>
      <c r="T5336" t="s">
        <v>11164</v>
      </c>
      <c r="U5336" t="s">
        <v>11164</v>
      </c>
      <c r="V5336" t="s">
        <v>11164</v>
      </c>
      <c r="W5336" t="s">
        <v>16454</v>
      </c>
      <c r="X5336">
        <v>22</v>
      </c>
      <c r="Y5336" t="s">
        <v>21914</v>
      </c>
      <c r="Z5336" t="s">
        <v>27486</v>
      </c>
      <c r="AA5336">
        <v>0.76776939409388945</v>
      </c>
      <c r="AB5336" t="str">
        <f>HYPERLINK("Melting_Curves/meltCurve_Q9ULW0_TPX2.pdf", "Melting_Curves/meltCurve_Q9ULW0_TPX2.pdf")</f>
        <v>Melting_Curves/meltCurve_Q9ULW0_TPX2.pdf</v>
      </c>
    </row>
    <row r="5337" spans="1:28" x14ac:dyDescent="0.25">
      <c r="A5337" t="s">
        <v>5341</v>
      </c>
      <c r="B5337">
        <v>0.99796759195183404</v>
      </c>
      <c r="C5337">
        <v>0.94484261186857998</v>
      </c>
      <c r="D5337">
        <v>0.91420514826017596</v>
      </c>
      <c r="E5337">
        <v>0.76656421533270902</v>
      </c>
      <c r="F5337">
        <v>0.57872676549942503</v>
      </c>
      <c r="G5337">
        <v>0.34987493682833898</v>
      </c>
      <c r="H5337">
        <v>0.22562895668199601</v>
      </c>
      <c r="I5337">
        <v>0.19067241555778999</v>
      </c>
      <c r="J5337">
        <v>9.6440962822446005E-2</v>
      </c>
      <c r="K5337">
        <v>8.2137056134540198E-2</v>
      </c>
      <c r="L5337">
        <v>619.28328036609503</v>
      </c>
      <c r="M5337">
        <v>12.1490251772462</v>
      </c>
      <c r="N5337">
        <v>51.306471262596901</v>
      </c>
      <c r="O5337">
        <v>49.651808285345602</v>
      </c>
      <c r="P5337">
        <v>-5.88684770596304E-2</v>
      </c>
      <c r="Q5337">
        <v>3.7863614633159702E-2</v>
      </c>
      <c r="R5337">
        <v>0.99751264215820201</v>
      </c>
      <c r="S5337" t="s">
        <v>10920</v>
      </c>
      <c r="T5337" t="s">
        <v>11164</v>
      </c>
      <c r="U5337" t="s">
        <v>11164</v>
      </c>
      <c r="V5337" t="s">
        <v>11164</v>
      </c>
      <c r="W5337" t="s">
        <v>16455</v>
      </c>
      <c r="X5337">
        <v>6</v>
      </c>
      <c r="Y5337" t="s">
        <v>21915</v>
      </c>
      <c r="Z5337" t="s">
        <v>27487</v>
      </c>
      <c r="AA5337">
        <v>0.5108138628109693</v>
      </c>
      <c r="AB5337" t="str">
        <f>HYPERLINK("Melting_Curves/meltCurve_Q9ULX3_NOB1.pdf", "Melting_Curves/meltCurve_Q9ULX3_NOB1.pdf")</f>
        <v>Melting_Curves/meltCurve_Q9ULX3_NOB1.pdf</v>
      </c>
    </row>
    <row r="5338" spans="1:28" x14ac:dyDescent="0.25">
      <c r="A5338" t="s">
        <v>5342</v>
      </c>
      <c r="B5338">
        <v>0.99796759195183404</v>
      </c>
      <c r="C5338">
        <v>0.95964969681740098</v>
      </c>
      <c r="D5338">
        <v>0.96728285565504302</v>
      </c>
      <c r="E5338">
        <v>0.87600333244648099</v>
      </c>
      <c r="F5338">
        <v>0.75434562357298096</v>
      </c>
      <c r="G5338">
        <v>0.57595117643685401</v>
      </c>
      <c r="H5338">
        <v>0.421492425017508</v>
      </c>
      <c r="I5338">
        <v>0.30327959697060802</v>
      </c>
      <c r="J5338">
        <v>0.259499713347071</v>
      </c>
      <c r="K5338">
        <v>0.184276241790815</v>
      </c>
      <c r="L5338">
        <v>601.19329026386799</v>
      </c>
      <c r="M5338">
        <v>11.0253999920554</v>
      </c>
      <c r="N5338">
        <v>55.567244759539001</v>
      </c>
      <c r="O5338">
        <v>52.826329866218003</v>
      </c>
      <c r="P5338">
        <v>-4.7332416847535301E-2</v>
      </c>
      <c r="Q5338">
        <v>9.3162483019573597E-2</v>
      </c>
      <c r="R5338">
        <v>0.99846346376815098</v>
      </c>
      <c r="S5338" t="s">
        <v>10921</v>
      </c>
      <c r="T5338" t="s">
        <v>11164</v>
      </c>
      <c r="U5338" t="s">
        <v>11164</v>
      </c>
      <c r="V5338" t="s">
        <v>11164</v>
      </c>
      <c r="W5338" t="s">
        <v>16456</v>
      </c>
      <c r="X5338">
        <v>1</v>
      </c>
      <c r="Y5338" t="s">
        <v>21916</v>
      </c>
      <c r="Z5338" t="s">
        <v>27488</v>
      </c>
      <c r="AA5338">
        <v>0.63723771992956535</v>
      </c>
      <c r="AB5338" t="str">
        <f>HYPERLINK("Melting_Curves/meltCurve_Q9UM13_ANAPC10.pdf", "Melting_Curves/meltCurve_Q9UM13_ANAPC10.pdf")</f>
        <v>Melting_Curves/meltCurve_Q9UM13_ANAPC10.pdf</v>
      </c>
    </row>
    <row r="5339" spans="1:28" x14ac:dyDescent="0.25">
      <c r="A5339" t="s">
        <v>5343</v>
      </c>
      <c r="B5339">
        <v>0.99796759195183404</v>
      </c>
      <c r="C5339">
        <v>0.97711909838780697</v>
      </c>
      <c r="D5339">
        <v>1.04563174181876</v>
      </c>
      <c r="E5339">
        <v>0.99535616693089302</v>
      </c>
      <c r="F5339">
        <v>0.72716734764243696</v>
      </c>
      <c r="G5339">
        <v>0.222056118186819</v>
      </c>
      <c r="H5339">
        <v>0.110153722206859</v>
      </c>
      <c r="I5339">
        <v>6.4811451422685601E-2</v>
      </c>
      <c r="J5339">
        <v>9.8226384237749695E-2</v>
      </c>
      <c r="K5339">
        <v>0.14281996048732501</v>
      </c>
      <c r="L5339">
        <v>2065.01717908202</v>
      </c>
      <c r="M5339">
        <v>40.290300259227898</v>
      </c>
      <c r="N5339">
        <v>51.543475130700003</v>
      </c>
      <c r="O5339">
        <v>51.127679606497203</v>
      </c>
      <c r="P5339">
        <v>-0.177028307106538</v>
      </c>
      <c r="Q5339">
        <v>0.101418625153245</v>
      </c>
      <c r="R5339">
        <v>0.99661132386626505</v>
      </c>
      <c r="S5339" t="s">
        <v>10922</v>
      </c>
      <c r="T5339" t="s">
        <v>11164</v>
      </c>
      <c r="U5339" t="s">
        <v>11164</v>
      </c>
      <c r="V5339" t="s">
        <v>11164</v>
      </c>
      <c r="W5339" t="s">
        <v>16457</v>
      </c>
      <c r="X5339">
        <v>1</v>
      </c>
      <c r="Y5339" t="s">
        <v>21917</v>
      </c>
      <c r="Z5339" t="s">
        <v>27489</v>
      </c>
      <c r="AA5339">
        <v>0.53148121897452372</v>
      </c>
      <c r="AB5339" t="str">
        <f>HYPERLINK("Melting_Curves/meltCurve_Q9UMN6_WBP7.pdf", "Melting_Curves/meltCurve_Q9UMN6_WBP7.pdf")</f>
        <v>Melting_Curves/meltCurve_Q9UMN6_WBP7.pdf</v>
      </c>
    </row>
    <row r="5340" spans="1:28" x14ac:dyDescent="0.25">
      <c r="A5340" t="s">
        <v>5344</v>
      </c>
      <c r="B5340">
        <v>0.99796759195183404</v>
      </c>
      <c r="C5340">
        <v>0.78900346775774199</v>
      </c>
      <c r="D5340">
        <v>0.60970200356641502</v>
      </c>
      <c r="E5340">
        <v>0.80111864292355806</v>
      </c>
      <c r="F5340">
        <v>1.27065393340611</v>
      </c>
      <c r="G5340">
        <v>6.4152897390389596E-2</v>
      </c>
      <c r="H5340">
        <v>5.9244764838099803E-2</v>
      </c>
      <c r="I5340">
        <v>6.7835472401275895E-2</v>
      </c>
      <c r="J5340">
        <v>5.3953508066185402E-2</v>
      </c>
      <c r="K5340">
        <v>1.41290979094907E-2</v>
      </c>
      <c r="L5340">
        <v>13229.0137855598</v>
      </c>
      <c r="M5340">
        <v>250</v>
      </c>
      <c r="N5340">
        <v>52.9377943896652</v>
      </c>
      <c r="O5340">
        <v>52.912671066623602</v>
      </c>
      <c r="P5340">
        <v>-1.12356739716001</v>
      </c>
      <c r="Q5340">
        <v>4.8784806941988099E-2</v>
      </c>
      <c r="R5340">
        <v>0.84637033118868199</v>
      </c>
      <c r="S5340" t="s">
        <v>10923</v>
      </c>
      <c r="T5340" t="s">
        <v>11164</v>
      </c>
      <c r="U5340" t="s">
        <v>11164</v>
      </c>
      <c r="V5340" t="s">
        <v>11164</v>
      </c>
      <c r="W5340" t="s">
        <v>16458</v>
      </c>
      <c r="X5340">
        <v>20</v>
      </c>
      <c r="Y5340" t="s">
        <v>21918</v>
      </c>
      <c r="Z5340" t="s">
        <v>27490</v>
      </c>
      <c r="AA5340">
        <v>0.55352625879859674</v>
      </c>
      <c r="AB5340" t="str">
        <f>HYPERLINK("Melting_Curves/meltCurve_Q9UMR2_DDX19B.pdf", "Melting_Curves/meltCurve_Q9UMR2_DDX19B.pdf")</f>
        <v>Melting_Curves/meltCurve_Q9UMR2_DDX19B.pdf</v>
      </c>
    </row>
    <row r="5341" spans="1:28" x14ac:dyDescent="0.25">
      <c r="A5341" t="s">
        <v>5345</v>
      </c>
      <c r="B5341">
        <v>0.99796759195183404</v>
      </c>
      <c r="C5341">
        <v>0.89932532876258398</v>
      </c>
      <c r="D5341">
        <v>1.0704608703302101</v>
      </c>
      <c r="E5341">
        <v>0.919792973141626</v>
      </c>
      <c r="F5341">
        <v>0.78227609640651496</v>
      </c>
      <c r="G5341">
        <v>0.56317171053619797</v>
      </c>
      <c r="H5341">
        <v>0.53641618890741205</v>
      </c>
      <c r="I5341">
        <v>0.41964251630683302</v>
      </c>
      <c r="J5341">
        <v>0.47114945469909297</v>
      </c>
      <c r="K5341">
        <v>0.27503174889881299</v>
      </c>
      <c r="L5341">
        <v>765.63370972410098</v>
      </c>
      <c r="M5341">
        <v>14.5459566726496</v>
      </c>
      <c r="N5341">
        <v>57.0882546052161</v>
      </c>
      <c r="O5341">
        <v>51.670693713077299</v>
      </c>
      <c r="P5341">
        <v>-4.6510019073252203E-2</v>
      </c>
      <c r="Q5341">
        <v>0.33921683832689398</v>
      </c>
      <c r="R5341">
        <v>0.94250316857782901</v>
      </c>
      <c r="S5341" t="s">
        <v>10924</v>
      </c>
      <c r="T5341" t="s">
        <v>11164</v>
      </c>
      <c r="U5341" t="s">
        <v>11164</v>
      </c>
      <c r="V5341" t="s">
        <v>11164</v>
      </c>
      <c r="W5341" t="s">
        <v>16459</v>
      </c>
      <c r="X5341">
        <v>4</v>
      </c>
      <c r="Y5341" t="s">
        <v>21919</v>
      </c>
      <c r="Z5341" t="s">
        <v>27491</v>
      </c>
      <c r="AA5341">
        <v>0.69611670691982319</v>
      </c>
      <c r="AB5341" t="str">
        <f>HYPERLINK("Melting_Curves/meltCurve_Q9UMS0_3_NFU1.pdf", "Melting_Curves/meltCurve_Q9UMS0_3_NFU1.pdf")</f>
        <v>Melting_Curves/meltCurve_Q9UMS0_3_NFU1.pdf</v>
      </c>
    </row>
    <row r="5342" spans="1:28" x14ac:dyDescent="0.25">
      <c r="A5342" t="s">
        <v>5346</v>
      </c>
      <c r="B5342">
        <v>0.99796759195183404</v>
      </c>
      <c r="C5342">
        <v>1.00566513211311</v>
      </c>
      <c r="D5342">
        <v>0.98731993980727095</v>
      </c>
      <c r="E5342">
        <v>0.91706897885540595</v>
      </c>
      <c r="F5342">
        <v>0.92218917012239199</v>
      </c>
      <c r="G5342">
        <v>1.6107354813007899</v>
      </c>
      <c r="H5342">
        <v>1.4361295922064701</v>
      </c>
      <c r="I5342">
        <v>0.97538278681157198</v>
      </c>
      <c r="J5342">
        <v>0.48070192210291501</v>
      </c>
      <c r="K5342">
        <v>0.27215760630233898</v>
      </c>
      <c r="L5342">
        <v>5555.8545693573396</v>
      </c>
      <c r="M5342">
        <v>87.556234056389499</v>
      </c>
      <c r="N5342">
        <v>64.007336359823597</v>
      </c>
      <c r="O5342">
        <v>63.421644126699597</v>
      </c>
      <c r="P5342">
        <v>-0.25359879870276603</v>
      </c>
      <c r="Q5342">
        <v>0.26521987853395501</v>
      </c>
      <c r="R5342">
        <v>0.57641406210415702</v>
      </c>
      <c r="S5342" t="s">
        <v>10925</v>
      </c>
      <c r="T5342" t="s">
        <v>11164</v>
      </c>
      <c r="U5342" t="s">
        <v>11164</v>
      </c>
      <c r="V5342" t="s">
        <v>11164</v>
      </c>
      <c r="W5342" t="s">
        <v>16460</v>
      </c>
      <c r="X5342">
        <v>9</v>
      </c>
      <c r="Y5342" t="s">
        <v>21920</v>
      </c>
      <c r="Z5342" t="s">
        <v>27492</v>
      </c>
      <c r="AA5342">
        <v>0.91363797504226152</v>
      </c>
      <c r="AB5342" t="str">
        <f>HYPERLINK("Melting_Curves/meltCurve_Q9UMS4_PRPF19.pdf", "Melting_Curves/meltCurve_Q9UMS4_PRPF19.pdf")</f>
        <v>Melting_Curves/meltCurve_Q9UMS4_PRPF19.pdf</v>
      </c>
    </row>
    <row r="5343" spans="1:28" x14ac:dyDescent="0.25">
      <c r="A5343" t="s">
        <v>5347</v>
      </c>
      <c r="B5343">
        <v>0.99796759195183404</v>
      </c>
      <c r="C5343">
        <v>0.93200593661820097</v>
      </c>
      <c r="D5343">
        <v>0.93780077435821696</v>
      </c>
      <c r="E5343">
        <v>0.88865841832197601</v>
      </c>
      <c r="F5343">
        <v>0.81065717095335099</v>
      </c>
      <c r="G5343">
        <v>0.587641195278785</v>
      </c>
      <c r="H5343">
        <v>0.55599535694659996</v>
      </c>
      <c r="I5343">
        <v>0.525892423779178</v>
      </c>
      <c r="J5343">
        <v>0.581944616473276</v>
      </c>
      <c r="K5343">
        <v>0.51067295093323095</v>
      </c>
      <c r="L5343">
        <v>847.15152254183204</v>
      </c>
      <c r="M5343">
        <v>16.884454390373801</v>
      </c>
      <c r="O5343">
        <v>49.485512397314302</v>
      </c>
      <c r="P5343">
        <v>-4.1181168451580402E-2</v>
      </c>
      <c r="Q5343">
        <v>0.51725016155507497</v>
      </c>
      <c r="R5343">
        <v>0.96158179784909603</v>
      </c>
      <c r="S5343" t="s">
        <v>10926</v>
      </c>
      <c r="T5343" t="s">
        <v>11164</v>
      </c>
      <c r="U5343" t="s">
        <v>11164</v>
      </c>
      <c r="V5343" t="s">
        <v>11164</v>
      </c>
      <c r="W5343" t="s">
        <v>16461</v>
      </c>
      <c r="X5343">
        <v>11</v>
      </c>
      <c r="Y5343" t="s">
        <v>21921</v>
      </c>
      <c r="Z5343" t="s">
        <v>27493</v>
      </c>
      <c r="AA5343">
        <v>0.73763935812597259</v>
      </c>
      <c r="AB5343" t="str">
        <f>HYPERLINK("Melting_Curves/meltCurve_Q9UMX0_UBQLN1.pdf", "Melting_Curves/meltCurve_Q9UMX0_UBQLN1.pdf")</f>
        <v>Melting_Curves/meltCurve_Q9UMX0_UBQLN1.pdf</v>
      </c>
    </row>
    <row r="5344" spans="1:28" x14ac:dyDescent="0.25">
      <c r="A5344" t="s">
        <v>5348</v>
      </c>
      <c r="B5344">
        <v>0.99796759195183404</v>
      </c>
      <c r="C5344">
        <v>0.89390927904763096</v>
      </c>
      <c r="D5344">
        <v>0.96205058549276301</v>
      </c>
      <c r="E5344">
        <v>0.84034315563136597</v>
      </c>
      <c r="F5344">
        <v>0.81947432781993801</v>
      </c>
      <c r="G5344">
        <v>0.50064869558089098</v>
      </c>
      <c r="H5344">
        <v>0.31721242420707102</v>
      </c>
      <c r="I5344">
        <v>0.15304796843082699</v>
      </c>
      <c r="J5344">
        <v>9.3229081087722807E-2</v>
      </c>
      <c r="K5344">
        <v>7.8106368970983706E-2</v>
      </c>
      <c r="L5344">
        <v>755.02136275962505</v>
      </c>
      <c r="M5344">
        <v>13.9474429178779</v>
      </c>
      <c r="N5344">
        <v>54.133318032035</v>
      </c>
      <c r="O5344">
        <v>53.056916082778699</v>
      </c>
      <c r="P5344">
        <v>-6.5728075261707306E-2</v>
      </c>
      <c r="Q5344">
        <v>0</v>
      </c>
      <c r="R5344">
        <v>0.98427194968239795</v>
      </c>
      <c r="S5344" t="s">
        <v>10927</v>
      </c>
      <c r="T5344" t="s">
        <v>11164</v>
      </c>
      <c r="U5344" t="s">
        <v>11164</v>
      </c>
      <c r="V5344" t="s">
        <v>11164</v>
      </c>
      <c r="W5344" t="s">
        <v>16462</v>
      </c>
      <c r="X5344">
        <v>5</v>
      </c>
      <c r="Y5344" t="s">
        <v>21922</v>
      </c>
      <c r="Z5344" t="s">
        <v>27494</v>
      </c>
      <c r="AA5344">
        <v>0.58776169942113299</v>
      </c>
      <c r="AB5344" t="str">
        <f>HYPERLINK("Melting_Curves/meltCurve_Q9UMX1_SUFU.pdf", "Melting_Curves/meltCurve_Q9UMX1_SUFU.pdf")</f>
        <v>Melting_Curves/meltCurve_Q9UMX1_SUFU.pdf</v>
      </c>
    </row>
    <row r="5345" spans="1:28" x14ac:dyDescent="0.25">
      <c r="A5345" t="s">
        <v>5349</v>
      </c>
      <c r="B5345">
        <v>0.99796759195183404</v>
      </c>
      <c r="C5345">
        <v>0.93326116986115204</v>
      </c>
      <c r="D5345">
        <v>0.98808989026416505</v>
      </c>
      <c r="E5345">
        <v>0.90514485813385404</v>
      </c>
      <c r="F5345">
        <v>0.76688451353880704</v>
      </c>
      <c r="G5345">
        <v>0.55568754230325601</v>
      </c>
      <c r="H5345">
        <v>0.52649425290590102</v>
      </c>
      <c r="I5345">
        <v>0.487060311849632</v>
      </c>
      <c r="J5345">
        <v>0.61032158227875999</v>
      </c>
      <c r="K5345">
        <v>0.61178398622221397</v>
      </c>
      <c r="L5345">
        <v>1414.86951172468</v>
      </c>
      <c r="M5345">
        <v>28.5632280533423</v>
      </c>
      <c r="O5345">
        <v>49.293758244714901</v>
      </c>
      <c r="P5345">
        <v>-6.4990117155455496E-2</v>
      </c>
      <c r="Q5345">
        <v>0.55136980021401005</v>
      </c>
      <c r="R5345">
        <v>0.94463517352931903</v>
      </c>
      <c r="S5345" t="s">
        <v>10928</v>
      </c>
      <c r="T5345" t="s">
        <v>11164</v>
      </c>
      <c r="U5345" t="s">
        <v>11164</v>
      </c>
      <c r="V5345" t="s">
        <v>11164</v>
      </c>
      <c r="W5345" t="s">
        <v>16463</v>
      </c>
      <c r="X5345">
        <v>13</v>
      </c>
      <c r="Y5345" t="s">
        <v>21923</v>
      </c>
      <c r="Z5345" t="s">
        <v>27495</v>
      </c>
      <c r="AA5345">
        <v>0.74182701031619158</v>
      </c>
      <c r="AB5345" t="str">
        <f>HYPERLINK("Melting_Curves/meltCurve_Q9UMX5_NENF.pdf", "Melting_Curves/meltCurve_Q9UMX5_NENF.pdf")</f>
        <v>Melting_Curves/meltCurve_Q9UMX5_NENF.pdf</v>
      </c>
    </row>
    <row r="5346" spans="1:28" x14ac:dyDescent="0.25">
      <c r="A5346" t="s">
        <v>5350</v>
      </c>
      <c r="B5346">
        <v>0.99796759195183404</v>
      </c>
      <c r="C5346">
        <v>1.0620045070236099</v>
      </c>
      <c r="D5346">
        <v>1.0596433866322901</v>
      </c>
      <c r="E5346">
        <v>0.98447421757841502</v>
      </c>
      <c r="F5346">
        <v>0.84936853028640402</v>
      </c>
      <c r="G5346">
        <v>0.404081157166923</v>
      </c>
      <c r="H5346">
        <v>0.20624169734092301</v>
      </c>
      <c r="I5346">
        <v>0.14246710483522601</v>
      </c>
      <c r="J5346">
        <v>0.10115751640899499</v>
      </c>
      <c r="K5346">
        <v>8.7833836377851193E-2</v>
      </c>
      <c r="L5346">
        <v>1589.91822688154</v>
      </c>
      <c r="M5346">
        <v>30.168220419519599</v>
      </c>
      <c r="N5346">
        <v>53.135515704831903</v>
      </c>
      <c r="O5346">
        <v>52.471824181310403</v>
      </c>
      <c r="P5346">
        <v>-0.128048232377652</v>
      </c>
      <c r="Q5346">
        <v>0.10914463049272199</v>
      </c>
      <c r="R5346">
        <v>0.99428446115929503</v>
      </c>
      <c r="S5346" t="s">
        <v>10929</v>
      </c>
      <c r="T5346" t="s">
        <v>11164</v>
      </c>
      <c r="U5346" t="s">
        <v>11164</v>
      </c>
      <c r="V5346" t="s">
        <v>11164</v>
      </c>
      <c r="W5346" t="s">
        <v>16464</v>
      </c>
      <c r="X5346">
        <v>10</v>
      </c>
      <c r="Y5346" t="s">
        <v>21924</v>
      </c>
      <c r="Z5346" t="s">
        <v>27496</v>
      </c>
      <c r="AA5346">
        <v>0.58101024541010682</v>
      </c>
      <c r="AB5346" t="str">
        <f>HYPERLINK("Melting_Curves/meltCurve_Q9UMY4_2_SNX12.pdf", "Melting_Curves/meltCurve_Q9UMY4_2_SNX12.pdf")</f>
        <v>Melting_Curves/meltCurve_Q9UMY4_2_SNX12.pdf</v>
      </c>
    </row>
    <row r="5347" spans="1:28" x14ac:dyDescent="0.25">
      <c r="A5347" t="s">
        <v>5351</v>
      </c>
      <c r="B5347">
        <v>0.99796759195183404</v>
      </c>
      <c r="C5347">
        <v>0.94921220564086495</v>
      </c>
      <c r="D5347">
        <v>0.90052469151310999</v>
      </c>
      <c r="E5347">
        <v>0.800326857967532</v>
      </c>
      <c r="F5347">
        <v>0.66665905607837495</v>
      </c>
      <c r="G5347">
        <v>0.503869660876472</v>
      </c>
      <c r="H5347">
        <v>0.45985607490167302</v>
      </c>
      <c r="I5347">
        <v>0.27471359026519099</v>
      </c>
      <c r="J5347">
        <v>0.359711655728919</v>
      </c>
      <c r="K5347">
        <v>0.29437609921052699</v>
      </c>
      <c r="L5347">
        <v>538.28946826722097</v>
      </c>
      <c r="M5347">
        <v>10.5260976811914</v>
      </c>
      <c r="N5347">
        <v>54.412487136412899</v>
      </c>
      <c r="O5347">
        <v>49.396294133408297</v>
      </c>
      <c r="P5347">
        <v>-4.0792441739792303E-2</v>
      </c>
      <c r="Q5347">
        <v>0.23459175701021301</v>
      </c>
      <c r="R5347">
        <v>0.98503285827871501</v>
      </c>
      <c r="S5347" t="s">
        <v>10930</v>
      </c>
      <c r="T5347" t="s">
        <v>11164</v>
      </c>
      <c r="U5347" t="s">
        <v>11164</v>
      </c>
      <c r="V5347" t="s">
        <v>11164</v>
      </c>
      <c r="W5347" t="s">
        <v>16465</v>
      </c>
      <c r="X5347">
        <v>7</v>
      </c>
      <c r="Y5347" t="s">
        <v>21925</v>
      </c>
      <c r="Z5347" t="s">
        <v>27497</v>
      </c>
      <c r="AA5347">
        <v>0.61740204246545061</v>
      </c>
      <c r="AB5347" t="str">
        <f>HYPERLINK("Melting_Curves/meltCurve_Q9UMZ2_6_SYNRG.pdf", "Melting_Curves/meltCurve_Q9UMZ2_6_SYNRG.pdf")</f>
        <v>Melting_Curves/meltCurve_Q9UMZ2_6_SYNRG.pdf</v>
      </c>
    </row>
    <row r="5348" spans="1:28" x14ac:dyDescent="0.25">
      <c r="A5348" t="s">
        <v>5352</v>
      </c>
      <c r="B5348">
        <v>0.99796759195183404</v>
      </c>
      <c r="C5348">
        <v>1.07412769295712</v>
      </c>
      <c r="D5348">
        <v>0.99567896484313001</v>
      </c>
      <c r="E5348">
        <v>0.91700778387820203</v>
      </c>
      <c r="F5348">
        <v>0.69653146852994696</v>
      </c>
      <c r="G5348">
        <v>0.207913545555938</v>
      </c>
      <c r="H5348">
        <v>0.15431499549245001</v>
      </c>
      <c r="I5348">
        <v>0.113356389175929</v>
      </c>
      <c r="J5348">
        <v>8.9576535285143893E-2</v>
      </c>
      <c r="K5348">
        <v>7.1043766190422394E-2</v>
      </c>
      <c r="L5348">
        <v>1701.0985574992101</v>
      </c>
      <c r="M5348">
        <v>33.301784645142902</v>
      </c>
      <c r="N5348">
        <v>51.406918343416898</v>
      </c>
      <c r="O5348">
        <v>50.898164875942498</v>
      </c>
      <c r="P5348">
        <v>-0.14801748579033999</v>
      </c>
      <c r="Q5348">
        <v>9.5089271055743593E-2</v>
      </c>
      <c r="R5348">
        <v>0.99352018656893704</v>
      </c>
      <c r="S5348" t="s">
        <v>10931</v>
      </c>
      <c r="T5348" t="s">
        <v>11164</v>
      </c>
      <c r="U5348" t="s">
        <v>11164</v>
      </c>
      <c r="V5348" t="s">
        <v>11164</v>
      </c>
      <c r="W5348" t="s">
        <v>16466</v>
      </c>
      <c r="X5348">
        <v>10</v>
      </c>
      <c r="Y5348" t="s">
        <v>21926</v>
      </c>
      <c r="Z5348" t="s">
        <v>27498</v>
      </c>
      <c r="AA5348">
        <v>0.52443107091218244</v>
      </c>
      <c r="AB5348" t="str">
        <f>HYPERLINK("Melting_Curves/meltCurve_Q9UN37_VPS4A.pdf", "Melting_Curves/meltCurve_Q9UN37_VPS4A.pdf")</f>
        <v>Melting_Curves/meltCurve_Q9UN37_VPS4A.pdf</v>
      </c>
    </row>
    <row r="5349" spans="1:28" x14ac:dyDescent="0.25">
      <c r="A5349" t="s">
        <v>5353</v>
      </c>
      <c r="B5349">
        <v>0.99796759195183404</v>
      </c>
      <c r="C5349">
        <v>0.92286195427320905</v>
      </c>
      <c r="D5349">
        <v>1.0049388323549799</v>
      </c>
      <c r="E5349">
        <v>0.91508308204661803</v>
      </c>
      <c r="F5349">
        <v>0.70339106845398602</v>
      </c>
      <c r="G5349">
        <v>0.37867295918168797</v>
      </c>
      <c r="H5349">
        <v>0.19861954300772999</v>
      </c>
      <c r="I5349">
        <v>0.15688766363159101</v>
      </c>
      <c r="J5349">
        <v>0.11612531214302201</v>
      </c>
      <c r="K5349">
        <v>0.105123397642924</v>
      </c>
      <c r="L5349">
        <v>1098.68904065423</v>
      </c>
      <c r="M5349">
        <v>21.217617199588201</v>
      </c>
      <c r="N5349">
        <v>52.361871070121602</v>
      </c>
      <c r="O5349">
        <v>51.328535347972903</v>
      </c>
      <c r="P5349">
        <v>-9.2523445248876998E-2</v>
      </c>
      <c r="Q5349">
        <v>0.10471187933746599</v>
      </c>
      <c r="R5349">
        <v>0.99535021185483796</v>
      </c>
      <c r="S5349" t="s">
        <v>10932</v>
      </c>
      <c r="T5349" t="s">
        <v>11164</v>
      </c>
      <c r="U5349" t="s">
        <v>11164</v>
      </c>
      <c r="V5349" t="s">
        <v>11164</v>
      </c>
      <c r="W5349" t="s">
        <v>16467</v>
      </c>
      <c r="X5349">
        <v>3</v>
      </c>
      <c r="Y5349" t="s">
        <v>21927</v>
      </c>
      <c r="Z5349" t="s">
        <v>27499</v>
      </c>
      <c r="AA5349">
        <v>0.5563923950770383</v>
      </c>
      <c r="AB5349" t="str">
        <f>HYPERLINK("Melting_Curves/meltCurve_Q9UN86_2_G3BP2.pdf", "Melting_Curves/meltCurve_Q9UN86_2_G3BP2.pdf")</f>
        <v>Melting_Curves/meltCurve_Q9UN86_2_G3BP2.pdf</v>
      </c>
    </row>
    <row r="5350" spans="1:28" x14ac:dyDescent="0.25">
      <c r="A5350" t="s">
        <v>5354</v>
      </c>
      <c r="B5350">
        <v>0.99796759195183404</v>
      </c>
      <c r="C5350">
        <v>1.04863551123181</v>
      </c>
      <c r="D5350">
        <v>0.98287433383926703</v>
      </c>
      <c r="E5350">
        <v>0.95775079448788203</v>
      </c>
      <c r="F5350">
        <v>0.60002473067431505</v>
      </c>
      <c r="G5350">
        <v>0.26745150890307501</v>
      </c>
      <c r="H5350">
        <v>0.18065380617184401</v>
      </c>
      <c r="I5350">
        <v>0.14770477879465899</v>
      </c>
      <c r="J5350">
        <v>0.11755592234330001</v>
      </c>
      <c r="K5350">
        <v>8.9422063889985096E-2</v>
      </c>
      <c r="L5350">
        <v>1421.9045892072199</v>
      </c>
      <c r="M5350">
        <v>28.081867863794798</v>
      </c>
      <c r="N5350">
        <v>51.148075893545801</v>
      </c>
      <c r="O5350">
        <v>50.379581965567503</v>
      </c>
      <c r="P5350">
        <v>-0.122226022545182</v>
      </c>
      <c r="Q5350">
        <v>0.122901218807659</v>
      </c>
      <c r="R5350">
        <v>0.99630151492332097</v>
      </c>
      <c r="S5350" t="s">
        <v>10933</v>
      </c>
      <c r="T5350" t="s">
        <v>11164</v>
      </c>
      <c r="U5350" t="s">
        <v>11164</v>
      </c>
      <c r="V5350" t="s">
        <v>11164</v>
      </c>
      <c r="W5350" t="s">
        <v>16468</v>
      </c>
      <c r="X5350">
        <v>17</v>
      </c>
      <c r="Y5350" t="s">
        <v>21928</v>
      </c>
      <c r="Z5350" t="s">
        <v>27500</v>
      </c>
      <c r="AA5350">
        <v>0.52770298103718649</v>
      </c>
      <c r="AB5350" t="str">
        <f>HYPERLINK("Melting_Curves/meltCurve_Q9UNE7_STUB1.pdf", "Melting_Curves/meltCurve_Q9UNE7_STUB1.pdf")</f>
        <v>Melting_Curves/meltCurve_Q9UNE7_STUB1.pdf</v>
      </c>
    </row>
    <row r="5351" spans="1:28" x14ac:dyDescent="0.25">
      <c r="A5351" t="s">
        <v>5355</v>
      </c>
      <c r="B5351">
        <v>0.99796759195183404</v>
      </c>
      <c r="C5351">
        <v>1.0123911124388001</v>
      </c>
      <c r="D5351">
        <v>0.97946980832768504</v>
      </c>
      <c r="E5351">
        <v>0.92258826201510102</v>
      </c>
      <c r="F5351">
        <v>0.805348292957073</v>
      </c>
      <c r="G5351">
        <v>0.275109084194116</v>
      </c>
      <c r="H5351">
        <v>0.222479024262247</v>
      </c>
      <c r="I5351">
        <v>0.19127299523876101</v>
      </c>
      <c r="J5351">
        <v>0.17092639862213699</v>
      </c>
      <c r="K5351">
        <v>0.123445999454511</v>
      </c>
      <c r="L5351">
        <v>2156.95228240091</v>
      </c>
      <c r="M5351">
        <v>41.864072585030399</v>
      </c>
      <c r="N5351">
        <v>52.0422541092911</v>
      </c>
      <c r="O5351">
        <v>51.405611714889503</v>
      </c>
      <c r="P5351">
        <v>-0.16882541268884699</v>
      </c>
      <c r="Q5351">
        <v>0.17078704433300501</v>
      </c>
      <c r="R5351">
        <v>0.99318050389990697</v>
      </c>
      <c r="S5351" t="s">
        <v>10934</v>
      </c>
      <c r="T5351" t="s">
        <v>11164</v>
      </c>
      <c r="U5351" t="s">
        <v>11164</v>
      </c>
      <c r="V5351" t="s">
        <v>11164</v>
      </c>
      <c r="W5351" t="s">
        <v>16469</v>
      </c>
      <c r="X5351">
        <v>19</v>
      </c>
      <c r="Y5351" t="s">
        <v>21929</v>
      </c>
      <c r="Z5351" t="s">
        <v>27501</v>
      </c>
      <c r="AA5351">
        <v>0.57489305119823564</v>
      </c>
      <c r="AB5351" t="str">
        <f>HYPERLINK("Melting_Curves/meltCurve_Q9UNF0_2_PACSIN2.pdf", "Melting_Curves/meltCurve_Q9UNF0_2_PACSIN2.pdf")</f>
        <v>Melting_Curves/meltCurve_Q9UNF0_2_PACSIN2.pdf</v>
      </c>
    </row>
    <row r="5352" spans="1:28" x14ac:dyDescent="0.25">
      <c r="A5352" t="s">
        <v>5356</v>
      </c>
      <c r="B5352">
        <v>0.99796759195183404</v>
      </c>
      <c r="C5352">
        <v>0.97192515643489497</v>
      </c>
      <c r="D5352">
        <v>1.01597730075468</v>
      </c>
      <c r="E5352">
        <v>0.83569319314475599</v>
      </c>
      <c r="F5352">
        <v>0.41519260350694698</v>
      </c>
      <c r="G5352">
        <v>0.25879033294440501</v>
      </c>
      <c r="H5352">
        <v>0.21947127043466899</v>
      </c>
      <c r="I5352">
        <v>0.18610074385063399</v>
      </c>
      <c r="J5352">
        <v>0.18310744510933599</v>
      </c>
      <c r="K5352">
        <v>0.147571830324706</v>
      </c>
      <c r="L5352">
        <v>1434.18293345864</v>
      </c>
      <c r="M5352">
        <v>29.422803220798102</v>
      </c>
      <c r="N5352">
        <v>49.520748441879398</v>
      </c>
      <c r="O5352">
        <v>48.520446151868697</v>
      </c>
      <c r="P5352">
        <v>-0.123578693879744</v>
      </c>
      <c r="Q5352">
        <v>0.18484338371168799</v>
      </c>
      <c r="R5352">
        <v>0.99648019982118896</v>
      </c>
      <c r="S5352" t="s">
        <v>10935</v>
      </c>
      <c r="T5352" t="s">
        <v>11164</v>
      </c>
      <c r="U5352" t="s">
        <v>11164</v>
      </c>
      <c r="V5352" t="s">
        <v>11164</v>
      </c>
      <c r="W5352" t="s">
        <v>16470</v>
      </c>
      <c r="X5352">
        <v>9</v>
      </c>
      <c r="Y5352" t="s">
        <v>21930</v>
      </c>
      <c r="Z5352" t="s">
        <v>27502</v>
      </c>
      <c r="AA5352">
        <v>0.50903577912928855</v>
      </c>
      <c r="AB5352" t="str">
        <f>HYPERLINK("Melting_Curves/meltCurve_Q9UNF1_MAGED2.pdf", "Melting_Curves/meltCurve_Q9UNF1_MAGED2.pdf")</f>
        <v>Melting_Curves/meltCurve_Q9UNF1_MAGED2.pdf</v>
      </c>
    </row>
    <row r="5353" spans="1:28" x14ac:dyDescent="0.25">
      <c r="A5353" t="s">
        <v>5357</v>
      </c>
      <c r="B5353">
        <v>0.99796759195183404</v>
      </c>
      <c r="C5353">
        <v>0.97395320842793998</v>
      </c>
      <c r="D5353">
        <v>0.90560832103906497</v>
      </c>
      <c r="E5353">
        <v>0.79845830785376304</v>
      </c>
      <c r="F5353">
        <v>0.49557530309382603</v>
      </c>
      <c r="G5353">
        <v>0.12812013101971301</v>
      </c>
      <c r="H5353">
        <v>0.172258765588193</v>
      </c>
      <c r="I5353">
        <v>0.16714474203857499</v>
      </c>
      <c r="J5353">
        <v>0.10267255960107199</v>
      </c>
      <c r="K5353">
        <v>5.1754816369495998E-2</v>
      </c>
      <c r="L5353">
        <v>1075.6503447687301</v>
      </c>
      <c r="M5353">
        <v>21.846566603232699</v>
      </c>
      <c r="N5353">
        <v>49.712522746951699</v>
      </c>
      <c r="O5353">
        <v>48.829588707125801</v>
      </c>
      <c r="P5353">
        <v>-0.101298736830272</v>
      </c>
      <c r="Q5353">
        <v>9.4363111415210504E-2</v>
      </c>
      <c r="R5353">
        <v>0.98566929194016795</v>
      </c>
      <c r="S5353" t="s">
        <v>10936</v>
      </c>
      <c r="T5353" t="s">
        <v>11164</v>
      </c>
      <c r="U5353" t="s">
        <v>11164</v>
      </c>
      <c r="V5353" t="s">
        <v>11164</v>
      </c>
      <c r="W5353" t="s">
        <v>16471</v>
      </c>
      <c r="X5353">
        <v>4</v>
      </c>
      <c r="Y5353" t="s">
        <v>21931</v>
      </c>
      <c r="Z5353" t="s">
        <v>27503</v>
      </c>
      <c r="AA5353">
        <v>0.47390644903611878</v>
      </c>
      <c r="AB5353" t="str">
        <f>HYPERLINK("Melting_Curves/meltCurve_Q9UNH6_SNX7.pdf", "Melting_Curves/meltCurve_Q9UNH6_SNX7.pdf")</f>
        <v>Melting_Curves/meltCurve_Q9UNH6_SNX7.pdf</v>
      </c>
    </row>
    <row r="5354" spans="1:28" x14ac:dyDescent="0.25">
      <c r="A5354" t="s">
        <v>5358</v>
      </c>
      <c r="B5354">
        <v>0.99796759195183404</v>
      </c>
      <c r="C5354">
        <v>1.0191684146142701</v>
      </c>
      <c r="D5354">
        <v>1.04072114688044</v>
      </c>
      <c r="E5354">
        <v>0.98310822574539702</v>
      </c>
      <c r="F5354">
        <v>0.85630616578461305</v>
      </c>
      <c r="G5354">
        <v>0.52799900288632196</v>
      </c>
      <c r="H5354">
        <v>0.19550330895003701</v>
      </c>
      <c r="I5354">
        <v>0.14022606137534399</v>
      </c>
      <c r="J5354">
        <v>0.111747063335113</v>
      </c>
      <c r="K5354">
        <v>8.0460907810010196E-2</v>
      </c>
      <c r="L5354">
        <v>1435.64109503397</v>
      </c>
      <c r="M5354">
        <v>26.821825006573</v>
      </c>
      <c r="N5354">
        <v>53.9249361415864</v>
      </c>
      <c r="O5354">
        <v>53.230231897379703</v>
      </c>
      <c r="P5354">
        <v>-0.114612925589472</v>
      </c>
      <c r="Q5354">
        <v>9.0172192224917999E-2</v>
      </c>
      <c r="R5354">
        <v>0.99779267806441796</v>
      </c>
      <c r="S5354" t="s">
        <v>10937</v>
      </c>
      <c r="T5354" t="s">
        <v>11164</v>
      </c>
      <c r="U5354" t="s">
        <v>11164</v>
      </c>
      <c r="V5354" t="s">
        <v>11164</v>
      </c>
      <c r="W5354" t="s">
        <v>16472</v>
      </c>
      <c r="X5354">
        <v>23</v>
      </c>
      <c r="Y5354" t="s">
        <v>21932</v>
      </c>
      <c r="Z5354" t="s">
        <v>27504</v>
      </c>
      <c r="AA5354">
        <v>0.5984348320186863</v>
      </c>
      <c r="AB5354" t="str">
        <f>HYPERLINK("Melting_Curves/meltCurve_Q9UNH7_SNX6.pdf", "Melting_Curves/meltCurve_Q9UNH7_SNX6.pdf")</f>
        <v>Melting_Curves/meltCurve_Q9UNH7_SNX6.pdf</v>
      </c>
    </row>
    <row r="5355" spans="1:28" x14ac:dyDescent="0.25">
      <c r="A5355" t="s">
        <v>5359</v>
      </c>
      <c r="B5355">
        <v>0.99796759195183404</v>
      </c>
      <c r="C5355">
        <v>1.04012677419468</v>
      </c>
      <c r="D5355">
        <v>0.99097411420445602</v>
      </c>
      <c r="E5355">
        <v>0.91025965516215301</v>
      </c>
      <c r="F5355">
        <v>0.91712745522224104</v>
      </c>
      <c r="G5355">
        <v>0.64800812847169498</v>
      </c>
      <c r="H5355">
        <v>0.72568842369891895</v>
      </c>
      <c r="I5355">
        <v>0.62251443285224695</v>
      </c>
      <c r="J5355">
        <v>0.66033389113015695</v>
      </c>
      <c r="K5355">
        <v>0.54991056593431198</v>
      </c>
      <c r="L5355">
        <v>899.07463605118005</v>
      </c>
      <c r="M5355">
        <v>17.3787400126898</v>
      </c>
      <c r="O5355">
        <v>51.063742691411903</v>
      </c>
      <c r="P5355">
        <v>-3.4007720402127697E-2</v>
      </c>
      <c r="Q5355">
        <v>0.60032474471738295</v>
      </c>
      <c r="R5355">
        <v>0.91719447005604804</v>
      </c>
      <c r="S5355" t="s">
        <v>10938</v>
      </c>
      <c r="T5355" t="s">
        <v>11164</v>
      </c>
      <c r="U5355" t="s">
        <v>11164</v>
      </c>
      <c r="V5355" t="s">
        <v>11164</v>
      </c>
      <c r="W5355" t="s">
        <v>16473</v>
      </c>
      <c r="X5355">
        <v>8</v>
      </c>
      <c r="Y5355" t="s">
        <v>21933</v>
      </c>
      <c r="Z5355" t="s">
        <v>27505</v>
      </c>
      <c r="AA5355">
        <v>0.80302718359115388</v>
      </c>
      <c r="AB5355" t="str">
        <f>HYPERLINK("Melting_Curves/meltCurve_Q9UNK0_STX8.pdf", "Melting_Curves/meltCurve_Q9UNK0_STX8.pdf")</f>
        <v>Melting_Curves/meltCurve_Q9UNK0_STX8.pdf</v>
      </c>
    </row>
    <row r="5356" spans="1:28" x14ac:dyDescent="0.25">
      <c r="A5356" t="s">
        <v>5360</v>
      </c>
      <c r="B5356">
        <v>0.99796759195183404</v>
      </c>
      <c r="C5356">
        <v>0.94809202682557303</v>
      </c>
      <c r="D5356">
        <v>0.84271594397750405</v>
      </c>
      <c r="E5356">
        <v>0.81172885214956303</v>
      </c>
      <c r="F5356">
        <v>0.78691079129666097</v>
      </c>
      <c r="G5356">
        <v>0.92730765661662895</v>
      </c>
      <c r="H5356">
        <v>0.52407868755877296</v>
      </c>
      <c r="I5356">
        <v>0.36649102497685598</v>
      </c>
      <c r="J5356">
        <v>0.22852939212062601</v>
      </c>
      <c r="K5356">
        <v>0.168792237490306</v>
      </c>
      <c r="L5356">
        <v>692.03318314533703</v>
      </c>
      <c r="M5356">
        <v>11.8356280406481</v>
      </c>
      <c r="N5356">
        <v>58.470339014840697</v>
      </c>
      <c r="O5356">
        <v>56.876082509710301</v>
      </c>
      <c r="P5356">
        <v>-5.2036980564609099E-2</v>
      </c>
      <c r="Q5356">
        <v>0</v>
      </c>
      <c r="R5356">
        <v>0.897515619393215</v>
      </c>
      <c r="S5356" t="s">
        <v>10939</v>
      </c>
      <c r="T5356" t="s">
        <v>11164</v>
      </c>
      <c r="U5356" t="s">
        <v>11164</v>
      </c>
      <c r="V5356" t="s">
        <v>11164</v>
      </c>
      <c r="W5356" t="s">
        <v>16474</v>
      </c>
      <c r="X5356">
        <v>7</v>
      </c>
      <c r="Y5356" t="s">
        <v>21934</v>
      </c>
      <c r="Z5356" t="s">
        <v>27506</v>
      </c>
      <c r="AA5356">
        <v>0.71067439177334557</v>
      </c>
      <c r="AB5356" t="str">
        <f>HYPERLINK("Melting_Curves/meltCurve_Q9UNM6_PSMD13.pdf", "Melting_Curves/meltCurve_Q9UNM6_PSMD13.pdf")</f>
        <v>Melting_Curves/meltCurve_Q9UNM6_PSMD13.pdf</v>
      </c>
    </row>
    <row r="5357" spans="1:28" x14ac:dyDescent="0.25">
      <c r="A5357" t="s">
        <v>5361</v>
      </c>
      <c r="B5357">
        <v>0.99796759195183404</v>
      </c>
      <c r="C5357">
        <v>0.93876598649410803</v>
      </c>
      <c r="D5357">
        <v>0.96304420278455105</v>
      </c>
      <c r="E5357">
        <v>0.91405787134958405</v>
      </c>
      <c r="F5357">
        <v>0.82132099154942195</v>
      </c>
      <c r="G5357">
        <v>0.62370984380389805</v>
      </c>
      <c r="H5357">
        <v>0.551771854510263</v>
      </c>
      <c r="I5357">
        <v>0.44483680320333502</v>
      </c>
      <c r="J5357">
        <v>0.25307287219498797</v>
      </c>
      <c r="K5357">
        <v>0.18147278423216801</v>
      </c>
      <c r="L5357">
        <v>548.75698630760905</v>
      </c>
      <c r="M5357">
        <v>9.4752428470305805</v>
      </c>
      <c r="N5357">
        <v>57.914841384920102</v>
      </c>
      <c r="O5357">
        <v>55.511107054402501</v>
      </c>
      <c r="P5357">
        <v>-4.2698226422450997E-2</v>
      </c>
      <c r="Q5357">
        <v>0</v>
      </c>
      <c r="R5357">
        <v>0.98542690828335699</v>
      </c>
      <c r="S5357" t="s">
        <v>10940</v>
      </c>
      <c r="T5357" t="s">
        <v>11164</v>
      </c>
      <c r="U5357" t="s">
        <v>11164</v>
      </c>
      <c r="V5357" t="s">
        <v>11164</v>
      </c>
      <c r="W5357" t="s">
        <v>16475</v>
      </c>
      <c r="X5357">
        <v>14</v>
      </c>
      <c r="Y5357" t="s">
        <v>21935</v>
      </c>
      <c r="Z5357" t="s">
        <v>27507</v>
      </c>
      <c r="AA5357">
        <v>0.6866905838410321</v>
      </c>
      <c r="AB5357" t="str">
        <f>HYPERLINK("Melting_Curves/meltCurve_Q9UNN5_FAF1.pdf", "Melting_Curves/meltCurve_Q9UNN5_FAF1.pdf")</f>
        <v>Melting_Curves/meltCurve_Q9UNN5_FAF1.pdf</v>
      </c>
    </row>
    <row r="5358" spans="1:28" x14ac:dyDescent="0.25">
      <c r="A5358" t="s">
        <v>5362</v>
      </c>
      <c r="B5358">
        <v>0.99796759195183404</v>
      </c>
      <c r="C5358">
        <v>0.95814372061465902</v>
      </c>
      <c r="D5358">
        <v>1.02082603414387</v>
      </c>
      <c r="E5358">
        <v>0.86525408971419904</v>
      </c>
      <c r="F5358">
        <v>0.76040003878810403</v>
      </c>
      <c r="G5358">
        <v>0.54003971252183502</v>
      </c>
      <c r="H5358">
        <v>0.509254617661408</v>
      </c>
      <c r="I5358">
        <v>0.436439775570092</v>
      </c>
      <c r="J5358">
        <v>0.64023705884646098</v>
      </c>
      <c r="K5358">
        <v>0.56577540851088404</v>
      </c>
      <c r="L5358">
        <v>1236.6426168176399</v>
      </c>
      <c r="M5358">
        <v>25.0940938605657</v>
      </c>
      <c r="O5358">
        <v>48.970452694210202</v>
      </c>
      <c r="P5358">
        <v>-6.0223171732132701E-2</v>
      </c>
      <c r="Q5358">
        <v>0.52991045300698603</v>
      </c>
      <c r="R5358">
        <v>0.92517684997737604</v>
      </c>
      <c r="S5358" t="s">
        <v>10941</v>
      </c>
      <c r="T5358" t="s">
        <v>11164</v>
      </c>
      <c r="U5358" t="s">
        <v>11164</v>
      </c>
      <c r="V5358" t="s">
        <v>11164</v>
      </c>
      <c r="W5358" t="s">
        <v>16476</v>
      </c>
      <c r="X5358">
        <v>4</v>
      </c>
      <c r="Y5358" t="s">
        <v>21936</v>
      </c>
      <c r="Z5358" t="s">
        <v>27508</v>
      </c>
      <c r="AA5358">
        <v>0.72638461032101131</v>
      </c>
      <c r="AB5358" t="str">
        <f>HYPERLINK("Melting_Curves/meltCurve_Q9UNN8_PROCR.pdf", "Melting_Curves/meltCurve_Q9UNN8_PROCR.pdf")</f>
        <v>Melting_Curves/meltCurve_Q9UNN8_PROCR.pdf</v>
      </c>
    </row>
    <row r="5359" spans="1:28" x14ac:dyDescent="0.25">
      <c r="A5359" t="s">
        <v>5363</v>
      </c>
      <c r="B5359">
        <v>0.99796759195183404</v>
      </c>
      <c r="C5359">
        <v>0.94340520437626296</v>
      </c>
      <c r="D5359">
        <v>1.06664309754902</v>
      </c>
      <c r="E5359">
        <v>0.94179219346453602</v>
      </c>
      <c r="F5359">
        <v>0.69729330838070902</v>
      </c>
      <c r="G5359">
        <v>0.34803953351689498</v>
      </c>
      <c r="H5359">
        <v>0.41877273164381001</v>
      </c>
      <c r="I5359">
        <v>0.34202249262845302</v>
      </c>
      <c r="J5359">
        <v>0.25441764556766899</v>
      </c>
      <c r="K5359">
        <v>0.19049524639925899</v>
      </c>
      <c r="L5359">
        <v>1440.20509941717</v>
      </c>
      <c r="M5359">
        <v>28.431962799233101</v>
      </c>
      <c r="N5359">
        <v>52.186551174228001</v>
      </c>
      <c r="O5359">
        <v>50.405837922903899</v>
      </c>
      <c r="P5359">
        <v>-0.10110862580515</v>
      </c>
      <c r="Q5359">
        <v>0.28300076341042901</v>
      </c>
      <c r="R5359">
        <v>0.96661594693389097</v>
      </c>
      <c r="S5359" t="s">
        <v>10942</v>
      </c>
      <c r="T5359" t="s">
        <v>11164</v>
      </c>
      <c r="U5359" t="s">
        <v>11164</v>
      </c>
      <c r="V5359" t="s">
        <v>11164</v>
      </c>
      <c r="W5359" t="s">
        <v>16477</v>
      </c>
      <c r="X5359">
        <v>6</v>
      </c>
      <c r="Y5359" t="s">
        <v>21937</v>
      </c>
      <c r="Z5359" t="s">
        <v>27509</v>
      </c>
      <c r="AA5359">
        <v>0.61427651639835046</v>
      </c>
      <c r="AB5359" t="str">
        <f>HYPERLINK("Melting_Curves/meltCurve_Q9UNP9_PPIE.pdf", "Melting_Curves/meltCurve_Q9UNP9_PPIE.pdf")</f>
        <v>Melting_Curves/meltCurve_Q9UNP9_PPIE.pdf</v>
      </c>
    </row>
    <row r="5360" spans="1:28" x14ac:dyDescent="0.25">
      <c r="A5360" t="s">
        <v>5364</v>
      </c>
      <c r="B5360">
        <v>0.99796759195183404</v>
      </c>
      <c r="C5360">
        <v>0.99228285814022898</v>
      </c>
      <c r="D5360">
        <v>0.93522281891936798</v>
      </c>
      <c r="E5360">
        <v>0.71435057065857899</v>
      </c>
      <c r="F5360">
        <v>0.25484938871025797</v>
      </c>
      <c r="G5360">
        <v>0.19633899559732701</v>
      </c>
      <c r="H5360">
        <v>0.156147512513409</v>
      </c>
      <c r="I5360">
        <v>0.151771990077677</v>
      </c>
      <c r="J5360">
        <v>0.118506200171167</v>
      </c>
      <c r="K5360">
        <v>0.11609692176335799</v>
      </c>
      <c r="L5360">
        <v>1468.66634617096</v>
      </c>
      <c r="M5360">
        <v>30.894783473483798</v>
      </c>
      <c r="N5360">
        <v>48.042792165162403</v>
      </c>
      <c r="O5360">
        <v>47.339842540764302</v>
      </c>
      <c r="P5360">
        <v>-0.14053020076700401</v>
      </c>
      <c r="Q5360">
        <v>0.13867153296627299</v>
      </c>
      <c r="R5360">
        <v>0.99686229372260404</v>
      </c>
      <c r="S5360" t="s">
        <v>10943</v>
      </c>
      <c r="T5360" t="s">
        <v>11164</v>
      </c>
      <c r="U5360" t="s">
        <v>11164</v>
      </c>
      <c r="V5360" t="s">
        <v>11164</v>
      </c>
      <c r="W5360" t="s">
        <v>16478</v>
      </c>
      <c r="X5360">
        <v>5</v>
      </c>
      <c r="Y5360" t="s">
        <v>21938</v>
      </c>
      <c r="Z5360" t="s">
        <v>27510</v>
      </c>
      <c r="AA5360">
        <v>0.44598465306631763</v>
      </c>
      <c r="AB5360" t="str">
        <f>HYPERLINK("Melting_Curves/meltCurve_Q9UNS1_2_TIMELESS.pdf", "Melting_Curves/meltCurve_Q9UNS1_2_TIMELESS.pdf")</f>
        <v>Melting_Curves/meltCurve_Q9UNS1_2_TIMELESS.pdf</v>
      </c>
    </row>
    <row r="5361" spans="1:28" x14ac:dyDescent="0.25">
      <c r="A5361" t="s">
        <v>5365</v>
      </c>
      <c r="B5361">
        <v>0.99796759195183404</v>
      </c>
      <c r="C5361">
        <v>1.0300426592238701</v>
      </c>
      <c r="D5361">
        <v>0.96687076997264698</v>
      </c>
      <c r="E5361">
        <v>0.98465835553964098</v>
      </c>
      <c r="F5361">
        <v>0.860319265114044</v>
      </c>
      <c r="G5361">
        <v>1.31123260276209</v>
      </c>
      <c r="H5361">
        <v>1.35687290513734</v>
      </c>
      <c r="I5361">
        <v>0.91644034173372901</v>
      </c>
      <c r="J5361">
        <v>1.8343154311841701</v>
      </c>
      <c r="K5361">
        <v>1.12320504553584</v>
      </c>
      <c r="L5361">
        <v>13085.199413456299</v>
      </c>
      <c r="M5361">
        <v>250</v>
      </c>
      <c r="O5361">
        <v>52.337448251831297</v>
      </c>
      <c r="P5361">
        <v>0.36838092902668501</v>
      </c>
      <c r="Q5361">
        <v>1.3084818842319801</v>
      </c>
      <c r="R5361">
        <v>0.368081750282162</v>
      </c>
      <c r="S5361" t="s">
        <v>10944</v>
      </c>
      <c r="T5361" t="s">
        <v>11164</v>
      </c>
      <c r="U5361" t="s">
        <v>11164</v>
      </c>
      <c r="V5361" t="s">
        <v>11164</v>
      </c>
      <c r="W5361" t="s">
        <v>16479</v>
      </c>
      <c r="X5361">
        <v>10</v>
      </c>
      <c r="Y5361" t="s">
        <v>21939</v>
      </c>
      <c r="Z5361" t="s">
        <v>27511</v>
      </c>
      <c r="AA5361">
        <v>1.15070827572775</v>
      </c>
      <c r="AB5361" t="str">
        <f>HYPERLINK("Melting_Curves/meltCurve_Q9UNS2_COPS3.pdf", "Melting_Curves/meltCurve_Q9UNS2_COPS3.pdf")</f>
        <v>Melting_Curves/meltCurve_Q9UNS2_COPS3.pdf</v>
      </c>
    </row>
    <row r="5362" spans="1:28" x14ac:dyDescent="0.25">
      <c r="A5362" t="s">
        <v>5366</v>
      </c>
      <c r="B5362">
        <v>0.99796759195183404</v>
      </c>
      <c r="C5362">
        <v>1.0646095417696499</v>
      </c>
      <c r="D5362">
        <v>0.95135693081563599</v>
      </c>
      <c r="E5362">
        <v>0.88013589736344999</v>
      </c>
      <c r="F5362">
        <v>0.721719029440133</v>
      </c>
      <c r="G5362">
        <v>0.37595831361274701</v>
      </c>
      <c r="H5362">
        <v>0.256234395817455</v>
      </c>
      <c r="I5362">
        <v>0.16292483540723099</v>
      </c>
      <c r="J5362">
        <v>0.17810405886077699</v>
      </c>
      <c r="K5362">
        <v>0.143238100495094</v>
      </c>
      <c r="L5362">
        <v>1030.83275350332</v>
      </c>
      <c r="M5362">
        <v>19.9782442774499</v>
      </c>
      <c r="N5362">
        <v>52.4689958288659</v>
      </c>
      <c r="O5362">
        <v>51.089137104613897</v>
      </c>
      <c r="P5362">
        <v>-8.3964593402115595E-2</v>
      </c>
      <c r="Q5362">
        <v>0.14115808210556499</v>
      </c>
      <c r="R5362">
        <v>0.99294922219453097</v>
      </c>
      <c r="S5362" t="s">
        <v>10945</v>
      </c>
      <c r="T5362" t="s">
        <v>11164</v>
      </c>
      <c r="U5362" t="s">
        <v>11164</v>
      </c>
      <c r="V5362" t="s">
        <v>11164</v>
      </c>
      <c r="W5362" t="s">
        <v>16480</v>
      </c>
      <c r="X5362">
        <v>1</v>
      </c>
      <c r="Y5362" t="s">
        <v>21940</v>
      </c>
      <c r="Z5362" t="s">
        <v>27512</v>
      </c>
      <c r="AA5362">
        <v>0.57024875436934253</v>
      </c>
      <c r="AB5362" t="str">
        <f>HYPERLINK("Melting_Curves/meltCurve_Q9UNT1_2_RABL2B.pdf", "Melting_Curves/meltCurve_Q9UNT1_2_RABL2B.pdf")</f>
        <v>Melting_Curves/meltCurve_Q9UNT1_2_RABL2B.pdf</v>
      </c>
    </row>
    <row r="5363" spans="1:28" x14ac:dyDescent="0.25">
      <c r="A5363" t="s">
        <v>5367</v>
      </c>
      <c r="B5363">
        <v>0.99796759195183404</v>
      </c>
      <c r="C5363">
        <v>1.05710597178828</v>
      </c>
      <c r="D5363">
        <v>1.0424947399244999</v>
      </c>
      <c r="E5363">
        <v>0.94458472107348102</v>
      </c>
      <c r="F5363">
        <v>0.77904091666089204</v>
      </c>
      <c r="G5363">
        <v>0.54098760832308901</v>
      </c>
      <c r="H5363">
        <v>0.51718840489959705</v>
      </c>
      <c r="I5363">
        <v>0.382143975734693</v>
      </c>
      <c r="J5363">
        <v>0.29990354355048299</v>
      </c>
      <c r="K5363">
        <v>0.23100094140518901</v>
      </c>
      <c r="L5363">
        <v>742.20795562778596</v>
      </c>
      <c r="M5363">
        <v>13.7882217019888</v>
      </c>
      <c r="N5363">
        <v>56.229910628693297</v>
      </c>
      <c r="O5363">
        <v>52.734746689248396</v>
      </c>
      <c r="P5363">
        <v>-5.0830723352622398E-2</v>
      </c>
      <c r="Q5363">
        <v>0.22247583967918999</v>
      </c>
      <c r="R5363">
        <v>0.977651870728937</v>
      </c>
      <c r="S5363" t="s">
        <v>10946</v>
      </c>
      <c r="T5363" t="s">
        <v>11164</v>
      </c>
      <c r="U5363" t="s">
        <v>11164</v>
      </c>
      <c r="V5363" t="s">
        <v>11164</v>
      </c>
      <c r="W5363" t="s">
        <v>16481</v>
      </c>
      <c r="X5363">
        <v>6</v>
      </c>
      <c r="Y5363" t="s">
        <v>21941</v>
      </c>
      <c r="Z5363" t="s">
        <v>27513</v>
      </c>
      <c r="AA5363">
        <v>0.67222753394928236</v>
      </c>
      <c r="AB5363" t="str">
        <f>HYPERLINK("Melting_Curves/meltCurve_Q9UNW1_MINPP1.pdf", "Melting_Curves/meltCurve_Q9UNW1_MINPP1.pdf")</f>
        <v>Melting_Curves/meltCurve_Q9UNW1_MINPP1.pdf</v>
      </c>
    </row>
    <row r="5364" spans="1:28" x14ac:dyDescent="0.25">
      <c r="A5364" t="s">
        <v>5368</v>
      </c>
      <c r="B5364">
        <v>0.99796759195183404</v>
      </c>
      <c r="C5364">
        <v>0.93240478711002805</v>
      </c>
      <c r="D5364">
        <v>0.95513707558543304</v>
      </c>
      <c r="E5364">
        <v>0.92565441590181297</v>
      </c>
      <c r="F5364">
        <v>0.58700466510816096</v>
      </c>
      <c r="G5364">
        <v>0.31069356225289002</v>
      </c>
      <c r="H5364">
        <v>0.32509754670105101</v>
      </c>
      <c r="I5364">
        <v>0.30200010942623101</v>
      </c>
      <c r="J5364">
        <v>0.18975553332030601</v>
      </c>
      <c r="K5364">
        <v>0.25808187584095998</v>
      </c>
      <c r="L5364">
        <v>1496.04093171712</v>
      </c>
      <c r="M5364">
        <v>30.039929668827199</v>
      </c>
      <c r="N5364">
        <v>51.046576269065</v>
      </c>
      <c r="O5364">
        <v>49.582586153875802</v>
      </c>
      <c r="P5364">
        <v>-0.11213542415160301</v>
      </c>
      <c r="Q5364">
        <v>0.25966126002894102</v>
      </c>
      <c r="R5364">
        <v>0.98469330946410705</v>
      </c>
      <c r="S5364" t="s">
        <v>10947</v>
      </c>
      <c r="T5364" t="s">
        <v>11164</v>
      </c>
      <c r="U5364" t="s">
        <v>11164</v>
      </c>
      <c r="V5364" t="s">
        <v>11164</v>
      </c>
      <c r="W5364" t="s">
        <v>16482</v>
      </c>
      <c r="X5364">
        <v>3</v>
      </c>
      <c r="Y5364" t="s">
        <v>21942</v>
      </c>
      <c r="Z5364" t="s">
        <v>27514</v>
      </c>
      <c r="AA5364">
        <v>0.5800979643041877</v>
      </c>
      <c r="AB5364" t="str">
        <f>HYPERLINK("Melting_Curves/meltCurve_Q9UNW9_NOVA2.pdf", "Melting_Curves/meltCurve_Q9UNW9_NOVA2.pdf")</f>
        <v>Melting_Curves/meltCurve_Q9UNW9_NOVA2.pdf</v>
      </c>
    </row>
    <row r="5365" spans="1:28" x14ac:dyDescent="0.25">
      <c r="A5365" t="s">
        <v>5369</v>
      </c>
      <c r="B5365">
        <v>0.99796759195183404</v>
      </c>
      <c r="C5365">
        <v>0.94659684293652302</v>
      </c>
      <c r="D5365">
        <v>0.902475359194714</v>
      </c>
      <c r="E5365">
        <v>0.81263113020178601</v>
      </c>
      <c r="F5365">
        <v>0.27796067971032601</v>
      </c>
      <c r="G5365">
        <v>0</v>
      </c>
      <c r="H5365">
        <v>0</v>
      </c>
      <c r="I5365">
        <v>5.8374588804956898E-2</v>
      </c>
      <c r="J5365">
        <v>0</v>
      </c>
      <c r="K5365">
        <v>7.3219188985883005E-2</v>
      </c>
      <c r="L5365">
        <v>1637.3129266875301</v>
      </c>
      <c r="M5365">
        <v>33.718669034600197</v>
      </c>
      <c r="N5365">
        <v>48.617740723352199</v>
      </c>
      <c r="O5365">
        <v>48.388213347913897</v>
      </c>
      <c r="P5365">
        <v>-0.17067764801205501</v>
      </c>
      <c r="Q5365">
        <v>2.02753976550973E-2</v>
      </c>
      <c r="R5365">
        <v>0.98966103537295802</v>
      </c>
      <c r="S5365" t="s">
        <v>10948</v>
      </c>
      <c r="T5365" t="s">
        <v>11164</v>
      </c>
      <c r="U5365" t="s">
        <v>11164</v>
      </c>
      <c r="V5365" t="s">
        <v>11164</v>
      </c>
      <c r="W5365" t="s">
        <v>16483</v>
      </c>
      <c r="X5365">
        <v>4</v>
      </c>
      <c r="Y5365" t="s">
        <v>21943</v>
      </c>
      <c r="Z5365" t="s">
        <v>27515</v>
      </c>
      <c r="AA5365">
        <v>0.40236993606249971</v>
      </c>
      <c r="AB5365" t="str">
        <f>HYPERLINK("Melting_Curves/meltCurve_Q9UNY4_TTF2.pdf", "Melting_Curves/meltCurve_Q9UNY4_TTF2.pdf")</f>
        <v>Melting_Curves/meltCurve_Q9UNY4_TTF2.pdf</v>
      </c>
    </row>
    <row r="5366" spans="1:28" x14ac:dyDescent="0.25">
      <c r="A5366" t="s">
        <v>5370</v>
      </c>
      <c r="B5366">
        <v>0.99796759195183404</v>
      </c>
      <c r="C5366">
        <v>1.0093472714074201</v>
      </c>
      <c r="D5366">
        <v>1.00843596214175</v>
      </c>
      <c r="E5366">
        <v>0.95473605771341197</v>
      </c>
      <c r="F5366">
        <v>0.82147056118236295</v>
      </c>
      <c r="G5366">
        <v>0.57499667733065196</v>
      </c>
      <c r="H5366">
        <v>0.36166743521358002</v>
      </c>
      <c r="I5366">
        <v>0.22206728663125</v>
      </c>
      <c r="J5366">
        <v>0.177620962286416</v>
      </c>
      <c r="K5366">
        <v>0.14138211849145099</v>
      </c>
      <c r="L5366">
        <v>953.41831732231901</v>
      </c>
      <c r="M5366">
        <v>17.619789702203299</v>
      </c>
      <c r="N5366">
        <v>54.9558575760257</v>
      </c>
      <c r="O5366">
        <v>53.428088359037702</v>
      </c>
      <c r="P5366">
        <v>-7.2664892446160104E-2</v>
      </c>
      <c r="Q5366">
        <v>0.118686885880738</v>
      </c>
      <c r="R5366">
        <v>0.99949804996469904</v>
      </c>
      <c r="S5366" t="s">
        <v>10949</v>
      </c>
      <c r="T5366" t="s">
        <v>11164</v>
      </c>
      <c r="U5366" t="s">
        <v>11164</v>
      </c>
      <c r="V5366" t="s">
        <v>11164</v>
      </c>
      <c r="W5366" t="s">
        <v>16484</v>
      </c>
      <c r="X5366">
        <v>21</v>
      </c>
      <c r="Y5366" t="s">
        <v>21944</v>
      </c>
      <c r="Z5366" t="s">
        <v>27516</v>
      </c>
      <c r="AA5366">
        <v>0.63361030846878874</v>
      </c>
      <c r="AB5366" t="str">
        <f>HYPERLINK("Melting_Curves/meltCurve_Q9UNZ2_5_NSFL1C.pdf", "Melting_Curves/meltCurve_Q9UNZ2_5_NSFL1C.pdf")</f>
        <v>Melting_Curves/meltCurve_Q9UNZ2_5_NSFL1C.pdf</v>
      </c>
    </row>
    <row r="5367" spans="1:28" x14ac:dyDescent="0.25">
      <c r="A5367" t="s">
        <v>5371</v>
      </c>
      <c r="B5367">
        <v>0.99796759195183404</v>
      </c>
      <c r="C5367">
        <v>1.07536977227415</v>
      </c>
      <c r="D5367">
        <v>0.94996136335812198</v>
      </c>
      <c r="E5367">
        <v>1.0681469331719999</v>
      </c>
      <c r="F5367">
        <v>1.00348104188111</v>
      </c>
      <c r="G5367">
        <v>0.83008354009397101</v>
      </c>
      <c r="H5367">
        <v>0.864381811800366</v>
      </c>
      <c r="I5367">
        <v>0.64040668166868098</v>
      </c>
      <c r="J5367">
        <v>0.42580601845979899</v>
      </c>
      <c r="K5367">
        <v>0.214137841758854</v>
      </c>
      <c r="L5367">
        <v>1085.75998129596</v>
      </c>
      <c r="M5367">
        <v>17.301564278710298</v>
      </c>
      <c r="N5367">
        <v>62.755041015878099</v>
      </c>
      <c r="O5367">
        <v>61.934660654595</v>
      </c>
      <c r="P5367">
        <v>-6.9841998933700494E-2</v>
      </c>
      <c r="Q5367">
        <v>0</v>
      </c>
      <c r="R5367">
        <v>0.96089457458437699</v>
      </c>
      <c r="S5367" t="s">
        <v>10950</v>
      </c>
      <c r="T5367" t="s">
        <v>11164</v>
      </c>
      <c r="U5367" t="s">
        <v>11164</v>
      </c>
      <c r="V5367" t="s">
        <v>11164</v>
      </c>
      <c r="W5367" t="s">
        <v>16485</v>
      </c>
      <c r="X5367">
        <v>3</v>
      </c>
      <c r="Y5367" t="s">
        <v>21945</v>
      </c>
      <c r="Z5367" t="s">
        <v>27517</v>
      </c>
      <c r="AA5367">
        <v>0.83629196852978605</v>
      </c>
      <c r="AB5367" t="str">
        <f>HYPERLINK("Melting_Curves/meltCurve_Q9UNZ5_C19orf53.pdf", "Melting_Curves/meltCurve_Q9UNZ5_C19orf53.pdf")</f>
        <v>Melting_Curves/meltCurve_Q9UNZ5_C19orf53.pdf</v>
      </c>
    </row>
    <row r="5368" spans="1:28" x14ac:dyDescent="0.25">
      <c r="A5368" t="s">
        <v>5372</v>
      </c>
      <c r="B5368">
        <v>0.99796759195183404</v>
      </c>
      <c r="C5368">
        <v>1.00386435091195</v>
      </c>
      <c r="D5368">
        <v>1.00817200359989</v>
      </c>
      <c r="E5368">
        <v>0.891000015823323</v>
      </c>
      <c r="F5368">
        <v>0.58903238633544497</v>
      </c>
      <c r="G5368">
        <v>0.34556580221636402</v>
      </c>
      <c r="H5368">
        <v>0.27116414728351701</v>
      </c>
      <c r="I5368">
        <v>0.23824149814802001</v>
      </c>
      <c r="J5368">
        <v>0.19269649371315201</v>
      </c>
      <c r="K5368">
        <v>0.113905487079846</v>
      </c>
      <c r="L5368">
        <v>1044.5481628181201</v>
      </c>
      <c r="M5368">
        <v>20.7061958910061</v>
      </c>
      <c r="N5368">
        <v>51.521215293868401</v>
      </c>
      <c r="O5368">
        <v>49.982715317496201</v>
      </c>
      <c r="P5368">
        <v>-8.5402088060561696E-2</v>
      </c>
      <c r="Q5368">
        <v>0.17541451865695301</v>
      </c>
      <c r="R5368">
        <v>0.99291780568787702</v>
      </c>
      <c r="S5368" t="s">
        <v>10951</v>
      </c>
      <c r="T5368" t="s">
        <v>11164</v>
      </c>
      <c r="U5368" t="s">
        <v>11164</v>
      </c>
      <c r="V5368" t="s">
        <v>11164</v>
      </c>
      <c r="W5368" t="s">
        <v>16486</v>
      </c>
      <c r="X5368">
        <v>7</v>
      </c>
      <c r="Y5368" t="s">
        <v>21946</v>
      </c>
      <c r="Z5368" t="s">
        <v>27518</v>
      </c>
      <c r="AA5368">
        <v>0.55520613254351225</v>
      </c>
      <c r="AB5368" t="str">
        <f>HYPERLINK("Melting_Curves/meltCurve_Q9UP83_COG5.pdf", "Melting_Curves/meltCurve_Q9UP83_COG5.pdf")</f>
        <v>Melting_Curves/meltCurve_Q9UP83_COG5.pdf</v>
      </c>
    </row>
    <row r="5369" spans="1:28" x14ac:dyDescent="0.25">
      <c r="A5369" t="s">
        <v>5373</v>
      </c>
      <c r="B5369">
        <v>0.99796759195183404</v>
      </c>
      <c r="C5369">
        <v>0.85493467373906795</v>
      </c>
      <c r="D5369">
        <v>0.81775158985903496</v>
      </c>
      <c r="E5369">
        <v>0.62169008250978497</v>
      </c>
      <c r="F5369">
        <v>0.756616508968742</v>
      </c>
      <c r="G5369">
        <v>0.97565257806981998</v>
      </c>
      <c r="H5369">
        <v>0.56552326373073603</v>
      </c>
      <c r="I5369">
        <v>0.19368091698013801</v>
      </c>
      <c r="J5369">
        <v>0.133385682689732</v>
      </c>
      <c r="K5369">
        <v>5.6454121799963598E-2</v>
      </c>
      <c r="L5369">
        <v>1848.4639708172999</v>
      </c>
      <c r="M5369">
        <v>32.027030992299402</v>
      </c>
      <c r="N5369">
        <v>57.966991388747701</v>
      </c>
      <c r="O5369">
        <v>57.492126672695797</v>
      </c>
      <c r="P5369">
        <v>-0.130242160941898</v>
      </c>
      <c r="Q5369">
        <v>6.4807337858270503E-2</v>
      </c>
      <c r="R5369">
        <v>0.76922621019825899</v>
      </c>
      <c r="S5369" t="s">
        <v>10952</v>
      </c>
      <c r="T5369" t="s">
        <v>11164</v>
      </c>
      <c r="U5369" t="s">
        <v>11164</v>
      </c>
      <c r="V5369" t="s">
        <v>11164</v>
      </c>
      <c r="W5369" t="s">
        <v>16487</v>
      </c>
      <c r="X5369">
        <v>3</v>
      </c>
      <c r="Y5369" t="s">
        <v>21947</v>
      </c>
      <c r="Z5369" t="s">
        <v>27519</v>
      </c>
      <c r="AA5369">
        <v>0.71546942948170866</v>
      </c>
      <c r="AB5369" t="str">
        <f>HYPERLINK("Melting_Curves/meltCurve_Q9UP95_5_SLC12A4.pdf", "Melting_Curves/meltCurve_Q9UP95_5_SLC12A4.pdf")</f>
        <v>Melting_Curves/meltCurve_Q9UP95_5_SLC12A4.pdf</v>
      </c>
    </row>
    <row r="5370" spans="1:28" x14ac:dyDescent="0.25">
      <c r="A5370" t="s">
        <v>5374</v>
      </c>
      <c r="B5370">
        <v>0.99796759195183404</v>
      </c>
      <c r="C5370">
        <v>0.998020592782632</v>
      </c>
      <c r="D5370">
        <v>0.99581164786434295</v>
      </c>
      <c r="E5370">
        <v>0.88447579710697999</v>
      </c>
      <c r="F5370">
        <v>0.62774666700981396</v>
      </c>
      <c r="G5370">
        <v>0.34281479033051598</v>
      </c>
      <c r="H5370">
        <v>0.24741487811289301</v>
      </c>
      <c r="I5370">
        <v>0.20160597692271001</v>
      </c>
      <c r="J5370">
        <v>0.14870469530615499</v>
      </c>
      <c r="K5370">
        <v>0.106315869898922</v>
      </c>
      <c r="L5370">
        <v>989.35412676698195</v>
      </c>
      <c r="M5370">
        <v>19.420040784291899</v>
      </c>
      <c r="N5370">
        <v>51.786671369044399</v>
      </c>
      <c r="O5370">
        <v>50.4140363270335</v>
      </c>
      <c r="P5370">
        <v>-8.3272818557909495E-2</v>
      </c>
      <c r="Q5370">
        <v>0.135333356645229</v>
      </c>
      <c r="R5370">
        <v>0.997108751531388</v>
      </c>
      <c r="S5370" t="s">
        <v>10953</v>
      </c>
      <c r="T5370" t="s">
        <v>11164</v>
      </c>
      <c r="U5370" t="s">
        <v>11164</v>
      </c>
      <c r="V5370" t="s">
        <v>11164</v>
      </c>
      <c r="W5370" t="s">
        <v>16488</v>
      </c>
      <c r="X5370">
        <v>16</v>
      </c>
      <c r="Y5370" t="s">
        <v>21948</v>
      </c>
      <c r="Z5370" t="s">
        <v>27520</v>
      </c>
      <c r="AA5370">
        <v>0.54915125260326436</v>
      </c>
      <c r="AB5370" t="str">
        <f>HYPERLINK("Melting_Curves/meltCurve_Q9UPN6_SCAF8.pdf", "Melting_Curves/meltCurve_Q9UPN6_SCAF8.pdf")</f>
        <v>Melting_Curves/meltCurve_Q9UPN6_SCAF8.pdf</v>
      </c>
    </row>
    <row r="5371" spans="1:28" x14ac:dyDescent="0.25">
      <c r="A5371" t="s">
        <v>5375</v>
      </c>
      <c r="B5371">
        <v>0.99796759195183404</v>
      </c>
      <c r="C5371">
        <v>1.01440627164579</v>
      </c>
      <c r="D5371">
        <v>1.0181536116322001</v>
      </c>
      <c r="E5371">
        <v>0.89404458825394495</v>
      </c>
      <c r="F5371">
        <v>0.78386665510460496</v>
      </c>
      <c r="G5371">
        <v>1.6855064600783201</v>
      </c>
      <c r="H5371">
        <v>1.4811809429804901</v>
      </c>
      <c r="I5371">
        <v>0.72288994930440198</v>
      </c>
      <c r="J5371">
        <v>0.30397787447713698</v>
      </c>
      <c r="K5371">
        <v>0.13648570475712901</v>
      </c>
      <c r="L5371">
        <v>4097.4620006047799</v>
      </c>
      <c r="M5371">
        <v>66.298953335013195</v>
      </c>
      <c r="N5371">
        <v>62.212792827125902</v>
      </c>
      <c r="O5371">
        <v>61.7466603066473</v>
      </c>
      <c r="P5371">
        <v>-0.22092352532607901</v>
      </c>
      <c r="Q5371">
        <v>0.17698332802470701</v>
      </c>
      <c r="R5371">
        <v>0.60930233377497101</v>
      </c>
      <c r="S5371" t="s">
        <v>10954</v>
      </c>
      <c r="T5371" t="s">
        <v>11164</v>
      </c>
      <c r="U5371" t="s">
        <v>11164</v>
      </c>
      <c r="V5371" t="s">
        <v>11164</v>
      </c>
      <c r="W5371" t="s">
        <v>16489</v>
      </c>
      <c r="X5371">
        <v>4</v>
      </c>
      <c r="Y5371" t="s">
        <v>21949</v>
      </c>
      <c r="Z5371" t="s">
        <v>27521</v>
      </c>
      <c r="AA5371">
        <v>0.85851295465854016</v>
      </c>
      <c r="AB5371" t="str">
        <f>HYPERLINK("Melting_Curves/meltCurve_Q9UPN7_PPP6R1.pdf", "Melting_Curves/meltCurve_Q9UPN7_PPP6R1.pdf")</f>
        <v>Melting_Curves/meltCurve_Q9UPN7_PPP6R1.pdf</v>
      </c>
    </row>
    <row r="5372" spans="1:28" x14ac:dyDescent="0.25">
      <c r="A5372" t="s">
        <v>5376</v>
      </c>
      <c r="B5372">
        <v>0.99796759195183404</v>
      </c>
      <c r="C5372">
        <v>0.98388136946586502</v>
      </c>
      <c r="D5372">
        <v>0.920995347318177</v>
      </c>
      <c r="E5372">
        <v>0.87787660913680199</v>
      </c>
      <c r="F5372">
        <v>0.62538461543615698</v>
      </c>
      <c r="G5372">
        <v>0.28287458396750997</v>
      </c>
      <c r="H5372">
        <v>0.22070077836563001</v>
      </c>
      <c r="I5372">
        <v>0.173472530757385</v>
      </c>
      <c r="J5372">
        <v>0.16332695464743599</v>
      </c>
      <c r="K5372">
        <v>0.12882181987781</v>
      </c>
      <c r="L5372">
        <v>1092.5175624271701</v>
      </c>
      <c r="M5372">
        <v>21.636145404841098</v>
      </c>
      <c r="N5372">
        <v>51.294317144911197</v>
      </c>
      <c r="O5372">
        <v>50.069596123742699</v>
      </c>
      <c r="P5372">
        <v>-9.2573702052883705E-2</v>
      </c>
      <c r="Q5372">
        <v>0.14309739875960201</v>
      </c>
      <c r="R5372">
        <v>0.994600418839793</v>
      </c>
      <c r="S5372" t="s">
        <v>10955</v>
      </c>
      <c r="T5372" t="s">
        <v>11164</v>
      </c>
      <c r="U5372" t="s">
        <v>11164</v>
      </c>
      <c r="V5372" t="s">
        <v>11164</v>
      </c>
      <c r="W5372" t="s">
        <v>16490</v>
      </c>
      <c r="X5372">
        <v>14</v>
      </c>
      <c r="Y5372" t="s">
        <v>17501</v>
      </c>
      <c r="Z5372" t="s">
        <v>27522</v>
      </c>
      <c r="AA5372">
        <v>0.53837786845759372</v>
      </c>
      <c r="AB5372" t="str">
        <f>HYPERLINK("Melting_Curves/meltCurve_Q9UPN9_2_TRIM33.pdf", "Melting_Curves/meltCurve_Q9UPN9_2_TRIM33.pdf")</f>
        <v>Melting_Curves/meltCurve_Q9UPN9_2_TRIM33.pdf</v>
      </c>
    </row>
    <row r="5373" spans="1:28" x14ac:dyDescent="0.25">
      <c r="A5373" t="s">
        <v>5377</v>
      </c>
      <c r="B5373">
        <v>0.99796759195183404</v>
      </c>
      <c r="C5373">
        <v>0.96254793251301596</v>
      </c>
      <c r="D5373">
        <v>0.93248797652565496</v>
      </c>
      <c r="E5373">
        <v>0.90453938085483498</v>
      </c>
      <c r="F5373">
        <v>0.73315151911190701</v>
      </c>
      <c r="G5373">
        <v>0.60382189303141898</v>
      </c>
      <c r="H5373">
        <v>0.41318389607685502</v>
      </c>
      <c r="I5373">
        <v>0.29550638703253301</v>
      </c>
      <c r="J5373">
        <v>0.22399676521863099</v>
      </c>
      <c r="K5373">
        <v>0.163409204932081</v>
      </c>
      <c r="L5373">
        <v>568.26274145402397</v>
      </c>
      <c r="M5373">
        <v>10.250876029065299</v>
      </c>
      <c r="N5373">
        <v>55.680340645986803</v>
      </c>
      <c r="O5373">
        <v>53.450118494822497</v>
      </c>
      <c r="P5373">
        <v>-4.6910228174741102E-2</v>
      </c>
      <c r="Q5373">
        <v>2.2035372951053699E-2</v>
      </c>
      <c r="R5373">
        <v>0.99760587657384103</v>
      </c>
      <c r="S5373" t="s">
        <v>10956</v>
      </c>
      <c r="T5373" t="s">
        <v>11164</v>
      </c>
      <c r="U5373" t="s">
        <v>11164</v>
      </c>
      <c r="V5373" t="s">
        <v>11164</v>
      </c>
      <c r="W5373" t="s">
        <v>16491</v>
      </c>
      <c r="X5373">
        <v>4</v>
      </c>
      <c r="Y5373" t="s">
        <v>21950</v>
      </c>
      <c r="Z5373" t="s">
        <v>27523</v>
      </c>
      <c r="AA5373">
        <v>0.63289141627871404</v>
      </c>
      <c r="AB5373" t="str">
        <f>HYPERLINK("Melting_Curves/meltCurve_Q9UPQ9_1_TNRC6B.pdf", "Melting_Curves/meltCurve_Q9UPQ9_1_TNRC6B.pdf")</f>
        <v>Melting_Curves/meltCurve_Q9UPQ9_1_TNRC6B.pdf</v>
      </c>
    </row>
    <row r="5374" spans="1:28" x14ac:dyDescent="0.25">
      <c r="A5374" t="s">
        <v>5378</v>
      </c>
      <c r="B5374">
        <v>0.99796759195183404</v>
      </c>
      <c r="C5374">
        <v>1.13748702256173</v>
      </c>
      <c r="D5374">
        <v>0.93926603708779999</v>
      </c>
      <c r="E5374">
        <v>1.05845191591233</v>
      </c>
      <c r="F5374">
        <v>0.90078318445925498</v>
      </c>
      <c r="G5374">
        <v>0.33539864567226402</v>
      </c>
      <c r="H5374">
        <v>0.24566845026051601</v>
      </c>
      <c r="I5374">
        <v>0.19869425321436399</v>
      </c>
      <c r="J5374">
        <v>0.155765380873746</v>
      </c>
      <c r="K5374">
        <v>0.126535055864128</v>
      </c>
      <c r="L5374">
        <v>2496.3813476843102</v>
      </c>
      <c r="M5374">
        <v>47.773917174661001</v>
      </c>
      <c r="N5374">
        <v>52.736266963557803</v>
      </c>
      <c r="O5374">
        <v>52.162751306158697</v>
      </c>
      <c r="P5374">
        <v>-0.18844841068899201</v>
      </c>
      <c r="Q5374">
        <v>0.17695862635843199</v>
      </c>
      <c r="R5374">
        <v>0.97980818779052603</v>
      </c>
      <c r="S5374" t="s">
        <v>10957</v>
      </c>
      <c r="T5374" t="s">
        <v>11164</v>
      </c>
      <c r="U5374" t="s">
        <v>11164</v>
      </c>
      <c r="V5374" t="s">
        <v>11164</v>
      </c>
      <c r="W5374" t="s">
        <v>16492</v>
      </c>
      <c r="X5374">
        <v>3</v>
      </c>
      <c r="Y5374" t="s">
        <v>21951</v>
      </c>
      <c r="Z5374" t="s">
        <v>27524</v>
      </c>
      <c r="AA5374">
        <v>0.59752718086687584</v>
      </c>
      <c r="AB5374" t="str">
        <f>HYPERLINK("Melting_Curves/meltCurve_Q9UPR0_PLCL2.pdf", "Melting_Curves/meltCurve_Q9UPR0_PLCL2.pdf")</f>
        <v>Melting_Curves/meltCurve_Q9UPR0_PLCL2.pdf</v>
      </c>
    </row>
    <row r="5375" spans="1:28" x14ac:dyDescent="0.25">
      <c r="A5375" t="s">
        <v>5379</v>
      </c>
      <c r="B5375">
        <v>0.99796759195183404</v>
      </c>
      <c r="C5375">
        <v>0.94204573805403502</v>
      </c>
      <c r="D5375">
        <v>0.93788922037532996</v>
      </c>
      <c r="E5375">
        <v>0.69650253018724095</v>
      </c>
      <c r="F5375">
        <v>0.52957980301683105</v>
      </c>
      <c r="G5375">
        <v>0.28630022091481899</v>
      </c>
      <c r="H5375">
        <v>9.7279152725117404E-2</v>
      </c>
      <c r="I5375">
        <v>6.4169954659252196E-2</v>
      </c>
      <c r="J5375">
        <v>6.3466895098893999E-2</v>
      </c>
      <c r="K5375">
        <v>0</v>
      </c>
      <c r="L5375">
        <v>712.242177499528</v>
      </c>
      <c r="M5375">
        <v>14.2276010215101</v>
      </c>
      <c r="N5375">
        <v>50.060603337705402</v>
      </c>
      <c r="O5375">
        <v>49.102774046773597</v>
      </c>
      <c r="P5375">
        <v>-7.2446878617333094E-2</v>
      </c>
      <c r="Q5375">
        <v>0</v>
      </c>
      <c r="R5375">
        <v>0.99426953740637103</v>
      </c>
      <c r="S5375" t="s">
        <v>10958</v>
      </c>
      <c r="T5375" t="s">
        <v>11164</v>
      </c>
      <c r="U5375" t="s">
        <v>11164</v>
      </c>
      <c r="V5375" t="s">
        <v>11164</v>
      </c>
      <c r="W5375" t="s">
        <v>16493</v>
      </c>
      <c r="X5375">
        <v>1</v>
      </c>
      <c r="Y5375" t="s">
        <v>21952</v>
      </c>
      <c r="Z5375" t="s">
        <v>27525</v>
      </c>
      <c r="AA5375">
        <v>0.4578245196284827</v>
      </c>
      <c r="AB5375" t="str">
        <f>HYPERLINK("Melting_Curves/meltCurve_Q9UPR3_SMG5.pdf", "Melting_Curves/meltCurve_Q9UPR3_SMG5.pdf")</f>
        <v>Melting_Curves/meltCurve_Q9UPR3_SMG5.pdf</v>
      </c>
    </row>
    <row r="5376" spans="1:28" x14ac:dyDescent="0.25">
      <c r="A5376" t="s">
        <v>5380</v>
      </c>
      <c r="B5376">
        <v>0.99796759195183404</v>
      </c>
      <c r="C5376">
        <v>0.98931510214892804</v>
      </c>
      <c r="D5376">
        <v>0.938638255150126</v>
      </c>
      <c r="E5376">
        <v>0.92845653783403403</v>
      </c>
      <c r="F5376">
        <v>0.76874715954904704</v>
      </c>
      <c r="G5376">
        <v>0.30576361299392202</v>
      </c>
      <c r="H5376">
        <v>0.215687939589149</v>
      </c>
      <c r="I5376">
        <v>0.18398366321614101</v>
      </c>
      <c r="J5376">
        <v>0.12649263517281101</v>
      </c>
      <c r="K5376">
        <v>8.7304714345190604E-2</v>
      </c>
      <c r="L5376">
        <v>1505.5452212610601</v>
      </c>
      <c r="M5376">
        <v>29.136956166144198</v>
      </c>
      <c r="N5376">
        <v>52.2255697993794</v>
      </c>
      <c r="O5376">
        <v>51.429768390807602</v>
      </c>
      <c r="P5376">
        <v>-0.122799748844972</v>
      </c>
      <c r="Q5376">
        <v>0.13298889019762899</v>
      </c>
      <c r="R5376">
        <v>0.99140226337980197</v>
      </c>
      <c r="S5376" t="s">
        <v>10959</v>
      </c>
      <c r="T5376" t="s">
        <v>11164</v>
      </c>
      <c r="U5376" t="s">
        <v>11164</v>
      </c>
      <c r="V5376" t="s">
        <v>11164</v>
      </c>
      <c r="W5376" t="s">
        <v>16494</v>
      </c>
      <c r="X5376">
        <v>6</v>
      </c>
      <c r="Y5376" t="s">
        <v>21953</v>
      </c>
      <c r="Z5376" t="s">
        <v>27526</v>
      </c>
      <c r="AA5376">
        <v>0.56275969416502158</v>
      </c>
      <c r="AB5376" t="str">
        <f>HYPERLINK("Melting_Curves/meltCurve_Q9UPT5_2_EXOC7.pdf", "Melting_Curves/meltCurve_Q9UPT5_2_EXOC7.pdf")</f>
        <v>Melting_Curves/meltCurve_Q9UPT5_2_EXOC7.pdf</v>
      </c>
    </row>
    <row r="5377" spans="1:28" x14ac:dyDescent="0.25">
      <c r="A5377" t="s">
        <v>5381</v>
      </c>
      <c r="B5377">
        <v>0.99796759195183404</v>
      </c>
      <c r="C5377">
        <v>0.95350479470872196</v>
      </c>
      <c r="D5377">
        <v>0.91465318991293798</v>
      </c>
      <c r="E5377">
        <v>0.88294079494394695</v>
      </c>
      <c r="F5377">
        <v>0.78172358958426102</v>
      </c>
      <c r="G5377">
        <v>0.80903431813934101</v>
      </c>
      <c r="H5377">
        <v>0.74332092480157996</v>
      </c>
      <c r="I5377">
        <v>0.666249924639298</v>
      </c>
      <c r="J5377">
        <v>0.55370717011346704</v>
      </c>
      <c r="K5377">
        <v>0.49001380757650997</v>
      </c>
      <c r="L5377">
        <v>310.014615360851</v>
      </c>
      <c r="M5377">
        <v>4.5385857699327197</v>
      </c>
      <c r="O5377">
        <v>58.186709409225401</v>
      </c>
      <c r="P5377">
        <v>-1.9665865595326699E-2</v>
      </c>
      <c r="Q5377">
        <v>0</v>
      </c>
      <c r="R5377">
        <v>0.96294476918000305</v>
      </c>
      <c r="S5377" t="s">
        <v>10960</v>
      </c>
      <c r="T5377" t="s">
        <v>11164</v>
      </c>
      <c r="U5377" t="s">
        <v>11164</v>
      </c>
      <c r="V5377" t="s">
        <v>11164</v>
      </c>
      <c r="W5377" t="s">
        <v>16495</v>
      </c>
      <c r="X5377">
        <v>16</v>
      </c>
      <c r="Y5377" t="s">
        <v>21954</v>
      </c>
      <c r="Z5377" t="s">
        <v>27527</v>
      </c>
      <c r="AA5377">
        <v>0.78628070684329943</v>
      </c>
      <c r="AB5377" t="str">
        <f>HYPERLINK("Melting_Curves/meltCurve_Q9UPT8_ZC3H4.pdf", "Melting_Curves/meltCurve_Q9UPT8_ZC3H4.pdf")</f>
        <v>Melting_Curves/meltCurve_Q9UPT8_ZC3H4.pdf</v>
      </c>
    </row>
    <row r="5378" spans="1:28" x14ac:dyDescent="0.25">
      <c r="A5378" t="s">
        <v>5382</v>
      </c>
      <c r="B5378">
        <v>0.99796759195183404</v>
      </c>
      <c r="C5378">
        <v>0.92105174700776504</v>
      </c>
      <c r="D5378">
        <v>0.88632507269871097</v>
      </c>
      <c r="E5378">
        <v>0.908520821100542</v>
      </c>
      <c r="F5378">
        <v>0.67751716665465</v>
      </c>
      <c r="G5378">
        <v>0.24547583092765399</v>
      </c>
      <c r="H5378">
        <v>0.11591890580580699</v>
      </c>
      <c r="I5378">
        <v>8.8898185484458797E-2</v>
      </c>
      <c r="J5378">
        <v>6.4131829747985397E-2</v>
      </c>
      <c r="K5378">
        <v>4.0327434223137698E-2</v>
      </c>
      <c r="L5378">
        <v>1281.55455866386</v>
      </c>
      <c r="M5378">
        <v>25.003604619040601</v>
      </c>
      <c r="N5378">
        <v>51.481145246202097</v>
      </c>
      <c r="O5378">
        <v>50.9303178164188</v>
      </c>
      <c r="P5378">
        <v>-0.11634765848477099</v>
      </c>
      <c r="Q5378">
        <v>5.2049838545281897E-2</v>
      </c>
      <c r="R5378">
        <v>0.98709256955340197</v>
      </c>
      <c r="S5378" t="s">
        <v>10961</v>
      </c>
      <c r="T5378" t="s">
        <v>11164</v>
      </c>
      <c r="U5378" t="s">
        <v>11164</v>
      </c>
      <c r="V5378" t="s">
        <v>11164</v>
      </c>
      <c r="W5378" t="s">
        <v>16496</v>
      </c>
      <c r="X5378">
        <v>6</v>
      </c>
      <c r="Y5378" t="s">
        <v>21955</v>
      </c>
      <c r="Z5378" t="s">
        <v>27528</v>
      </c>
      <c r="AA5378">
        <v>0.51085186804351479</v>
      </c>
      <c r="AB5378" t="str">
        <f>HYPERLINK("Melting_Curves/meltCurve_Q9UPT9_USP22.pdf", "Melting_Curves/meltCurve_Q9UPT9_USP22.pdf")</f>
        <v>Melting_Curves/meltCurve_Q9UPT9_USP22.pdf</v>
      </c>
    </row>
    <row r="5379" spans="1:28" x14ac:dyDescent="0.25">
      <c r="A5379" t="s">
        <v>5383</v>
      </c>
      <c r="B5379">
        <v>0.99796759195183404</v>
      </c>
      <c r="C5379">
        <v>0.87581674667209297</v>
      </c>
      <c r="D5379">
        <v>0.73692892333503401</v>
      </c>
      <c r="E5379">
        <v>0.825165687397861</v>
      </c>
      <c r="F5379">
        <v>0.70102535126744703</v>
      </c>
      <c r="G5379">
        <v>0.88654994202023296</v>
      </c>
      <c r="H5379">
        <v>0.44899737127914402</v>
      </c>
      <c r="I5379">
        <v>0.18035026239256799</v>
      </c>
      <c r="J5379">
        <v>0.21076738390022201</v>
      </c>
      <c r="K5379">
        <v>5.1527102193591197E-2</v>
      </c>
      <c r="L5379">
        <v>656.13110873603296</v>
      </c>
      <c r="M5379">
        <v>11.652805126908801</v>
      </c>
      <c r="N5379">
        <v>56.3067091821679</v>
      </c>
      <c r="O5379">
        <v>54.725132675656802</v>
      </c>
      <c r="P5379">
        <v>-5.32477115375471E-2</v>
      </c>
      <c r="Q5379">
        <v>0</v>
      </c>
      <c r="R5379">
        <v>0.83499150887541795</v>
      </c>
      <c r="S5379" t="s">
        <v>10962</v>
      </c>
      <c r="T5379" t="s">
        <v>11164</v>
      </c>
      <c r="U5379" t="s">
        <v>11164</v>
      </c>
      <c r="V5379" t="s">
        <v>11164</v>
      </c>
      <c r="W5379" t="s">
        <v>16497</v>
      </c>
      <c r="X5379">
        <v>4</v>
      </c>
      <c r="Y5379" t="s">
        <v>21956</v>
      </c>
      <c r="Z5379" t="s">
        <v>27529</v>
      </c>
      <c r="AA5379">
        <v>0.65132675104886184</v>
      </c>
      <c r="AB5379" t="str">
        <f>HYPERLINK("Melting_Curves/meltCurve_Q9UPU5_USP24.pdf", "Melting_Curves/meltCurve_Q9UPU5_USP24.pdf")</f>
        <v>Melting_Curves/meltCurve_Q9UPU5_USP24.pdf</v>
      </c>
    </row>
    <row r="5380" spans="1:28" x14ac:dyDescent="0.25">
      <c r="A5380" t="s">
        <v>5384</v>
      </c>
      <c r="B5380">
        <v>0.99796759195183404</v>
      </c>
      <c r="C5380">
        <v>0.96452422267106297</v>
      </c>
      <c r="D5380">
        <v>0.96398975309939405</v>
      </c>
      <c r="E5380">
        <v>0.74201611656055699</v>
      </c>
      <c r="F5380">
        <v>0.41340532261257101</v>
      </c>
      <c r="G5380">
        <v>0.247940797000477</v>
      </c>
      <c r="H5380">
        <v>0.15985338788661899</v>
      </c>
      <c r="I5380">
        <v>0.120290698200907</v>
      </c>
      <c r="J5380">
        <v>8.6881710473613094E-2</v>
      </c>
      <c r="K5380">
        <v>8.9096707591904897E-2</v>
      </c>
      <c r="L5380">
        <v>925.91170137151096</v>
      </c>
      <c r="M5380">
        <v>18.9524410407518</v>
      </c>
      <c r="N5380">
        <v>49.394491498232298</v>
      </c>
      <c r="O5380">
        <v>48.320339681645102</v>
      </c>
      <c r="P5380">
        <v>-8.8884820415038299E-2</v>
      </c>
      <c r="Q5380">
        <v>9.3568899338731304E-2</v>
      </c>
      <c r="R5380">
        <v>0.99804806416855396</v>
      </c>
      <c r="S5380" t="s">
        <v>10963</v>
      </c>
      <c r="T5380" t="s">
        <v>11164</v>
      </c>
      <c r="U5380" t="s">
        <v>11164</v>
      </c>
      <c r="V5380" t="s">
        <v>11164</v>
      </c>
      <c r="W5380" t="s">
        <v>16498</v>
      </c>
      <c r="X5380">
        <v>1</v>
      </c>
      <c r="Y5380" t="s">
        <v>21957</v>
      </c>
      <c r="Z5380" t="s">
        <v>27530</v>
      </c>
      <c r="AA5380">
        <v>0.46490801178641122</v>
      </c>
      <c r="AB5380" t="str">
        <f>HYPERLINK("Melting_Curves/meltCurve_Q9UPU7_2_TBC1D2B.pdf", "Melting_Curves/meltCurve_Q9UPU7_2_TBC1D2B.pdf")</f>
        <v>Melting_Curves/meltCurve_Q9UPU7_2_TBC1D2B.pdf</v>
      </c>
    </row>
    <row r="5381" spans="1:28" x14ac:dyDescent="0.25">
      <c r="A5381" t="s">
        <v>5385</v>
      </c>
      <c r="B5381">
        <v>0.99796759195183404</v>
      </c>
      <c r="C5381">
        <v>1.18799250679954</v>
      </c>
      <c r="D5381">
        <v>1.1402432898230299</v>
      </c>
      <c r="E5381">
        <v>1.23640165013738</v>
      </c>
      <c r="F5381">
        <v>1.0009994179381501</v>
      </c>
      <c r="G5381">
        <v>0.55574249791339503</v>
      </c>
      <c r="H5381">
        <v>0.21488695205695099</v>
      </c>
      <c r="I5381">
        <v>0.19808865081895299</v>
      </c>
      <c r="J5381">
        <v>0.11140328897077301</v>
      </c>
      <c r="K5381">
        <v>4.3149601127651899E-2</v>
      </c>
      <c r="L5381">
        <v>2244.3162348882001</v>
      </c>
      <c r="M5381">
        <v>41.655205643859297</v>
      </c>
      <c r="N5381">
        <v>54.241541005007001</v>
      </c>
      <c r="O5381">
        <v>53.754681465515198</v>
      </c>
      <c r="P5381">
        <v>-0.17015558536494699</v>
      </c>
      <c r="Q5381">
        <v>0.121680674473414</v>
      </c>
      <c r="R5381">
        <v>0.94225662008404398</v>
      </c>
      <c r="S5381" t="s">
        <v>10964</v>
      </c>
      <c r="T5381" t="s">
        <v>11164</v>
      </c>
      <c r="U5381" t="s">
        <v>11164</v>
      </c>
      <c r="V5381" t="s">
        <v>11164</v>
      </c>
      <c r="W5381" t="s">
        <v>16499</v>
      </c>
      <c r="X5381">
        <v>2</v>
      </c>
      <c r="Y5381" t="s">
        <v>21958</v>
      </c>
      <c r="Z5381" t="s">
        <v>27531</v>
      </c>
      <c r="AA5381">
        <v>0.61883229496858949</v>
      </c>
      <c r="AB5381" t="str">
        <f>HYPERLINK("Melting_Curves/meltCurve_Q9UPW5_AGTPBP1.pdf", "Melting_Curves/meltCurve_Q9UPW5_AGTPBP1.pdf")</f>
        <v>Melting_Curves/meltCurve_Q9UPW5_AGTPBP1.pdf</v>
      </c>
    </row>
    <row r="5382" spans="1:28" x14ac:dyDescent="0.25">
      <c r="A5382" t="s">
        <v>5386</v>
      </c>
      <c r="B5382">
        <v>0.99796759195183404</v>
      </c>
      <c r="C5382">
        <v>1.02415995178777</v>
      </c>
      <c r="D5382">
        <v>0.90255062617897996</v>
      </c>
      <c r="E5382">
        <v>0.97514727108572996</v>
      </c>
      <c r="F5382">
        <v>0.60973218961666298</v>
      </c>
      <c r="G5382">
        <v>0.328212369238646</v>
      </c>
      <c r="H5382">
        <v>0.13700877519615101</v>
      </c>
      <c r="I5382">
        <v>0.113942178737997</v>
      </c>
      <c r="J5382">
        <v>9.6242714981803895E-2</v>
      </c>
      <c r="K5382">
        <v>0.12851845072518001</v>
      </c>
      <c r="L5382">
        <v>1268.0716831846401</v>
      </c>
      <c r="M5382">
        <v>24.8609074951334</v>
      </c>
      <c r="N5382">
        <v>51.4907234878292</v>
      </c>
      <c r="O5382">
        <v>50.680088632966402</v>
      </c>
      <c r="P5382">
        <v>-0.109858270302748</v>
      </c>
      <c r="Q5382">
        <v>0.104208455929199</v>
      </c>
      <c r="R5382">
        <v>0.99060890332593898</v>
      </c>
      <c r="S5382" t="s">
        <v>10965</v>
      </c>
      <c r="T5382" t="s">
        <v>11164</v>
      </c>
      <c r="U5382" t="s">
        <v>11164</v>
      </c>
      <c r="V5382" t="s">
        <v>11164</v>
      </c>
      <c r="W5382" t="s">
        <v>16500</v>
      </c>
      <c r="X5382">
        <v>5</v>
      </c>
      <c r="Y5382" t="s">
        <v>21959</v>
      </c>
      <c r="Z5382" t="s">
        <v>27532</v>
      </c>
      <c r="AA5382">
        <v>0.53042898720393861</v>
      </c>
      <c r="AB5382" t="str">
        <f>HYPERLINK("Melting_Curves/meltCurve_Q9UPY8_MAPRE3.pdf", "Melting_Curves/meltCurve_Q9UPY8_MAPRE3.pdf")</f>
        <v>Melting_Curves/meltCurve_Q9UPY8_MAPRE3.pdf</v>
      </c>
    </row>
    <row r="5383" spans="1:28" x14ac:dyDescent="0.25">
      <c r="A5383" t="s">
        <v>5387</v>
      </c>
      <c r="B5383">
        <v>0.99796759195183404</v>
      </c>
      <c r="C5383">
        <v>1.0433392295103701</v>
      </c>
      <c r="D5383">
        <v>0.89823634606137703</v>
      </c>
      <c r="E5383">
        <v>0.87197036865830602</v>
      </c>
      <c r="F5383">
        <v>0.73634622967769903</v>
      </c>
      <c r="G5383">
        <v>0.600860502629052</v>
      </c>
      <c r="H5383">
        <v>0.26084504710675999</v>
      </c>
      <c r="I5383">
        <v>0.20727074581643301</v>
      </c>
      <c r="J5383">
        <v>0.12221500373736301</v>
      </c>
      <c r="K5383">
        <v>8.9935165462361702E-2</v>
      </c>
      <c r="L5383">
        <v>694.067763717871</v>
      </c>
      <c r="M5383">
        <v>12.785834745851901</v>
      </c>
      <c r="N5383">
        <v>54.284126245966199</v>
      </c>
      <c r="O5383">
        <v>53.007627055025303</v>
      </c>
      <c r="P5383">
        <v>-6.0313228267286502E-2</v>
      </c>
      <c r="Q5383">
        <v>0</v>
      </c>
      <c r="R5383">
        <v>0.98569041979267602</v>
      </c>
      <c r="S5383" t="s">
        <v>10966</v>
      </c>
      <c r="T5383" t="s">
        <v>11164</v>
      </c>
      <c r="U5383" t="s">
        <v>11164</v>
      </c>
      <c r="V5383" t="s">
        <v>11164</v>
      </c>
      <c r="W5383" t="s">
        <v>16501</v>
      </c>
      <c r="X5383">
        <v>4</v>
      </c>
      <c r="Y5383" t="s">
        <v>21960</v>
      </c>
      <c r="Z5383" t="s">
        <v>27533</v>
      </c>
      <c r="AA5383">
        <v>0.59291453057518795</v>
      </c>
      <c r="AB5383" t="str">
        <f>HYPERLINK("Melting_Curves/meltCurve_Q9UQ13_2_SHOC2.pdf", "Melting_Curves/meltCurve_Q9UQ13_2_SHOC2.pdf")</f>
        <v>Melting_Curves/meltCurve_Q9UQ13_2_SHOC2.pdf</v>
      </c>
    </row>
    <row r="5384" spans="1:28" x14ac:dyDescent="0.25">
      <c r="A5384" t="s">
        <v>5388</v>
      </c>
      <c r="B5384">
        <v>0.99796759195183404</v>
      </c>
      <c r="C5384">
        <v>0.95831942934926595</v>
      </c>
      <c r="D5384">
        <v>0.91582307481896297</v>
      </c>
      <c r="E5384">
        <v>0.86352824517660098</v>
      </c>
      <c r="F5384">
        <v>0.72441312610503095</v>
      </c>
      <c r="G5384">
        <v>0.63748998131546997</v>
      </c>
      <c r="H5384">
        <v>0.40021836011728001</v>
      </c>
      <c r="I5384">
        <v>0.31128772861059001</v>
      </c>
      <c r="J5384">
        <v>0.24977037838855301</v>
      </c>
      <c r="K5384">
        <v>0.24053776006660799</v>
      </c>
      <c r="L5384">
        <v>541.28481341255804</v>
      </c>
      <c r="M5384">
        <v>9.9005582173020894</v>
      </c>
      <c r="N5384">
        <v>55.757592898958201</v>
      </c>
      <c r="O5384">
        <v>52.581879875710797</v>
      </c>
      <c r="P5384">
        <v>-4.2967937825270898E-2</v>
      </c>
      <c r="Q5384">
        <v>8.7649889870339004E-2</v>
      </c>
      <c r="R5384">
        <v>0.991730211500084</v>
      </c>
      <c r="S5384" t="s">
        <v>10967</v>
      </c>
      <c r="T5384" t="s">
        <v>11164</v>
      </c>
      <c r="U5384" t="s">
        <v>11164</v>
      </c>
      <c r="V5384" t="s">
        <v>11164</v>
      </c>
      <c r="W5384" t="s">
        <v>16502</v>
      </c>
      <c r="X5384">
        <v>23</v>
      </c>
      <c r="Y5384" t="s">
        <v>21961</v>
      </c>
      <c r="Z5384" t="s">
        <v>27534</v>
      </c>
      <c r="AA5384">
        <v>0.63775372324370616</v>
      </c>
      <c r="AB5384" t="str">
        <f>HYPERLINK("Melting_Curves/meltCurve_Q9UQ35_SRRM2.pdf", "Melting_Curves/meltCurve_Q9UQ35_SRRM2.pdf")</f>
        <v>Melting_Curves/meltCurve_Q9UQ35_SRRM2.pdf</v>
      </c>
    </row>
    <row r="5385" spans="1:28" x14ac:dyDescent="0.25">
      <c r="A5385" t="s">
        <v>5389</v>
      </c>
      <c r="B5385">
        <v>0.99796759195183404</v>
      </c>
      <c r="C5385">
        <v>0.90210977255486202</v>
      </c>
      <c r="D5385">
        <v>0.99091799499270605</v>
      </c>
      <c r="E5385">
        <v>0.86997689271284695</v>
      </c>
      <c r="F5385">
        <v>0.76780012877972503</v>
      </c>
      <c r="G5385">
        <v>0.52563217060724499</v>
      </c>
      <c r="H5385">
        <v>0.18971809097612799</v>
      </c>
      <c r="I5385">
        <v>0.13162316026405699</v>
      </c>
      <c r="J5385">
        <v>0.14448945408602501</v>
      </c>
      <c r="K5385">
        <v>8.4524041169006595E-2</v>
      </c>
      <c r="L5385">
        <v>956.58575564887497</v>
      </c>
      <c r="M5385">
        <v>18.0157673268235</v>
      </c>
      <c r="N5385">
        <v>53.495897786792803</v>
      </c>
      <c r="O5385">
        <v>52.455899089483303</v>
      </c>
      <c r="P5385">
        <v>-8.0470696403003306E-2</v>
      </c>
      <c r="Q5385">
        <v>6.2830880136798203E-2</v>
      </c>
      <c r="R5385">
        <v>0.98412628019314996</v>
      </c>
      <c r="S5385" t="s">
        <v>10968</v>
      </c>
      <c r="T5385" t="s">
        <v>11164</v>
      </c>
      <c r="U5385" t="s">
        <v>11164</v>
      </c>
      <c r="V5385" t="s">
        <v>11164</v>
      </c>
      <c r="W5385" t="s">
        <v>16503</v>
      </c>
      <c r="X5385">
        <v>3</v>
      </c>
      <c r="Y5385" t="s">
        <v>21962</v>
      </c>
      <c r="Z5385" t="s">
        <v>27535</v>
      </c>
      <c r="AA5385">
        <v>0.57923724513932973</v>
      </c>
      <c r="AB5385" t="str">
        <f>HYPERLINK("Melting_Curves/meltCurve_Q9UQ53_2_MGAT4B.pdf", "Melting_Curves/meltCurve_Q9UQ53_2_MGAT4B.pdf")</f>
        <v>Melting_Curves/meltCurve_Q9UQ53_2_MGAT4B.pdf</v>
      </c>
    </row>
    <row r="5386" spans="1:28" x14ac:dyDescent="0.25">
      <c r="A5386" t="s">
        <v>5390</v>
      </c>
      <c r="B5386">
        <v>0.99796759195183404</v>
      </c>
      <c r="C5386">
        <v>1.0645477568444901</v>
      </c>
      <c r="D5386">
        <v>1.0857492619653799</v>
      </c>
      <c r="E5386">
        <v>1.0063071322661099</v>
      </c>
      <c r="F5386">
        <v>0.81546038463041703</v>
      </c>
      <c r="G5386">
        <v>0.32638039854894801</v>
      </c>
      <c r="H5386">
        <v>0.18482868552201601</v>
      </c>
      <c r="I5386">
        <v>0.14223984265131101</v>
      </c>
      <c r="J5386">
        <v>0.114892282735208</v>
      </c>
      <c r="K5386">
        <v>9.8125513800748895E-2</v>
      </c>
      <c r="L5386">
        <v>1848.2639948348699</v>
      </c>
      <c r="M5386">
        <v>35.502597829157999</v>
      </c>
      <c r="N5386">
        <v>52.481017558943698</v>
      </c>
      <c r="O5386">
        <v>51.8956206584784</v>
      </c>
      <c r="P5386">
        <v>-0.149832952183551</v>
      </c>
      <c r="Q5386">
        <v>0.12393474123288099</v>
      </c>
      <c r="R5386">
        <v>0.99209710735227896</v>
      </c>
      <c r="S5386" t="s">
        <v>10969</v>
      </c>
      <c r="T5386" t="s">
        <v>11164</v>
      </c>
      <c r="U5386" t="s">
        <v>11164</v>
      </c>
      <c r="V5386" t="s">
        <v>11164</v>
      </c>
      <c r="W5386" t="s">
        <v>16504</v>
      </c>
      <c r="X5386">
        <v>30</v>
      </c>
      <c r="Y5386" t="s">
        <v>21963</v>
      </c>
      <c r="Z5386" t="s">
        <v>27536</v>
      </c>
      <c r="AA5386">
        <v>0.56770319267411085</v>
      </c>
      <c r="AB5386" t="str">
        <f>HYPERLINK("Melting_Curves/meltCurve_Q9UQ80_PA2G4.pdf", "Melting_Curves/meltCurve_Q9UQ80_PA2G4.pdf")</f>
        <v>Melting_Curves/meltCurve_Q9UQ80_PA2G4.pdf</v>
      </c>
    </row>
    <row r="5387" spans="1:28" x14ac:dyDescent="0.25">
      <c r="A5387" t="s">
        <v>5391</v>
      </c>
      <c r="B5387">
        <v>0.99796759195183404</v>
      </c>
      <c r="C5387">
        <v>1.07038780850648</v>
      </c>
      <c r="D5387">
        <v>0.98118007833185705</v>
      </c>
      <c r="E5387">
        <v>0.98591955884069504</v>
      </c>
      <c r="F5387">
        <v>0.56191982427385301</v>
      </c>
      <c r="G5387">
        <v>0.34093299589176401</v>
      </c>
      <c r="H5387">
        <v>0.23940653422083899</v>
      </c>
      <c r="I5387">
        <v>0.231779310964041</v>
      </c>
      <c r="J5387">
        <v>0.20881936247628299</v>
      </c>
      <c r="K5387">
        <v>0.188278060430804</v>
      </c>
      <c r="L5387">
        <v>1630.8812468297101</v>
      </c>
      <c r="M5387">
        <v>32.577116143033599</v>
      </c>
      <c r="N5387">
        <v>50.9739673225262</v>
      </c>
      <c r="O5387">
        <v>49.874662520084499</v>
      </c>
      <c r="P5387">
        <v>-0.12723817452998801</v>
      </c>
      <c r="Q5387">
        <v>0.220811173895476</v>
      </c>
      <c r="R5387">
        <v>0.99082957322371501</v>
      </c>
      <c r="S5387" t="s">
        <v>10970</v>
      </c>
      <c r="T5387" t="s">
        <v>11164</v>
      </c>
      <c r="U5387" t="s">
        <v>11164</v>
      </c>
      <c r="V5387" t="s">
        <v>11164</v>
      </c>
      <c r="W5387" t="s">
        <v>16505</v>
      </c>
      <c r="X5387">
        <v>1</v>
      </c>
      <c r="Y5387" t="s">
        <v>21964</v>
      </c>
      <c r="Z5387" t="s">
        <v>27537</v>
      </c>
      <c r="AA5387">
        <v>0.56413882634080859</v>
      </c>
      <c r="AB5387" t="str">
        <f>HYPERLINK("Melting_Curves/meltCurve_Q9UQ84_4_EXO1.pdf", "Melting_Curves/meltCurve_Q9UQ84_4_EXO1.pdf")</f>
        <v>Melting_Curves/meltCurve_Q9UQ84_4_EXO1.pdf</v>
      </c>
    </row>
    <row r="5388" spans="1:28" x14ac:dyDescent="0.25">
      <c r="A5388" t="s">
        <v>5392</v>
      </c>
      <c r="B5388">
        <v>0.99796759195183404</v>
      </c>
      <c r="C5388">
        <v>0.874803136608858</v>
      </c>
      <c r="D5388">
        <v>0.77402345772155301</v>
      </c>
      <c r="E5388">
        <v>1.0059749931623201</v>
      </c>
      <c r="F5388">
        <v>0.64188107898193303</v>
      </c>
      <c r="G5388">
        <v>0.63075695616223704</v>
      </c>
      <c r="H5388">
        <v>0.31514488592510997</v>
      </c>
      <c r="I5388">
        <v>9.5989744289825193E-2</v>
      </c>
      <c r="J5388">
        <v>7.1783385947505399E-2</v>
      </c>
      <c r="K5388">
        <v>0</v>
      </c>
      <c r="L5388">
        <v>786.74100499138899</v>
      </c>
      <c r="M5388">
        <v>14.5555673299046</v>
      </c>
      <c r="N5388">
        <v>54.0508650695065</v>
      </c>
      <c r="O5388">
        <v>53.061374747730497</v>
      </c>
      <c r="P5388">
        <v>-6.8586714115595596E-2</v>
      </c>
      <c r="Q5388">
        <v>0</v>
      </c>
      <c r="R5388">
        <v>0.92868794699315904</v>
      </c>
      <c r="S5388" t="s">
        <v>10971</v>
      </c>
      <c r="T5388" t="s">
        <v>11164</v>
      </c>
      <c r="U5388" t="s">
        <v>11164</v>
      </c>
      <c r="V5388" t="s">
        <v>11164</v>
      </c>
      <c r="W5388" t="s">
        <v>16506</v>
      </c>
      <c r="X5388">
        <v>2</v>
      </c>
      <c r="Y5388" t="s">
        <v>21965</v>
      </c>
      <c r="Z5388" t="s">
        <v>27538</v>
      </c>
      <c r="AA5388">
        <v>0.5847921545799506</v>
      </c>
      <c r="AB5388" t="str">
        <f>HYPERLINK("Melting_Curves/meltCurve_Q9UQ90_SPG7.pdf", "Melting_Curves/meltCurve_Q9UQ90_SPG7.pdf")</f>
        <v>Melting_Curves/meltCurve_Q9UQ90_SPG7.pdf</v>
      </c>
    </row>
    <row r="5389" spans="1:28" x14ac:dyDescent="0.25">
      <c r="A5389" t="s">
        <v>5393</v>
      </c>
      <c r="B5389">
        <v>0.99796759195183404</v>
      </c>
      <c r="C5389">
        <v>0.99370880096384995</v>
      </c>
      <c r="D5389">
        <v>0.963345645642398</v>
      </c>
      <c r="E5389">
        <v>0.90096292269274902</v>
      </c>
      <c r="F5389">
        <v>0.75928841254536905</v>
      </c>
      <c r="G5389">
        <v>0.68125504685238603</v>
      </c>
      <c r="H5389">
        <v>0.40342263561574099</v>
      </c>
      <c r="I5389">
        <v>0.21282251376903699</v>
      </c>
      <c r="J5389">
        <v>0.149441249094238</v>
      </c>
      <c r="K5389">
        <v>0.106068728189521</v>
      </c>
      <c r="L5389">
        <v>717.52298826800904</v>
      </c>
      <c r="M5389">
        <v>12.8810075418598</v>
      </c>
      <c r="N5389">
        <v>55.703949223210799</v>
      </c>
      <c r="O5389">
        <v>54.412618863537602</v>
      </c>
      <c r="P5389">
        <v>-5.9192914917815399E-2</v>
      </c>
      <c r="Q5389">
        <v>0</v>
      </c>
      <c r="R5389">
        <v>0.99266725835585701</v>
      </c>
      <c r="S5389" t="s">
        <v>10972</v>
      </c>
      <c r="T5389" t="s">
        <v>11164</v>
      </c>
      <c r="U5389" t="s">
        <v>11164</v>
      </c>
      <c r="V5389" t="s">
        <v>11164</v>
      </c>
      <c r="W5389" t="s">
        <v>16507</v>
      </c>
      <c r="X5389">
        <v>20</v>
      </c>
      <c r="Y5389" t="s">
        <v>21966</v>
      </c>
      <c r="Z5389" t="s">
        <v>27539</v>
      </c>
      <c r="AA5389">
        <v>0.63529934330260962</v>
      </c>
      <c r="AB5389" t="str">
        <f>HYPERLINK("Melting_Curves/meltCurve_Q9UQE7_SMC3.pdf", "Melting_Curves/meltCurve_Q9UQE7_SMC3.pdf")</f>
        <v>Melting_Curves/meltCurve_Q9UQE7_SMC3.pdf</v>
      </c>
    </row>
    <row r="5390" spans="1:28" x14ac:dyDescent="0.25">
      <c r="A5390" t="s">
        <v>5394</v>
      </c>
      <c r="B5390">
        <v>0.99796759195183404</v>
      </c>
      <c r="C5390">
        <v>1.0283498183308699</v>
      </c>
      <c r="D5390">
        <v>1.01738367157333</v>
      </c>
      <c r="E5390">
        <v>0.98700338620898098</v>
      </c>
      <c r="F5390">
        <v>0.859788672540167</v>
      </c>
      <c r="G5390">
        <v>0.57163340617986802</v>
      </c>
      <c r="H5390">
        <v>0.53269422896054996</v>
      </c>
      <c r="I5390">
        <v>0.44624998756484902</v>
      </c>
      <c r="J5390">
        <v>0.471171591286905</v>
      </c>
      <c r="K5390">
        <v>0.39699958726165202</v>
      </c>
      <c r="L5390">
        <v>1479.8379826852699</v>
      </c>
      <c r="M5390">
        <v>28.480695273178601</v>
      </c>
      <c r="N5390">
        <v>56.3401864355546</v>
      </c>
      <c r="O5390">
        <v>51.705195297781003</v>
      </c>
      <c r="P5390">
        <v>-7.6372959555033093E-2</v>
      </c>
      <c r="Q5390">
        <v>0.44540017311006302</v>
      </c>
      <c r="R5390">
        <v>0.98807921191873505</v>
      </c>
      <c r="S5390" t="s">
        <v>10973</v>
      </c>
      <c r="T5390" t="s">
        <v>11164</v>
      </c>
      <c r="U5390" t="s">
        <v>11164</v>
      </c>
      <c r="V5390" t="s">
        <v>11164</v>
      </c>
      <c r="W5390" t="s">
        <v>16508</v>
      </c>
      <c r="X5390">
        <v>12</v>
      </c>
      <c r="Y5390" t="s">
        <v>21967</v>
      </c>
      <c r="Z5390" t="s">
        <v>27540</v>
      </c>
      <c r="AA5390">
        <v>0.72580981288888868</v>
      </c>
      <c r="AB5390" t="str">
        <f>HYPERLINK("Melting_Curves/meltCurve_Q9UQN3_CHMP2B.pdf", "Melting_Curves/meltCurve_Q9UQN3_CHMP2B.pdf")</f>
        <v>Melting_Curves/meltCurve_Q9UQN3_CHMP2B.pdf</v>
      </c>
    </row>
    <row r="5391" spans="1:28" x14ac:dyDescent="0.25">
      <c r="A5391" t="s">
        <v>5395</v>
      </c>
      <c r="B5391">
        <v>0.99796759195183404</v>
      </c>
      <c r="C5391">
        <v>1.0459681604217199</v>
      </c>
      <c r="D5391">
        <v>0.88441062659176295</v>
      </c>
      <c r="E5391">
        <v>0.66866557580804697</v>
      </c>
      <c r="F5391">
        <v>0.25613998315796199</v>
      </c>
      <c r="G5391">
        <v>0.173342202427438</v>
      </c>
      <c r="H5391">
        <v>0.13083801086732799</v>
      </c>
      <c r="I5391">
        <v>7.1889544468510799E-2</v>
      </c>
      <c r="J5391">
        <v>0.12881706489247499</v>
      </c>
      <c r="K5391">
        <v>8.2188485151013194E-2</v>
      </c>
      <c r="L5391">
        <v>1139.85745522359</v>
      </c>
      <c r="M5391">
        <v>24.0446162474177</v>
      </c>
      <c r="N5391">
        <v>47.849705146341002</v>
      </c>
      <c r="O5391">
        <v>47.081679732233297</v>
      </c>
      <c r="P5391">
        <v>-0.114917022724408</v>
      </c>
      <c r="Q5391">
        <v>9.9939668371645904E-2</v>
      </c>
      <c r="R5391">
        <v>0.99341958320647095</v>
      </c>
      <c r="S5391" t="s">
        <v>10974</v>
      </c>
      <c r="T5391" t="s">
        <v>11164</v>
      </c>
      <c r="U5391" t="s">
        <v>11164</v>
      </c>
      <c r="V5391" t="s">
        <v>11164</v>
      </c>
      <c r="W5391" t="s">
        <v>16509</v>
      </c>
      <c r="X5391">
        <v>5</v>
      </c>
      <c r="Y5391" t="s">
        <v>21968</v>
      </c>
      <c r="Z5391" t="s">
        <v>27541</v>
      </c>
      <c r="AA5391">
        <v>0.4203566556241875</v>
      </c>
      <c r="AB5391" t="str">
        <f>HYPERLINK("Melting_Curves/meltCurve_Q9UQR0_SCML2.pdf", "Melting_Curves/meltCurve_Q9UQR0_SCML2.pdf")</f>
        <v>Melting_Curves/meltCurve_Q9UQR0_SCML2.pdf</v>
      </c>
    </row>
    <row r="5392" spans="1:28" x14ac:dyDescent="0.25">
      <c r="A5392" t="s">
        <v>5396</v>
      </c>
      <c r="B5392">
        <v>0.99796759195183404</v>
      </c>
      <c r="C5392">
        <v>1.0679341423731501</v>
      </c>
      <c r="D5392">
        <v>1.0435976269756999</v>
      </c>
      <c r="E5392">
        <v>0.99449850600288303</v>
      </c>
      <c r="F5392">
        <v>0.89600236648084397</v>
      </c>
      <c r="G5392">
        <v>0.42772059026446602</v>
      </c>
      <c r="H5392">
        <v>0.25764991689283301</v>
      </c>
      <c r="I5392">
        <v>0.25293942488761001</v>
      </c>
      <c r="J5392">
        <v>0.18240740453114401</v>
      </c>
      <c r="K5392">
        <v>0.13436020805733201</v>
      </c>
      <c r="L5392">
        <v>1953.0257778561399</v>
      </c>
      <c r="M5392">
        <v>37.1170744890943</v>
      </c>
      <c r="N5392">
        <v>53.3244297923654</v>
      </c>
      <c r="O5392">
        <v>52.465950903070599</v>
      </c>
      <c r="P5392">
        <v>-0.14251437663163799</v>
      </c>
      <c r="Q5392">
        <v>0.19421113796686401</v>
      </c>
      <c r="R5392">
        <v>0.99023601379267201</v>
      </c>
      <c r="S5392" t="s">
        <v>10975</v>
      </c>
      <c r="T5392" t="s">
        <v>11164</v>
      </c>
      <c r="U5392" t="s">
        <v>11164</v>
      </c>
      <c r="V5392" t="s">
        <v>11164</v>
      </c>
      <c r="W5392" t="s">
        <v>16510</v>
      </c>
      <c r="X5392">
        <v>8</v>
      </c>
      <c r="Y5392" t="s">
        <v>21969</v>
      </c>
      <c r="Z5392" t="s">
        <v>27542</v>
      </c>
      <c r="AA5392">
        <v>0.61709104583227314</v>
      </c>
      <c r="AB5392" t="str">
        <f>HYPERLINK("Melting_Curves/meltCurve_Q9Y217_MTMR6.pdf", "Melting_Curves/meltCurve_Q9Y217_MTMR6.pdf")</f>
        <v>Melting_Curves/meltCurve_Q9Y217_MTMR6.pdf</v>
      </c>
    </row>
    <row r="5393" spans="1:28" x14ac:dyDescent="0.25">
      <c r="A5393" t="s">
        <v>5397</v>
      </c>
      <c r="B5393">
        <v>0.99796759195183404</v>
      </c>
      <c r="C5393">
        <v>1.13462971786583</v>
      </c>
      <c r="D5393">
        <v>0.582703811734261</v>
      </c>
      <c r="E5393">
        <v>1.09999671069859</v>
      </c>
      <c r="F5393">
        <v>1.1561871513827</v>
      </c>
      <c r="G5393">
        <v>0.69737920232106598</v>
      </c>
      <c r="H5393">
        <v>0.33750204761422098</v>
      </c>
      <c r="I5393">
        <v>0.62106071621513803</v>
      </c>
      <c r="J5393">
        <v>0</v>
      </c>
      <c r="K5393">
        <v>0</v>
      </c>
      <c r="L5393">
        <v>1005.21834338806</v>
      </c>
      <c r="M5393">
        <v>17.4315572935372</v>
      </c>
      <c r="N5393">
        <v>57.666583760184302</v>
      </c>
      <c r="O5393">
        <v>56.923705829590297</v>
      </c>
      <c r="P5393">
        <v>-7.6560956033663793E-2</v>
      </c>
      <c r="Q5393">
        <v>0</v>
      </c>
      <c r="R5393">
        <v>0.75026111353362401</v>
      </c>
      <c r="S5393" t="s">
        <v>10976</v>
      </c>
      <c r="T5393" t="s">
        <v>11164</v>
      </c>
      <c r="U5393" t="s">
        <v>11164</v>
      </c>
      <c r="V5393" t="s">
        <v>11164</v>
      </c>
      <c r="W5393" t="s">
        <v>16511</v>
      </c>
      <c r="X5393">
        <v>1</v>
      </c>
      <c r="Y5393" t="s">
        <v>21970</v>
      </c>
      <c r="Z5393" t="s">
        <v>27543</v>
      </c>
      <c r="AA5393">
        <v>0.695982074223082</v>
      </c>
      <c r="AB5393" t="str">
        <f>HYPERLINK("Melting_Curves/meltCurve_Q9Y219_JAG2.pdf", "Melting_Curves/meltCurve_Q9Y219_JAG2.pdf")</f>
        <v>Melting_Curves/meltCurve_Q9Y219_JAG2.pdf</v>
      </c>
    </row>
    <row r="5394" spans="1:28" x14ac:dyDescent="0.25">
      <c r="A5394" t="s">
        <v>5398</v>
      </c>
      <c r="B5394">
        <v>0.99796759195183404</v>
      </c>
      <c r="C5394">
        <v>1.0247116677680399</v>
      </c>
      <c r="D5394">
        <v>1.0166839185610399</v>
      </c>
      <c r="E5394">
        <v>0.97486961775910397</v>
      </c>
      <c r="F5394">
        <v>0.90103699005454896</v>
      </c>
      <c r="G5394">
        <v>0.70715708147895895</v>
      </c>
      <c r="H5394">
        <v>0.66369449633753996</v>
      </c>
      <c r="I5394">
        <v>0.50729979764915101</v>
      </c>
      <c r="J5394">
        <v>0.49220756530777199</v>
      </c>
      <c r="K5394">
        <v>0.276838609813857</v>
      </c>
      <c r="L5394">
        <v>544.97027149770997</v>
      </c>
      <c r="M5394">
        <v>8.8704315042485593</v>
      </c>
      <c r="N5394">
        <v>61.520482250813203</v>
      </c>
      <c r="O5394">
        <v>58.554754250225798</v>
      </c>
      <c r="P5394">
        <v>-3.7673927392993599E-2</v>
      </c>
      <c r="Q5394">
        <v>6.00255763141144E-3</v>
      </c>
      <c r="R5394">
        <v>0.97111703149013995</v>
      </c>
      <c r="S5394" t="s">
        <v>10977</v>
      </c>
      <c r="T5394" t="s">
        <v>11164</v>
      </c>
      <c r="U5394" t="s">
        <v>11164</v>
      </c>
      <c r="V5394" t="s">
        <v>11164</v>
      </c>
      <c r="W5394" t="s">
        <v>16512</v>
      </c>
      <c r="X5394">
        <v>8</v>
      </c>
      <c r="Y5394" t="s">
        <v>21971</v>
      </c>
      <c r="Z5394" t="s">
        <v>27544</v>
      </c>
      <c r="AA5394">
        <v>0.76353307127879011</v>
      </c>
      <c r="AB5394" t="str">
        <f>HYPERLINK("Melting_Curves/meltCurve_Q9Y224_C14orf166.pdf", "Melting_Curves/meltCurve_Q9Y224_C14orf166.pdf")</f>
        <v>Melting_Curves/meltCurve_Q9Y224_C14orf166.pdf</v>
      </c>
    </row>
    <row r="5395" spans="1:28" x14ac:dyDescent="0.25">
      <c r="A5395" t="s">
        <v>5399</v>
      </c>
      <c r="B5395">
        <v>0.99796759195183404</v>
      </c>
      <c r="C5395">
        <v>1.0090972007058501</v>
      </c>
      <c r="D5395">
        <v>0.95566693714971196</v>
      </c>
      <c r="E5395">
        <v>0.95576017690808002</v>
      </c>
      <c r="F5395">
        <v>0.78291698606013105</v>
      </c>
      <c r="G5395">
        <v>1.74159123765812</v>
      </c>
      <c r="H5395">
        <v>1.8972249591654899</v>
      </c>
      <c r="I5395">
        <v>2.03124414720675</v>
      </c>
      <c r="J5395">
        <v>1.37014055821429</v>
      </c>
      <c r="K5395">
        <v>0.51904867691632495</v>
      </c>
      <c r="L5395">
        <v>12982.3069502856</v>
      </c>
      <c r="M5395">
        <v>250</v>
      </c>
      <c r="O5395">
        <v>51.9259141634044</v>
      </c>
      <c r="P5395">
        <v>0.60181907693178904</v>
      </c>
      <c r="Q5395">
        <v>1.5</v>
      </c>
      <c r="R5395">
        <v>0.34300399117947999</v>
      </c>
      <c r="S5395" t="s">
        <v>10978</v>
      </c>
      <c r="T5395" t="s">
        <v>11164</v>
      </c>
      <c r="U5395" t="s">
        <v>11164</v>
      </c>
      <c r="V5395" t="s">
        <v>11164</v>
      </c>
      <c r="W5395" t="s">
        <v>16513</v>
      </c>
      <c r="X5395">
        <v>30</v>
      </c>
      <c r="Y5395" t="s">
        <v>21972</v>
      </c>
      <c r="Z5395" t="s">
        <v>27545</v>
      </c>
      <c r="AA5395">
        <v>1.25113396915433</v>
      </c>
      <c r="AB5395" t="str">
        <f>HYPERLINK("Melting_Curves/meltCurve_Q9Y230_RUVBL2.pdf", "Melting_Curves/meltCurve_Q9Y230_RUVBL2.pdf")</f>
        <v>Melting_Curves/meltCurve_Q9Y230_RUVBL2.pdf</v>
      </c>
    </row>
    <row r="5396" spans="1:28" x14ac:dyDescent="0.25">
      <c r="A5396" t="s">
        <v>5400</v>
      </c>
      <c r="B5396">
        <v>0.99796759195183404</v>
      </c>
      <c r="C5396">
        <v>1.10313983839667</v>
      </c>
      <c r="D5396">
        <v>1.0048218887640199</v>
      </c>
      <c r="E5396">
        <v>0.86067932755183296</v>
      </c>
      <c r="F5396">
        <v>0.74324986142734895</v>
      </c>
      <c r="G5396">
        <v>0.70302889424213399</v>
      </c>
      <c r="H5396">
        <v>0.21484319744830699</v>
      </c>
      <c r="I5396">
        <v>0.166011431640567</v>
      </c>
      <c r="J5396">
        <v>0.109322443432079</v>
      </c>
      <c r="K5396">
        <v>9.1919996274531401E-2</v>
      </c>
      <c r="L5396">
        <v>867.22736697120797</v>
      </c>
      <c r="M5396">
        <v>15.909944973043199</v>
      </c>
      <c r="N5396">
        <v>54.639278154502797</v>
      </c>
      <c r="O5396">
        <v>53.669143204265502</v>
      </c>
      <c r="P5396">
        <v>-7.2732571602398294E-2</v>
      </c>
      <c r="Q5396">
        <v>1.8680891879423098E-2</v>
      </c>
      <c r="R5396">
        <v>0.96457205009466396</v>
      </c>
      <c r="S5396" t="s">
        <v>10979</v>
      </c>
      <c r="T5396" t="s">
        <v>11164</v>
      </c>
      <c r="U5396" t="s">
        <v>11164</v>
      </c>
      <c r="V5396" t="s">
        <v>11164</v>
      </c>
      <c r="W5396" t="s">
        <v>16514</v>
      </c>
      <c r="X5396">
        <v>1</v>
      </c>
      <c r="Y5396" t="s">
        <v>21973</v>
      </c>
      <c r="Z5396" t="s">
        <v>27546</v>
      </c>
      <c r="AA5396">
        <v>0.60575452542818597</v>
      </c>
      <c r="AB5396" t="str">
        <f>HYPERLINK("Melting_Curves/meltCurve_Q9Y233_PDE10A.pdf", "Melting_Curves/meltCurve_Q9Y233_PDE10A.pdf")</f>
        <v>Melting_Curves/meltCurve_Q9Y233_PDE10A.pdf</v>
      </c>
    </row>
    <row r="5397" spans="1:28" x14ac:dyDescent="0.25">
      <c r="A5397" t="s">
        <v>5401</v>
      </c>
      <c r="B5397">
        <v>0.99796759195183404</v>
      </c>
      <c r="C5397">
        <v>1.0052535495457899</v>
      </c>
      <c r="D5397">
        <v>0.98801347839277898</v>
      </c>
      <c r="E5397">
        <v>0.95286896345310002</v>
      </c>
      <c r="F5397">
        <v>0.82145980919554296</v>
      </c>
      <c r="G5397">
        <v>0.58640517130396597</v>
      </c>
      <c r="H5397">
        <v>0.48235652780938199</v>
      </c>
      <c r="I5397">
        <v>0.320370716391496</v>
      </c>
      <c r="J5397">
        <v>0.31962251584575202</v>
      </c>
      <c r="K5397">
        <v>0.28300194985417698</v>
      </c>
      <c r="L5397">
        <v>891.67232138850295</v>
      </c>
      <c r="M5397">
        <v>16.6677849991759</v>
      </c>
      <c r="N5397">
        <v>56.012370354434204</v>
      </c>
      <c r="O5397">
        <v>52.744487022451899</v>
      </c>
      <c r="P5397">
        <v>-5.8190711555581698E-2</v>
      </c>
      <c r="Q5397">
        <v>0.26348119953515797</v>
      </c>
      <c r="R5397">
        <v>0.995970400456066</v>
      </c>
      <c r="S5397" t="s">
        <v>10980</v>
      </c>
      <c r="T5397" t="s">
        <v>11164</v>
      </c>
      <c r="U5397" t="s">
        <v>11164</v>
      </c>
      <c r="V5397" t="s">
        <v>11164</v>
      </c>
      <c r="W5397" t="s">
        <v>16515</v>
      </c>
      <c r="X5397">
        <v>12</v>
      </c>
      <c r="Y5397" t="s">
        <v>21974</v>
      </c>
      <c r="Z5397" t="s">
        <v>27547</v>
      </c>
      <c r="AA5397">
        <v>0.67986265382427646</v>
      </c>
      <c r="AB5397" t="str">
        <f>HYPERLINK("Melting_Curves/meltCurve_Q9Y237_PIN4.pdf", "Melting_Curves/meltCurve_Q9Y237_PIN4.pdf")</f>
        <v>Melting_Curves/meltCurve_Q9Y237_PIN4.pdf</v>
      </c>
    </row>
    <row r="5398" spans="1:28" x14ac:dyDescent="0.25">
      <c r="A5398" t="s">
        <v>5402</v>
      </c>
      <c r="B5398">
        <v>0.99796759195183404</v>
      </c>
      <c r="C5398">
        <v>0.81194823055140997</v>
      </c>
      <c r="D5398">
        <v>0.96430794399532105</v>
      </c>
      <c r="E5398">
        <v>0.79588693929603604</v>
      </c>
      <c r="F5398">
        <v>0.72301866631002398</v>
      </c>
      <c r="G5398">
        <v>0.50242413874297198</v>
      </c>
      <c r="H5398">
        <v>0.36020302185984299</v>
      </c>
      <c r="I5398">
        <v>0.13029805158819899</v>
      </c>
      <c r="J5398">
        <v>0.116184482950019</v>
      </c>
      <c r="K5398">
        <v>0.105436914771274</v>
      </c>
      <c r="L5398">
        <v>599.36459242141302</v>
      </c>
      <c r="M5398">
        <v>11.189652126364701</v>
      </c>
      <c r="N5398">
        <v>53.564184627050899</v>
      </c>
      <c r="O5398">
        <v>51.938851413382899</v>
      </c>
      <c r="P5398">
        <v>-5.3876755056560997E-2</v>
      </c>
      <c r="Q5398">
        <v>0</v>
      </c>
      <c r="R5398">
        <v>0.96454026427289796</v>
      </c>
      <c r="S5398" t="s">
        <v>10981</v>
      </c>
      <c r="T5398" t="s">
        <v>11164</v>
      </c>
      <c r="U5398" t="s">
        <v>11164</v>
      </c>
      <c r="V5398" t="s">
        <v>11164</v>
      </c>
      <c r="W5398" t="s">
        <v>16516</v>
      </c>
      <c r="X5398">
        <v>1</v>
      </c>
      <c r="Y5398" t="s">
        <v>21975</v>
      </c>
      <c r="Z5398" t="s">
        <v>27548</v>
      </c>
      <c r="AA5398">
        <v>0.57184449047687225</v>
      </c>
      <c r="AB5398" t="str">
        <f>HYPERLINK("Melting_Curves/meltCurve_Q9Y242_TCF19.pdf", "Melting_Curves/meltCurve_Q9Y242_TCF19.pdf")</f>
        <v>Melting_Curves/meltCurve_Q9Y242_TCF19.pdf</v>
      </c>
    </row>
    <row r="5399" spans="1:28" x14ac:dyDescent="0.25">
      <c r="A5399" t="s">
        <v>5403</v>
      </c>
      <c r="B5399">
        <v>0.99796759195183404</v>
      </c>
      <c r="C5399">
        <v>1.00501972243822</v>
      </c>
      <c r="D5399">
        <v>1.00378661475872</v>
      </c>
      <c r="E5399">
        <v>0.927459226878103</v>
      </c>
      <c r="F5399">
        <v>0.83249610252347095</v>
      </c>
      <c r="G5399">
        <v>0.69406296879818696</v>
      </c>
      <c r="H5399">
        <v>0.43869506941881697</v>
      </c>
      <c r="I5399">
        <v>0.18866818412581901</v>
      </c>
      <c r="J5399">
        <v>0.122861203722156</v>
      </c>
      <c r="K5399">
        <v>7.6083133061694203E-2</v>
      </c>
      <c r="L5399">
        <v>878.96021901536994</v>
      </c>
      <c r="M5399">
        <v>15.6474786514547</v>
      </c>
      <c r="N5399">
        <v>56.1726427894707</v>
      </c>
      <c r="O5399">
        <v>55.279201430754</v>
      </c>
      <c r="P5399">
        <v>-7.0771753074127905E-2</v>
      </c>
      <c r="Q5399">
        <v>0</v>
      </c>
      <c r="R5399">
        <v>0.99628089321556701</v>
      </c>
      <c r="S5399" t="s">
        <v>10982</v>
      </c>
      <c r="T5399" t="s">
        <v>11164</v>
      </c>
      <c r="U5399" t="s">
        <v>11164</v>
      </c>
      <c r="V5399" t="s">
        <v>11164</v>
      </c>
      <c r="W5399" t="s">
        <v>16517</v>
      </c>
      <c r="X5399">
        <v>4</v>
      </c>
      <c r="Y5399" t="s">
        <v>21976</v>
      </c>
      <c r="Z5399" t="s">
        <v>27549</v>
      </c>
      <c r="AA5399">
        <v>0.65010847633545954</v>
      </c>
      <c r="AB5399" t="str">
        <f>HYPERLINK("Melting_Curves/meltCurve_Q9Y243_2_AKT3.pdf", "Melting_Curves/meltCurve_Q9Y243_2_AKT3.pdf")</f>
        <v>Melting_Curves/meltCurve_Q9Y243_2_AKT3.pdf</v>
      </c>
    </row>
    <row r="5400" spans="1:28" x14ac:dyDescent="0.25">
      <c r="A5400" t="s">
        <v>5404</v>
      </c>
      <c r="B5400">
        <v>0.99796759195183404</v>
      </c>
      <c r="C5400">
        <v>1.0259546932896799</v>
      </c>
      <c r="D5400">
        <v>1.00520014067244</v>
      </c>
      <c r="E5400">
        <v>0.96611915551035299</v>
      </c>
      <c r="F5400">
        <v>0.786948999567878</v>
      </c>
      <c r="G5400">
        <v>0.49215689496635801</v>
      </c>
      <c r="H5400">
        <v>0.224883768183124</v>
      </c>
      <c r="I5400">
        <v>0.16372337611842899</v>
      </c>
      <c r="J5400">
        <v>0.13455674018038999</v>
      </c>
      <c r="K5400">
        <v>0.111103017814637</v>
      </c>
      <c r="L5400">
        <v>1185.44736890526</v>
      </c>
      <c r="M5400">
        <v>22.384955649376501</v>
      </c>
      <c r="N5400">
        <v>53.549950613064297</v>
      </c>
      <c r="O5400">
        <v>52.540124539234199</v>
      </c>
      <c r="P5400">
        <v>-9.4829515208360401E-2</v>
      </c>
      <c r="Q5400">
        <v>0.109714444395656</v>
      </c>
      <c r="R5400">
        <v>0.99882139490753796</v>
      </c>
      <c r="S5400" t="s">
        <v>10983</v>
      </c>
      <c r="T5400" t="s">
        <v>11164</v>
      </c>
      <c r="U5400" t="s">
        <v>11164</v>
      </c>
      <c r="V5400" t="s">
        <v>11164</v>
      </c>
      <c r="W5400" t="s">
        <v>16518</v>
      </c>
      <c r="X5400">
        <v>6</v>
      </c>
      <c r="Y5400" t="s">
        <v>21977</v>
      </c>
      <c r="Z5400" t="s">
        <v>27550</v>
      </c>
      <c r="AA5400">
        <v>0.59272356258650083</v>
      </c>
      <c r="AB5400" t="str">
        <f>HYPERLINK("Melting_Curves/meltCurve_Q9Y248_GINS2.pdf", "Melting_Curves/meltCurve_Q9Y248_GINS2.pdf")</f>
        <v>Melting_Curves/meltCurve_Q9Y248_GINS2.pdf</v>
      </c>
    </row>
    <row r="5401" spans="1:28" x14ac:dyDescent="0.25">
      <c r="A5401" t="s">
        <v>5405</v>
      </c>
      <c r="B5401">
        <v>0.99796759195183404</v>
      </c>
      <c r="C5401">
        <v>1.1433853117727699</v>
      </c>
      <c r="D5401">
        <v>0.88820667686355204</v>
      </c>
      <c r="E5401">
        <v>1.20479818338904</v>
      </c>
      <c r="F5401">
        <v>0.974527459253127</v>
      </c>
      <c r="G5401">
        <v>0.20892159135442401</v>
      </c>
      <c r="H5401">
        <v>0.39700671331410903</v>
      </c>
      <c r="I5401">
        <v>0</v>
      </c>
      <c r="J5401">
        <v>0.210916292408696</v>
      </c>
      <c r="K5401">
        <v>0</v>
      </c>
      <c r="L5401">
        <v>4466.5487123353096</v>
      </c>
      <c r="M5401">
        <v>85.589475710808401</v>
      </c>
      <c r="N5401">
        <v>52.406289066501301</v>
      </c>
      <c r="O5401">
        <v>52.157255610781696</v>
      </c>
      <c r="P5401">
        <v>-0.34820020350875203</v>
      </c>
      <c r="Q5401">
        <v>0.15124308984816701</v>
      </c>
      <c r="R5401">
        <v>0.91245525362025803</v>
      </c>
      <c r="S5401" t="s">
        <v>10984</v>
      </c>
      <c r="T5401" t="s">
        <v>11164</v>
      </c>
      <c r="U5401" t="s">
        <v>11164</v>
      </c>
      <c r="V5401" t="s">
        <v>11164</v>
      </c>
      <c r="W5401" t="s">
        <v>16519</v>
      </c>
      <c r="X5401">
        <v>1</v>
      </c>
      <c r="Y5401" t="s">
        <v>21978</v>
      </c>
      <c r="Z5401" t="s">
        <v>27551</v>
      </c>
      <c r="AA5401">
        <v>0.58154032839995784</v>
      </c>
      <c r="AB5401" t="str">
        <f>HYPERLINK("Melting_Curves/meltCurve_Q9Y255_PRELID1.pdf", "Melting_Curves/meltCurve_Q9Y255_PRELID1.pdf")</f>
        <v>Melting_Curves/meltCurve_Q9Y255_PRELID1.pdf</v>
      </c>
    </row>
    <row r="5402" spans="1:28" x14ac:dyDescent="0.25">
      <c r="A5402" t="s">
        <v>5406</v>
      </c>
      <c r="B5402">
        <v>0.99796759195183404</v>
      </c>
      <c r="C5402">
        <v>1.0862711211412099</v>
      </c>
      <c r="D5402">
        <v>1.0827886426792399</v>
      </c>
      <c r="E5402">
        <v>0.92906330080627197</v>
      </c>
      <c r="F5402">
        <v>0.88543346644917997</v>
      </c>
      <c r="G5402">
        <v>0.80152191603910905</v>
      </c>
      <c r="H5402">
        <v>0.59629327188312897</v>
      </c>
      <c r="I5402">
        <v>0.472346512937938</v>
      </c>
      <c r="J5402">
        <v>0.49547381143847202</v>
      </c>
      <c r="K5402">
        <v>0.25312059272346699</v>
      </c>
      <c r="L5402">
        <v>654.807510600098</v>
      </c>
      <c r="M5402">
        <v>11.076432484607301</v>
      </c>
      <c r="N5402">
        <v>60.791220112791301</v>
      </c>
      <c r="O5402">
        <v>57.288362978132199</v>
      </c>
      <c r="P5402">
        <v>-4.19965625337788E-2</v>
      </c>
      <c r="Q5402">
        <v>0.131444448855186</v>
      </c>
      <c r="R5402">
        <v>0.95189420422160798</v>
      </c>
      <c r="S5402" t="s">
        <v>10985</v>
      </c>
      <c r="T5402" t="s">
        <v>11164</v>
      </c>
      <c r="U5402" t="s">
        <v>11164</v>
      </c>
      <c r="V5402" t="s">
        <v>11164</v>
      </c>
      <c r="W5402" t="s">
        <v>16520</v>
      </c>
      <c r="X5402">
        <v>3</v>
      </c>
      <c r="Y5402" t="s">
        <v>21979</v>
      </c>
      <c r="Z5402" t="s">
        <v>27552</v>
      </c>
      <c r="AA5402">
        <v>0.76060375542537728</v>
      </c>
      <c r="AB5402" t="str">
        <f>HYPERLINK("Melting_Curves/meltCurve_Q9Y259_CHKB.pdf", "Melting_Curves/meltCurve_Q9Y259_CHKB.pdf")</f>
        <v>Melting_Curves/meltCurve_Q9Y259_CHKB.pdf</v>
      </c>
    </row>
    <row r="5403" spans="1:28" x14ac:dyDescent="0.25">
      <c r="A5403" t="s">
        <v>5407</v>
      </c>
      <c r="B5403">
        <v>0.99796759195183404</v>
      </c>
      <c r="C5403">
        <v>1.0331827814790799</v>
      </c>
      <c r="D5403">
        <v>0.98279122602552205</v>
      </c>
      <c r="E5403">
        <v>0.96421806896447804</v>
      </c>
      <c r="F5403">
        <v>0.73861111479766595</v>
      </c>
      <c r="G5403">
        <v>0.32715055063538501</v>
      </c>
      <c r="H5403">
        <v>0.20195422308327399</v>
      </c>
      <c r="I5403">
        <v>0.17016029561194401</v>
      </c>
      <c r="J5403">
        <v>0.108609922951847</v>
      </c>
      <c r="K5403">
        <v>7.1925199584431096E-2</v>
      </c>
      <c r="L5403">
        <v>1384.6051943272901</v>
      </c>
      <c r="M5403">
        <v>26.752380557820299</v>
      </c>
      <c r="N5403">
        <v>52.260409604345298</v>
      </c>
      <c r="O5403">
        <v>51.469735724406398</v>
      </c>
      <c r="P5403">
        <v>-0.115166796759005</v>
      </c>
      <c r="Q5403">
        <v>0.11371721172894</v>
      </c>
      <c r="R5403">
        <v>0.99586844924316098</v>
      </c>
      <c r="S5403" t="s">
        <v>10986</v>
      </c>
      <c r="T5403" t="s">
        <v>11164</v>
      </c>
      <c r="U5403" t="s">
        <v>11164</v>
      </c>
      <c r="V5403" t="s">
        <v>11164</v>
      </c>
      <c r="W5403" t="s">
        <v>16521</v>
      </c>
      <c r="X5403">
        <v>18</v>
      </c>
      <c r="Y5403" t="s">
        <v>21980</v>
      </c>
      <c r="Z5403" t="s">
        <v>27553</v>
      </c>
      <c r="AA5403">
        <v>0.55658910749501267</v>
      </c>
      <c r="AB5403" t="str">
        <f>HYPERLINK("Melting_Curves/meltCurve_Q9Y263_PLAA.pdf", "Melting_Curves/meltCurve_Q9Y263_PLAA.pdf")</f>
        <v>Melting_Curves/meltCurve_Q9Y263_PLAA.pdf</v>
      </c>
    </row>
    <row r="5404" spans="1:28" x14ac:dyDescent="0.25">
      <c r="A5404" t="s">
        <v>5408</v>
      </c>
      <c r="B5404">
        <v>0.99796759195183404</v>
      </c>
      <c r="C5404">
        <v>1.0117356362691401</v>
      </c>
      <c r="D5404">
        <v>0.94066213781442498</v>
      </c>
      <c r="E5404">
        <v>0.96212462217526895</v>
      </c>
      <c r="F5404">
        <v>0.878466386954464</v>
      </c>
      <c r="G5404">
        <v>1.96909373986206</v>
      </c>
      <c r="H5404">
        <v>2.1508942872906198</v>
      </c>
      <c r="I5404">
        <v>2.2821336164069299</v>
      </c>
      <c r="J5404">
        <v>1.56782445510369</v>
      </c>
      <c r="K5404">
        <v>0.60742175919263597</v>
      </c>
      <c r="L5404">
        <v>4602.05696521552</v>
      </c>
      <c r="M5404">
        <v>89.217598628864806</v>
      </c>
      <c r="O5404">
        <v>51.556490225001198</v>
      </c>
      <c r="P5404">
        <v>0.21631031774659701</v>
      </c>
      <c r="Q5404">
        <v>1.5</v>
      </c>
      <c r="R5404">
        <v>0.35781734384513503</v>
      </c>
      <c r="S5404" t="s">
        <v>10987</v>
      </c>
      <c r="T5404" t="s">
        <v>11164</v>
      </c>
      <c r="U5404" t="s">
        <v>11164</v>
      </c>
      <c r="V5404" t="s">
        <v>11164</v>
      </c>
      <c r="W5404" t="s">
        <v>16522</v>
      </c>
      <c r="X5404">
        <v>24</v>
      </c>
      <c r="Y5404" t="s">
        <v>21981</v>
      </c>
      <c r="Z5404" t="s">
        <v>27554</v>
      </c>
      <c r="AA5404">
        <v>1.256604221296965</v>
      </c>
      <c r="AB5404" t="str">
        <f>HYPERLINK("Melting_Curves/meltCurve_Q9Y265_RUVBL1.pdf", "Melting_Curves/meltCurve_Q9Y265_RUVBL1.pdf")</f>
        <v>Melting_Curves/meltCurve_Q9Y265_RUVBL1.pdf</v>
      </c>
    </row>
    <row r="5405" spans="1:28" x14ac:dyDescent="0.25">
      <c r="A5405" t="s">
        <v>5409</v>
      </c>
      <c r="B5405">
        <v>0.99796759195183404</v>
      </c>
      <c r="C5405">
        <v>0.95014962097488698</v>
      </c>
      <c r="D5405">
        <v>0.97585837556072796</v>
      </c>
      <c r="E5405">
        <v>0.94903798495491198</v>
      </c>
      <c r="F5405">
        <v>0.78522442937283499</v>
      </c>
      <c r="G5405">
        <v>0.52599833625406001</v>
      </c>
      <c r="H5405">
        <v>0.29171756026460799</v>
      </c>
      <c r="I5405">
        <v>0.12675553307217399</v>
      </c>
      <c r="J5405">
        <v>9.3066962753882501E-2</v>
      </c>
      <c r="K5405">
        <v>7.1435835096111205E-2</v>
      </c>
      <c r="L5405">
        <v>934.45297212586797</v>
      </c>
      <c r="M5405">
        <v>17.333124797437399</v>
      </c>
      <c r="N5405">
        <v>54.118902437431998</v>
      </c>
      <c r="O5405">
        <v>53.2091375669632</v>
      </c>
      <c r="P5405">
        <v>-7.8824928844030001E-2</v>
      </c>
      <c r="Q5405">
        <v>3.2149640476339301E-2</v>
      </c>
      <c r="R5405">
        <v>0.99786928264151298</v>
      </c>
      <c r="S5405" t="s">
        <v>10988</v>
      </c>
      <c r="T5405" t="s">
        <v>11164</v>
      </c>
      <c r="U5405" t="s">
        <v>11164</v>
      </c>
      <c r="V5405" t="s">
        <v>11164</v>
      </c>
      <c r="W5405" t="s">
        <v>16523</v>
      </c>
      <c r="X5405">
        <v>36</v>
      </c>
      <c r="Y5405" t="s">
        <v>21982</v>
      </c>
      <c r="Z5405" t="s">
        <v>27555</v>
      </c>
      <c r="AA5405">
        <v>0.591650106341988</v>
      </c>
      <c r="AB5405" t="str">
        <f>HYPERLINK("Melting_Curves/meltCurve_Q9Y266_NUDC.pdf", "Melting_Curves/meltCurve_Q9Y266_NUDC.pdf")</f>
        <v>Melting_Curves/meltCurve_Q9Y266_NUDC.pdf</v>
      </c>
    </row>
    <row r="5406" spans="1:28" x14ac:dyDescent="0.25">
      <c r="A5406" t="s">
        <v>5410</v>
      </c>
      <c r="B5406">
        <v>0.99796759195183404</v>
      </c>
      <c r="C5406">
        <v>1.0683098253085599</v>
      </c>
      <c r="D5406">
        <v>1.07329781524846</v>
      </c>
      <c r="E5406">
        <v>1.00868642897745</v>
      </c>
      <c r="F5406">
        <v>0.82352149271207298</v>
      </c>
      <c r="G5406">
        <v>1.7018381898567601</v>
      </c>
      <c r="H5406">
        <v>1.3896295818573901</v>
      </c>
      <c r="I5406">
        <v>0.72050627143096402</v>
      </c>
      <c r="J5406">
        <v>0.22919710999489701</v>
      </c>
      <c r="K5406">
        <v>0.13950500678653699</v>
      </c>
      <c r="L5406">
        <v>5573.5244932743999</v>
      </c>
      <c r="M5406">
        <v>90.661194696050202</v>
      </c>
      <c r="N5406">
        <v>61.7658084997828</v>
      </c>
      <c r="O5406">
        <v>61.446528807062002</v>
      </c>
      <c r="P5406">
        <v>-0.30503173774310399</v>
      </c>
      <c r="Q5406">
        <v>0.17304706122524099</v>
      </c>
      <c r="R5406">
        <v>0.65990551560136901</v>
      </c>
      <c r="S5406" t="s">
        <v>10989</v>
      </c>
      <c r="T5406" t="s">
        <v>11164</v>
      </c>
      <c r="U5406" t="s">
        <v>11164</v>
      </c>
      <c r="V5406" t="s">
        <v>11164</v>
      </c>
      <c r="W5406" t="s">
        <v>16524</v>
      </c>
      <c r="X5406">
        <v>5</v>
      </c>
      <c r="Y5406" t="s">
        <v>21983</v>
      </c>
      <c r="Z5406" t="s">
        <v>27556</v>
      </c>
      <c r="AA5406">
        <v>0.84840812056950343</v>
      </c>
      <c r="AB5406" t="str">
        <f>HYPERLINK("Melting_Curves/meltCurve_Q9Y276_BCS1L.pdf", "Melting_Curves/meltCurve_Q9Y276_BCS1L.pdf")</f>
        <v>Melting_Curves/meltCurve_Q9Y276_BCS1L.pdf</v>
      </c>
    </row>
    <row r="5407" spans="1:28" x14ac:dyDescent="0.25">
      <c r="A5407" t="s">
        <v>5411</v>
      </c>
      <c r="B5407">
        <v>0.99796759195183404</v>
      </c>
      <c r="C5407">
        <v>0.88243071562667197</v>
      </c>
      <c r="D5407">
        <v>0.96806687205772601</v>
      </c>
      <c r="E5407">
        <v>0.84127461864557496</v>
      </c>
      <c r="F5407">
        <v>0.756264076598543</v>
      </c>
      <c r="G5407">
        <v>0.63101713402298898</v>
      </c>
      <c r="H5407">
        <v>0.63634195443997699</v>
      </c>
      <c r="I5407">
        <v>0.673209201708178</v>
      </c>
      <c r="J5407">
        <v>0.765437914796959</v>
      </c>
      <c r="K5407">
        <v>0.99408218417838201</v>
      </c>
      <c r="L5407">
        <v>1333.1136159257701</v>
      </c>
      <c r="M5407">
        <v>29.247891184079201</v>
      </c>
      <c r="O5407">
        <v>45.368342898052802</v>
      </c>
      <c r="P5407">
        <v>-4.1793162282780301E-2</v>
      </c>
      <c r="Q5407">
        <v>0.74068932583755398</v>
      </c>
      <c r="R5407">
        <v>0.42926213068312602</v>
      </c>
      <c r="S5407" t="s">
        <v>10990</v>
      </c>
      <c r="T5407" t="s">
        <v>11164</v>
      </c>
      <c r="U5407" t="s">
        <v>11164</v>
      </c>
      <c r="V5407" t="s">
        <v>11164</v>
      </c>
      <c r="W5407" t="s">
        <v>16525</v>
      </c>
      <c r="X5407">
        <v>9</v>
      </c>
      <c r="Y5407" t="s">
        <v>21984</v>
      </c>
      <c r="Z5407" t="s">
        <v>27557</v>
      </c>
      <c r="AA5407">
        <v>0.81639793452383169</v>
      </c>
      <c r="AB5407" t="str">
        <f>HYPERLINK("Melting_Curves/meltCurve_Q9Y277_VDAC3.pdf", "Melting_Curves/meltCurve_Q9Y277_VDAC3.pdf")</f>
        <v>Melting_Curves/meltCurve_Q9Y277_VDAC3.pdf</v>
      </c>
    </row>
    <row r="5408" spans="1:28" x14ac:dyDescent="0.25">
      <c r="A5408" t="s">
        <v>5412</v>
      </c>
      <c r="B5408">
        <v>0.99796759195183404</v>
      </c>
      <c r="C5408">
        <v>0.98617053155587298</v>
      </c>
      <c r="D5408">
        <v>0.95762586879813505</v>
      </c>
      <c r="E5408">
        <v>0.97713724832261795</v>
      </c>
      <c r="F5408">
        <v>0.76483047506721102</v>
      </c>
      <c r="G5408">
        <v>0.63702669614482299</v>
      </c>
      <c r="H5408">
        <v>0.54328621145007805</v>
      </c>
      <c r="I5408">
        <v>0.332792978806568</v>
      </c>
      <c r="J5408">
        <v>0.192523883185134</v>
      </c>
      <c r="K5408">
        <v>0.153459024562248</v>
      </c>
      <c r="L5408">
        <v>630.82546218167499</v>
      </c>
      <c r="M5408">
        <v>11.0637550942365</v>
      </c>
      <c r="N5408">
        <v>57.017301747920101</v>
      </c>
      <c r="O5408">
        <v>55.249601739993601</v>
      </c>
      <c r="P5408">
        <v>-5.0079119550909101E-2</v>
      </c>
      <c r="Q5408">
        <v>0</v>
      </c>
      <c r="R5408">
        <v>0.98843778182675501</v>
      </c>
      <c r="S5408" t="s">
        <v>10991</v>
      </c>
      <c r="T5408" t="s">
        <v>11164</v>
      </c>
      <c r="U5408" t="s">
        <v>11164</v>
      </c>
      <c r="V5408" t="s">
        <v>11164</v>
      </c>
      <c r="W5408" t="s">
        <v>16526</v>
      </c>
      <c r="X5408">
        <v>14</v>
      </c>
      <c r="Y5408" t="s">
        <v>21985</v>
      </c>
      <c r="Z5408" t="s">
        <v>27558</v>
      </c>
      <c r="AA5408">
        <v>0.66964423157758024</v>
      </c>
      <c r="AB5408" t="str">
        <f>HYPERLINK("Melting_Curves/meltCurve_Q9Y281_CFL2.pdf", "Melting_Curves/meltCurve_Q9Y281_CFL2.pdf")</f>
        <v>Melting_Curves/meltCurve_Q9Y281_CFL2.pdf</v>
      </c>
    </row>
    <row r="5409" spans="1:28" x14ac:dyDescent="0.25">
      <c r="A5409" t="s">
        <v>5413</v>
      </c>
      <c r="B5409">
        <v>0.99796759195183404</v>
      </c>
      <c r="C5409">
        <v>1.0684346191954699</v>
      </c>
      <c r="D5409">
        <v>1.1658575358159</v>
      </c>
      <c r="E5409">
        <v>1.11033288167278</v>
      </c>
      <c r="F5409">
        <v>0.94247323995495202</v>
      </c>
      <c r="G5409">
        <v>0.84658302306079303</v>
      </c>
      <c r="H5409">
        <v>0.71902278734613001</v>
      </c>
      <c r="I5409">
        <v>0.56627696198024302</v>
      </c>
      <c r="J5409">
        <v>0.50300478177022501</v>
      </c>
      <c r="K5409">
        <v>0.29891375165242401</v>
      </c>
      <c r="L5409">
        <v>797.71655218585397</v>
      </c>
      <c r="M5409">
        <v>13.026954031069099</v>
      </c>
      <c r="N5409">
        <v>62.5993153863541</v>
      </c>
      <c r="O5409">
        <v>59.846723287653397</v>
      </c>
      <c r="P5409">
        <v>-4.7704731354323501E-2</v>
      </c>
      <c r="Q5409">
        <v>0.123518328030104</v>
      </c>
      <c r="R5409">
        <v>0.92574190804865397</v>
      </c>
      <c r="S5409" t="s">
        <v>10992</v>
      </c>
      <c r="T5409" t="s">
        <v>11164</v>
      </c>
      <c r="U5409" t="s">
        <v>11164</v>
      </c>
      <c r="V5409" t="s">
        <v>11164</v>
      </c>
      <c r="W5409" t="s">
        <v>16527</v>
      </c>
      <c r="X5409">
        <v>4</v>
      </c>
      <c r="Y5409" t="s">
        <v>21986</v>
      </c>
      <c r="Z5409" t="s">
        <v>27559</v>
      </c>
      <c r="AA5409">
        <v>0.81150525014512664</v>
      </c>
      <c r="AB5409" t="str">
        <f>HYPERLINK("Melting_Curves/meltCurve_Q9Y289_SLC5A6.pdf", "Melting_Curves/meltCurve_Q9Y289_SLC5A6.pdf")</f>
        <v>Melting_Curves/meltCurve_Q9Y289_SLC5A6.pdf</v>
      </c>
    </row>
    <row r="5410" spans="1:28" x14ac:dyDescent="0.25">
      <c r="A5410" t="s">
        <v>5414</v>
      </c>
      <c r="B5410">
        <v>0.99796759195183404</v>
      </c>
      <c r="C5410">
        <v>1.01054619441474</v>
      </c>
      <c r="D5410">
        <v>0.979338246467366</v>
      </c>
      <c r="E5410">
        <v>0.91687735808664494</v>
      </c>
      <c r="F5410">
        <v>0.80664525999577497</v>
      </c>
      <c r="G5410">
        <v>0.64979444385532403</v>
      </c>
      <c r="H5410">
        <v>0.41329978515745602</v>
      </c>
      <c r="I5410">
        <v>0.22928103325188101</v>
      </c>
      <c r="J5410">
        <v>0.13171932933454999</v>
      </c>
      <c r="K5410">
        <v>8.7614399990883704E-2</v>
      </c>
      <c r="L5410">
        <v>769.23201229700396</v>
      </c>
      <c r="M5410">
        <v>13.7797488353752</v>
      </c>
      <c r="N5410">
        <v>55.823369909328598</v>
      </c>
      <c r="O5410">
        <v>54.687096014644702</v>
      </c>
      <c r="P5410">
        <v>-6.3002473706975703E-2</v>
      </c>
      <c r="Q5410">
        <v>0</v>
      </c>
      <c r="R5410">
        <v>0.99856205739687398</v>
      </c>
      <c r="S5410" t="s">
        <v>10993</v>
      </c>
      <c r="T5410" t="s">
        <v>11164</v>
      </c>
      <c r="U5410" t="s">
        <v>11164</v>
      </c>
      <c r="V5410" t="s">
        <v>11164</v>
      </c>
      <c r="W5410" t="s">
        <v>16528</v>
      </c>
      <c r="X5410">
        <v>20</v>
      </c>
      <c r="Y5410" t="s">
        <v>21987</v>
      </c>
      <c r="Z5410" t="s">
        <v>27560</v>
      </c>
      <c r="AA5410">
        <v>0.63923300793418847</v>
      </c>
      <c r="AB5410" t="str">
        <f>HYPERLINK("Melting_Curves/meltCurve_Q9Y295_DRG1.pdf", "Melting_Curves/meltCurve_Q9Y295_DRG1.pdf")</f>
        <v>Melting_Curves/meltCurve_Q9Y295_DRG1.pdf</v>
      </c>
    </row>
    <row r="5411" spans="1:28" x14ac:dyDescent="0.25">
      <c r="A5411" t="s">
        <v>5415</v>
      </c>
      <c r="B5411">
        <v>0.99796759195183404</v>
      </c>
      <c r="C5411">
        <v>1.0218546767596901</v>
      </c>
      <c r="D5411">
        <v>1.04436506557346</v>
      </c>
      <c r="E5411">
        <v>1.0423199924189199</v>
      </c>
      <c r="F5411">
        <v>0.84912905296344099</v>
      </c>
      <c r="G5411">
        <v>0.66044027238496394</v>
      </c>
      <c r="H5411">
        <v>0.67703248774786895</v>
      </c>
      <c r="I5411">
        <v>0.50880819290045998</v>
      </c>
      <c r="J5411">
        <v>0.59117606445120796</v>
      </c>
      <c r="K5411">
        <v>0.55787096526714697</v>
      </c>
      <c r="L5411">
        <v>1482.35079165969</v>
      </c>
      <c r="M5411">
        <v>28.735661888695802</v>
      </c>
      <c r="O5411">
        <v>51.3378648469578</v>
      </c>
      <c r="P5411">
        <v>-5.9820024242195999E-2</v>
      </c>
      <c r="Q5411">
        <v>0.57251605523085602</v>
      </c>
      <c r="R5411">
        <v>0.95626519099734597</v>
      </c>
      <c r="S5411" t="s">
        <v>10994</v>
      </c>
      <c r="T5411" t="s">
        <v>11164</v>
      </c>
      <c r="U5411" t="s">
        <v>11164</v>
      </c>
      <c r="V5411" t="s">
        <v>11164</v>
      </c>
      <c r="W5411" t="s">
        <v>16529</v>
      </c>
      <c r="X5411">
        <v>17</v>
      </c>
      <c r="Y5411" t="s">
        <v>21988</v>
      </c>
      <c r="Z5411" t="s">
        <v>27561</v>
      </c>
      <c r="AA5411">
        <v>0.7832708828077114</v>
      </c>
      <c r="AB5411" t="str">
        <f>HYPERLINK("Melting_Curves/meltCurve_Q9Y2B0_CNPY2.pdf", "Melting_Curves/meltCurve_Q9Y2B0_CNPY2.pdf")</f>
        <v>Melting_Curves/meltCurve_Q9Y2B0_CNPY2.pdf</v>
      </c>
    </row>
    <row r="5412" spans="1:28" x14ac:dyDescent="0.25">
      <c r="A5412" t="s">
        <v>5416</v>
      </c>
      <c r="B5412">
        <v>0.99796759195183404</v>
      </c>
      <c r="C5412">
        <v>1.6523641573388099</v>
      </c>
      <c r="D5412">
        <v>1.6065059597815801</v>
      </c>
      <c r="E5412">
        <v>1.4321627841192901</v>
      </c>
      <c r="F5412">
        <v>0.88064431104265395</v>
      </c>
      <c r="G5412">
        <v>1.12460737853684</v>
      </c>
      <c r="H5412">
        <v>0.83406129445900401</v>
      </c>
      <c r="I5412">
        <v>1.43164938990202</v>
      </c>
      <c r="J5412">
        <v>0.38905222513814203</v>
      </c>
      <c r="K5412">
        <v>0.458839078164335</v>
      </c>
      <c r="L5412">
        <v>15000</v>
      </c>
      <c r="M5412">
        <v>238.72890672005099</v>
      </c>
      <c r="N5412">
        <v>63.324649527703102</v>
      </c>
      <c r="O5412">
        <v>62.828366983060903</v>
      </c>
      <c r="P5412">
        <v>-0.54932056660531503</v>
      </c>
      <c r="Q5412">
        <v>0.42172207787295901</v>
      </c>
      <c r="R5412">
        <v>0.32754379443063297</v>
      </c>
      <c r="S5412" t="s">
        <v>10995</v>
      </c>
      <c r="T5412" t="s">
        <v>11164</v>
      </c>
      <c r="U5412" t="s">
        <v>11164</v>
      </c>
      <c r="V5412" t="s">
        <v>11164</v>
      </c>
      <c r="W5412" t="s">
        <v>16530</v>
      </c>
      <c r="X5412">
        <v>1</v>
      </c>
      <c r="Y5412" t="s">
        <v>21989</v>
      </c>
      <c r="Z5412" t="s">
        <v>27562</v>
      </c>
      <c r="AA5412">
        <v>0.91974281505604705</v>
      </c>
      <c r="AB5412" t="str">
        <f>HYPERLINK("Melting_Curves/meltCurve_Q9Y2C2_UST.pdf", "Melting_Curves/meltCurve_Q9Y2C2_UST.pdf")</f>
        <v>Melting_Curves/meltCurve_Q9Y2C2_UST.pdf</v>
      </c>
    </row>
    <row r="5413" spans="1:28" x14ac:dyDescent="0.25">
      <c r="A5413" t="s">
        <v>5417</v>
      </c>
      <c r="B5413">
        <v>0.99796759195183404</v>
      </c>
      <c r="C5413">
        <v>1.00802140046481</v>
      </c>
      <c r="D5413">
        <v>0.96888707306463695</v>
      </c>
      <c r="E5413">
        <v>0.91622865391610397</v>
      </c>
      <c r="F5413">
        <v>0.82722709237187397</v>
      </c>
      <c r="G5413">
        <v>0.64007823804842301</v>
      </c>
      <c r="H5413">
        <v>0.57092473831280599</v>
      </c>
      <c r="I5413">
        <v>0.51818072538721305</v>
      </c>
      <c r="J5413">
        <v>0.64024555286110496</v>
      </c>
      <c r="K5413">
        <v>0.85294139487172604</v>
      </c>
      <c r="L5413">
        <v>1524.3409039282101</v>
      </c>
      <c r="M5413">
        <v>30.683653117207101</v>
      </c>
      <c r="O5413">
        <v>49.469670953298497</v>
      </c>
      <c r="P5413">
        <v>-5.5720813883022698E-2</v>
      </c>
      <c r="Q5413">
        <v>0.64065900059393499</v>
      </c>
      <c r="R5413">
        <v>0.77186644067629795</v>
      </c>
      <c r="S5413" t="s">
        <v>10996</v>
      </c>
      <c r="T5413" t="s">
        <v>11164</v>
      </c>
      <c r="U5413" t="s">
        <v>11164</v>
      </c>
      <c r="V5413" t="s">
        <v>11164</v>
      </c>
      <c r="W5413" t="s">
        <v>16531</v>
      </c>
      <c r="X5413">
        <v>38</v>
      </c>
      <c r="Y5413" t="s">
        <v>21990</v>
      </c>
      <c r="Z5413" t="s">
        <v>27563</v>
      </c>
      <c r="AA5413">
        <v>0.79462875025784496</v>
      </c>
      <c r="AB5413" t="str">
        <f>HYPERLINK("Melting_Curves/meltCurve_Q9Y2D5_6_AKAP2.pdf", "Melting_Curves/meltCurve_Q9Y2D5_6_AKAP2.pdf")</f>
        <v>Melting_Curves/meltCurve_Q9Y2D5_6_AKAP2.pdf</v>
      </c>
    </row>
    <row r="5414" spans="1:28" x14ac:dyDescent="0.25">
      <c r="A5414" t="s">
        <v>5418</v>
      </c>
      <c r="B5414">
        <v>0.99796759195183404</v>
      </c>
      <c r="C5414">
        <v>0.96940994481293896</v>
      </c>
      <c r="D5414">
        <v>0.95718564139493001</v>
      </c>
      <c r="E5414">
        <v>0.89095598211191296</v>
      </c>
      <c r="F5414">
        <v>0.71261486780061001</v>
      </c>
      <c r="G5414">
        <v>0.464490015510023</v>
      </c>
      <c r="H5414">
        <v>0.48763166593422602</v>
      </c>
      <c r="I5414">
        <v>0.31673560260563199</v>
      </c>
      <c r="J5414">
        <v>0.248187931541197</v>
      </c>
      <c r="K5414">
        <v>0.11956238516201299</v>
      </c>
      <c r="L5414">
        <v>512.01842707717697</v>
      </c>
      <c r="M5414">
        <v>9.2545603336542506</v>
      </c>
      <c r="N5414">
        <v>55.326066714553399</v>
      </c>
      <c r="O5414">
        <v>52.926818805987999</v>
      </c>
      <c r="P5414">
        <v>-4.3742506679885197E-2</v>
      </c>
      <c r="Q5414">
        <v>0</v>
      </c>
      <c r="R5414">
        <v>0.97879567092195596</v>
      </c>
      <c r="S5414" t="s">
        <v>10997</v>
      </c>
      <c r="T5414" t="s">
        <v>11164</v>
      </c>
      <c r="U5414" t="s">
        <v>11164</v>
      </c>
      <c r="V5414" t="s">
        <v>11164</v>
      </c>
      <c r="W5414" t="s">
        <v>16532</v>
      </c>
      <c r="X5414">
        <v>2</v>
      </c>
      <c r="Y5414" t="s">
        <v>21991</v>
      </c>
      <c r="Z5414" t="s">
        <v>27564</v>
      </c>
      <c r="AA5414">
        <v>0.61935984773243413</v>
      </c>
      <c r="AB5414" t="str">
        <f>HYPERLINK("Melting_Curves/meltCurve_Q9Y2G2_4_CARD8.pdf", "Melting_Curves/meltCurve_Q9Y2G2_4_CARD8.pdf")</f>
        <v>Melting_Curves/meltCurve_Q9Y2G2_4_CARD8.pdf</v>
      </c>
    </row>
    <row r="5415" spans="1:28" x14ac:dyDescent="0.25">
      <c r="A5415" t="s">
        <v>5419</v>
      </c>
      <c r="B5415">
        <v>0.99796759195183404</v>
      </c>
      <c r="C5415">
        <v>0.96325595103556705</v>
      </c>
      <c r="D5415">
        <v>0.90742906373537002</v>
      </c>
      <c r="E5415">
        <v>0.88039690398314396</v>
      </c>
      <c r="F5415">
        <v>0.75182479754125497</v>
      </c>
      <c r="G5415">
        <v>0.81645786937833198</v>
      </c>
      <c r="H5415">
        <v>0.67168783227093298</v>
      </c>
      <c r="I5415">
        <v>0.56834967669980796</v>
      </c>
      <c r="J5415">
        <v>0.40455706771162497</v>
      </c>
      <c r="K5415">
        <v>0.232945204199418</v>
      </c>
      <c r="L5415">
        <v>482.61683772554602</v>
      </c>
      <c r="M5415">
        <v>7.8981370154189197</v>
      </c>
      <c r="N5415">
        <v>61.105145867393503</v>
      </c>
      <c r="O5415">
        <v>57.560094929346697</v>
      </c>
      <c r="P5415">
        <v>-3.43445726311946E-2</v>
      </c>
      <c r="Q5415">
        <v>0</v>
      </c>
      <c r="R5415">
        <v>0.93643576630227598</v>
      </c>
      <c r="S5415" t="s">
        <v>10998</v>
      </c>
      <c r="T5415" t="s">
        <v>11164</v>
      </c>
      <c r="U5415" t="s">
        <v>11164</v>
      </c>
      <c r="V5415" t="s">
        <v>11164</v>
      </c>
      <c r="W5415" t="s">
        <v>16533</v>
      </c>
      <c r="X5415">
        <v>2</v>
      </c>
      <c r="Y5415" t="s">
        <v>21992</v>
      </c>
      <c r="Z5415" t="s">
        <v>27565</v>
      </c>
      <c r="AA5415">
        <v>0.74498973309989036</v>
      </c>
      <c r="AB5415" t="str">
        <f>HYPERLINK("Melting_Curves/meltCurve_Q9Y2G3_ATP11B.pdf", "Melting_Curves/meltCurve_Q9Y2G3_ATP11B.pdf")</f>
        <v>Melting_Curves/meltCurve_Q9Y2G3_ATP11B.pdf</v>
      </c>
    </row>
    <row r="5416" spans="1:28" x14ac:dyDescent="0.25">
      <c r="A5416" t="s">
        <v>5420</v>
      </c>
      <c r="B5416">
        <v>0.99796759195183404</v>
      </c>
      <c r="C5416">
        <v>0.87939665465351002</v>
      </c>
      <c r="D5416">
        <v>0.97385410360584601</v>
      </c>
      <c r="E5416">
        <v>0.90926361790129395</v>
      </c>
      <c r="F5416">
        <v>0.77092162436788303</v>
      </c>
      <c r="G5416">
        <v>0.46353428020799697</v>
      </c>
      <c r="H5416">
        <v>0.35406003103139899</v>
      </c>
      <c r="I5416">
        <v>0.257841141330235</v>
      </c>
      <c r="J5416">
        <v>0.222220938950039</v>
      </c>
      <c r="K5416">
        <v>0.17857000359904099</v>
      </c>
      <c r="L5416">
        <v>874.157361752562</v>
      </c>
      <c r="M5416">
        <v>16.649853637051699</v>
      </c>
      <c r="N5416">
        <v>53.890907105375099</v>
      </c>
      <c r="O5416">
        <v>51.762571022625799</v>
      </c>
      <c r="P5416">
        <v>-6.6393498129049794E-2</v>
      </c>
      <c r="Q5416">
        <v>0.174414925815946</v>
      </c>
      <c r="R5416">
        <v>0.98301194849051998</v>
      </c>
      <c r="S5416" t="s">
        <v>10999</v>
      </c>
      <c r="T5416" t="s">
        <v>11164</v>
      </c>
      <c r="U5416" t="s">
        <v>11164</v>
      </c>
      <c r="V5416" t="s">
        <v>11164</v>
      </c>
      <c r="W5416" t="s">
        <v>16534</v>
      </c>
      <c r="X5416">
        <v>3</v>
      </c>
      <c r="Y5416" t="s">
        <v>21993</v>
      </c>
      <c r="Z5416" t="s">
        <v>27566</v>
      </c>
      <c r="AA5416">
        <v>0.61460310885749514</v>
      </c>
      <c r="AB5416" t="str">
        <f>HYPERLINK("Melting_Curves/meltCurve_Q9Y2G5_POFUT2.pdf", "Melting_Curves/meltCurve_Q9Y2G5_POFUT2.pdf")</f>
        <v>Melting_Curves/meltCurve_Q9Y2G5_POFUT2.pdf</v>
      </c>
    </row>
    <row r="5417" spans="1:28" x14ac:dyDescent="0.25">
      <c r="A5417" t="s">
        <v>5421</v>
      </c>
      <c r="B5417">
        <v>0.99796759195183404</v>
      </c>
      <c r="C5417">
        <v>1.07685946108465</v>
      </c>
      <c r="D5417">
        <v>0.87766567618153801</v>
      </c>
      <c r="E5417">
        <v>0.98436998512289098</v>
      </c>
      <c r="F5417">
        <v>0.75002848052987303</v>
      </c>
      <c r="G5417">
        <v>0.75037730437861105</v>
      </c>
      <c r="H5417">
        <v>0.447859549553209</v>
      </c>
      <c r="I5417">
        <v>0.36146223054386001</v>
      </c>
      <c r="J5417">
        <v>0.25140212637210602</v>
      </c>
      <c r="K5417">
        <v>0.277058337498723</v>
      </c>
      <c r="L5417">
        <v>709.49386369487002</v>
      </c>
      <c r="M5417">
        <v>12.793484088189</v>
      </c>
      <c r="N5417">
        <v>57.168641313108097</v>
      </c>
      <c r="O5417">
        <v>54.154843074188399</v>
      </c>
      <c r="P5417">
        <v>-4.9674215772436602E-2</v>
      </c>
      <c r="Q5417">
        <v>0.159073708868708</v>
      </c>
      <c r="R5417">
        <v>0.95809140838650997</v>
      </c>
      <c r="S5417" t="s">
        <v>11000</v>
      </c>
      <c r="T5417" t="s">
        <v>11164</v>
      </c>
      <c r="U5417" t="s">
        <v>11164</v>
      </c>
      <c r="V5417" t="s">
        <v>11164</v>
      </c>
      <c r="W5417" t="s">
        <v>16535</v>
      </c>
      <c r="X5417">
        <v>2</v>
      </c>
      <c r="Y5417" t="s">
        <v>21994</v>
      </c>
      <c r="Z5417" t="s">
        <v>27567</v>
      </c>
      <c r="AA5417">
        <v>0.6871681723838452</v>
      </c>
      <c r="AB5417" t="str">
        <f>HYPERLINK("Melting_Curves/meltCurve_Q9Y2H0_1_DLGAP4.pdf", "Melting_Curves/meltCurve_Q9Y2H0_1_DLGAP4.pdf")</f>
        <v>Melting_Curves/meltCurve_Q9Y2H0_1_DLGAP4.pdf</v>
      </c>
    </row>
    <row r="5418" spans="1:28" x14ac:dyDescent="0.25">
      <c r="A5418" t="s">
        <v>5422</v>
      </c>
      <c r="B5418">
        <v>0.99796759195183404</v>
      </c>
      <c r="C5418">
        <v>0.94872434388395899</v>
      </c>
      <c r="D5418">
        <v>0.92053916499037602</v>
      </c>
      <c r="E5418">
        <v>0.86314719513090898</v>
      </c>
      <c r="F5418">
        <v>0.64451707779627798</v>
      </c>
      <c r="G5418">
        <v>0.28403934988594298</v>
      </c>
      <c r="H5418">
        <v>0.197946352654084</v>
      </c>
      <c r="I5418">
        <v>0.15872358017080401</v>
      </c>
      <c r="J5418">
        <v>0.11956964790003601</v>
      </c>
      <c r="K5418">
        <v>9.7700154464800903E-2</v>
      </c>
      <c r="L5418">
        <v>990.28109216719201</v>
      </c>
      <c r="M5418">
        <v>19.483642603055799</v>
      </c>
      <c r="N5418">
        <v>51.428866791020901</v>
      </c>
      <c r="O5418">
        <v>50.299940204145599</v>
      </c>
      <c r="P5418">
        <v>-8.6958100500475893E-2</v>
      </c>
      <c r="Q5418">
        <v>0.102050994024155</v>
      </c>
      <c r="R5418">
        <v>0.99278441936047102</v>
      </c>
      <c r="S5418" t="s">
        <v>11001</v>
      </c>
      <c r="T5418" t="s">
        <v>11164</v>
      </c>
      <c r="U5418" t="s">
        <v>11164</v>
      </c>
      <c r="V5418" t="s">
        <v>11164</v>
      </c>
      <c r="W5418" t="s">
        <v>16536</v>
      </c>
      <c r="X5418">
        <v>6</v>
      </c>
      <c r="Y5418" t="s">
        <v>21995</v>
      </c>
      <c r="Z5418" t="s">
        <v>27568</v>
      </c>
      <c r="AA5418">
        <v>0.52819341107900697</v>
      </c>
      <c r="AB5418" t="str">
        <f>HYPERLINK("Melting_Curves/meltCurve_Q9Y2H1_STK38L.pdf", "Melting_Curves/meltCurve_Q9Y2H1_STK38L.pdf")</f>
        <v>Melting_Curves/meltCurve_Q9Y2H1_STK38L.pdf</v>
      </c>
    </row>
    <row r="5419" spans="1:28" x14ac:dyDescent="0.25">
      <c r="A5419" t="s">
        <v>5423</v>
      </c>
      <c r="B5419">
        <v>0.99796759195183404</v>
      </c>
      <c r="C5419">
        <v>0.960490587353245</v>
      </c>
      <c r="D5419">
        <v>0.83689003578978205</v>
      </c>
      <c r="E5419">
        <v>0.95950306068388103</v>
      </c>
      <c r="F5419">
        <v>0.23053108980446699</v>
      </c>
      <c r="G5419">
        <v>4.8564048040924998E-2</v>
      </c>
      <c r="H5419">
        <v>6.6494967982797207E-2</v>
      </c>
      <c r="I5419">
        <v>5.0690037202513298E-2</v>
      </c>
      <c r="J5419">
        <v>4.9107793753533302E-2</v>
      </c>
      <c r="K5419">
        <v>3.7972454352647199E-2</v>
      </c>
      <c r="L5419">
        <v>2937.4924923511098</v>
      </c>
      <c r="M5419">
        <v>59.963505379502102</v>
      </c>
      <c r="N5419">
        <v>49.073612527281298</v>
      </c>
      <c r="O5419">
        <v>48.933608490915702</v>
      </c>
      <c r="P5419">
        <v>-0.29113945131165397</v>
      </c>
      <c r="Q5419">
        <v>4.96554251933966E-2</v>
      </c>
      <c r="R5419">
        <v>0.98422529510857004</v>
      </c>
      <c r="S5419" t="s">
        <v>11002</v>
      </c>
      <c r="T5419" t="s">
        <v>11164</v>
      </c>
      <c r="U5419" t="s">
        <v>11164</v>
      </c>
      <c r="V5419" t="s">
        <v>11164</v>
      </c>
      <c r="W5419" t="s">
        <v>16537</v>
      </c>
      <c r="X5419">
        <v>1</v>
      </c>
      <c r="Y5419" t="s">
        <v>21996</v>
      </c>
      <c r="Z5419" t="s">
        <v>27569</v>
      </c>
      <c r="AA5419">
        <v>0.43083865838304358</v>
      </c>
      <c r="AB5419" t="str">
        <f>HYPERLINK("Melting_Curves/meltCurve_Q9Y2H6_2_FNDC3A.pdf", "Melting_Curves/meltCurve_Q9Y2H6_2_FNDC3A.pdf")</f>
        <v>Melting_Curves/meltCurve_Q9Y2H6_2_FNDC3A.pdf</v>
      </c>
    </row>
    <row r="5420" spans="1:28" x14ac:dyDescent="0.25">
      <c r="A5420" t="s">
        <v>5424</v>
      </c>
      <c r="B5420">
        <v>0.99796759195183404</v>
      </c>
      <c r="C5420">
        <v>0.99103815777311099</v>
      </c>
      <c r="D5420">
        <v>1.0007462935162601</v>
      </c>
      <c r="E5420">
        <v>0.90196064788708397</v>
      </c>
      <c r="F5420">
        <v>0.74618327271419405</v>
      </c>
      <c r="G5420">
        <v>0.76717932272759404</v>
      </c>
      <c r="H5420">
        <v>0.49695699557144402</v>
      </c>
      <c r="I5420">
        <v>0.11656186353773</v>
      </c>
      <c r="J5420">
        <v>2.05321905375851E-2</v>
      </c>
      <c r="K5420">
        <v>0</v>
      </c>
      <c r="L5420">
        <v>1084.05815003154</v>
      </c>
      <c r="M5420">
        <v>19.248678830580999</v>
      </c>
      <c r="N5420">
        <v>56.3185743612217</v>
      </c>
      <c r="O5420">
        <v>55.721278122266</v>
      </c>
      <c r="P5420">
        <v>-8.6364699555623203E-2</v>
      </c>
      <c r="Q5420">
        <v>0</v>
      </c>
      <c r="R5420">
        <v>0.96378034672433799</v>
      </c>
      <c r="S5420" t="s">
        <v>11003</v>
      </c>
      <c r="T5420" t="s">
        <v>11164</v>
      </c>
      <c r="U5420" t="s">
        <v>11164</v>
      </c>
      <c r="V5420" t="s">
        <v>11164</v>
      </c>
      <c r="W5420" t="s">
        <v>16538</v>
      </c>
      <c r="X5420">
        <v>37</v>
      </c>
      <c r="Y5420" t="s">
        <v>21997</v>
      </c>
      <c r="Z5420" t="s">
        <v>27570</v>
      </c>
      <c r="AA5420">
        <v>0.65405120946797068</v>
      </c>
      <c r="AB5420" t="str">
        <f>HYPERLINK("Melting_Curves/meltCurve_Q9Y2J2_EPB41L3.pdf", "Melting_Curves/meltCurve_Q9Y2J2_EPB41L3.pdf")</f>
        <v>Melting_Curves/meltCurve_Q9Y2J2_EPB41L3.pdf</v>
      </c>
    </row>
    <row r="5421" spans="1:28" x14ac:dyDescent="0.25">
      <c r="A5421" t="s">
        <v>5425</v>
      </c>
      <c r="B5421">
        <v>0.99796759195183404</v>
      </c>
      <c r="C5421">
        <v>1.0138274480048499</v>
      </c>
      <c r="D5421">
        <v>1.02167859531702</v>
      </c>
      <c r="E5421">
        <v>0.98382764519025101</v>
      </c>
      <c r="F5421">
        <v>0.88482407847345901</v>
      </c>
      <c r="G5421">
        <v>0.69119053795832397</v>
      </c>
      <c r="H5421">
        <v>0.55042790269128405</v>
      </c>
      <c r="I5421">
        <v>0.23839089966526</v>
      </c>
      <c r="J5421">
        <v>0.16895377975993101</v>
      </c>
      <c r="K5421">
        <v>0.13288533856864199</v>
      </c>
      <c r="L5421">
        <v>882.31219520471097</v>
      </c>
      <c r="M5421">
        <v>15.472186798853199</v>
      </c>
      <c r="N5421">
        <v>57.219602298617502</v>
      </c>
      <c r="O5421">
        <v>56.098549440834802</v>
      </c>
      <c r="P5421">
        <v>-6.7195869376402706E-2</v>
      </c>
      <c r="Q5421">
        <v>2.5540801253071101E-2</v>
      </c>
      <c r="R5421">
        <v>0.99280850710865098</v>
      </c>
      <c r="S5421" t="s">
        <v>11004</v>
      </c>
      <c r="T5421" t="s">
        <v>11164</v>
      </c>
      <c r="U5421" t="s">
        <v>11164</v>
      </c>
      <c r="V5421" t="s">
        <v>11164</v>
      </c>
      <c r="W5421" t="s">
        <v>16539</v>
      </c>
      <c r="X5421">
        <v>41</v>
      </c>
      <c r="Y5421" t="s">
        <v>21997</v>
      </c>
      <c r="Z5421" t="s">
        <v>27571</v>
      </c>
      <c r="AA5421">
        <v>0.6841554006724202</v>
      </c>
      <c r="AB5421" t="str">
        <f>HYPERLINK("Melting_Curves/meltCurve_Q9Y2J2_2_EPB41L3.pdf", "Melting_Curves/meltCurve_Q9Y2J2_2_EPB41L3.pdf")</f>
        <v>Melting_Curves/meltCurve_Q9Y2J2_2_EPB41L3.pdf</v>
      </c>
    </row>
    <row r="5422" spans="1:28" x14ac:dyDescent="0.25">
      <c r="A5422" t="s">
        <v>5426</v>
      </c>
      <c r="B5422">
        <v>0.99796759195183404</v>
      </c>
      <c r="C5422">
        <v>0.81310132740088503</v>
      </c>
      <c r="D5422">
        <v>0.83014474053053999</v>
      </c>
      <c r="E5422">
        <v>0.81939374444148105</v>
      </c>
      <c r="F5422">
        <v>0.79292257077768002</v>
      </c>
      <c r="G5422">
        <v>0.460482124483094</v>
      </c>
      <c r="H5422">
        <v>0.24548816317195099</v>
      </c>
      <c r="I5422">
        <v>0.18813454283755701</v>
      </c>
      <c r="J5422">
        <v>0.21936287824331699</v>
      </c>
      <c r="K5422">
        <v>0.13949936959481801</v>
      </c>
      <c r="L5422">
        <v>514.46891916898198</v>
      </c>
      <c r="M5422">
        <v>9.6387667577759704</v>
      </c>
      <c r="N5422">
        <v>53.374990823098102</v>
      </c>
      <c r="O5422">
        <v>51.229320596633499</v>
      </c>
      <c r="P5422">
        <v>-4.7063681381703401E-2</v>
      </c>
      <c r="Q5422">
        <v>0</v>
      </c>
      <c r="R5422">
        <v>0.93516890115171702</v>
      </c>
      <c r="S5422" t="s">
        <v>11005</v>
      </c>
      <c r="T5422" t="s">
        <v>11164</v>
      </c>
      <c r="U5422" t="s">
        <v>11164</v>
      </c>
      <c r="V5422" t="s">
        <v>11164</v>
      </c>
      <c r="W5422" t="s">
        <v>16540</v>
      </c>
      <c r="X5422">
        <v>3</v>
      </c>
      <c r="Y5422" t="s">
        <v>21998</v>
      </c>
      <c r="Z5422" t="s">
        <v>27572</v>
      </c>
      <c r="AA5422">
        <v>0.56643236036456035</v>
      </c>
      <c r="AB5422" t="str">
        <f>HYPERLINK("Melting_Curves/meltCurve_Q9Y2K7_4_KDM2A.pdf", "Melting_Curves/meltCurve_Q9Y2K7_4_KDM2A.pdf")</f>
        <v>Melting_Curves/meltCurve_Q9Y2K7_4_KDM2A.pdf</v>
      </c>
    </row>
    <row r="5423" spans="1:28" x14ac:dyDescent="0.25">
      <c r="A5423" t="s">
        <v>5427</v>
      </c>
      <c r="B5423">
        <v>0.99796759195183404</v>
      </c>
      <c r="C5423">
        <v>1.0463639292963001</v>
      </c>
      <c r="D5423">
        <v>0.95988518625238295</v>
      </c>
      <c r="E5423">
        <v>0.91695228827546604</v>
      </c>
      <c r="F5423">
        <v>0.52415197022529803</v>
      </c>
      <c r="G5423">
        <v>0.23012569483078801</v>
      </c>
      <c r="H5423">
        <v>0.10886766433747801</v>
      </c>
      <c r="I5423">
        <v>9.6315615227968998E-2</v>
      </c>
      <c r="J5423">
        <v>8.3626709088142306E-2</v>
      </c>
      <c r="K5423">
        <v>5.5265339015614798E-2</v>
      </c>
      <c r="L5423">
        <v>1312.9368526517901</v>
      </c>
      <c r="M5423">
        <v>26.1410756795498</v>
      </c>
      <c r="N5423">
        <v>50.543903196482901</v>
      </c>
      <c r="O5423">
        <v>49.933906855340197</v>
      </c>
      <c r="P5423">
        <v>-0.120931101432332</v>
      </c>
      <c r="Q5423">
        <v>7.6014598059091304E-2</v>
      </c>
      <c r="R5423">
        <v>0.99714984770047599</v>
      </c>
      <c r="S5423" t="s">
        <v>11006</v>
      </c>
      <c r="T5423" t="s">
        <v>11164</v>
      </c>
      <c r="U5423" t="s">
        <v>11164</v>
      </c>
      <c r="V5423" t="s">
        <v>11164</v>
      </c>
      <c r="W5423" t="s">
        <v>16541</v>
      </c>
      <c r="X5423">
        <v>13</v>
      </c>
      <c r="Y5423" t="s">
        <v>21999</v>
      </c>
      <c r="Z5423" t="s">
        <v>27573</v>
      </c>
      <c r="AA5423">
        <v>0.49077804819537552</v>
      </c>
      <c r="AB5423" t="str">
        <f>HYPERLINK("Melting_Curves/meltCurve_Q9Y2L1_DIS3.pdf", "Melting_Curves/meltCurve_Q9Y2L1_DIS3.pdf")</f>
        <v>Melting_Curves/meltCurve_Q9Y2L1_DIS3.pdf</v>
      </c>
    </row>
    <row r="5424" spans="1:28" x14ac:dyDescent="0.25">
      <c r="A5424" t="s">
        <v>5428</v>
      </c>
      <c r="B5424">
        <v>0.99796759195183404</v>
      </c>
      <c r="C5424">
        <v>1.01520527831116</v>
      </c>
      <c r="D5424">
        <v>0.95865568715015304</v>
      </c>
      <c r="E5424">
        <v>0.86484202868751603</v>
      </c>
      <c r="F5424">
        <v>0.73059918104212895</v>
      </c>
      <c r="G5424">
        <v>0.60726686052071099</v>
      </c>
      <c r="H5424">
        <v>0.536803762107392</v>
      </c>
      <c r="I5424">
        <v>0.50854676247084696</v>
      </c>
      <c r="J5424">
        <v>0.34472289829161401</v>
      </c>
      <c r="K5424">
        <v>0.107944106603363</v>
      </c>
      <c r="L5424">
        <v>471.73153219749901</v>
      </c>
      <c r="M5424">
        <v>8.1662272537655998</v>
      </c>
      <c r="N5424">
        <v>57.766150434574897</v>
      </c>
      <c r="O5424">
        <v>54.612117596681799</v>
      </c>
      <c r="P5424">
        <v>-3.7422013886976198E-2</v>
      </c>
      <c r="Q5424">
        <v>0</v>
      </c>
      <c r="R5424">
        <v>0.95204683683282498</v>
      </c>
      <c r="S5424" t="s">
        <v>11007</v>
      </c>
      <c r="T5424" t="s">
        <v>11164</v>
      </c>
      <c r="U5424" t="s">
        <v>11164</v>
      </c>
      <c r="V5424" t="s">
        <v>11164</v>
      </c>
      <c r="W5424" t="s">
        <v>16542</v>
      </c>
      <c r="X5424">
        <v>4</v>
      </c>
      <c r="Y5424" t="s">
        <v>22000</v>
      </c>
      <c r="Z5424" t="s">
        <v>27574</v>
      </c>
      <c r="AA5424">
        <v>0.67494779768488689</v>
      </c>
      <c r="AB5424" t="str">
        <f>HYPERLINK("Melting_Curves/meltCurve_Q9Y2Q0_3_ATP8A1.pdf", "Melting_Curves/meltCurve_Q9Y2Q0_3_ATP8A1.pdf")</f>
        <v>Melting_Curves/meltCurve_Q9Y2Q0_3_ATP8A1.pdf</v>
      </c>
    </row>
    <row r="5425" spans="1:28" x14ac:dyDescent="0.25">
      <c r="A5425" t="s">
        <v>5429</v>
      </c>
      <c r="B5425">
        <v>0.99796759195183404</v>
      </c>
      <c r="C5425">
        <v>1.05681204349927</v>
      </c>
      <c r="D5425">
        <v>1.0848260192088499</v>
      </c>
      <c r="E5425">
        <v>0.98698895002050302</v>
      </c>
      <c r="F5425">
        <v>0.98604385598699895</v>
      </c>
      <c r="G5425">
        <v>0.49670443544677201</v>
      </c>
      <c r="H5425">
        <v>0.58975878292811901</v>
      </c>
      <c r="I5425">
        <v>0.72746773876855397</v>
      </c>
      <c r="J5425">
        <v>0.81157218859437397</v>
      </c>
      <c r="K5425">
        <v>0.96982383461816402</v>
      </c>
      <c r="L5425">
        <v>12698.1384774251</v>
      </c>
      <c r="M5425">
        <v>250</v>
      </c>
      <c r="O5425">
        <v>50.789295013712902</v>
      </c>
      <c r="P5425">
        <v>-0.34571080613653898</v>
      </c>
      <c r="Q5425">
        <v>0.71906542318015099</v>
      </c>
      <c r="R5425">
        <v>0.60582424499469201</v>
      </c>
      <c r="S5425" t="s">
        <v>11008</v>
      </c>
      <c r="T5425" t="s">
        <v>11164</v>
      </c>
      <c r="U5425" t="s">
        <v>11164</v>
      </c>
      <c r="V5425" t="s">
        <v>11164</v>
      </c>
      <c r="W5425" t="s">
        <v>16543</v>
      </c>
      <c r="X5425">
        <v>4</v>
      </c>
      <c r="Y5425" t="s">
        <v>22001</v>
      </c>
      <c r="Z5425" t="s">
        <v>27575</v>
      </c>
      <c r="AA5425">
        <v>0.84825064225766489</v>
      </c>
      <c r="AB5425" t="str">
        <f>HYPERLINK("Melting_Curves/meltCurve_Q9Y2Q5_LAMTOR2.pdf", "Melting_Curves/meltCurve_Q9Y2Q5_LAMTOR2.pdf")</f>
        <v>Melting_Curves/meltCurve_Q9Y2Q5_LAMTOR2.pdf</v>
      </c>
    </row>
    <row r="5426" spans="1:28" x14ac:dyDescent="0.25">
      <c r="A5426" t="s">
        <v>5430</v>
      </c>
      <c r="B5426">
        <v>0.99796759195183404</v>
      </c>
      <c r="C5426">
        <v>0.97969157678678698</v>
      </c>
      <c r="D5426">
        <v>1.0223401271774699</v>
      </c>
      <c r="E5426">
        <v>0.99633467331954995</v>
      </c>
      <c r="F5426">
        <v>0.82428970317498795</v>
      </c>
      <c r="G5426">
        <v>0.59968592502846496</v>
      </c>
      <c r="H5426">
        <v>0.58215369782853099</v>
      </c>
      <c r="I5426">
        <v>0.53115145429249699</v>
      </c>
      <c r="J5426">
        <v>0.58208104807503602</v>
      </c>
      <c r="K5426">
        <v>0.43660336677738298</v>
      </c>
      <c r="L5426">
        <v>1572.8143792636599</v>
      </c>
      <c r="M5426">
        <v>30.765994256356201</v>
      </c>
      <c r="O5426">
        <v>50.907321197400798</v>
      </c>
      <c r="P5426">
        <v>-7.1708088592201499E-2</v>
      </c>
      <c r="Q5426">
        <v>0.52539222611834901</v>
      </c>
      <c r="R5426">
        <v>0.97040295682240896</v>
      </c>
      <c r="S5426" t="s">
        <v>11009</v>
      </c>
      <c r="T5426" t="s">
        <v>11164</v>
      </c>
      <c r="U5426" t="s">
        <v>11164</v>
      </c>
      <c r="V5426" t="s">
        <v>11164</v>
      </c>
      <c r="W5426" t="s">
        <v>16544</v>
      </c>
      <c r="X5426">
        <v>9</v>
      </c>
      <c r="Y5426" t="s">
        <v>22002</v>
      </c>
      <c r="Z5426" t="s">
        <v>27576</v>
      </c>
      <c r="AA5426">
        <v>0.75162322977231288</v>
      </c>
      <c r="AB5426" t="str">
        <f>HYPERLINK("Melting_Curves/meltCurve_Q9Y2R0_COA3.pdf", "Melting_Curves/meltCurve_Q9Y2R0_COA3.pdf")</f>
        <v>Melting_Curves/meltCurve_Q9Y2R0_COA3.pdf</v>
      </c>
    </row>
    <row r="5427" spans="1:28" x14ac:dyDescent="0.25">
      <c r="A5427" t="s">
        <v>5431</v>
      </c>
      <c r="B5427">
        <v>0.99796759195183404</v>
      </c>
      <c r="C5427">
        <v>1.0231904119362001</v>
      </c>
      <c r="D5427">
        <v>0.945936386459025</v>
      </c>
      <c r="E5427">
        <v>0.89706599296506895</v>
      </c>
      <c r="F5427">
        <v>0.65975725976535404</v>
      </c>
      <c r="G5427">
        <v>0.34048147029798198</v>
      </c>
      <c r="H5427">
        <v>0.28701040959638602</v>
      </c>
      <c r="I5427">
        <v>0.21228553242751699</v>
      </c>
      <c r="J5427">
        <v>0.34857232051308601</v>
      </c>
      <c r="K5427">
        <v>0.39019890851962602</v>
      </c>
      <c r="L5427">
        <v>1550.26339133334</v>
      </c>
      <c r="M5427">
        <v>30.993800476114501</v>
      </c>
      <c r="N5427">
        <v>51.553232772640797</v>
      </c>
      <c r="O5427">
        <v>49.811656874492698</v>
      </c>
      <c r="P5427">
        <v>-0.108690555983321</v>
      </c>
      <c r="Q5427">
        <v>0.30127630916908699</v>
      </c>
      <c r="R5427">
        <v>0.97380771722755</v>
      </c>
      <c r="S5427" t="s">
        <v>11010</v>
      </c>
      <c r="T5427" t="s">
        <v>11164</v>
      </c>
      <c r="U5427" t="s">
        <v>11164</v>
      </c>
      <c r="V5427" t="s">
        <v>11164</v>
      </c>
      <c r="W5427" t="s">
        <v>16545</v>
      </c>
      <c r="X5427">
        <v>2</v>
      </c>
      <c r="Y5427" t="s">
        <v>22003</v>
      </c>
      <c r="Z5427" t="s">
        <v>27577</v>
      </c>
      <c r="AA5427">
        <v>0.60850815603733177</v>
      </c>
      <c r="AB5427" t="str">
        <f>HYPERLINK("Melting_Curves/meltCurve_Q9Y2S0_POLR1D.pdf", "Melting_Curves/meltCurve_Q9Y2S0_POLR1D.pdf")</f>
        <v>Melting_Curves/meltCurve_Q9Y2S0_POLR1D.pdf</v>
      </c>
    </row>
    <row r="5428" spans="1:28" x14ac:dyDescent="0.25">
      <c r="A5428" t="s">
        <v>5432</v>
      </c>
      <c r="B5428">
        <v>0.99796759195183404</v>
      </c>
      <c r="C5428">
        <v>1.00400242982763</v>
      </c>
      <c r="D5428">
        <v>1.04770048523116</v>
      </c>
      <c r="E5428">
        <v>1.10134824320633</v>
      </c>
      <c r="F5428">
        <v>0.82221570533084698</v>
      </c>
      <c r="G5428">
        <v>0.53221247984258102</v>
      </c>
      <c r="H5428">
        <v>0.72095688184767803</v>
      </c>
      <c r="I5428">
        <v>0.63659204197459895</v>
      </c>
      <c r="J5428">
        <v>0.78927698568819604</v>
      </c>
      <c r="K5428">
        <v>0.73417646354686195</v>
      </c>
      <c r="L5428">
        <v>12537.8523318676</v>
      </c>
      <c r="M5428">
        <v>250</v>
      </c>
      <c r="O5428">
        <v>50.148198659400101</v>
      </c>
      <c r="P5428">
        <v>-0.39552395287075298</v>
      </c>
      <c r="Q5428">
        <v>0.68264297186525502</v>
      </c>
      <c r="R5428">
        <v>0.83881333116918899</v>
      </c>
      <c r="S5428" t="s">
        <v>11011</v>
      </c>
      <c r="T5428" t="s">
        <v>11164</v>
      </c>
      <c r="U5428" t="s">
        <v>11164</v>
      </c>
      <c r="V5428" t="s">
        <v>11164</v>
      </c>
      <c r="W5428" t="s">
        <v>16546</v>
      </c>
      <c r="X5428">
        <v>6</v>
      </c>
      <c r="Y5428" t="s">
        <v>22004</v>
      </c>
      <c r="Z5428" t="s">
        <v>27578</v>
      </c>
      <c r="AA5428">
        <v>0.82179397669093224</v>
      </c>
      <c r="AB5428" t="str">
        <f>HYPERLINK("Melting_Curves/meltCurve_Q9Y2S6_TMA7.pdf", "Melting_Curves/meltCurve_Q9Y2S6_TMA7.pdf")</f>
        <v>Melting_Curves/meltCurve_Q9Y2S6_TMA7.pdf</v>
      </c>
    </row>
    <row r="5429" spans="1:28" x14ac:dyDescent="0.25">
      <c r="A5429" t="s">
        <v>5433</v>
      </c>
      <c r="B5429">
        <v>0.99796759195183404</v>
      </c>
      <c r="C5429">
        <v>0.95650932347378503</v>
      </c>
      <c r="D5429">
        <v>0.98705815934784802</v>
      </c>
      <c r="E5429">
        <v>0.93089823549158601</v>
      </c>
      <c r="F5429">
        <v>0.76562090904857005</v>
      </c>
      <c r="G5429">
        <v>0.42248371956574199</v>
      </c>
      <c r="H5429">
        <v>0.28862872154296598</v>
      </c>
      <c r="I5429">
        <v>0.152938902601021</v>
      </c>
      <c r="J5429">
        <v>0.12306724382107501</v>
      </c>
      <c r="K5429">
        <v>9.0315845957666605E-2</v>
      </c>
      <c r="L5429">
        <v>986.53142943714795</v>
      </c>
      <c r="M5429">
        <v>18.7050683178953</v>
      </c>
      <c r="N5429">
        <v>53.292860880988897</v>
      </c>
      <c r="O5429">
        <v>52.149673072573002</v>
      </c>
      <c r="P5429">
        <v>-8.1783752153590197E-2</v>
      </c>
      <c r="Q5429">
        <v>8.7987270752592606E-2</v>
      </c>
      <c r="R5429">
        <v>0.99623999289922405</v>
      </c>
      <c r="S5429" t="s">
        <v>11012</v>
      </c>
      <c r="T5429" t="s">
        <v>11164</v>
      </c>
      <c r="U5429" t="s">
        <v>11164</v>
      </c>
      <c r="V5429" t="s">
        <v>11164</v>
      </c>
      <c r="W5429" t="s">
        <v>16547</v>
      </c>
      <c r="X5429">
        <v>13</v>
      </c>
      <c r="Y5429" t="s">
        <v>22005</v>
      </c>
      <c r="Z5429" t="s">
        <v>27579</v>
      </c>
      <c r="AA5429">
        <v>0.57927174886350341</v>
      </c>
      <c r="AB5429" t="str">
        <f>HYPERLINK("Melting_Curves/meltCurve_Q9Y2S7_POLDIP2.pdf", "Melting_Curves/meltCurve_Q9Y2S7_POLDIP2.pdf")</f>
        <v>Melting_Curves/meltCurve_Q9Y2S7_POLDIP2.pdf</v>
      </c>
    </row>
    <row r="5430" spans="1:28" x14ac:dyDescent="0.25">
      <c r="A5430" t="s">
        <v>5434</v>
      </c>
      <c r="B5430">
        <v>0.99796759195183404</v>
      </c>
      <c r="C5430">
        <v>1.00443262476518</v>
      </c>
      <c r="D5430">
        <v>0.72074467470013703</v>
      </c>
      <c r="E5430">
        <v>0.71009734389898405</v>
      </c>
      <c r="F5430">
        <v>0.60780476910359105</v>
      </c>
      <c r="G5430">
        <v>0.80830171634947101</v>
      </c>
      <c r="H5430">
        <v>0.32465161679827098</v>
      </c>
      <c r="I5430">
        <v>0.29298706865211999</v>
      </c>
      <c r="J5430">
        <v>9.3086162004837603E-2</v>
      </c>
      <c r="K5430">
        <v>0.18618323568887099</v>
      </c>
      <c r="L5430">
        <v>416.67694657732699</v>
      </c>
      <c r="M5430">
        <v>7.6976809700585997</v>
      </c>
      <c r="N5430">
        <v>54.130177426827103</v>
      </c>
      <c r="O5430">
        <v>50.840412927808799</v>
      </c>
      <c r="P5430">
        <v>-3.7901610572750002E-2</v>
      </c>
      <c r="Q5430">
        <v>0</v>
      </c>
      <c r="R5430">
        <v>0.84976836849092197</v>
      </c>
      <c r="S5430" t="s">
        <v>11013</v>
      </c>
      <c r="T5430" t="s">
        <v>11164</v>
      </c>
      <c r="U5430" t="s">
        <v>11164</v>
      </c>
      <c r="V5430" t="s">
        <v>11164</v>
      </c>
      <c r="W5430" t="s">
        <v>16548</v>
      </c>
      <c r="X5430">
        <v>3</v>
      </c>
      <c r="Y5430" t="s">
        <v>22006</v>
      </c>
      <c r="Z5430" t="s">
        <v>27580</v>
      </c>
      <c r="AA5430">
        <v>0.58375793316933156</v>
      </c>
      <c r="AB5430" t="str">
        <f>HYPERLINK("Melting_Curves/meltCurve_Q9Y2T2_AP3M1.pdf", "Melting_Curves/meltCurve_Q9Y2T2_AP3M1.pdf")</f>
        <v>Melting_Curves/meltCurve_Q9Y2T2_AP3M1.pdf</v>
      </c>
    </row>
    <row r="5431" spans="1:28" x14ac:dyDescent="0.25">
      <c r="A5431" t="s">
        <v>5435</v>
      </c>
      <c r="B5431">
        <v>0.99796759195183404</v>
      </c>
      <c r="C5431">
        <v>0.93033890670772201</v>
      </c>
      <c r="D5431">
        <v>0.82319093272361099</v>
      </c>
      <c r="E5431">
        <v>0.805291092490381</v>
      </c>
      <c r="F5431">
        <v>0.69758001597695696</v>
      </c>
      <c r="G5431">
        <v>0.61095226489552201</v>
      </c>
      <c r="H5431">
        <v>0.59094564852485898</v>
      </c>
      <c r="I5431">
        <v>0.37493055943301101</v>
      </c>
      <c r="J5431">
        <v>0.26733639216072902</v>
      </c>
      <c r="K5431">
        <v>0.22421320111812301</v>
      </c>
      <c r="L5431">
        <v>380.35325577768901</v>
      </c>
      <c r="M5431">
        <v>6.6965629407523402</v>
      </c>
      <c r="N5431">
        <v>56.798280150486399</v>
      </c>
      <c r="O5431">
        <v>52.376019962013103</v>
      </c>
      <c r="P5431">
        <v>-3.2033553213832701E-2</v>
      </c>
      <c r="Q5431">
        <v>0</v>
      </c>
      <c r="R5431">
        <v>0.96567019674791499</v>
      </c>
      <c r="S5431" t="s">
        <v>11014</v>
      </c>
      <c r="T5431" t="s">
        <v>11164</v>
      </c>
      <c r="U5431" t="s">
        <v>11164</v>
      </c>
      <c r="V5431" t="s">
        <v>11164</v>
      </c>
      <c r="W5431" t="s">
        <v>16549</v>
      </c>
      <c r="X5431">
        <v>7</v>
      </c>
      <c r="Y5431" t="s">
        <v>22007</v>
      </c>
      <c r="Z5431" t="s">
        <v>27581</v>
      </c>
      <c r="AA5431">
        <v>0.64084578342446663</v>
      </c>
      <c r="AB5431" t="str">
        <f>HYPERLINK("Melting_Curves/meltCurve_Q9Y2T4_3_PPP2R2C.pdf", "Melting_Curves/meltCurve_Q9Y2T4_3_PPP2R2C.pdf")</f>
        <v>Melting_Curves/meltCurve_Q9Y2T4_3_PPP2R2C.pdf</v>
      </c>
    </row>
    <row r="5432" spans="1:28" x14ac:dyDescent="0.25">
      <c r="A5432" t="s">
        <v>5436</v>
      </c>
      <c r="B5432">
        <v>0.99796759195183404</v>
      </c>
      <c r="C5432">
        <v>1.0543606832338499</v>
      </c>
      <c r="D5432">
        <v>0.88927822398919099</v>
      </c>
      <c r="E5432">
        <v>0.86307904731258001</v>
      </c>
      <c r="F5432">
        <v>0.791997215638098</v>
      </c>
      <c r="G5432">
        <v>0.63305703597573104</v>
      </c>
      <c r="H5432">
        <v>0.31186986586169602</v>
      </c>
      <c r="I5432">
        <v>0.251285303984148</v>
      </c>
      <c r="J5432">
        <v>0.18747450365047699</v>
      </c>
      <c r="K5432">
        <v>0.17515840350911199</v>
      </c>
      <c r="L5432">
        <v>726.02708521269903</v>
      </c>
      <c r="M5432">
        <v>13.380291907111699</v>
      </c>
      <c r="N5432">
        <v>55.026545452096002</v>
      </c>
      <c r="O5432">
        <v>53.091916111886903</v>
      </c>
      <c r="P5432">
        <v>-5.7663203829241498E-2</v>
      </c>
      <c r="Q5432">
        <v>8.4932961550099703E-2</v>
      </c>
      <c r="R5432">
        <v>0.97910796800824595</v>
      </c>
      <c r="S5432" t="s">
        <v>11015</v>
      </c>
      <c r="T5432" t="s">
        <v>11164</v>
      </c>
      <c r="U5432" t="s">
        <v>11164</v>
      </c>
      <c r="V5432" t="s">
        <v>11164</v>
      </c>
      <c r="W5432" t="s">
        <v>16550</v>
      </c>
      <c r="X5432">
        <v>4</v>
      </c>
      <c r="Y5432" t="s">
        <v>22008</v>
      </c>
      <c r="Z5432" t="s">
        <v>27582</v>
      </c>
      <c r="AA5432">
        <v>0.62664235364440513</v>
      </c>
      <c r="AB5432" t="str">
        <f>HYPERLINK("Melting_Curves/meltCurve_Q9Y2U5_MAP3K2.pdf", "Melting_Curves/meltCurve_Q9Y2U5_MAP3K2.pdf")</f>
        <v>Melting_Curves/meltCurve_Q9Y2U5_MAP3K2.pdf</v>
      </c>
    </row>
    <row r="5433" spans="1:28" x14ac:dyDescent="0.25">
      <c r="A5433" t="s">
        <v>5437</v>
      </c>
      <c r="B5433">
        <v>0.99796759195183404</v>
      </c>
      <c r="C5433">
        <v>1.0285709113009101</v>
      </c>
      <c r="D5433">
        <v>1.0181279324090899</v>
      </c>
      <c r="E5433">
        <v>0.92849479832682802</v>
      </c>
      <c r="F5433">
        <v>0.77178722666553301</v>
      </c>
      <c r="G5433">
        <v>0.358508330827016</v>
      </c>
      <c r="H5433">
        <v>0.28519779359161801</v>
      </c>
      <c r="I5433">
        <v>0.226432498480093</v>
      </c>
      <c r="J5433">
        <v>0.2283012161761</v>
      </c>
      <c r="K5433">
        <v>0.20165552633828801</v>
      </c>
      <c r="L5433">
        <v>1581.2883979421699</v>
      </c>
      <c r="M5433">
        <v>30.736912686506301</v>
      </c>
      <c r="N5433">
        <v>52.444946734382</v>
      </c>
      <c r="O5433">
        <v>51.229617441764802</v>
      </c>
      <c r="P5433">
        <v>-0.116758807017752</v>
      </c>
      <c r="Q5433">
        <v>0.221590843845452</v>
      </c>
      <c r="R5433">
        <v>0.99569558492086097</v>
      </c>
      <c r="S5433" t="s">
        <v>11016</v>
      </c>
      <c r="T5433" t="s">
        <v>11164</v>
      </c>
      <c r="U5433" t="s">
        <v>11164</v>
      </c>
      <c r="V5433" t="s">
        <v>11164</v>
      </c>
      <c r="W5433" t="s">
        <v>16551</v>
      </c>
      <c r="X5433">
        <v>13</v>
      </c>
      <c r="Y5433" t="s">
        <v>22009</v>
      </c>
      <c r="Z5433" t="s">
        <v>27583</v>
      </c>
      <c r="AA5433">
        <v>0.60107288505171064</v>
      </c>
      <c r="AB5433" t="str">
        <f>HYPERLINK("Melting_Curves/meltCurve_Q9Y2U8_LEMD3.pdf", "Melting_Curves/meltCurve_Q9Y2U8_LEMD3.pdf")</f>
        <v>Melting_Curves/meltCurve_Q9Y2U8_LEMD3.pdf</v>
      </c>
    </row>
    <row r="5434" spans="1:28" x14ac:dyDescent="0.25">
      <c r="A5434" t="s">
        <v>5438</v>
      </c>
      <c r="B5434">
        <v>0.99796759195183404</v>
      </c>
      <c r="C5434">
        <v>1.1860380063846201</v>
      </c>
      <c r="D5434">
        <v>1.0905848171903301</v>
      </c>
      <c r="E5434">
        <v>1.0004015634744099</v>
      </c>
      <c r="F5434">
        <v>0.90698328679876705</v>
      </c>
      <c r="G5434">
        <v>0.64190324350766803</v>
      </c>
      <c r="H5434">
        <v>0.59583603500940596</v>
      </c>
      <c r="I5434">
        <v>0.37106832537836898</v>
      </c>
      <c r="J5434">
        <v>0.35477895134374399</v>
      </c>
      <c r="K5434">
        <v>0.56084953749187505</v>
      </c>
      <c r="L5434">
        <v>1390.14878557921</v>
      </c>
      <c r="M5434">
        <v>26.174881865021401</v>
      </c>
      <c r="N5434">
        <v>57.814995820235303</v>
      </c>
      <c r="O5434">
        <v>52.802962455904201</v>
      </c>
      <c r="P5434">
        <v>-6.9327230671901996E-2</v>
      </c>
      <c r="Q5434">
        <v>0.44058726716309199</v>
      </c>
      <c r="R5434">
        <v>0.90044180976405197</v>
      </c>
      <c r="S5434" t="s">
        <v>11017</v>
      </c>
      <c r="T5434" t="s">
        <v>11164</v>
      </c>
      <c r="U5434" t="s">
        <v>11164</v>
      </c>
      <c r="V5434" t="s">
        <v>11164</v>
      </c>
      <c r="W5434" t="s">
        <v>16552</v>
      </c>
      <c r="X5434">
        <v>8</v>
      </c>
      <c r="Y5434" t="s">
        <v>22010</v>
      </c>
      <c r="Z5434" t="s">
        <v>27584</v>
      </c>
      <c r="AA5434">
        <v>0.74555442967540586</v>
      </c>
      <c r="AB5434" t="str">
        <f>HYPERLINK("Melting_Curves/meltCurve_Q9Y2V2_CARHSP1.pdf", "Melting_Curves/meltCurve_Q9Y2V2_CARHSP1.pdf")</f>
        <v>Melting_Curves/meltCurve_Q9Y2V2_CARHSP1.pdf</v>
      </c>
    </row>
    <row r="5435" spans="1:28" x14ac:dyDescent="0.25">
      <c r="A5435" t="s">
        <v>5439</v>
      </c>
      <c r="B5435">
        <v>0.99796759195183404</v>
      </c>
      <c r="C5435">
        <v>1.03766638305041</v>
      </c>
      <c r="D5435">
        <v>0.86774292800904396</v>
      </c>
      <c r="E5435">
        <v>0.79945367156022196</v>
      </c>
      <c r="F5435">
        <v>0.51622535963455995</v>
      </c>
      <c r="G5435">
        <v>0.247972112466467</v>
      </c>
      <c r="H5435">
        <v>0.182743888150458</v>
      </c>
      <c r="I5435">
        <v>0.16504005342984801</v>
      </c>
      <c r="J5435">
        <v>0.15903887269950101</v>
      </c>
      <c r="K5435">
        <v>0.12932310052194301</v>
      </c>
      <c r="L5435">
        <v>909.65886770664304</v>
      </c>
      <c r="M5435">
        <v>18.442358655914202</v>
      </c>
      <c r="N5435">
        <v>50.135478128282799</v>
      </c>
      <c r="O5435">
        <v>48.755469821540999</v>
      </c>
      <c r="P5435">
        <v>-8.23722723795038E-2</v>
      </c>
      <c r="Q5435">
        <v>0.128979354353249</v>
      </c>
      <c r="R5435">
        <v>0.99138408754275498</v>
      </c>
      <c r="S5435" t="s">
        <v>11018</v>
      </c>
      <c r="T5435" t="s">
        <v>11164</v>
      </c>
      <c r="U5435" t="s">
        <v>11164</v>
      </c>
      <c r="V5435" t="s">
        <v>11164</v>
      </c>
      <c r="W5435" t="s">
        <v>16553</v>
      </c>
      <c r="X5435">
        <v>5</v>
      </c>
      <c r="Y5435" t="s">
        <v>22011</v>
      </c>
      <c r="Z5435" t="s">
        <v>27585</v>
      </c>
      <c r="AA5435">
        <v>0.50005599897660358</v>
      </c>
      <c r="AB5435" t="str">
        <f>HYPERLINK("Melting_Curves/meltCurve_Q9Y2V7_2_COG6.pdf", "Melting_Curves/meltCurve_Q9Y2V7_2_COG6.pdf")</f>
        <v>Melting_Curves/meltCurve_Q9Y2V7_2_COG6.pdf</v>
      </c>
    </row>
    <row r="5436" spans="1:28" x14ac:dyDescent="0.25">
      <c r="A5436" t="s">
        <v>5440</v>
      </c>
      <c r="B5436">
        <v>0.99796759195183404</v>
      </c>
      <c r="C5436">
        <v>0.92385514492946896</v>
      </c>
      <c r="D5436">
        <v>0.90074485122937298</v>
      </c>
      <c r="E5436">
        <v>0.88995210044845896</v>
      </c>
      <c r="F5436">
        <v>0.72828990642288705</v>
      </c>
      <c r="G5436">
        <v>0.52490617944821005</v>
      </c>
      <c r="H5436">
        <v>0.318635274918801</v>
      </c>
      <c r="I5436">
        <v>0.22931586166831699</v>
      </c>
      <c r="J5436">
        <v>0.14281761126324199</v>
      </c>
      <c r="K5436">
        <v>0.124990517603705</v>
      </c>
      <c r="L5436">
        <v>622.77990332272498</v>
      </c>
      <c r="M5436">
        <v>11.529993743288101</v>
      </c>
      <c r="N5436">
        <v>54.156625576577497</v>
      </c>
      <c r="O5436">
        <v>52.465742916430003</v>
      </c>
      <c r="P5436">
        <v>-5.4133605023317301E-2</v>
      </c>
      <c r="Q5436">
        <v>1.49649969135793E-2</v>
      </c>
      <c r="R5436">
        <v>0.99253490317159998</v>
      </c>
      <c r="S5436" t="s">
        <v>11019</v>
      </c>
      <c r="T5436" t="s">
        <v>11164</v>
      </c>
      <c r="U5436" t="s">
        <v>11164</v>
      </c>
      <c r="V5436" t="s">
        <v>11164</v>
      </c>
      <c r="W5436" t="s">
        <v>16554</v>
      </c>
      <c r="X5436">
        <v>11</v>
      </c>
      <c r="Y5436" t="s">
        <v>22012</v>
      </c>
      <c r="Z5436" t="s">
        <v>27586</v>
      </c>
      <c r="AA5436">
        <v>0.59128293669155207</v>
      </c>
      <c r="AB5436" t="str">
        <f>HYPERLINK("Melting_Curves/meltCurve_Q9Y2W1_THRAP3.pdf", "Melting_Curves/meltCurve_Q9Y2W1_THRAP3.pdf")</f>
        <v>Melting_Curves/meltCurve_Q9Y2W1_THRAP3.pdf</v>
      </c>
    </row>
    <row r="5437" spans="1:28" x14ac:dyDescent="0.25">
      <c r="A5437" t="s">
        <v>5441</v>
      </c>
      <c r="B5437">
        <v>0.99796759195183404</v>
      </c>
      <c r="C5437">
        <v>1.1024630301720399</v>
      </c>
      <c r="D5437">
        <v>1.04066665500675</v>
      </c>
      <c r="E5437">
        <v>0.93909853289012402</v>
      </c>
      <c r="F5437">
        <v>0.72597289338272297</v>
      </c>
      <c r="G5437">
        <v>0.785108225609084</v>
      </c>
      <c r="H5437">
        <v>0.46629260974374698</v>
      </c>
      <c r="I5437">
        <v>0.228132190664315</v>
      </c>
      <c r="J5437">
        <v>0.178521283533493</v>
      </c>
      <c r="K5437">
        <v>9.3668481431337797E-2</v>
      </c>
      <c r="L5437">
        <v>785.92204434432597</v>
      </c>
      <c r="M5437">
        <v>13.8566446384875</v>
      </c>
      <c r="N5437">
        <v>56.718063359409399</v>
      </c>
      <c r="O5437">
        <v>55.575911903317603</v>
      </c>
      <c r="P5437">
        <v>-6.2340628612154801E-2</v>
      </c>
      <c r="Q5437">
        <v>0</v>
      </c>
      <c r="R5437">
        <v>0.96606692506480496</v>
      </c>
      <c r="S5437" t="s">
        <v>11020</v>
      </c>
      <c r="T5437" t="s">
        <v>11164</v>
      </c>
      <c r="U5437" t="s">
        <v>11164</v>
      </c>
      <c r="V5437" t="s">
        <v>11164</v>
      </c>
      <c r="W5437" t="s">
        <v>16555</v>
      </c>
      <c r="X5437">
        <v>4</v>
      </c>
      <c r="Y5437" t="s">
        <v>22013</v>
      </c>
      <c r="Z5437" t="s">
        <v>27587</v>
      </c>
      <c r="AA5437">
        <v>0.66574263750446516</v>
      </c>
      <c r="AB5437" t="str">
        <f>HYPERLINK("Melting_Curves/meltCurve_Q9Y2X3_NOP58.pdf", "Melting_Curves/meltCurve_Q9Y2X3_NOP58.pdf")</f>
        <v>Melting_Curves/meltCurve_Q9Y2X3_NOP58.pdf</v>
      </c>
    </row>
    <row r="5438" spans="1:28" x14ac:dyDescent="0.25">
      <c r="A5438" t="s">
        <v>5442</v>
      </c>
      <c r="B5438">
        <v>0.99796759195183404</v>
      </c>
      <c r="C5438">
        <v>1.0207688079901001</v>
      </c>
      <c r="D5438">
        <v>0.98692950343864905</v>
      </c>
      <c r="E5438">
        <v>0.83199992126375999</v>
      </c>
      <c r="F5438">
        <v>0.53017594448988603</v>
      </c>
      <c r="G5438">
        <v>0.238574638869368</v>
      </c>
      <c r="H5438">
        <v>0.158124247617799</v>
      </c>
      <c r="I5438">
        <v>0.12035302864448701</v>
      </c>
      <c r="J5438">
        <v>8.4588585227575105E-2</v>
      </c>
      <c r="K5438">
        <v>7.4283125162835903E-2</v>
      </c>
      <c r="L5438">
        <v>1060.9397129097199</v>
      </c>
      <c r="M5438">
        <v>21.213857240988499</v>
      </c>
      <c r="N5438">
        <v>50.452793710609598</v>
      </c>
      <c r="O5438">
        <v>49.5735905821603</v>
      </c>
      <c r="P5438">
        <v>-9.7927567325733697E-2</v>
      </c>
      <c r="Q5438">
        <v>8.4655674966201799E-2</v>
      </c>
      <c r="R5438">
        <v>0.99871407485645802</v>
      </c>
      <c r="S5438" t="s">
        <v>11021</v>
      </c>
      <c r="T5438" t="s">
        <v>11164</v>
      </c>
      <c r="U5438" t="s">
        <v>11164</v>
      </c>
      <c r="V5438" t="s">
        <v>11164</v>
      </c>
      <c r="W5438" t="s">
        <v>16556</v>
      </c>
      <c r="X5438">
        <v>6</v>
      </c>
      <c r="Y5438" t="s">
        <v>22014</v>
      </c>
      <c r="Z5438" t="s">
        <v>27588</v>
      </c>
      <c r="AA5438">
        <v>0.4925173050666139</v>
      </c>
      <c r="AB5438" t="str">
        <f>HYPERLINK("Melting_Curves/meltCurve_Q9Y2X7_GIT1.pdf", "Melting_Curves/meltCurve_Q9Y2X7_GIT1.pdf")</f>
        <v>Melting_Curves/meltCurve_Q9Y2X7_GIT1.pdf</v>
      </c>
    </row>
    <row r="5439" spans="1:28" x14ac:dyDescent="0.25">
      <c r="A5439" t="s">
        <v>5443</v>
      </c>
      <c r="B5439">
        <v>0.99796759195183404</v>
      </c>
      <c r="C5439">
        <v>0.98696704038027505</v>
      </c>
      <c r="D5439">
        <v>0.96283918707344895</v>
      </c>
      <c r="E5439">
        <v>0.98443000212637</v>
      </c>
      <c r="F5439">
        <v>0.98399813970616401</v>
      </c>
      <c r="G5439">
        <v>0.68291745865372899</v>
      </c>
      <c r="H5439">
        <v>0.89463552532270196</v>
      </c>
      <c r="I5439">
        <v>0.82876891823197296</v>
      </c>
      <c r="J5439">
        <v>1.09541251949547</v>
      </c>
      <c r="K5439">
        <v>0.90160180705000204</v>
      </c>
      <c r="L5439">
        <v>12643.632826417101</v>
      </c>
      <c r="M5439">
        <v>250</v>
      </c>
      <c r="O5439">
        <v>50.571295601186399</v>
      </c>
      <c r="P5439">
        <v>-0.147480819951881</v>
      </c>
      <c r="Q5439">
        <v>0.880667263601562</v>
      </c>
      <c r="R5439">
        <v>0.21779112732733599</v>
      </c>
      <c r="S5439" t="s">
        <v>11022</v>
      </c>
      <c r="T5439" t="s">
        <v>11164</v>
      </c>
      <c r="U5439" t="s">
        <v>11164</v>
      </c>
      <c r="V5439" t="s">
        <v>11164</v>
      </c>
      <c r="W5439" t="s">
        <v>16557</v>
      </c>
      <c r="X5439">
        <v>3</v>
      </c>
      <c r="Y5439" t="s">
        <v>22015</v>
      </c>
      <c r="Z5439" t="s">
        <v>27589</v>
      </c>
      <c r="AA5439">
        <v>0.93467405414646165</v>
      </c>
      <c r="AB5439" t="str">
        <f>HYPERLINK("Melting_Curves/meltCurve_Q9Y2Y1_POLR3K.pdf", "Melting_Curves/meltCurve_Q9Y2Y1_POLR3K.pdf")</f>
        <v>Melting_Curves/meltCurve_Q9Y2Y1_POLR3K.pdf</v>
      </c>
    </row>
    <row r="5440" spans="1:28" x14ac:dyDescent="0.25">
      <c r="A5440" t="s">
        <v>5444</v>
      </c>
      <c r="B5440">
        <v>0.99796759195183404</v>
      </c>
      <c r="C5440">
        <v>0.98417970158360302</v>
      </c>
      <c r="D5440">
        <v>0.97632608659548803</v>
      </c>
      <c r="E5440">
        <v>0.94196519799185996</v>
      </c>
      <c r="F5440">
        <v>0.77596233897968203</v>
      </c>
      <c r="G5440">
        <v>0.56120501427685399</v>
      </c>
      <c r="H5440">
        <v>0.46901845756729699</v>
      </c>
      <c r="I5440">
        <v>0.26029555896905299</v>
      </c>
      <c r="J5440">
        <v>0.18531347489387201</v>
      </c>
      <c r="K5440">
        <v>0.14549019292099899</v>
      </c>
      <c r="L5440">
        <v>668.01008837583902</v>
      </c>
      <c r="M5440">
        <v>12.062743350878501</v>
      </c>
      <c r="N5440">
        <v>55.730992869857197</v>
      </c>
      <c r="O5440">
        <v>53.921903028771098</v>
      </c>
      <c r="P5440">
        <v>-5.3882469596575999E-2</v>
      </c>
      <c r="Q5440">
        <v>3.67832664744219E-2</v>
      </c>
      <c r="R5440">
        <v>0.99469315973207495</v>
      </c>
      <c r="S5440" t="s">
        <v>11023</v>
      </c>
      <c r="T5440" t="s">
        <v>11164</v>
      </c>
      <c r="U5440" t="s">
        <v>11164</v>
      </c>
      <c r="V5440" t="s">
        <v>11164</v>
      </c>
      <c r="W5440" t="s">
        <v>16558</v>
      </c>
      <c r="X5440">
        <v>11</v>
      </c>
      <c r="Y5440" t="s">
        <v>22016</v>
      </c>
      <c r="Z5440" t="s">
        <v>27590</v>
      </c>
      <c r="AA5440">
        <v>0.63903454222088341</v>
      </c>
      <c r="AB5440" t="str">
        <f>HYPERLINK("Melting_Curves/meltCurve_Q9Y2Z0_2_SUGT1.pdf", "Melting_Curves/meltCurve_Q9Y2Z0_2_SUGT1.pdf")</f>
        <v>Melting_Curves/meltCurve_Q9Y2Z0_2_SUGT1.pdf</v>
      </c>
    </row>
    <row r="5441" spans="1:28" x14ac:dyDescent="0.25">
      <c r="A5441" t="s">
        <v>5445</v>
      </c>
      <c r="B5441">
        <v>0.99796759195183404</v>
      </c>
      <c r="C5441">
        <v>1.06159619181071</v>
      </c>
      <c r="D5441">
        <v>0.97465904065615405</v>
      </c>
      <c r="E5441">
        <v>0.96177059580396795</v>
      </c>
      <c r="F5441">
        <v>0.75813651437784901</v>
      </c>
      <c r="G5441">
        <v>0.39282214331825999</v>
      </c>
      <c r="H5441">
        <v>0.232367902186981</v>
      </c>
      <c r="I5441">
        <v>0.17321104734078799</v>
      </c>
      <c r="J5441">
        <v>0.128853087149916</v>
      </c>
      <c r="K5441">
        <v>6.98943672431529E-2</v>
      </c>
      <c r="L5441">
        <v>1184.1944955675899</v>
      </c>
      <c r="M5441">
        <v>22.645413599429698</v>
      </c>
      <c r="N5441">
        <v>52.857596728111098</v>
      </c>
      <c r="O5441">
        <v>51.890241769310002</v>
      </c>
      <c r="P5441">
        <v>-9.7382220726210694E-2</v>
      </c>
      <c r="Q5441">
        <v>0.107441980899214</v>
      </c>
      <c r="R5441">
        <v>0.99443880667220896</v>
      </c>
      <c r="S5441" t="s">
        <v>11024</v>
      </c>
      <c r="T5441" t="s">
        <v>11164</v>
      </c>
      <c r="U5441" t="s">
        <v>11164</v>
      </c>
      <c r="V5441" t="s">
        <v>11164</v>
      </c>
      <c r="W5441" t="s">
        <v>16559</v>
      </c>
      <c r="X5441">
        <v>6</v>
      </c>
      <c r="Y5441" t="s">
        <v>22017</v>
      </c>
      <c r="Z5441" t="s">
        <v>27591</v>
      </c>
      <c r="AA5441">
        <v>0.57181889702098521</v>
      </c>
      <c r="AB5441" t="str">
        <f>HYPERLINK("Melting_Curves/meltCurve_Q9Y2Z2_5_MTO1.pdf", "Melting_Curves/meltCurve_Q9Y2Z2_5_MTO1.pdf")</f>
        <v>Melting_Curves/meltCurve_Q9Y2Z2_5_MTO1.pdf</v>
      </c>
    </row>
    <row r="5442" spans="1:28" x14ac:dyDescent="0.25">
      <c r="A5442" t="s">
        <v>5446</v>
      </c>
      <c r="B5442">
        <v>0.99796759195183404</v>
      </c>
      <c r="C5442">
        <v>1.16471440134128</v>
      </c>
      <c r="D5442">
        <v>1.0344240757490999</v>
      </c>
      <c r="E5442">
        <v>0.88588370296383301</v>
      </c>
      <c r="F5442">
        <v>0.53644853009718896</v>
      </c>
      <c r="G5442">
        <v>0.295062112692492</v>
      </c>
      <c r="H5442">
        <v>0.21361555568335699</v>
      </c>
      <c r="I5442">
        <v>0.22075051557672801</v>
      </c>
      <c r="J5442">
        <v>0.229087250359405</v>
      </c>
      <c r="K5442">
        <v>0.58393325762381898</v>
      </c>
      <c r="L5442">
        <v>1781.75572660279</v>
      </c>
      <c r="M5442">
        <v>36.325696281483602</v>
      </c>
      <c r="N5442">
        <v>50.3544027766197</v>
      </c>
      <c r="O5442">
        <v>48.901507488138499</v>
      </c>
      <c r="P5442">
        <v>-0.12907567329206401</v>
      </c>
      <c r="Q5442">
        <v>0.30495730209484501</v>
      </c>
      <c r="R5442">
        <v>0.89722994812165202</v>
      </c>
      <c r="S5442" t="s">
        <v>11025</v>
      </c>
      <c r="T5442" t="s">
        <v>11164</v>
      </c>
      <c r="U5442" t="s">
        <v>11164</v>
      </c>
      <c r="V5442" t="s">
        <v>11164</v>
      </c>
      <c r="W5442" t="s">
        <v>16560</v>
      </c>
      <c r="X5442">
        <v>15</v>
      </c>
      <c r="Y5442" t="s">
        <v>22018</v>
      </c>
      <c r="Z5442" t="s">
        <v>27592</v>
      </c>
      <c r="AA5442">
        <v>0.58698018973751642</v>
      </c>
      <c r="AB5442" t="str">
        <f>HYPERLINK("Melting_Curves/meltCurve_Q9Y2Z4_YARS2.pdf", "Melting_Curves/meltCurve_Q9Y2Z4_YARS2.pdf")</f>
        <v>Melting_Curves/meltCurve_Q9Y2Z4_YARS2.pdf</v>
      </c>
    </row>
    <row r="5443" spans="1:28" x14ac:dyDescent="0.25">
      <c r="A5443" t="s">
        <v>5447</v>
      </c>
      <c r="B5443">
        <v>0.99796759195183404</v>
      </c>
      <c r="C5443">
        <v>0.988600974067531</v>
      </c>
      <c r="D5443">
        <v>0.86097236519772102</v>
      </c>
      <c r="E5443">
        <v>0.89958068756212395</v>
      </c>
      <c r="F5443">
        <v>0.78459222109863802</v>
      </c>
      <c r="G5443">
        <v>0.65540040264697796</v>
      </c>
      <c r="H5443">
        <v>0.58347947502587305</v>
      </c>
      <c r="I5443">
        <v>0.38607604381927202</v>
      </c>
      <c r="J5443">
        <v>0.30479228528597302</v>
      </c>
      <c r="K5443">
        <v>0.243414978321329</v>
      </c>
      <c r="L5443">
        <v>473.583815335537</v>
      </c>
      <c r="M5443">
        <v>8.1402922256055508</v>
      </c>
      <c r="N5443">
        <v>58.177738066421099</v>
      </c>
      <c r="O5443">
        <v>54.982748931196802</v>
      </c>
      <c r="P5443">
        <v>-3.7052163705873303E-2</v>
      </c>
      <c r="Q5443">
        <v>0</v>
      </c>
      <c r="R5443">
        <v>0.98357068487798904</v>
      </c>
      <c r="S5443" t="s">
        <v>11026</v>
      </c>
      <c r="T5443" t="s">
        <v>11164</v>
      </c>
      <c r="U5443" t="s">
        <v>11164</v>
      </c>
      <c r="V5443" t="s">
        <v>11164</v>
      </c>
      <c r="W5443" t="s">
        <v>16561</v>
      </c>
      <c r="X5443">
        <v>5</v>
      </c>
      <c r="Y5443" t="s">
        <v>22019</v>
      </c>
      <c r="Z5443" t="s">
        <v>27593</v>
      </c>
      <c r="AA5443">
        <v>0.68428333739354308</v>
      </c>
      <c r="AB5443" t="str">
        <f>HYPERLINK("Melting_Curves/meltCurve_Q9Y2Z9_3_COQ6.pdf", "Melting_Curves/meltCurve_Q9Y2Z9_3_COQ6.pdf")</f>
        <v>Melting_Curves/meltCurve_Q9Y2Z9_3_COQ6.pdf</v>
      </c>
    </row>
    <row r="5444" spans="1:28" x14ac:dyDescent="0.25">
      <c r="A5444" t="s">
        <v>5448</v>
      </c>
      <c r="B5444">
        <v>0.99796759195183404</v>
      </c>
      <c r="C5444">
        <v>0.93660151552562998</v>
      </c>
      <c r="D5444">
        <v>0.95893955772276296</v>
      </c>
      <c r="E5444">
        <v>0.91742723221834499</v>
      </c>
      <c r="F5444">
        <v>0.75251707212528895</v>
      </c>
      <c r="G5444">
        <v>1.1533434293575899</v>
      </c>
      <c r="H5444">
        <v>0.84928570737146103</v>
      </c>
      <c r="I5444">
        <v>0.51630704167077801</v>
      </c>
      <c r="J5444">
        <v>0.14712565564548899</v>
      </c>
      <c r="K5444">
        <v>9.8229540590458894E-2</v>
      </c>
      <c r="L5444">
        <v>2184.2885612692398</v>
      </c>
      <c r="M5444">
        <v>35.945523587552998</v>
      </c>
      <c r="N5444">
        <v>60.942359251121999</v>
      </c>
      <c r="O5444">
        <v>60.5794811238598</v>
      </c>
      <c r="P5444">
        <v>-0.14103823067434701</v>
      </c>
      <c r="Q5444">
        <v>4.9228402063446898E-2</v>
      </c>
      <c r="R5444">
        <v>0.91200820261381799</v>
      </c>
      <c r="S5444" t="s">
        <v>11027</v>
      </c>
      <c r="T5444" t="s">
        <v>11164</v>
      </c>
      <c r="U5444" t="s">
        <v>11164</v>
      </c>
      <c r="V5444" t="s">
        <v>11164</v>
      </c>
      <c r="W5444" t="s">
        <v>16562</v>
      </c>
      <c r="X5444">
        <v>6</v>
      </c>
      <c r="Y5444" t="s">
        <v>22020</v>
      </c>
      <c r="Z5444" t="s">
        <v>27594</v>
      </c>
      <c r="AA5444">
        <v>0.80499376389010058</v>
      </c>
      <c r="AB5444" t="str">
        <f>HYPERLINK("Melting_Curves/meltCurve_Q9Y303_2_AMDHD2.pdf", "Melting_Curves/meltCurve_Q9Y303_2_AMDHD2.pdf")</f>
        <v>Melting_Curves/meltCurve_Q9Y303_2_AMDHD2.pdf</v>
      </c>
    </row>
    <row r="5445" spans="1:28" x14ac:dyDescent="0.25">
      <c r="A5445" t="s">
        <v>5449</v>
      </c>
      <c r="B5445">
        <v>0.99796759195183404</v>
      </c>
      <c r="C5445">
        <v>1.0410239747805901</v>
      </c>
      <c r="D5445">
        <v>0.99781382736538404</v>
      </c>
      <c r="E5445">
        <v>0.90959376199501896</v>
      </c>
      <c r="F5445">
        <v>0.93756426328568498</v>
      </c>
      <c r="G5445">
        <v>0.95322469273306898</v>
      </c>
      <c r="H5445">
        <v>0.53477823678744596</v>
      </c>
      <c r="I5445">
        <v>0.226803514565071</v>
      </c>
      <c r="J5445">
        <v>0.18517487081877901</v>
      </c>
      <c r="K5445">
        <v>0.155045147080587</v>
      </c>
      <c r="L5445">
        <v>2383.7288309915798</v>
      </c>
      <c r="M5445">
        <v>41.741620623601001</v>
      </c>
      <c r="N5445">
        <v>57.667184331249899</v>
      </c>
      <c r="O5445">
        <v>56.976161188521601</v>
      </c>
      <c r="P5445">
        <v>-0.152616997949269</v>
      </c>
      <c r="Q5445">
        <v>0.16672949105077201</v>
      </c>
      <c r="R5445">
        <v>0.98905257297887905</v>
      </c>
      <c r="S5445" t="s">
        <v>11028</v>
      </c>
      <c r="T5445" t="s">
        <v>11164</v>
      </c>
      <c r="U5445" t="s">
        <v>11164</v>
      </c>
      <c r="V5445" t="s">
        <v>11164</v>
      </c>
      <c r="W5445" t="s">
        <v>16563</v>
      </c>
      <c r="X5445">
        <v>6</v>
      </c>
      <c r="Y5445" t="s">
        <v>22021</v>
      </c>
      <c r="Z5445" t="s">
        <v>27595</v>
      </c>
      <c r="AA5445">
        <v>0.72811098414526965</v>
      </c>
      <c r="AB5445" t="str">
        <f>HYPERLINK("Melting_Curves/meltCurve_Q9Y305_ACOT9.pdf", "Melting_Curves/meltCurve_Q9Y305_ACOT9.pdf")</f>
        <v>Melting_Curves/meltCurve_Q9Y305_ACOT9.pdf</v>
      </c>
    </row>
    <row r="5446" spans="1:28" x14ac:dyDescent="0.25">
      <c r="A5446" t="s">
        <v>5450</v>
      </c>
      <c r="B5446">
        <v>0.99796759195183404</v>
      </c>
      <c r="C5446">
        <v>1.01432809202748</v>
      </c>
      <c r="D5446">
        <v>1.0045520738206699</v>
      </c>
      <c r="E5446">
        <v>0.93659216821038505</v>
      </c>
      <c r="F5446">
        <v>0.47426251135784497</v>
      </c>
      <c r="G5446">
        <v>0.22865957553197599</v>
      </c>
      <c r="H5446">
        <v>0.20638689262707799</v>
      </c>
      <c r="I5446">
        <v>0.181194664935623</v>
      </c>
      <c r="J5446">
        <v>0.16801874883422599</v>
      </c>
      <c r="K5446">
        <v>0.108284241370672</v>
      </c>
      <c r="L5446">
        <v>1809.2271570790699</v>
      </c>
      <c r="M5446">
        <v>36.530325175612496</v>
      </c>
      <c r="N5446">
        <v>50.085447726977499</v>
      </c>
      <c r="O5446">
        <v>49.379003053873603</v>
      </c>
      <c r="P5446">
        <v>-0.15399816519495299</v>
      </c>
      <c r="Q5446">
        <v>0.167348976966119</v>
      </c>
      <c r="R5446">
        <v>0.99617275511782299</v>
      </c>
      <c r="S5446" t="s">
        <v>11029</v>
      </c>
      <c r="T5446" t="s">
        <v>11164</v>
      </c>
      <c r="U5446" t="s">
        <v>11164</v>
      </c>
      <c r="V5446" t="s">
        <v>11164</v>
      </c>
      <c r="W5446" t="s">
        <v>16564</v>
      </c>
      <c r="X5446">
        <v>14</v>
      </c>
      <c r="Y5446" t="s">
        <v>22022</v>
      </c>
      <c r="Z5446" t="s">
        <v>27596</v>
      </c>
      <c r="AA5446">
        <v>0.51844794392441573</v>
      </c>
      <c r="AB5446" t="str">
        <f>HYPERLINK("Melting_Curves/meltCurve_Q9Y314_NOSIP.pdf", "Melting_Curves/meltCurve_Q9Y314_NOSIP.pdf")</f>
        <v>Melting_Curves/meltCurve_Q9Y314_NOSIP.pdf</v>
      </c>
    </row>
    <row r="5447" spans="1:28" x14ac:dyDescent="0.25">
      <c r="A5447" t="s">
        <v>5451</v>
      </c>
      <c r="B5447">
        <v>0.99796759195183404</v>
      </c>
      <c r="C5447">
        <v>1.0555978225362399</v>
      </c>
      <c r="D5447">
        <v>0.89826616507397805</v>
      </c>
      <c r="E5447">
        <v>0.91891571620839296</v>
      </c>
      <c r="F5447">
        <v>0.66397417367228295</v>
      </c>
      <c r="G5447">
        <v>0.42624933311174601</v>
      </c>
      <c r="H5447">
        <v>0.28792895587680201</v>
      </c>
      <c r="I5447">
        <v>0.182450386892404</v>
      </c>
      <c r="J5447">
        <v>0.129882139811209</v>
      </c>
      <c r="K5447">
        <v>9.9066862294862404E-2</v>
      </c>
      <c r="L5447">
        <v>787.79323449864796</v>
      </c>
      <c r="M5447">
        <v>15.069158891171201</v>
      </c>
      <c r="N5447">
        <v>52.873274126831603</v>
      </c>
      <c r="O5447">
        <v>51.383790783626999</v>
      </c>
      <c r="P5447">
        <v>-6.7607593040860697E-2</v>
      </c>
      <c r="Q5447">
        <v>7.7960695657467993E-2</v>
      </c>
      <c r="R5447">
        <v>0.99109717202076597</v>
      </c>
      <c r="S5447" t="s">
        <v>11030</v>
      </c>
      <c r="T5447" t="s">
        <v>11164</v>
      </c>
      <c r="U5447" t="s">
        <v>11164</v>
      </c>
      <c r="V5447" t="s">
        <v>11164</v>
      </c>
      <c r="W5447" t="s">
        <v>16565</v>
      </c>
      <c r="X5447">
        <v>13</v>
      </c>
      <c r="Y5447" t="s">
        <v>22023</v>
      </c>
      <c r="Z5447" t="s">
        <v>27597</v>
      </c>
      <c r="AA5447">
        <v>0.56479513813401294</v>
      </c>
      <c r="AB5447" t="str">
        <f>HYPERLINK("Melting_Curves/meltCurve_Q9Y316_MEMO1.pdf", "Melting_Curves/meltCurve_Q9Y316_MEMO1.pdf")</f>
        <v>Melting_Curves/meltCurve_Q9Y316_MEMO1.pdf</v>
      </c>
    </row>
    <row r="5448" spans="1:28" x14ac:dyDescent="0.25">
      <c r="A5448" t="s">
        <v>5452</v>
      </c>
      <c r="B5448">
        <v>0.99796759195183404</v>
      </c>
      <c r="C5448">
        <v>0.93747063736278702</v>
      </c>
      <c r="D5448">
        <v>0.96783916233301204</v>
      </c>
      <c r="E5448">
        <v>0.91800643540476001</v>
      </c>
      <c r="F5448">
        <v>0.851171215630385</v>
      </c>
      <c r="G5448">
        <v>0.64812221756872102</v>
      </c>
      <c r="H5448">
        <v>0.42198960833752602</v>
      </c>
      <c r="I5448">
        <v>0.25151700099734497</v>
      </c>
      <c r="J5448">
        <v>0.14297715587958901</v>
      </c>
      <c r="K5448">
        <v>9.8514607904029702E-2</v>
      </c>
      <c r="L5448">
        <v>770.772105314942</v>
      </c>
      <c r="M5448">
        <v>13.734278427051899</v>
      </c>
      <c r="N5448">
        <v>56.1203206823401</v>
      </c>
      <c r="O5448">
        <v>54.970673586084303</v>
      </c>
      <c r="P5448">
        <v>-6.2470743902150697E-2</v>
      </c>
      <c r="Q5448">
        <v>0</v>
      </c>
      <c r="R5448">
        <v>0.99595693118846595</v>
      </c>
      <c r="S5448" t="s">
        <v>11031</v>
      </c>
      <c r="T5448" t="s">
        <v>11164</v>
      </c>
      <c r="U5448" t="s">
        <v>11164</v>
      </c>
      <c r="V5448" t="s">
        <v>11164</v>
      </c>
      <c r="W5448" t="s">
        <v>16566</v>
      </c>
      <c r="X5448">
        <v>5</v>
      </c>
      <c r="Y5448" t="s">
        <v>22024</v>
      </c>
      <c r="Z5448" t="s">
        <v>27598</v>
      </c>
      <c r="AA5448">
        <v>0.64805135770061417</v>
      </c>
      <c r="AB5448" t="str">
        <f>HYPERLINK("Melting_Curves/meltCurve_Q9Y320_2_TMX2.pdf", "Melting_Curves/meltCurve_Q9Y320_2_TMX2.pdf")</f>
        <v>Melting_Curves/meltCurve_Q9Y320_2_TMX2.pdf</v>
      </c>
    </row>
    <row r="5449" spans="1:28" x14ac:dyDescent="0.25">
      <c r="A5449" t="s">
        <v>5453</v>
      </c>
      <c r="B5449">
        <v>0.99796759195183404</v>
      </c>
      <c r="C5449">
        <v>0.97762131092807703</v>
      </c>
      <c r="D5449">
        <v>0.98990046571636203</v>
      </c>
      <c r="E5449">
        <v>0.92502362525331305</v>
      </c>
      <c r="F5449">
        <v>0.84407252039431302</v>
      </c>
      <c r="G5449">
        <v>0.78558613710826697</v>
      </c>
      <c r="H5449">
        <v>0.88048588123788296</v>
      </c>
      <c r="I5449">
        <v>0.89986949666732596</v>
      </c>
      <c r="J5449">
        <v>1.1984647447388299</v>
      </c>
      <c r="K5449">
        <v>1.1381348898892401</v>
      </c>
      <c r="L5449">
        <v>15000</v>
      </c>
      <c r="M5449">
        <v>239.359917092106</v>
      </c>
      <c r="O5449">
        <v>62.662767402057298</v>
      </c>
      <c r="P5449">
        <v>0.160960259470706</v>
      </c>
      <c r="Q5449">
        <v>1.16855309959188</v>
      </c>
      <c r="R5449">
        <v>0.29689938904139301</v>
      </c>
      <c r="S5449" t="s">
        <v>11032</v>
      </c>
      <c r="T5449" t="s">
        <v>11164</v>
      </c>
      <c r="U5449" t="s">
        <v>11164</v>
      </c>
      <c r="V5449" t="s">
        <v>11164</v>
      </c>
      <c r="W5449" t="s">
        <v>16567</v>
      </c>
      <c r="X5449">
        <v>7</v>
      </c>
      <c r="Y5449" t="s">
        <v>22025</v>
      </c>
      <c r="Z5449" t="s">
        <v>27599</v>
      </c>
      <c r="AA5449">
        <v>1.0243237108947141</v>
      </c>
      <c r="AB5449" t="str">
        <f>HYPERLINK("Melting_Curves/meltCurve_Q9Y333_LSM2.pdf", "Melting_Curves/meltCurve_Q9Y333_LSM2.pdf")</f>
        <v>Melting_Curves/meltCurve_Q9Y333_LSM2.pdf</v>
      </c>
    </row>
    <row r="5450" spans="1:28" x14ac:dyDescent="0.25">
      <c r="A5450" t="s">
        <v>5454</v>
      </c>
      <c r="B5450">
        <v>0.99796759195183404</v>
      </c>
      <c r="C5450">
        <v>1.0000398629756699</v>
      </c>
      <c r="D5450">
        <v>0.99258072490140103</v>
      </c>
      <c r="E5450">
        <v>0.88691430524375903</v>
      </c>
      <c r="F5450">
        <v>0.495390243009179</v>
      </c>
      <c r="G5450">
        <v>0.19352178768275499</v>
      </c>
      <c r="H5450">
        <v>0.11760999105080901</v>
      </c>
      <c r="I5450">
        <v>7.5909204870355698E-2</v>
      </c>
      <c r="J5450">
        <v>5.6027835080920498E-2</v>
      </c>
      <c r="K5450">
        <v>3.8206952637950903E-2</v>
      </c>
      <c r="L5450">
        <v>1284.8816263012</v>
      </c>
      <c r="M5450">
        <v>25.697173136014602</v>
      </c>
      <c r="N5450">
        <v>50.248864906743002</v>
      </c>
      <c r="O5450">
        <v>49.701039011999796</v>
      </c>
      <c r="P5450">
        <v>-0.121562795048577</v>
      </c>
      <c r="Q5450">
        <v>5.9550348851230998E-2</v>
      </c>
      <c r="R5450">
        <v>0.99909906538450299</v>
      </c>
      <c r="S5450" t="s">
        <v>11033</v>
      </c>
      <c r="T5450" t="s">
        <v>11164</v>
      </c>
      <c r="U5450" t="s">
        <v>11164</v>
      </c>
      <c r="V5450" t="s">
        <v>11164</v>
      </c>
      <c r="W5450" t="s">
        <v>16568</v>
      </c>
      <c r="X5450">
        <v>18</v>
      </c>
      <c r="Y5450" t="s">
        <v>22026</v>
      </c>
      <c r="Z5450" t="s">
        <v>27600</v>
      </c>
      <c r="AA5450">
        <v>0.47490979122978239</v>
      </c>
      <c r="AB5450" t="str">
        <f>HYPERLINK("Melting_Curves/meltCurve_Q9Y371_SH3GLB1.pdf", "Melting_Curves/meltCurve_Q9Y371_SH3GLB1.pdf")</f>
        <v>Melting_Curves/meltCurve_Q9Y371_SH3GLB1.pdf</v>
      </c>
    </row>
    <row r="5451" spans="1:28" x14ac:dyDescent="0.25">
      <c r="A5451" t="s">
        <v>5455</v>
      </c>
      <c r="B5451">
        <v>0.99796759195183404</v>
      </c>
      <c r="C5451">
        <v>1.18474536315884</v>
      </c>
      <c r="D5451">
        <v>0.93591181248704403</v>
      </c>
      <c r="E5451">
        <v>0.98898362425522102</v>
      </c>
      <c r="F5451">
        <v>0.85082713188696302</v>
      </c>
      <c r="G5451">
        <v>1.1201726244239301</v>
      </c>
      <c r="H5451">
        <v>1.08186817636585</v>
      </c>
      <c r="I5451">
        <v>0.95975479461770996</v>
      </c>
      <c r="J5451">
        <v>0.42396106502872499</v>
      </c>
      <c r="K5451">
        <v>0.18313745835755199</v>
      </c>
      <c r="L5451">
        <v>4836.6600084479996</v>
      </c>
      <c r="M5451">
        <v>76.272869361442702</v>
      </c>
      <c r="N5451">
        <v>63.7585879114609</v>
      </c>
      <c r="O5451">
        <v>63.369017354765603</v>
      </c>
      <c r="P5451">
        <v>-0.24991265542247501</v>
      </c>
      <c r="Q5451">
        <v>0.16947025329479401</v>
      </c>
      <c r="R5451">
        <v>0.91112545378295495</v>
      </c>
      <c r="S5451" t="s">
        <v>11034</v>
      </c>
      <c r="T5451" t="s">
        <v>11164</v>
      </c>
      <c r="U5451" t="s">
        <v>11164</v>
      </c>
      <c r="V5451" t="s">
        <v>11164</v>
      </c>
      <c r="W5451" t="s">
        <v>16569</v>
      </c>
      <c r="X5451">
        <v>2</v>
      </c>
      <c r="Y5451" t="s">
        <v>22027</v>
      </c>
      <c r="Z5451" t="s">
        <v>27601</v>
      </c>
      <c r="AA5451">
        <v>0.90123845601054309</v>
      </c>
      <c r="AB5451" t="str">
        <f>HYPERLINK("Melting_Curves/meltCurve_Q9Y375_NDUFAF1.pdf", "Melting_Curves/meltCurve_Q9Y375_NDUFAF1.pdf")</f>
        <v>Melting_Curves/meltCurve_Q9Y375_NDUFAF1.pdf</v>
      </c>
    </row>
    <row r="5452" spans="1:28" x14ac:dyDescent="0.25">
      <c r="A5452" t="s">
        <v>5456</v>
      </c>
      <c r="B5452">
        <v>0.99796759195183404</v>
      </c>
      <c r="C5452">
        <v>1.07245797751112</v>
      </c>
      <c r="D5452">
        <v>1.0266441301460201</v>
      </c>
      <c r="E5452">
        <v>0.97593151650556198</v>
      </c>
      <c r="F5452">
        <v>0.936788396173724</v>
      </c>
      <c r="G5452">
        <v>0.66267033825657595</v>
      </c>
      <c r="H5452">
        <v>0.60954405855495497</v>
      </c>
      <c r="I5452">
        <v>0.49300294552732599</v>
      </c>
      <c r="J5452">
        <v>0.24952195021569401</v>
      </c>
      <c r="K5452">
        <v>0.13243246110485701</v>
      </c>
      <c r="L5452">
        <v>727.08263818107196</v>
      </c>
      <c r="M5452">
        <v>12.3169599394583</v>
      </c>
      <c r="N5452">
        <v>59.031014340339503</v>
      </c>
      <c r="O5452">
        <v>57.539679498161497</v>
      </c>
      <c r="P5452">
        <v>-5.35267274230855E-2</v>
      </c>
      <c r="Q5452">
        <v>0</v>
      </c>
      <c r="R5452">
        <v>0.968978816031416</v>
      </c>
      <c r="S5452" t="s">
        <v>11035</v>
      </c>
      <c r="T5452" t="s">
        <v>11164</v>
      </c>
      <c r="U5452" t="s">
        <v>11164</v>
      </c>
      <c r="V5452" t="s">
        <v>11164</v>
      </c>
      <c r="W5452" t="s">
        <v>16570</v>
      </c>
      <c r="X5452">
        <v>10</v>
      </c>
      <c r="Y5452" t="s">
        <v>22028</v>
      </c>
      <c r="Z5452" t="s">
        <v>27602</v>
      </c>
      <c r="AA5452">
        <v>0.72692482118076862</v>
      </c>
      <c r="AB5452" t="str">
        <f>HYPERLINK("Melting_Curves/meltCurve_Q9Y376_CAB39.pdf", "Melting_Curves/meltCurve_Q9Y376_CAB39.pdf")</f>
        <v>Melting_Curves/meltCurve_Q9Y376_CAB39.pdf</v>
      </c>
    </row>
    <row r="5453" spans="1:28" x14ac:dyDescent="0.25">
      <c r="A5453" t="s">
        <v>5457</v>
      </c>
      <c r="B5453">
        <v>0.99796759195183404</v>
      </c>
      <c r="C5453">
        <v>1.0962994776433801</v>
      </c>
      <c r="D5453">
        <v>1.00346462655916</v>
      </c>
      <c r="E5453">
        <v>0.86302796189696995</v>
      </c>
      <c r="F5453">
        <v>0.73548813624142895</v>
      </c>
      <c r="G5453">
        <v>0.31754327673106902</v>
      </c>
      <c r="H5453">
        <v>0.196618460250292</v>
      </c>
      <c r="I5453">
        <v>0.15060741406213499</v>
      </c>
      <c r="J5453">
        <v>0.13738711587407801</v>
      </c>
      <c r="K5453">
        <v>0.10895119579438001</v>
      </c>
      <c r="L5453">
        <v>1218.3467442619601</v>
      </c>
      <c r="M5453">
        <v>23.664362192675299</v>
      </c>
      <c r="N5453">
        <v>52.080179230938697</v>
      </c>
      <c r="O5453">
        <v>51.121018633472801</v>
      </c>
      <c r="P5453">
        <v>-0.102006761040506</v>
      </c>
      <c r="Q5453">
        <v>0.118572787555929</v>
      </c>
      <c r="R5453">
        <v>0.98818388040282601</v>
      </c>
      <c r="S5453" t="s">
        <v>11036</v>
      </c>
      <c r="T5453" t="s">
        <v>11164</v>
      </c>
      <c r="U5453" t="s">
        <v>11164</v>
      </c>
      <c r="V5453" t="s">
        <v>11164</v>
      </c>
      <c r="W5453" t="s">
        <v>16571</v>
      </c>
      <c r="X5453">
        <v>32</v>
      </c>
      <c r="Y5453" t="s">
        <v>22029</v>
      </c>
      <c r="Z5453" t="s">
        <v>27603</v>
      </c>
      <c r="AA5453">
        <v>0.5527508717661308</v>
      </c>
      <c r="AB5453" t="str">
        <f>HYPERLINK("Melting_Curves/meltCurve_Q9Y383_LUC7L2.pdf", "Melting_Curves/meltCurve_Q9Y383_LUC7L2.pdf")</f>
        <v>Melting_Curves/meltCurve_Q9Y383_LUC7L2.pdf</v>
      </c>
    </row>
    <row r="5454" spans="1:28" x14ac:dyDescent="0.25">
      <c r="A5454" t="s">
        <v>5458</v>
      </c>
      <c r="B5454">
        <v>0.99796759195183404</v>
      </c>
      <c r="C5454">
        <v>0.993813595920505</v>
      </c>
      <c r="D5454">
        <v>0.99342460078365602</v>
      </c>
      <c r="E5454">
        <v>0.94039285943953999</v>
      </c>
      <c r="F5454">
        <v>0.86496192950892403</v>
      </c>
      <c r="G5454">
        <v>0.69957460134087801</v>
      </c>
      <c r="H5454">
        <v>0.63267954172193497</v>
      </c>
      <c r="I5454">
        <v>0.50509466226061095</v>
      </c>
      <c r="J5454">
        <v>0.34747980792543798</v>
      </c>
      <c r="K5454">
        <v>0.159738540710467</v>
      </c>
      <c r="L5454">
        <v>617.32876753247001</v>
      </c>
      <c r="M5454">
        <v>10.3467461467513</v>
      </c>
      <c r="N5454">
        <v>59.664048866558304</v>
      </c>
      <c r="O5454">
        <v>57.564338892156698</v>
      </c>
      <c r="P5454">
        <v>-4.4954754426638099E-2</v>
      </c>
      <c r="Q5454">
        <v>0</v>
      </c>
      <c r="R5454">
        <v>0.98053721460444099</v>
      </c>
      <c r="S5454" t="s">
        <v>11037</v>
      </c>
      <c r="T5454" t="s">
        <v>11164</v>
      </c>
      <c r="U5454" t="s">
        <v>11164</v>
      </c>
      <c r="V5454" t="s">
        <v>11164</v>
      </c>
      <c r="W5454" t="s">
        <v>16572</v>
      </c>
      <c r="X5454">
        <v>11</v>
      </c>
      <c r="Y5454" t="s">
        <v>22030</v>
      </c>
      <c r="Z5454" t="s">
        <v>27604</v>
      </c>
      <c r="AA5454">
        <v>0.73401115321205324</v>
      </c>
      <c r="AB5454" t="str">
        <f>HYPERLINK("Melting_Curves/meltCurve_Q9Y394_2_DHRS7.pdf", "Melting_Curves/meltCurve_Q9Y394_2_DHRS7.pdf")</f>
        <v>Melting_Curves/meltCurve_Q9Y394_2_DHRS7.pdf</v>
      </c>
    </row>
    <row r="5455" spans="1:28" x14ac:dyDescent="0.25">
      <c r="A5455" t="s">
        <v>5459</v>
      </c>
      <c r="B5455">
        <v>0.99796759195183404</v>
      </c>
      <c r="C5455">
        <v>0.96113592313456797</v>
      </c>
      <c r="D5455">
        <v>0.94875817277658103</v>
      </c>
      <c r="E5455">
        <v>0.94001391603471296</v>
      </c>
      <c r="F5455">
        <v>0.80466177482762602</v>
      </c>
      <c r="G5455">
        <v>0.95187255575464802</v>
      </c>
      <c r="H5455">
        <v>0.77725191096882795</v>
      </c>
      <c r="I5455">
        <v>0.37646978919707003</v>
      </c>
      <c r="J5455">
        <v>0.302746670143962</v>
      </c>
      <c r="K5455">
        <v>0.197851472565231</v>
      </c>
      <c r="L5455">
        <v>1707.089683034</v>
      </c>
      <c r="M5455">
        <v>28.942548353741198</v>
      </c>
      <c r="N5455">
        <v>59.972239203354</v>
      </c>
      <c r="O5455">
        <v>58.702584662250501</v>
      </c>
      <c r="P5455">
        <v>-9.9846950882051394E-2</v>
      </c>
      <c r="Q5455">
        <v>0.18994970500140701</v>
      </c>
      <c r="R5455">
        <v>0.94445967940100395</v>
      </c>
      <c r="S5455" t="s">
        <v>11038</v>
      </c>
      <c r="T5455" t="s">
        <v>11164</v>
      </c>
      <c r="U5455" t="s">
        <v>11164</v>
      </c>
      <c r="V5455" t="s">
        <v>11164</v>
      </c>
      <c r="W5455" t="s">
        <v>16573</v>
      </c>
      <c r="X5455">
        <v>3</v>
      </c>
      <c r="Y5455" t="s">
        <v>22031</v>
      </c>
      <c r="Z5455" t="s">
        <v>27605</v>
      </c>
      <c r="AA5455">
        <v>0.78747571775825309</v>
      </c>
      <c r="AB5455" t="str">
        <f>HYPERLINK("Melting_Curves/meltCurve_Q9Y3A3_MOB4.pdf", "Melting_Curves/meltCurve_Q9Y3A3_MOB4.pdf")</f>
        <v>Melting_Curves/meltCurve_Q9Y3A3_MOB4.pdf</v>
      </c>
    </row>
    <row r="5456" spans="1:28" x14ac:dyDescent="0.25">
      <c r="A5456" t="s">
        <v>5460</v>
      </c>
      <c r="B5456">
        <v>0.99796759195183404</v>
      </c>
      <c r="C5456">
        <v>1.0048409216432499</v>
      </c>
      <c r="D5456">
        <v>1.0171982307253999</v>
      </c>
      <c r="E5456">
        <v>0.94516138211491396</v>
      </c>
      <c r="F5456">
        <v>0.80667115118260302</v>
      </c>
      <c r="G5456">
        <v>0.36203323535924098</v>
      </c>
      <c r="H5456">
        <v>0.230325527247423</v>
      </c>
      <c r="I5456">
        <v>0.16785242284749399</v>
      </c>
      <c r="J5456">
        <v>0.152220124973033</v>
      </c>
      <c r="K5456">
        <v>0.11273468740920201</v>
      </c>
      <c r="L5456">
        <v>1535.7285180148999</v>
      </c>
      <c r="M5456">
        <v>29.4835345332625</v>
      </c>
      <c r="N5456">
        <v>52.699406976278198</v>
      </c>
      <c r="O5456">
        <v>51.849806587157403</v>
      </c>
      <c r="P5456">
        <v>-0.121558397474817</v>
      </c>
      <c r="Q5456">
        <v>0.144914544385845</v>
      </c>
      <c r="R5456">
        <v>0.99695430178405597</v>
      </c>
      <c r="S5456" t="s">
        <v>11039</v>
      </c>
      <c r="T5456" t="s">
        <v>11164</v>
      </c>
      <c r="U5456" t="s">
        <v>11164</v>
      </c>
      <c r="V5456" t="s">
        <v>11164</v>
      </c>
      <c r="W5456" t="s">
        <v>16574</v>
      </c>
      <c r="X5456">
        <v>15</v>
      </c>
      <c r="Y5456" t="s">
        <v>22032</v>
      </c>
      <c r="Z5456" t="s">
        <v>27606</v>
      </c>
      <c r="AA5456">
        <v>0.5805381715691097</v>
      </c>
      <c r="AB5456" t="str">
        <f>HYPERLINK("Melting_Curves/meltCurve_Q9Y3A5_SBDS.pdf", "Melting_Curves/meltCurve_Q9Y3A5_SBDS.pdf")</f>
        <v>Melting_Curves/meltCurve_Q9Y3A5_SBDS.pdf</v>
      </c>
    </row>
    <row r="5457" spans="1:28" x14ac:dyDescent="0.25">
      <c r="A5457" t="s">
        <v>5461</v>
      </c>
      <c r="B5457">
        <v>0.99796759195183404</v>
      </c>
      <c r="C5457">
        <v>0.99528811767318404</v>
      </c>
      <c r="D5457">
        <v>1.0081757454534099</v>
      </c>
      <c r="E5457">
        <v>0.986152054073546</v>
      </c>
      <c r="F5457">
        <v>0.78049444893519804</v>
      </c>
      <c r="G5457">
        <v>0.75841693597899795</v>
      </c>
      <c r="H5457">
        <v>0.48268042595865401</v>
      </c>
      <c r="I5457">
        <v>0.18289920441427099</v>
      </c>
      <c r="J5457">
        <v>0.10903585267412801</v>
      </c>
      <c r="K5457">
        <v>0.10493722389521</v>
      </c>
      <c r="L5457">
        <v>915.07198331725499</v>
      </c>
      <c r="M5457">
        <v>16.157418898852399</v>
      </c>
      <c r="N5457">
        <v>56.634787631107699</v>
      </c>
      <c r="O5457">
        <v>55.788552840643902</v>
      </c>
      <c r="P5457">
        <v>-7.2410184146323497E-2</v>
      </c>
      <c r="Q5457">
        <v>0</v>
      </c>
      <c r="R5457">
        <v>0.984209998572802</v>
      </c>
      <c r="S5457" t="s">
        <v>11040</v>
      </c>
      <c r="T5457" t="s">
        <v>11164</v>
      </c>
      <c r="U5457" t="s">
        <v>11164</v>
      </c>
      <c r="V5457" t="s">
        <v>11164</v>
      </c>
      <c r="W5457" t="s">
        <v>16575</v>
      </c>
      <c r="X5457">
        <v>1</v>
      </c>
      <c r="Y5457" t="s">
        <v>22033</v>
      </c>
      <c r="Z5457" t="s">
        <v>27607</v>
      </c>
      <c r="AA5457">
        <v>0.66427511849324217</v>
      </c>
      <c r="AB5457" t="str">
        <f>HYPERLINK("Melting_Curves/meltCurve_Q9Y3A6_TMED5.pdf", "Melting_Curves/meltCurve_Q9Y3A6_TMED5.pdf")</f>
        <v>Melting_Curves/meltCurve_Q9Y3A6_TMED5.pdf</v>
      </c>
    </row>
    <row r="5458" spans="1:28" x14ac:dyDescent="0.25">
      <c r="A5458" t="s">
        <v>5462</v>
      </c>
      <c r="B5458">
        <v>0.99796759195183404</v>
      </c>
      <c r="C5458">
        <v>0.91836801059750905</v>
      </c>
      <c r="D5458">
        <v>0.98699403116691597</v>
      </c>
      <c r="E5458">
        <v>0.91062157338522698</v>
      </c>
      <c r="F5458">
        <v>0.86515722623227698</v>
      </c>
      <c r="G5458">
        <v>0.63530095497947103</v>
      </c>
      <c r="H5458">
        <v>0.62540953198596605</v>
      </c>
      <c r="I5458">
        <v>0.48671542546218999</v>
      </c>
      <c r="J5458">
        <v>0.174168245595061</v>
      </c>
      <c r="K5458">
        <v>0.114297962204741</v>
      </c>
      <c r="L5458">
        <v>667.44858192547497</v>
      </c>
      <c r="M5458">
        <v>11.452889174960299</v>
      </c>
      <c r="N5458">
        <v>58.277747427854699</v>
      </c>
      <c r="O5458">
        <v>56.585928020478697</v>
      </c>
      <c r="P5458">
        <v>-5.0614173453413201E-2</v>
      </c>
      <c r="Q5458">
        <v>0</v>
      </c>
      <c r="R5458">
        <v>0.95174299527177597</v>
      </c>
      <c r="S5458" t="s">
        <v>11041</v>
      </c>
      <c r="T5458" t="s">
        <v>11164</v>
      </c>
      <c r="U5458" t="s">
        <v>11164</v>
      </c>
      <c r="V5458" t="s">
        <v>11164</v>
      </c>
      <c r="W5458" t="s">
        <v>16576</v>
      </c>
      <c r="X5458">
        <v>3</v>
      </c>
      <c r="Y5458" t="s">
        <v>22034</v>
      </c>
      <c r="Z5458" t="s">
        <v>27608</v>
      </c>
      <c r="AA5458">
        <v>0.70435660152857138</v>
      </c>
      <c r="AB5458" t="str">
        <f>HYPERLINK("Melting_Curves/meltCurve_Q9Y3B3_2_TMED7.pdf", "Melting_Curves/meltCurve_Q9Y3B3_2_TMED7.pdf")</f>
        <v>Melting_Curves/meltCurve_Q9Y3B3_2_TMED7.pdf</v>
      </c>
    </row>
    <row r="5459" spans="1:28" x14ac:dyDescent="0.25">
      <c r="A5459" t="s">
        <v>5463</v>
      </c>
      <c r="B5459">
        <v>0.99796759195183404</v>
      </c>
      <c r="C5459">
        <v>0.97383413721231804</v>
      </c>
      <c r="D5459">
        <v>1.07883495858626</v>
      </c>
      <c r="E5459">
        <v>1.10083812269903</v>
      </c>
      <c r="F5459">
        <v>0.86210120156077896</v>
      </c>
      <c r="G5459">
        <v>0.36672733532900198</v>
      </c>
      <c r="H5459">
        <v>0.36482936469071198</v>
      </c>
      <c r="I5459">
        <v>0.38775178466850402</v>
      </c>
      <c r="J5459">
        <v>0.23518187346359101</v>
      </c>
      <c r="K5459">
        <v>0.180189462811914</v>
      </c>
      <c r="L5459">
        <v>2631.0256586252799</v>
      </c>
      <c r="M5459">
        <v>50.958601589412098</v>
      </c>
      <c r="N5459">
        <v>52.524092263432003</v>
      </c>
      <c r="O5459">
        <v>51.551338187812298</v>
      </c>
      <c r="P5459">
        <v>-0.17549476655264701</v>
      </c>
      <c r="Q5459">
        <v>0.28985648645130402</v>
      </c>
      <c r="R5459">
        <v>0.963116086993559</v>
      </c>
      <c r="S5459" t="s">
        <v>11042</v>
      </c>
      <c r="T5459" t="s">
        <v>11164</v>
      </c>
      <c r="U5459" t="s">
        <v>11164</v>
      </c>
      <c r="V5459" t="s">
        <v>11164</v>
      </c>
      <c r="W5459" t="s">
        <v>16577</v>
      </c>
      <c r="X5459">
        <v>1</v>
      </c>
      <c r="Y5459" t="s">
        <v>22035</v>
      </c>
      <c r="Z5459" t="s">
        <v>27609</v>
      </c>
      <c r="AA5459">
        <v>0.63774152028474218</v>
      </c>
      <c r="AB5459" t="str">
        <f>HYPERLINK("Melting_Curves/meltCurve_Q9Y3B7_MRPL11.pdf", "Melting_Curves/meltCurve_Q9Y3B7_MRPL11.pdf")</f>
        <v>Melting_Curves/meltCurve_Q9Y3B7_MRPL11.pdf</v>
      </c>
    </row>
    <row r="5460" spans="1:28" x14ac:dyDescent="0.25">
      <c r="A5460" t="s">
        <v>5464</v>
      </c>
      <c r="B5460">
        <v>0.99796759195183404</v>
      </c>
      <c r="C5460">
        <v>0.98714673764289596</v>
      </c>
      <c r="D5460">
        <v>0.92288522420958796</v>
      </c>
      <c r="E5460">
        <v>0.88292248047436095</v>
      </c>
      <c r="F5460">
        <v>0.79094190356563299</v>
      </c>
      <c r="G5460">
        <v>1.15457794620791</v>
      </c>
      <c r="H5460">
        <v>2.2421493737028602</v>
      </c>
      <c r="I5460">
        <v>2.06325469259408</v>
      </c>
      <c r="J5460">
        <v>2.91506484173942</v>
      </c>
      <c r="K5460">
        <v>2.8559320976023002</v>
      </c>
      <c r="L5460">
        <v>13493.2583504142</v>
      </c>
      <c r="M5460">
        <v>250</v>
      </c>
      <c r="O5460">
        <v>53.969555989794898</v>
      </c>
      <c r="P5460">
        <v>0.57902989502407798</v>
      </c>
      <c r="Q5460">
        <v>1.5</v>
      </c>
      <c r="R5460">
        <v>0.26507612020625498</v>
      </c>
      <c r="S5460" t="s">
        <v>11043</v>
      </c>
      <c r="T5460" t="s">
        <v>11164</v>
      </c>
      <c r="U5460" t="s">
        <v>11164</v>
      </c>
      <c r="V5460" t="s">
        <v>11164</v>
      </c>
      <c r="W5460" t="s">
        <v>16578</v>
      </c>
      <c r="X5460">
        <v>7</v>
      </c>
      <c r="Y5460" t="s">
        <v>22036</v>
      </c>
      <c r="Z5460" t="s">
        <v>27610</v>
      </c>
      <c r="AA5460">
        <v>1.2170687490555789</v>
      </c>
      <c r="AB5460" t="str">
        <f>HYPERLINK("Melting_Curves/meltCurve_Q9Y3B9_RRP15.pdf", "Melting_Curves/meltCurve_Q9Y3B9_RRP15.pdf")</f>
        <v>Melting_Curves/meltCurve_Q9Y3B9_RRP15.pdf</v>
      </c>
    </row>
    <row r="5461" spans="1:28" x14ac:dyDescent="0.25">
      <c r="A5461" t="s">
        <v>5465</v>
      </c>
      <c r="B5461">
        <v>0.99796759195183404</v>
      </c>
      <c r="C5461">
        <v>0.94270079537176299</v>
      </c>
      <c r="D5461">
        <v>0.93413738559273496</v>
      </c>
      <c r="E5461">
        <v>1.2311222991333599</v>
      </c>
      <c r="F5461">
        <v>1.0158387539721401</v>
      </c>
      <c r="G5461">
        <v>0.82082693968759801</v>
      </c>
      <c r="H5461">
        <v>1.22903492750373</v>
      </c>
      <c r="I5461">
        <v>1.3145558319025801</v>
      </c>
      <c r="J5461">
        <v>1.86700337482046</v>
      </c>
      <c r="K5461">
        <v>1.0142706410755</v>
      </c>
      <c r="L5461">
        <v>10793.5412207841</v>
      </c>
      <c r="M5461">
        <v>188.34127462295399</v>
      </c>
      <c r="O5461">
        <v>57.301981726260301</v>
      </c>
      <c r="P5461">
        <v>0.32754225635383399</v>
      </c>
      <c r="Q5461">
        <v>1.3986128586222299</v>
      </c>
      <c r="R5461">
        <v>0.42254061613681798</v>
      </c>
      <c r="S5461" t="s">
        <v>11044</v>
      </c>
      <c r="T5461" t="s">
        <v>11164</v>
      </c>
      <c r="U5461" t="s">
        <v>11164</v>
      </c>
      <c r="V5461" t="s">
        <v>11164</v>
      </c>
      <c r="W5461" t="s">
        <v>16579</v>
      </c>
      <c r="X5461">
        <v>3</v>
      </c>
      <c r="Y5461" t="s">
        <v>22037</v>
      </c>
      <c r="Z5461" t="s">
        <v>27611</v>
      </c>
      <c r="AA5461">
        <v>1.128702273280846</v>
      </c>
      <c r="AB5461" t="str">
        <f>HYPERLINK("Melting_Curves/meltCurve_Q9Y3C1_NOP16.pdf", "Melting_Curves/meltCurve_Q9Y3C1_NOP16.pdf")</f>
        <v>Melting_Curves/meltCurve_Q9Y3C1_NOP16.pdf</v>
      </c>
    </row>
    <row r="5462" spans="1:28" x14ac:dyDescent="0.25">
      <c r="A5462" t="s">
        <v>5466</v>
      </c>
      <c r="B5462">
        <v>0.99796759195183404</v>
      </c>
      <c r="C5462">
        <v>1.02430850366967</v>
      </c>
      <c r="D5462">
        <v>0.97026930441598502</v>
      </c>
      <c r="E5462">
        <v>0.87361332767785504</v>
      </c>
      <c r="F5462">
        <v>0.79888802819615801</v>
      </c>
      <c r="G5462">
        <v>0.66848326560732396</v>
      </c>
      <c r="H5462">
        <v>0.463205355365509</v>
      </c>
      <c r="I5462">
        <v>0.32281340358235999</v>
      </c>
      <c r="J5462">
        <v>0.16955125592334699</v>
      </c>
      <c r="K5462">
        <v>0.13347113753992801</v>
      </c>
      <c r="L5462">
        <v>647.83918115747701</v>
      </c>
      <c r="M5462">
        <v>11.4579648092695</v>
      </c>
      <c r="N5462">
        <v>56.540510690994303</v>
      </c>
      <c r="O5462">
        <v>54.900490098406102</v>
      </c>
      <c r="P5462">
        <v>-5.2191098419281302E-2</v>
      </c>
      <c r="Q5462">
        <v>0</v>
      </c>
      <c r="R5462">
        <v>0.99448631808119003</v>
      </c>
      <c r="S5462" t="s">
        <v>11045</v>
      </c>
      <c r="T5462" t="s">
        <v>11164</v>
      </c>
      <c r="U5462" t="s">
        <v>11164</v>
      </c>
      <c r="V5462" t="s">
        <v>11164</v>
      </c>
      <c r="W5462" t="s">
        <v>16580</v>
      </c>
      <c r="X5462">
        <v>2</v>
      </c>
      <c r="Y5462" t="s">
        <v>22038</v>
      </c>
      <c r="Z5462" t="s">
        <v>27612</v>
      </c>
      <c r="AA5462">
        <v>0.65750190542850784</v>
      </c>
      <c r="AB5462" t="str">
        <f>HYPERLINK("Melting_Curves/meltCurve_Q9Y3C4_TPRKB.pdf", "Melting_Curves/meltCurve_Q9Y3C4_TPRKB.pdf")</f>
        <v>Melting_Curves/meltCurve_Q9Y3C4_TPRKB.pdf</v>
      </c>
    </row>
    <row r="5463" spans="1:28" x14ac:dyDescent="0.25">
      <c r="A5463" t="s">
        <v>5467</v>
      </c>
      <c r="B5463">
        <v>0.99796759195183404</v>
      </c>
      <c r="C5463">
        <v>0.88657625748640301</v>
      </c>
      <c r="D5463">
        <v>0.95470527808547001</v>
      </c>
      <c r="E5463">
        <v>0.85310197264926102</v>
      </c>
      <c r="F5463">
        <v>0.53766090013233103</v>
      </c>
      <c r="G5463">
        <v>0.26579451450068498</v>
      </c>
      <c r="H5463">
        <v>0.19890019216348201</v>
      </c>
      <c r="I5463">
        <v>0.125144467632155</v>
      </c>
      <c r="J5463">
        <v>0.116361340843412</v>
      </c>
      <c r="K5463">
        <v>9.8443686750876794E-2</v>
      </c>
      <c r="L5463">
        <v>983.50895533522203</v>
      </c>
      <c r="M5463">
        <v>19.639693793361399</v>
      </c>
      <c r="N5463">
        <v>50.669864291966199</v>
      </c>
      <c r="O5463">
        <v>49.567093348249898</v>
      </c>
      <c r="P5463">
        <v>-8.8900279360321494E-2</v>
      </c>
      <c r="Q5463">
        <v>0.102557427940246</v>
      </c>
      <c r="R5463">
        <v>0.98981148761424298</v>
      </c>
      <c r="S5463" t="s">
        <v>11046</v>
      </c>
      <c r="T5463" t="s">
        <v>11164</v>
      </c>
      <c r="U5463" t="s">
        <v>11164</v>
      </c>
      <c r="V5463" t="s">
        <v>11164</v>
      </c>
      <c r="W5463" t="s">
        <v>16581</v>
      </c>
      <c r="X5463">
        <v>8</v>
      </c>
      <c r="Y5463" t="s">
        <v>22039</v>
      </c>
      <c r="Z5463" t="s">
        <v>27613</v>
      </c>
      <c r="AA5463">
        <v>0.50596549473490837</v>
      </c>
      <c r="AB5463" t="str">
        <f>HYPERLINK("Melting_Curves/meltCurve_Q9Y3C6_PPIL1.pdf", "Melting_Curves/meltCurve_Q9Y3C6_PPIL1.pdf")</f>
        <v>Melting_Curves/meltCurve_Q9Y3C6_PPIL1.pdf</v>
      </c>
    </row>
    <row r="5464" spans="1:28" x14ac:dyDescent="0.25">
      <c r="A5464" t="s">
        <v>5468</v>
      </c>
      <c r="B5464">
        <v>0.99796759195183404</v>
      </c>
      <c r="C5464">
        <v>0.96941324679086904</v>
      </c>
      <c r="D5464">
        <v>0.95759227061394503</v>
      </c>
      <c r="E5464">
        <v>0.86516430074797501</v>
      </c>
      <c r="F5464">
        <v>0.80577502051975203</v>
      </c>
      <c r="G5464">
        <v>0.62185136525392004</v>
      </c>
      <c r="H5464">
        <v>0.570390181000481</v>
      </c>
      <c r="I5464">
        <v>0.46740205656390699</v>
      </c>
      <c r="J5464">
        <v>0.28338465323051598</v>
      </c>
      <c r="K5464">
        <v>0.15271031365017099</v>
      </c>
      <c r="L5464">
        <v>516.95415601688501</v>
      </c>
      <c r="M5464">
        <v>8.9137829664448596</v>
      </c>
      <c r="N5464">
        <v>57.994909792634402</v>
      </c>
      <c r="O5464">
        <v>55.2988091187487</v>
      </c>
      <c r="P5464">
        <v>-4.0328612094657899E-2</v>
      </c>
      <c r="Q5464">
        <v>0</v>
      </c>
      <c r="R5464">
        <v>0.97788806319202903</v>
      </c>
      <c r="S5464" t="s">
        <v>11047</v>
      </c>
      <c r="T5464" t="s">
        <v>11164</v>
      </c>
      <c r="U5464" t="s">
        <v>11164</v>
      </c>
      <c r="V5464" t="s">
        <v>11164</v>
      </c>
      <c r="W5464" t="s">
        <v>16582</v>
      </c>
      <c r="X5464">
        <v>9</v>
      </c>
      <c r="Y5464" t="s">
        <v>22040</v>
      </c>
      <c r="Z5464" t="s">
        <v>27614</v>
      </c>
      <c r="AA5464">
        <v>0.68541531596082017</v>
      </c>
      <c r="AB5464" t="str">
        <f>HYPERLINK("Melting_Curves/meltCurve_Q9Y3C8_UFC1.pdf", "Melting_Curves/meltCurve_Q9Y3C8_UFC1.pdf")</f>
        <v>Melting_Curves/meltCurve_Q9Y3C8_UFC1.pdf</v>
      </c>
    </row>
    <row r="5465" spans="1:28" x14ac:dyDescent="0.25">
      <c r="A5465" t="s">
        <v>5469</v>
      </c>
      <c r="B5465">
        <v>0.99796759195183404</v>
      </c>
      <c r="C5465">
        <v>1.09182515496135</v>
      </c>
      <c r="D5465">
        <v>1.02493824497491</v>
      </c>
      <c r="E5465">
        <v>0.90872061716513397</v>
      </c>
      <c r="F5465">
        <v>0.92868516871078499</v>
      </c>
      <c r="G5465">
        <v>0.52337856618511902</v>
      </c>
      <c r="H5465">
        <v>0.37747158085902299</v>
      </c>
      <c r="I5465">
        <v>0.29572072552218998</v>
      </c>
      <c r="J5465">
        <v>0.282947118936138</v>
      </c>
      <c r="K5465">
        <v>0.19697337053587499</v>
      </c>
      <c r="L5465">
        <v>1455.36470493252</v>
      </c>
      <c r="M5465">
        <v>27.380833902459202</v>
      </c>
      <c r="N5465">
        <v>54.559900114876797</v>
      </c>
      <c r="O5465">
        <v>52.871585784041201</v>
      </c>
      <c r="P5465">
        <v>-9.6682330156597093E-2</v>
      </c>
      <c r="Q5465">
        <v>0.25324404148072599</v>
      </c>
      <c r="R5465">
        <v>0.97812137707618496</v>
      </c>
      <c r="S5465" t="s">
        <v>11048</v>
      </c>
      <c r="T5465" t="s">
        <v>11164</v>
      </c>
      <c r="U5465" t="s">
        <v>11164</v>
      </c>
      <c r="V5465" t="s">
        <v>11164</v>
      </c>
      <c r="W5465" t="s">
        <v>16583</v>
      </c>
      <c r="X5465">
        <v>5</v>
      </c>
      <c r="Y5465" t="s">
        <v>22041</v>
      </c>
      <c r="Z5465" t="s">
        <v>27615</v>
      </c>
      <c r="AA5465">
        <v>0.66093619936328585</v>
      </c>
      <c r="AB5465" t="str">
        <f>HYPERLINK("Melting_Curves/meltCurve_Q9Y3D0_FAM96B.pdf", "Melting_Curves/meltCurve_Q9Y3D0_FAM96B.pdf")</f>
        <v>Melting_Curves/meltCurve_Q9Y3D0_FAM96B.pdf</v>
      </c>
    </row>
    <row r="5466" spans="1:28" x14ac:dyDescent="0.25">
      <c r="A5466" t="s">
        <v>5470</v>
      </c>
      <c r="B5466">
        <v>0.99796759195183404</v>
      </c>
      <c r="C5466">
        <v>1.07363326097769</v>
      </c>
      <c r="D5466">
        <v>1.0019574608181101</v>
      </c>
      <c r="E5466">
        <v>1.0132647516606601</v>
      </c>
      <c r="F5466">
        <v>0.86685551792387405</v>
      </c>
      <c r="G5466">
        <v>0.720431429392276</v>
      </c>
      <c r="H5466">
        <v>0.55667341911349</v>
      </c>
      <c r="I5466">
        <v>0.41361687176387002</v>
      </c>
      <c r="J5466">
        <v>0.44866348425713798</v>
      </c>
      <c r="K5466">
        <v>0.33391198721786097</v>
      </c>
      <c r="L5466">
        <v>961.13700908798603</v>
      </c>
      <c r="M5466">
        <v>17.561249763119299</v>
      </c>
      <c r="N5466">
        <v>58.661391197539302</v>
      </c>
      <c r="O5466">
        <v>54.035661648854102</v>
      </c>
      <c r="P5466">
        <v>-5.3150580699322797E-2</v>
      </c>
      <c r="Q5466">
        <v>0.345861907202761</v>
      </c>
      <c r="R5466">
        <v>0.98191594254585302</v>
      </c>
      <c r="S5466" t="s">
        <v>11049</v>
      </c>
      <c r="T5466" t="s">
        <v>11164</v>
      </c>
      <c r="U5466" t="s">
        <v>11164</v>
      </c>
      <c r="V5466" t="s">
        <v>11164</v>
      </c>
      <c r="W5466" t="s">
        <v>16584</v>
      </c>
      <c r="X5466">
        <v>3</v>
      </c>
      <c r="Y5466" t="s">
        <v>22042</v>
      </c>
      <c r="Z5466" t="s">
        <v>27616</v>
      </c>
      <c r="AA5466">
        <v>0.74110700709999944</v>
      </c>
      <c r="AB5466" t="str">
        <f>HYPERLINK("Melting_Curves/meltCurve_Q9Y3D2_MSRB2.pdf", "Melting_Curves/meltCurve_Q9Y3D2_MSRB2.pdf")</f>
        <v>Melting_Curves/meltCurve_Q9Y3D2_MSRB2.pdf</v>
      </c>
    </row>
    <row r="5467" spans="1:28" x14ac:dyDescent="0.25">
      <c r="A5467" t="s">
        <v>5471</v>
      </c>
      <c r="B5467">
        <v>0.99796759195183404</v>
      </c>
      <c r="C5467">
        <v>0.92869215071101996</v>
      </c>
      <c r="D5467">
        <v>0.98873793762470297</v>
      </c>
      <c r="E5467">
        <v>1.02910783383625</v>
      </c>
      <c r="F5467">
        <v>0.91109100702484502</v>
      </c>
      <c r="G5467">
        <v>0.59504945867674597</v>
      </c>
      <c r="H5467">
        <v>0.705379798952677</v>
      </c>
      <c r="I5467">
        <v>0.81536807570205605</v>
      </c>
      <c r="J5467">
        <v>0.84199000823110504</v>
      </c>
      <c r="K5467">
        <v>0.83219966294229297</v>
      </c>
      <c r="L5467">
        <v>12577.2804460842</v>
      </c>
      <c r="M5467">
        <v>250</v>
      </c>
      <c r="O5467">
        <v>50.305902310257501</v>
      </c>
      <c r="P5467">
        <v>-0.30066377070240802</v>
      </c>
      <c r="Q5467">
        <v>0.75799740373328595</v>
      </c>
      <c r="R5467">
        <v>0.69597047585405503</v>
      </c>
      <c r="S5467" t="s">
        <v>11050</v>
      </c>
      <c r="T5467" t="s">
        <v>11164</v>
      </c>
      <c r="U5467" t="s">
        <v>11164</v>
      </c>
      <c r="V5467" t="s">
        <v>11164</v>
      </c>
      <c r="W5467" t="s">
        <v>16585</v>
      </c>
      <c r="X5467">
        <v>2</v>
      </c>
      <c r="Y5467" t="s">
        <v>22043</v>
      </c>
      <c r="Z5467" t="s">
        <v>27617</v>
      </c>
      <c r="AA5467">
        <v>0.86538017142145829</v>
      </c>
      <c r="AB5467" t="str">
        <f>HYPERLINK("Melting_Curves/meltCurve_Q9Y3D6_FIS1.pdf", "Melting_Curves/meltCurve_Q9Y3D6_FIS1.pdf")</f>
        <v>Melting_Curves/meltCurve_Q9Y3D6_FIS1.pdf</v>
      </c>
    </row>
    <row r="5468" spans="1:28" x14ac:dyDescent="0.25">
      <c r="A5468" t="s">
        <v>5472</v>
      </c>
      <c r="B5468">
        <v>0.99796759195183404</v>
      </c>
      <c r="C5468">
        <v>1.0390251819332601</v>
      </c>
      <c r="D5468">
        <v>1.10089440961332</v>
      </c>
      <c r="E5468">
        <v>0.99814257891294</v>
      </c>
      <c r="F5468">
        <v>0.49785562230560798</v>
      </c>
      <c r="G5468">
        <v>0.149599334210578</v>
      </c>
      <c r="H5468">
        <v>0.112574218296204</v>
      </c>
      <c r="I5468">
        <v>7.77861374988911E-2</v>
      </c>
      <c r="J5468">
        <v>5.6027413567640898E-2</v>
      </c>
      <c r="K5468">
        <v>4.3024422715508499E-2</v>
      </c>
      <c r="L5468">
        <v>2203.3849344145201</v>
      </c>
      <c r="M5468">
        <v>44.0239667859435</v>
      </c>
      <c r="N5468">
        <v>50.2424270575289</v>
      </c>
      <c r="O5468">
        <v>49.946726407958103</v>
      </c>
      <c r="P5468">
        <v>-0.20323421491685101</v>
      </c>
      <c r="Q5468">
        <v>7.7696071628204993E-2</v>
      </c>
      <c r="R5468">
        <v>0.99170234254829903</v>
      </c>
      <c r="S5468" t="s">
        <v>11051</v>
      </c>
      <c r="T5468" t="s">
        <v>11164</v>
      </c>
      <c r="U5468" t="s">
        <v>11164</v>
      </c>
      <c r="V5468" t="s">
        <v>11164</v>
      </c>
      <c r="W5468" t="s">
        <v>16586</v>
      </c>
      <c r="X5468">
        <v>6</v>
      </c>
      <c r="Y5468" t="s">
        <v>19784</v>
      </c>
      <c r="Z5468" t="s">
        <v>27618</v>
      </c>
      <c r="AA5468">
        <v>0.48151792885295369</v>
      </c>
      <c r="AB5468" t="str">
        <f>HYPERLINK("Melting_Curves/meltCurve_Q9Y3D8_TAF9.pdf", "Melting_Curves/meltCurve_Q9Y3D8_TAF9.pdf")</f>
        <v>Melting_Curves/meltCurve_Q9Y3D8_TAF9.pdf</v>
      </c>
    </row>
    <row r="5469" spans="1:28" x14ac:dyDescent="0.25">
      <c r="A5469" t="s">
        <v>5473</v>
      </c>
      <c r="B5469">
        <v>0.99796759195183404</v>
      </c>
      <c r="C5469">
        <v>1.0287634410469599</v>
      </c>
      <c r="D5469">
        <v>1.0147516846517399</v>
      </c>
      <c r="E5469">
        <v>0.98212772816614002</v>
      </c>
      <c r="F5469">
        <v>0.829760185721934</v>
      </c>
      <c r="G5469">
        <v>0.50333865701866598</v>
      </c>
      <c r="H5469">
        <v>0.35852715493348303</v>
      </c>
      <c r="I5469">
        <v>0.24367353419867899</v>
      </c>
      <c r="J5469">
        <v>0.295356341591963</v>
      </c>
      <c r="K5469">
        <v>0.26984780560354699</v>
      </c>
      <c r="L5469">
        <v>1416.7682442248599</v>
      </c>
      <c r="M5469">
        <v>27.034260833505101</v>
      </c>
      <c r="N5469">
        <v>53.9434968594596</v>
      </c>
      <c r="O5469">
        <v>52.122186166858697</v>
      </c>
      <c r="P5469">
        <v>-9.4843828578027006E-2</v>
      </c>
      <c r="Q5469">
        <v>0.26857007548230399</v>
      </c>
      <c r="R5469">
        <v>0.99625935337140603</v>
      </c>
      <c r="S5469" t="s">
        <v>11052</v>
      </c>
      <c r="T5469" t="s">
        <v>11164</v>
      </c>
      <c r="U5469" t="s">
        <v>11164</v>
      </c>
      <c r="V5469" t="s">
        <v>11164</v>
      </c>
      <c r="W5469" t="s">
        <v>16587</v>
      </c>
      <c r="X5469">
        <v>6</v>
      </c>
      <c r="Y5469" t="s">
        <v>22044</v>
      </c>
      <c r="Z5469" t="s">
        <v>27619</v>
      </c>
      <c r="AA5469">
        <v>0.64982146301666766</v>
      </c>
      <c r="AB5469" t="str">
        <f>HYPERLINK("Melting_Curves/meltCurve_Q9Y3E2_BOLA1.pdf", "Melting_Curves/meltCurve_Q9Y3E2_BOLA1.pdf")</f>
        <v>Melting_Curves/meltCurve_Q9Y3E2_BOLA1.pdf</v>
      </c>
    </row>
    <row r="5470" spans="1:28" x14ac:dyDescent="0.25">
      <c r="A5470" t="s">
        <v>5474</v>
      </c>
      <c r="B5470">
        <v>0.99796759195183404</v>
      </c>
      <c r="C5470">
        <v>1.0379840361997601</v>
      </c>
      <c r="D5470">
        <v>0.93292956516743897</v>
      </c>
      <c r="E5470">
        <v>0.91173572983107998</v>
      </c>
      <c r="F5470">
        <v>0.95290963070450696</v>
      </c>
      <c r="G5470">
        <v>0.37470118920456202</v>
      </c>
      <c r="H5470">
        <v>0.351450990551049</v>
      </c>
      <c r="I5470">
        <v>0.16573511369574701</v>
      </c>
      <c r="J5470">
        <v>0.15190605965463699</v>
      </c>
      <c r="K5470">
        <v>0.121154244359614</v>
      </c>
      <c r="L5470">
        <v>2386.4287385010002</v>
      </c>
      <c r="M5470">
        <v>45.356514923446099</v>
      </c>
      <c r="N5470">
        <v>53.163648419552402</v>
      </c>
      <c r="O5470">
        <v>52.512932375534497</v>
      </c>
      <c r="P5470">
        <v>-0.175568098758559</v>
      </c>
      <c r="Q5470">
        <v>0.18692305640722601</v>
      </c>
      <c r="R5470">
        <v>0.96954169680150004</v>
      </c>
      <c r="S5470" t="s">
        <v>11053</v>
      </c>
      <c r="T5470" t="s">
        <v>11164</v>
      </c>
      <c r="U5470" t="s">
        <v>11164</v>
      </c>
      <c r="V5470" t="s">
        <v>11164</v>
      </c>
      <c r="W5470" t="s">
        <v>16588</v>
      </c>
      <c r="X5470">
        <v>3</v>
      </c>
      <c r="Y5470" t="s">
        <v>22045</v>
      </c>
      <c r="Z5470" t="s">
        <v>27620</v>
      </c>
      <c r="AA5470">
        <v>0.61241984165896435</v>
      </c>
      <c r="AB5470" t="str">
        <f>HYPERLINK("Melting_Curves/meltCurve_Q9Y3E7_4_CHMP3.pdf", "Melting_Curves/meltCurve_Q9Y3E7_4_CHMP3.pdf")</f>
        <v>Melting_Curves/meltCurve_Q9Y3E7_4_CHMP3.pdf</v>
      </c>
    </row>
    <row r="5471" spans="1:28" x14ac:dyDescent="0.25">
      <c r="A5471" t="s">
        <v>5475</v>
      </c>
      <c r="B5471">
        <v>0.99796759195183404</v>
      </c>
      <c r="C5471">
        <v>1.0076986481386201</v>
      </c>
      <c r="D5471">
        <v>1.05264632054701</v>
      </c>
      <c r="E5471">
        <v>0.99782535911652603</v>
      </c>
      <c r="F5471">
        <v>0.73599632718372598</v>
      </c>
      <c r="G5471">
        <v>0.61474594223512802</v>
      </c>
      <c r="H5471">
        <v>0.56774996873839501</v>
      </c>
      <c r="I5471">
        <v>0.372363559808427</v>
      </c>
      <c r="J5471">
        <v>0.268754808708144</v>
      </c>
      <c r="K5471">
        <v>0.13063636218904101</v>
      </c>
      <c r="L5471">
        <v>604.34107790962196</v>
      </c>
      <c r="M5471">
        <v>10.520261623133001</v>
      </c>
      <c r="N5471">
        <v>57.445441932828601</v>
      </c>
      <c r="O5471">
        <v>55.4862318371176</v>
      </c>
      <c r="P5471">
        <v>-4.7419289639223698E-2</v>
      </c>
      <c r="Q5471">
        <v>0</v>
      </c>
      <c r="R5471">
        <v>0.97013757312206805</v>
      </c>
      <c r="S5471" t="s">
        <v>11054</v>
      </c>
      <c r="T5471" t="s">
        <v>11164</v>
      </c>
      <c r="U5471" t="s">
        <v>11164</v>
      </c>
      <c r="V5471" t="s">
        <v>11164</v>
      </c>
      <c r="W5471" t="s">
        <v>16589</v>
      </c>
      <c r="X5471">
        <v>21</v>
      </c>
      <c r="Y5471" t="s">
        <v>22046</v>
      </c>
      <c r="Z5471" t="s">
        <v>27621</v>
      </c>
      <c r="AA5471">
        <v>0.67933703516261412</v>
      </c>
      <c r="AB5471" t="str">
        <f>HYPERLINK("Melting_Curves/meltCurve_Q9Y3F4_STRAP.pdf", "Melting_Curves/meltCurve_Q9Y3F4_STRAP.pdf")</f>
        <v>Melting_Curves/meltCurve_Q9Y3F4_STRAP.pdf</v>
      </c>
    </row>
    <row r="5472" spans="1:28" x14ac:dyDescent="0.25">
      <c r="A5472" t="s">
        <v>5476</v>
      </c>
      <c r="B5472">
        <v>0.99796759195183404</v>
      </c>
      <c r="C5472">
        <v>1.0431719669298101</v>
      </c>
      <c r="D5472">
        <v>1.00704358044502</v>
      </c>
      <c r="E5472">
        <v>0.95397259653076605</v>
      </c>
      <c r="F5472">
        <v>0.92348671372253299</v>
      </c>
      <c r="G5472">
        <v>0.98138053240564105</v>
      </c>
      <c r="H5472">
        <v>0.97656072235070002</v>
      </c>
      <c r="I5472">
        <v>0.81120473691883399</v>
      </c>
      <c r="J5472">
        <v>0.36542357163313199</v>
      </c>
      <c r="K5472">
        <v>0.15067121499178501</v>
      </c>
      <c r="L5472">
        <v>2715.70652889657</v>
      </c>
      <c r="M5472">
        <v>43.197017055717403</v>
      </c>
      <c r="N5472">
        <v>63.160961770937</v>
      </c>
      <c r="O5472">
        <v>62.733631372031603</v>
      </c>
      <c r="P5472">
        <v>-0.15651309652687201</v>
      </c>
      <c r="Q5472">
        <v>9.08057470539263E-2</v>
      </c>
      <c r="R5472">
        <v>0.98789013396690195</v>
      </c>
      <c r="S5472" t="s">
        <v>11055</v>
      </c>
      <c r="T5472" t="s">
        <v>11164</v>
      </c>
      <c r="U5472" t="s">
        <v>11164</v>
      </c>
      <c r="V5472" t="s">
        <v>11164</v>
      </c>
      <c r="W5472" t="s">
        <v>16590</v>
      </c>
      <c r="X5472">
        <v>21</v>
      </c>
      <c r="Y5472" t="s">
        <v>22047</v>
      </c>
      <c r="Z5472" t="s">
        <v>27622</v>
      </c>
      <c r="AA5472">
        <v>0.8745986557158254</v>
      </c>
      <c r="AB5472" t="str">
        <f>HYPERLINK("Melting_Curves/meltCurve_Q9Y3I0_C22orf28.pdf", "Melting_Curves/meltCurve_Q9Y3I0_C22orf28.pdf")</f>
        <v>Melting_Curves/meltCurve_Q9Y3I0_C22orf28.pdf</v>
      </c>
    </row>
    <row r="5473" spans="1:28" x14ac:dyDescent="0.25">
      <c r="A5473" t="s">
        <v>5477</v>
      </c>
      <c r="B5473">
        <v>0.99796759195183404</v>
      </c>
      <c r="C5473">
        <v>1.01741563705595</v>
      </c>
      <c r="D5473">
        <v>0.86450808687439096</v>
      </c>
      <c r="E5473">
        <v>0.72610489603485595</v>
      </c>
      <c r="F5473">
        <v>0.54832798496551804</v>
      </c>
      <c r="G5473">
        <v>0.43196521914021602</v>
      </c>
      <c r="H5473">
        <v>0.25639054837047398</v>
      </c>
      <c r="I5473">
        <v>0.25015648920706501</v>
      </c>
      <c r="J5473">
        <v>0.30892940479916398</v>
      </c>
      <c r="K5473">
        <v>0.16907518096103</v>
      </c>
      <c r="L5473">
        <v>629.88352895710705</v>
      </c>
      <c r="M5473">
        <v>12.793002031566999</v>
      </c>
      <c r="N5473">
        <v>51.185372161783398</v>
      </c>
      <c r="O5473">
        <v>48.080017635366197</v>
      </c>
      <c r="P5473">
        <v>-5.3705225975269701E-2</v>
      </c>
      <c r="Q5473">
        <v>0.19278908076752299</v>
      </c>
      <c r="R5473">
        <v>0.98293551611983598</v>
      </c>
      <c r="S5473" t="s">
        <v>11056</v>
      </c>
      <c r="T5473" t="s">
        <v>11164</v>
      </c>
      <c r="U5473" t="s">
        <v>11164</v>
      </c>
      <c r="V5473" t="s">
        <v>11164</v>
      </c>
      <c r="W5473" t="s">
        <v>16591</v>
      </c>
      <c r="X5473">
        <v>4</v>
      </c>
      <c r="Y5473" t="s">
        <v>22048</v>
      </c>
      <c r="Z5473" t="s">
        <v>27623</v>
      </c>
      <c r="AA5473">
        <v>0.54378622797681098</v>
      </c>
      <c r="AB5473" t="str">
        <f>HYPERLINK("Melting_Curves/meltCurve_Q9Y3I1_FBXO7.pdf", "Melting_Curves/meltCurve_Q9Y3I1_FBXO7.pdf")</f>
        <v>Melting_Curves/meltCurve_Q9Y3I1_FBXO7.pdf</v>
      </c>
    </row>
    <row r="5474" spans="1:28" x14ac:dyDescent="0.25">
      <c r="A5474" t="s">
        <v>5478</v>
      </c>
      <c r="B5474">
        <v>0.99796759195183404</v>
      </c>
      <c r="C5474">
        <v>1.2248198732486799</v>
      </c>
      <c r="D5474">
        <v>0.86073464028892299</v>
      </c>
      <c r="E5474">
        <v>0.89452736651973996</v>
      </c>
      <c r="F5474">
        <v>0.85216745934528004</v>
      </c>
      <c r="G5474">
        <v>0.57619351508085703</v>
      </c>
      <c r="H5474">
        <v>0.38003504584165598</v>
      </c>
      <c r="I5474">
        <v>0.20649145584213699</v>
      </c>
      <c r="J5474">
        <v>0.21233741270849699</v>
      </c>
      <c r="K5474">
        <v>0.13708639809693601</v>
      </c>
      <c r="L5474">
        <v>845.03640628361404</v>
      </c>
      <c r="M5474">
        <v>15.538870680893901</v>
      </c>
      <c r="N5474">
        <v>55.167758659793101</v>
      </c>
      <c r="O5474">
        <v>53.5053115538418</v>
      </c>
      <c r="P5474">
        <v>-6.5403533817352894E-2</v>
      </c>
      <c r="Q5474">
        <v>9.9258008207640594E-2</v>
      </c>
      <c r="R5474">
        <v>0.94404131703418803</v>
      </c>
      <c r="S5474" t="s">
        <v>11057</v>
      </c>
      <c r="T5474" t="s">
        <v>11164</v>
      </c>
      <c r="U5474" t="s">
        <v>11164</v>
      </c>
      <c r="V5474" t="s">
        <v>11164</v>
      </c>
      <c r="W5474" t="s">
        <v>14713</v>
      </c>
      <c r="X5474">
        <v>6</v>
      </c>
      <c r="Y5474" t="s">
        <v>20193</v>
      </c>
      <c r="Z5474" t="s">
        <v>27624</v>
      </c>
      <c r="AA5474">
        <v>0.63475575313649923</v>
      </c>
      <c r="AB5474" t="str">
        <f>HYPERLINK("Melting_Curves/meltCurve_Q9Y3L3_SH3BP1.pdf", "Melting_Curves/meltCurve_Q9Y3L3_SH3BP1.pdf")</f>
        <v>Melting_Curves/meltCurve_Q9Y3L3_SH3BP1.pdf</v>
      </c>
    </row>
    <row r="5475" spans="1:28" x14ac:dyDescent="0.25">
      <c r="A5475" t="s">
        <v>5479</v>
      </c>
      <c r="B5475">
        <v>0.99796759195183404</v>
      </c>
      <c r="C5475">
        <v>1.0010134615535999</v>
      </c>
      <c r="D5475">
        <v>1.19554178873691</v>
      </c>
      <c r="E5475">
        <v>0.83083560925331101</v>
      </c>
      <c r="F5475">
        <v>0.90233316454043899</v>
      </c>
      <c r="G5475">
        <v>0.76396153067815298</v>
      </c>
      <c r="H5475">
        <v>0.549117743889183</v>
      </c>
      <c r="I5475">
        <v>0.35091367742017698</v>
      </c>
      <c r="J5475">
        <v>0.31494177637561299</v>
      </c>
      <c r="K5475">
        <v>0.25938151290640798</v>
      </c>
      <c r="L5475">
        <v>858.05736167202997</v>
      </c>
      <c r="M5475">
        <v>15.191013638225799</v>
      </c>
      <c r="N5475">
        <v>58.259474366993203</v>
      </c>
      <c r="O5475">
        <v>55.5328363355421</v>
      </c>
      <c r="P5475">
        <v>-5.5724500517833897E-2</v>
      </c>
      <c r="Q5475">
        <v>0.18524407084866301</v>
      </c>
      <c r="R5475">
        <v>0.93608228699702001</v>
      </c>
      <c r="S5475" t="s">
        <v>11058</v>
      </c>
      <c r="T5475" t="s">
        <v>11164</v>
      </c>
      <c r="U5475" t="s">
        <v>11164</v>
      </c>
      <c r="V5475" t="s">
        <v>11164</v>
      </c>
      <c r="W5475" t="s">
        <v>16592</v>
      </c>
      <c r="X5475">
        <v>3</v>
      </c>
      <c r="Y5475" t="s">
        <v>22049</v>
      </c>
      <c r="Z5475" t="s">
        <v>27625</v>
      </c>
      <c r="AA5475">
        <v>0.72258439650775697</v>
      </c>
      <c r="AB5475" t="str">
        <f>HYPERLINK("Melting_Curves/meltCurve_Q9Y3L5_RAP2C.pdf", "Melting_Curves/meltCurve_Q9Y3L5_RAP2C.pdf")</f>
        <v>Melting_Curves/meltCurve_Q9Y3L5_RAP2C.pdf</v>
      </c>
    </row>
    <row r="5476" spans="1:28" x14ac:dyDescent="0.25">
      <c r="A5476" t="s">
        <v>5480</v>
      </c>
      <c r="B5476">
        <v>0.99796759195183404</v>
      </c>
      <c r="C5476">
        <v>0.96703977079424297</v>
      </c>
      <c r="D5476">
        <v>0.96694556035907397</v>
      </c>
      <c r="E5476">
        <v>0.91694944509809795</v>
      </c>
      <c r="F5476">
        <v>0.80211710532120195</v>
      </c>
      <c r="G5476">
        <v>0.57672596448163804</v>
      </c>
      <c r="H5476">
        <v>0.33136442924218501</v>
      </c>
      <c r="I5476">
        <v>0.24418037976294099</v>
      </c>
      <c r="J5476">
        <v>0.20422272677125999</v>
      </c>
      <c r="K5476">
        <v>0.13267851133292</v>
      </c>
      <c r="L5476">
        <v>844.70677532469995</v>
      </c>
      <c r="M5476">
        <v>15.6554291712108</v>
      </c>
      <c r="N5476">
        <v>54.827733670175299</v>
      </c>
      <c r="O5476">
        <v>53.098818044830203</v>
      </c>
      <c r="P5476">
        <v>-6.5594928931525395E-2</v>
      </c>
      <c r="Q5476">
        <v>0.11015807307233901</v>
      </c>
      <c r="R5476">
        <v>0.99694225295724703</v>
      </c>
      <c r="S5476" t="s">
        <v>11059</v>
      </c>
      <c r="T5476" t="s">
        <v>11164</v>
      </c>
      <c r="U5476" t="s">
        <v>11164</v>
      </c>
      <c r="V5476" t="s">
        <v>11164</v>
      </c>
      <c r="W5476" t="s">
        <v>16593</v>
      </c>
      <c r="X5476">
        <v>8</v>
      </c>
      <c r="Y5476" t="s">
        <v>22050</v>
      </c>
      <c r="Z5476" t="s">
        <v>27626</v>
      </c>
      <c r="AA5476">
        <v>0.62711253026686653</v>
      </c>
      <c r="AB5476" t="str">
        <f>HYPERLINK("Melting_Curves/meltCurve_Q9Y3P9_RABGAP1.pdf", "Melting_Curves/meltCurve_Q9Y3P9_RABGAP1.pdf")</f>
        <v>Melting_Curves/meltCurve_Q9Y3P9_RABGAP1.pdf</v>
      </c>
    </row>
    <row r="5477" spans="1:28" x14ac:dyDescent="0.25">
      <c r="A5477" t="s">
        <v>5481</v>
      </c>
      <c r="B5477">
        <v>0.99796759195183404</v>
      </c>
      <c r="C5477">
        <v>1.1028605717143101</v>
      </c>
      <c r="D5477">
        <v>1.0589607102408001</v>
      </c>
      <c r="E5477">
        <v>0.98911393532067804</v>
      </c>
      <c r="F5477">
        <v>0.88589248839691004</v>
      </c>
      <c r="G5477">
        <v>0.61649762073759795</v>
      </c>
      <c r="H5477">
        <v>0.30612238018443899</v>
      </c>
      <c r="I5477">
        <v>0.228388966632777</v>
      </c>
      <c r="J5477">
        <v>0.21311797702318599</v>
      </c>
      <c r="K5477">
        <v>0.15022802518609901</v>
      </c>
      <c r="L5477">
        <v>1379.05834650421</v>
      </c>
      <c r="M5477">
        <v>25.535324241777399</v>
      </c>
      <c r="N5477">
        <v>54.918262524965598</v>
      </c>
      <c r="O5477">
        <v>53.677957273150298</v>
      </c>
      <c r="P5477">
        <v>-9.83717048566769E-2</v>
      </c>
      <c r="Q5477">
        <v>0.17285923971773701</v>
      </c>
      <c r="R5477">
        <v>0.98833603916138701</v>
      </c>
      <c r="S5477" t="s">
        <v>11060</v>
      </c>
      <c r="T5477" t="s">
        <v>11164</v>
      </c>
      <c r="U5477" t="s">
        <v>11164</v>
      </c>
      <c r="V5477" t="s">
        <v>11164</v>
      </c>
      <c r="W5477" t="s">
        <v>16594</v>
      </c>
      <c r="X5477">
        <v>9</v>
      </c>
      <c r="Y5477" t="s">
        <v>22051</v>
      </c>
      <c r="Z5477" t="s">
        <v>27627</v>
      </c>
      <c r="AA5477">
        <v>0.64871084774575205</v>
      </c>
      <c r="AB5477" t="str">
        <f>HYPERLINK("Melting_Curves/meltCurve_Q9Y3Q8_TSC22D4.pdf", "Melting_Curves/meltCurve_Q9Y3Q8_TSC22D4.pdf")</f>
        <v>Melting_Curves/meltCurve_Q9Y3Q8_TSC22D4.pdf</v>
      </c>
    </row>
    <row r="5478" spans="1:28" x14ac:dyDescent="0.25">
      <c r="A5478" t="s">
        <v>5482</v>
      </c>
      <c r="B5478">
        <v>0.99796759195183404</v>
      </c>
      <c r="C5478">
        <v>1.78991296772346</v>
      </c>
      <c r="D5478">
        <v>1.5604767832472699</v>
      </c>
      <c r="E5478">
        <v>1.0674458838926499</v>
      </c>
      <c r="F5478">
        <v>1.14111424577378</v>
      </c>
      <c r="G5478">
        <v>1.6850846810546001</v>
      </c>
      <c r="H5478">
        <v>0.36859612183200202</v>
      </c>
      <c r="I5478">
        <v>0.23881386943146701</v>
      </c>
      <c r="J5478">
        <v>0</v>
      </c>
      <c r="K5478">
        <v>0</v>
      </c>
      <c r="L5478">
        <v>14305.1393140938</v>
      </c>
      <c r="M5478">
        <v>250</v>
      </c>
      <c r="N5478">
        <v>57.260277619317897</v>
      </c>
      <c r="O5478">
        <v>57.216895533791202</v>
      </c>
      <c r="P5478">
        <v>-1.0053799914472299</v>
      </c>
      <c r="Q5478">
        <v>7.9604450218308795E-2</v>
      </c>
      <c r="R5478">
        <v>0.65636628170900302</v>
      </c>
      <c r="S5478" t="s">
        <v>11061</v>
      </c>
      <c r="T5478" t="s">
        <v>11164</v>
      </c>
      <c r="U5478" t="s">
        <v>11164</v>
      </c>
      <c r="V5478" t="s">
        <v>11164</v>
      </c>
      <c r="W5478" t="s">
        <v>16595</v>
      </c>
      <c r="X5478">
        <v>1</v>
      </c>
      <c r="Y5478" t="s">
        <v>22052</v>
      </c>
      <c r="Z5478" t="s">
        <v>27628</v>
      </c>
      <c r="AA5478">
        <v>0.7000605745281191</v>
      </c>
      <c r="AB5478" t="str">
        <f>HYPERLINK("Melting_Curves/meltCurve_Q9Y3R5_2_DOPEY2.pdf", "Melting_Curves/meltCurve_Q9Y3R5_2_DOPEY2.pdf")</f>
        <v>Melting_Curves/meltCurve_Q9Y3R5_2_DOPEY2.pdf</v>
      </c>
    </row>
    <row r="5479" spans="1:28" x14ac:dyDescent="0.25">
      <c r="A5479" t="s">
        <v>5483</v>
      </c>
      <c r="B5479">
        <v>0.99796759195183404</v>
      </c>
      <c r="C5479">
        <v>1.19594555192276</v>
      </c>
      <c r="D5479">
        <v>1.0831823440550701</v>
      </c>
      <c r="E5479">
        <v>0.976555863160529</v>
      </c>
      <c r="F5479">
        <v>0.78874802004395705</v>
      </c>
      <c r="G5479">
        <v>0.37088071878526602</v>
      </c>
      <c r="H5479">
        <v>0.31491578611249299</v>
      </c>
      <c r="I5479">
        <v>0.26150748653149702</v>
      </c>
      <c r="J5479">
        <v>0.28155888652391098</v>
      </c>
      <c r="K5479">
        <v>0.27379969849316099</v>
      </c>
      <c r="L5479">
        <v>2034.9728452762099</v>
      </c>
      <c r="M5479">
        <v>39.6723279579356</v>
      </c>
      <c r="N5479">
        <v>52.370410694742397</v>
      </c>
      <c r="O5479">
        <v>51.164681710479599</v>
      </c>
      <c r="P5479">
        <v>-0.13982423035192201</v>
      </c>
      <c r="Q5479">
        <v>0.27868616719485501</v>
      </c>
      <c r="R5479">
        <v>0.96552776926394701</v>
      </c>
      <c r="S5479" t="s">
        <v>11062</v>
      </c>
      <c r="T5479" t="s">
        <v>11164</v>
      </c>
      <c r="U5479" t="s">
        <v>11164</v>
      </c>
      <c r="V5479" t="s">
        <v>11164</v>
      </c>
      <c r="W5479" t="s">
        <v>16596</v>
      </c>
      <c r="X5479">
        <v>5</v>
      </c>
      <c r="Y5479" t="s">
        <v>22053</v>
      </c>
      <c r="Z5479" t="s">
        <v>27629</v>
      </c>
      <c r="AA5479">
        <v>0.62497642206963033</v>
      </c>
      <c r="AB5479" t="str">
        <f>HYPERLINK("Melting_Curves/meltCurve_Q9Y3S2_ZNF330.pdf", "Melting_Curves/meltCurve_Q9Y3S2_ZNF330.pdf")</f>
        <v>Melting_Curves/meltCurve_Q9Y3S2_ZNF330.pdf</v>
      </c>
    </row>
    <row r="5480" spans="1:28" x14ac:dyDescent="0.25">
      <c r="A5480" t="s">
        <v>5484</v>
      </c>
      <c r="B5480">
        <v>0.99796759195183404</v>
      </c>
      <c r="C5480">
        <v>1.1797490791101799</v>
      </c>
      <c r="D5480">
        <v>1.09615921779822</v>
      </c>
      <c r="E5480">
        <v>1.0692431273240099</v>
      </c>
      <c r="F5480">
        <v>0.73404681733216404</v>
      </c>
      <c r="G5480">
        <v>0.338829547615348</v>
      </c>
      <c r="H5480">
        <v>0.240140689838309</v>
      </c>
      <c r="I5480">
        <v>0.17469061909418701</v>
      </c>
      <c r="J5480">
        <v>0.131887580169115</v>
      </c>
      <c r="K5480">
        <v>0.13965845175206701</v>
      </c>
      <c r="L5480">
        <v>1680.18948826066</v>
      </c>
      <c r="M5480">
        <v>32.565406562324597</v>
      </c>
      <c r="N5480">
        <v>52.219043655889898</v>
      </c>
      <c r="O5480">
        <v>51.400915668382197</v>
      </c>
      <c r="P5480">
        <v>-0.132835534176964</v>
      </c>
      <c r="Q5480">
        <v>0.16133876256427099</v>
      </c>
      <c r="R5480">
        <v>0.96914061534389295</v>
      </c>
      <c r="S5480" t="s">
        <v>11063</v>
      </c>
      <c r="T5480" t="s">
        <v>11164</v>
      </c>
      <c r="U5480" t="s">
        <v>11164</v>
      </c>
      <c r="V5480" t="s">
        <v>11164</v>
      </c>
      <c r="W5480" t="s">
        <v>16597</v>
      </c>
      <c r="X5480">
        <v>5</v>
      </c>
      <c r="Y5480" t="s">
        <v>22054</v>
      </c>
      <c r="Z5480" t="s">
        <v>27630</v>
      </c>
      <c r="AA5480">
        <v>0.57381693606104167</v>
      </c>
      <c r="AB5480" t="str">
        <f>HYPERLINK("Melting_Curves/meltCurve_Q9Y3T6_R3HCC1.pdf", "Melting_Curves/meltCurve_Q9Y3T6_R3HCC1.pdf")</f>
        <v>Melting_Curves/meltCurve_Q9Y3T6_R3HCC1.pdf</v>
      </c>
    </row>
    <row r="5481" spans="1:28" x14ac:dyDescent="0.25">
      <c r="A5481" t="s">
        <v>5485</v>
      </c>
      <c r="B5481">
        <v>0.99796759195183404</v>
      </c>
      <c r="C5481">
        <v>1.03766873829067</v>
      </c>
      <c r="D5481">
        <v>1.12620625728251</v>
      </c>
      <c r="E5481">
        <v>1.00835468234831</v>
      </c>
      <c r="F5481">
        <v>0.74188135567720503</v>
      </c>
      <c r="G5481">
        <v>0.29527567193334098</v>
      </c>
      <c r="H5481">
        <v>0.20004884398137199</v>
      </c>
      <c r="I5481">
        <v>0.17380111606915499</v>
      </c>
      <c r="J5481">
        <v>0.12025953659366601</v>
      </c>
      <c r="K5481">
        <v>9.4045387154806398E-2</v>
      </c>
      <c r="L5481">
        <v>1752.2487340581699</v>
      </c>
      <c r="M5481">
        <v>34.020980204639699</v>
      </c>
      <c r="N5481">
        <v>51.996658288029202</v>
      </c>
      <c r="O5481">
        <v>51.327966266302397</v>
      </c>
      <c r="P5481">
        <v>-0.14291136953772399</v>
      </c>
      <c r="Q5481">
        <v>0.137553249607169</v>
      </c>
      <c r="R5481">
        <v>0.98650521622606602</v>
      </c>
      <c r="S5481" t="s">
        <v>11064</v>
      </c>
      <c r="T5481" t="s">
        <v>11164</v>
      </c>
      <c r="U5481" t="s">
        <v>11164</v>
      </c>
      <c r="V5481" t="s">
        <v>11164</v>
      </c>
      <c r="W5481" t="s">
        <v>16598</v>
      </c>
      <c r="X5481">
        <v>14</v>
      </c>
      <c r="Y5481" t="s">
        <v>22055</v>
      </c>
      <c r="Z5481" t="s">
        <v>27631</v>
      </c>
      <c r="AA5481">
        <v>0.5587744267263246</v>
      </c>
      <c r="AB5481" t="str">
        <f>HYPERLINK("Melting_Curves/meltCurve_Q9Y3T9_NOC2L.pdf", "Melting_Curves/meltCurve_Q9Y3T9_NOC2L.pdf")</f>
        <v>Melting_Curves/meltCurve_Q9Y3T9_NOC2L.pdf</v>
      </c>
    </row>
    <row r="5482" spans="1:28" x14ac:dyDescent="0.25">
      <c r="A5482" t="s">
        <v>5486</v>
      </c>
      <c r="B5482">
        <v>0.99796759195183404</v>
      </c>
      <c r="C5482">
        <v>0.99970369420693495</v>
      </c>
      <c r="D5482">
        <v>1.10394296779232</v>
      </c>
      <c r="E5482">
        <v>0.92903747109159895</v>
      </c>
      <c r="F5482">
        <v>0.84209882862615804</v>
      </c>
      <c r="G5482">
        <v>0.46009926581814897</v>
      </c>
      <c r="H5482">
        <v>0.51600696745974395</v>
      </c>
      <c r="I5482">
        <v>0.60498867792714095</v>
      </c>
      <c r="J5482">
        <v>1.62971517950303</v>
      </c>
      <c r="K5482">
        <v>1.9602748152726801</v>
      </c>
      <c r="L5482">
        <v>15000</v>
      </c>
      <c r="M5482">
        <v>239.40339022768401</v>
      </c>
      <c r="O5482">
        <v>62.651373163851602</v>
      </c>
      <c r="P5482">
        <v>0.47764985952556799</v>
      </c>
      <c r="Q5482">
        <v>1.5</v>
      </c>
      <c r="R5482">
        <v>0.53336382073381206</v>
      </c>
      <c r="S5482" t="s">
        <v>11065</v>
      </c>
      <c r="T5482" t="s">
        <v>11164</v>
      </c>
      <c r="U5482" t="s">
        <v>11164</v>
      </c>
      <c r="V5482" t="s">
        <v>11164</v>
      </c>
      <c r="W5482" t="s">
        <v>16599</v>
      </c>
      <c r="X5482">
        <v>4</v>
      </c>
      <c r="Y5482" t="s">
        <v>22056</v>
      </c>
      <c r="Z5482" t="s">
        <v>27632</v>
      </c>
      <c r="AA5482">
        <v>1.072344139723201</v>
      </c>
      <c r="AB5482" t="str">
        <f>HYPERLINK("Melting_Curves/meltCurve_Q9Y3X0_CCDC9.pdf", "Melting_Curves/meltCurve_Q9Y3X0_CCDC9.pdf")</f>
        <v>Melting_Curves/meltCurve_Q9Y3X0_CCDC9.pdf</v>
      </c>
    </row>
    <row r="5483" spans="1:28" x14ac:dyDescent="0.25">
      <c r="A5483" t="s">
        <v>5487</v>
      </c>
      <c r="B5483">
        <v>0.99796759195183404</v>
      </c>
      <c r="C5483">
        <v>0.98136341809079097</v>
      </c>
      <c r="D5483">
        <v>0.96190887531409097</v>
      </c>
      <c r="E5483">
        <v>0.90636576059747898</v>
      </c>
      <c r="F5483">
        <v>0.74523280225830202</v>
      </c>
      <c r="G5483">
        <v>0.68039255651971897</v>
      </c>
      <c r="H5483">
        <v>0.458991077734832</v>
      </c>
      <c r="I5483">
        <v>0.343135351169573</v>
      </c>
      <c r="J5483">
        <v>0.2402764200609</v>
      </c>
      <c r="K5483">
        <v>0.14095530606302401</v>
      </c>
      <c r="L5483">
        <v>580.64805401664603</v>
      </c>
      <c r="M5483">
        <v>10.235929615776101</v>
      </c>
      <c r="N5483">
        <v>56.726466646722599</v>
      </c>
      <c r="O5483">
        <v>54.689226156193399</v>
      </c>
      <c r="P5483">
        <v>-4.6812159767468803E-2</v>
      </c>
      <c r="Q5483">
        <v>0</v>
      </c>
      <c r="R5483">
        <v>0.99428480650620099</v>
      </c>
      <c r="S5483" t="s">
        <v>11066</v>
      </c>
      <c r="T5483" t="s">
        <v>11164</v>
      </c>
      <c r="U5483" t="s">
        <v>11164</v>
      </c>
      <c r="V5483" t="s">
        <v>11164</v>
      </c>
      <c r="W5483" t="s">
        <v>16600</v>
      </c>
      <c r="X5483">
        <v>17</v>
      </c>
      <c r="Y5483" t="s">
        <v>22057</v>
      </c>
      <c r="Z5483" t="s">
        <v>27633</v>
      </c>
      <c r="AA5483">
        <v>0.6594555577805552</v>
      </c>
      <c r="AB5483" t="str">
        <f>HYPERLINK("Melting_Curves/meltCurve_Q9Y3Z3_4_SAMHD1.pdf", "Melting_Curves/meltCurve_Q9Y3Z3_4_SAMHD1.pdf")</f>
        <v>Melting_Curves/meltCurve_Q9Y3Z3_4_SAMHD1.pdf</v>
      </c>
    </row>
    <row r="5484" spans="1:28" x14ac:dyDescent="0.25">
      <c r="A5484" t="s">
        <v>5488</v>
      </c>
      <c r="B5484">
        <v>0.99796759195183404</v>
      </c>
      <c r="C5484">
        <v>0.86573412425371099</v>
      </c>
      <c r="D5484">
        <v>0.96604238676137399</v>
      </c>
      <c r="E5484">
        <v>0.88735815730568302</v>
      </c>
      <c r="F5484">
        <v>0.80777857528389996</v>
      </c>
      <c r="G5484">
        <v>0.49923075625388702</v>
      </c>
      <c r="H5484">
        <v>0.47513965592590701</v>
      </c>
      <c r="I5484">
        <v>0.46045595354630198</v>
      </c>
      <c r="J5484">
        <v>0.399082392695915</v>
      </c>
      <c r="K5484">
        <v>0.30987540951633802</v>
      </c>
      <c r="L5484">
        <v>718.39852762907697</v>
      </c>
      <c r="M5484">
        <v>13.8443737217042</v>
      </c>
      <c r="N5484">
        <v>56.2798214040346</v>
      </c>
      <c r="O5484">
        <v>50.8442867986344</v>
      </c>
      <c r="P5484">
        <v>-4.5605545068495998E-2</v>
      </c>
      <c r="Q5484">
        <v>0.33013627931988798</v>
      </c>
      <c r="R5484">
        <v>0.94624567280148397</v>
      </c>
      <c r="S5484" t="s">
        <v>11067</v>
      </c>
      <c r="T5484" t="s">
        <v>11164</v>
      </c>
      <c r="U5484" t="s">
        <v>11164</v>
      </c>
      <c r="V5484" t="s">
        <v>11164</v>
      </c>
      <c r="W5484" t="s">
        <v>16601</v>
      </c>
      <c r="X5484">
        <v>4</v>
      </c>
      <c r="Y5484" t="s">
        <v>22058</v>
      </c>
      <c r="Z5484" t="s">
        <v>27634</v>
      </c>
      <c r="AA5484">
        <v>0.67673065642450014</v>
      </c>
      <c r="AB5484" t="str">
        <f>HYPERLINK("Melting_Curves/meltCurve_Q9Y448_KNSTRN.pdf", "Melting_Curves/meltCurve_Q9Y448_KNSTRN.pdf")</f>
        <v>Melting_Curves/meltCurve_Q9Y448_KNSTRN.pdf</v>
      </c>
    </row>
    <row r="5485" spans="1:28" x14ac:dyDescent="0.25">
      <c r="A5485" t="s">
        <v>5489</v>
      </c>
      <c r="B5485">
        <v>0.99796759195183404</v>
      </c>
      <c r="C5485">
        <v>0.99999047633974403</v>
      </c>
      <c r="D5485">
        <v>0.96786115787058002</v>
      </c>
      <c r="E5485">
        <v>0.88891495743628401</v>
      </c>
      <c r="F5485">
        <v>0.76466366974625</v>
      </c>
      <c r="G5485">
        <v>0.46189516716907703</v>
      </c>
      <c r="H5485">
        <v>0.27238474770782301</v>
      </c>
      <c r="I5485">
        <v>0.215017831525812</v>
      </c>
      <c r="J5485">
        <v>0.14262296550683101</v>
      </c>
      <c r="K5485">
        <v>0.100874761042779</v>
      </c>
      <c r="L5485">
        <v>870.12936916659999</v>
      </c>
      <c r="M5485">
        <v>16.458692551243502</v>
      </c>
      <c r="N5485">
        <v>53.524169014138302</v>
      </c>
      <c r="O5485">
        <v>52.105508636172502</v>
      </c>
      <c r="P5485">
        <v>-7.1753582363011395E-2</v>
      </c>
      <c r="Q5485">
        <v>9.1423902090682102E-2</v>
      </c>
      <c r="R5485">
        <v>0.99721390541807498</v>
      </c>
      <c r="S5485" t="s">
        <v>11068</v>
      </c>
      <c r="T5485" t="s">
        <v>11164</v>
      </c>
      <c r="U5485" t="s">
        <v>11164</v>
      </c>
      <c r="V5485" t="s">
        <v>11164</v>
      </c>
      <c r="W5485" t="s">
        <v>16602</v>
      </c>
      <c r="X5485">
        <v>8</v>
      </c>
      <c r="Y5485" t="s">
        <v>22059</v>
      </c>
      <c r="Z5485" t="s">
        <v>27635</v>
      </c>
      <c r="AA5485">
        <v>0.58682147848256605</v>
      </c>
      <c r="AB5485" t="str">
        <f>HYPERLINK("Melting_Curves/meltCurve_Q9Y450_4_HBS1L.pdf", "Melting_Curves/meltCurve_Q9Y450_4_HBS1L.pdf")</f>
        <v>Melting_Curves/meltCurve_Q9Y450_4_HBS1L.pdf</v>
      </c>
    </row>
    <row r="5486" spans="1:28" x14ac:dyDescent="0.25">
      <c r="A5486" t="s">
        <v>5490</v>
      </c>
      <c r="B5486">
        <v>0.99796759195183404</v>
      </c>
      <c r="C5486">
        <v>1.0299750472357601</v>
      </c>
      <c r="D5486">
        <v>0.94513843919214102</v>
      </c>
      <c r="E5486">
        <v>0.89102045769310301</v>
      </c>
      <c r="F5486">
        <v>0.73213655572679603</v>
      </c>
      <c r="G5486">
        <v>0.41829432675848399</v>
      </c>
      <c r="H5486">
        <v>0.44235432883283299</v>
      </c>
      <c r="I5486">
        <v>0.28733621172070301</v>
      </c>
      <c r="J5486">
        <v>0.24806215426523001</v>
      </c>
      <c r="K5486">
        <v>0.26173387834492401</v>
      </c>
      <c r="L5486">
        <v>857.51689317415196</v>
      </c>
      <c r="M5486">
        <v>16.659503450932799</v>
      </c>
      <c r="N5486">
        <v>53.6452615995115</v>
      </c>
      <c r="O5486">
        <v>50.748650420466802</v>
      </c>
      <c r="P5486">
        <v>-6.1940786782179E-2</v>
      </c>
      <c r="Q5486">
        <v>0.245307756490005</v>
      </c>
      <c r="R5486">
        <v>0.98319107526064597</v>
      </c>
      <c r="S5486" t="s">
        <v>11069</v>
      </c>
      <c r="T5486" t="s">
        <v>11164</v>
      </c>
      <c r="U5486" t="s">
        <v>11164</v>
      </c>
      <c r="V5486" t="s">
        <v>11164</v>
      </c>
      <c r="W5486" t="s">
        <v>11610</v>
      </c>
      <c r="X5486">
        <v>2</v>
      </c>
      <c r="Y5486" t="s">
        <v>17143</v>
      </c>
      <c r="Z5486" t="s">
        <v>27636</v>
      </c>
      <c r="AA5486">
        <v>0.62234751349816786</v>
      </c>
      <c r="AB5486" t="str">
        <f>HYPERLINK("Melting_Curves/meltCurve_Q9Y467_SALL2.pdf", "Melting_Curves/meltCurve_Q9Y467_SALL2.pdf")</f>
        <v>Melting_Curves/meltCurve_Q9Y467_SALL2.pdf</v>
      </c>
    </row>
    <row r="5487" spans="1:28" x14ac:dyDescent="0.25">
      <c r="A5487" t="s">
        <v>5491</v>
      </c>
      <c r="B5487">
        <v>0.99796759195183404</v>
      </c>
      <c r="C5487">
        <v>1.00574034327475</v>
      </c>
      <c r="D5487">
        <v>0.986731037595725</v>
      </c>
      <c r="E5487">
        <v>0.92311561920796703</v>
      </c>
      <c r="F5487">
        <v>0.84878697702725503</v>
      </c>
      <c r="G5487">
        <v>0.52925445212603495</v>
      </c>
      <c r="H5487">
        <v>0.20707346331893201</v>
      </c>
      <c r="I5487">
        <v>0.155978865565682</v>
      </c>
      <c r="J5487">
        <v>0.117205482149302</v>
      </c>
      <c r="K5487">
        <v>8.7361381888026807E-2</v>
      </c>
      <c r="L5487">
        <v>1272.88917195416</v>
      </c>
      <c r="M5487">
        <v>23.797166633018499</v>
      </c>
      <c r="N5487">
        <v>53.937276304390203</v>
      </c>
      <c r="O5487">
        <v>53.115675217035999</v>
      </c>
      <c r="P5487">
        <v>-0.101960389990811</v>
      </c>
      <c r="Q5487">
        <v>8.9705544618133098E-2</v>
      </c>
      <c r="R5487">
        <v>0.996848429582325</v>
      </c>
      <c r="S5487" t="s">
        <v>11070</v>
      </c>
      <c r="T5487" t="s">
        <v>11164</v>
      </c>
      <c r="U5487" t="s">
        <v>11164</v>
      </c>
      <c r="V5487" t="s">
        <v>11164</v>
      </c>
      <c r="W5487" t="s">
        <v>16603</v>
      </c>
      <c r="X5487">
        <v>54</v>
      </c>
      <c r="Y5487" t="s">
        <v>22060</v>
      </c>
      <c r="Z5487" t="s">
        <v>27637</v>
      </c>
      <c r="AA5487">
        <v>0.59872105175702306</v>
      </c>
      <c r="AB5487" t="str">
        <f>HYPERLINK("Melting_Curves/meltCurve_Q9Y490_TLN1.pdf", "Melting_Curves/meltCurve_Q9Y490_TLN1.pdf")</f>
        <v>Melting_Curves/meltCurve_Q9Y490_TLN1.pdf</v>
      </c>
    </row>
    <row r="5488" spans="1:28" x14ac:dyDescent="0.25">
      <c r="A5488" t="s">
        <v>5492</v>
      </c>
      <c r="B5488">
        <v>0.99796759195183404</v>
      </c>
      <c r="C5488">
        <v>0.93335397258496</v>
      </c>
      <c r="D5488">
        <v>0.90793542494311397</v>
      </c>
      <c r="E5488">
        <v>0.79979011265806998</v>
      </c>
      <c r="F5488">
        <v>0.66651855827269302</v>
      </c>
      <c r="G5488">
        <v>0.297248720138586</v>
      </c>
      <c r="H5488">
        <v>0.19574400179999499</v>
      </c>
      <c r="I5488">
        <v>0.215280189351125</v>
      </c>
      <c r="J5488">
        <v>0.148674153980173</v>
      </c>
      <c r="K5488">
        <v>0.108619616654604</v>
      </c>
      <c r="L5488">
        <v>794.49698514829004</v>
      </c>
      <c r="M5488">
        <v>15.675369658233199</v>
      </c>
      <c r="N5488">
        <v>51.456405328804102</v>
      </c>
      <c r="O5488">
        <v>49.8810168142263</v>
      </c>
      <c r="P5488">
        <v>-7.0337581499923404E-2</v>
      </c>
      <c r="Q5488">
        <v>0.104783196185639</v>
      </c>
      <c r="R5488">
        <v>0.98365621715329599</v>
      </c>
      <c r="S5488" t="s">
        <v>11071</v>
      </c>
      <c r="T5488" t="s">
        <v>11164</v>
      </c>
      <c r="U5488" t="s">
        <v>11164</v>
      </c>
      <c r="V5488" t="s">
        <v>11164</v>
      </c>
      <c r="W5488" t="s">
        <v>16604</v>
      </c>
      <c r="X5488">
        <v>10</v>
      </c>
      <c r="Y5488" t="s">
        <v>22061</v>
      </c>
      <c r="Z5488" t="s">
        <v>27638</v>
      </c>
      <c r="AA5488">
        <v>0.53031385677975551</v>
      </c>
      <c r="AB5488" t="str">
        <f>HYPERLINK("Melting_Curves/meltCurve_Q9Y4C1_KDM3A.pdf", "Melting_Curves/meltCurve_Q9Y4C1_KDM3A.pdf")</f>
        <v>Melting_Curves/meltCurve_Q9Y4C1_KDM3A.pdf</v>
      </c>
    </row>
    <row r="5489" spans="1:28" x14ac:dyDescent="0.25">
      <c r="A5489" t="s">
        <v>5493</v>
      </c>
      <c r="B5489">
        <v>0.99796759195183404</v>
      </c>
      <c r="C5489">
        <v>0.97624962602517595</v>
      </c>
      <c r="D5489">
        <v>0.93274454763280001</v>
      </c>
      <c r="E5489">
        <v>0.87406206661126795</v>
      </c>
      <c r="F5489">
        <v>0.61540237049347801</v>
      </c>
      <c r="G5489">
        <v>0.30524966916009</v>
      </c>
      <c r="H5489">
        <v>0.247597009382858</v>
      </c>
      <c r="I5489">
        <v>0.175834584169651</v>
      </c>
      <c r="J5489">
        <v>0.13278380022698399</v>
      </c>
      <c r="K5489">
        <v>9.7838878706125496E-2</v>
      </c>
      <c r="L5489">
        <v>925.99198611985901</v>
      </c>
      <c r="M5489">
        <v>18.2383471661092</v>
      </c>
      <c r="N5489">
        <v>51.508221059486601</v>
      </c>
      <c r="O5489">
        <v>50.173130557406502</v>
      </c>
      <c r="P5489">
        <v>-8.0450070973072496E-2</v>
      </c>
      <c r="Q5489">
        <v>0.114778815320162</v>
      </c>
      <c r="R5489">
        <v>0.99502362487723495</v>
      </c>
      <c r="S5489" t="s">
        <v>11072</v>
      </c>
      <c r="T5489" t="s">
        <v>11164</v>
      </c>
      <c r="U5489" t="s">
        <v>11164</v>
      </c>
      <c r="V5489" t="s">
        <v>11164</v>
      </c>
      <c r="W5489" t="s">
        <v>16605</v>
      </c>
      <c r="X5489">
        <v>10</v>
      </c>
      <c r="Y5489" t="s">
        <v>22062</v>
      </c>
      <c r="Z5489" t="s">
        <v>27639</v>
      </c>
      <c r="AA5489">
        <v>0.53465053412739494</v>
      </c>
      <c r="AB5489" t="str">
        <f>HYPERLINK("Melting_Curves/meltCurve_Q9Y4C2_2_FAM115A.pdf", "Melting_Curves/meltCurve_Q9Y4C2_2_FAM115A.pdf")</f>
        <v>Melting_Curves/meltCurve_Q9Y4C2_2_FAM115A.pdf</v>
      </c>
    </row>
    <row r="5490" spans="1:28" x14ac:dyDescent="0.25">
      <c r="A5490" t="s">
        <v>5494</v>
      </c>
      <c r="B5490">
        <v>0.99796759195183404</v>
      </c>
      <c r="C5490">
        <v>0.78673455105232504</v>
      </c>
      <c r="D5490">
        <v>0.89805693101308404</v>
      </c>
      <c r="E5490">
        <v>0.84197239565089699</v>
      </c>
      <c r="F5490">
        <v>0.76670820259689698</v>
      </c>
      <c r="G5490">
        <v>0.66964470031369305</v>
      </c>
      <c r="H5490">
        <v>0.59031369263143896</v>
      </c>
      <c r="I5490">
        <v>0.43014018692643302</v>
      </c>
      <c r="J5490">
        <v>0.395460717729824</v>
      </c>
      <c r="K5490">
        <v>0.31549367463229899</v>
      </c>
      <c r="L5490">
        <v>336.324554091675</v>
      </c>
      <c r="M5490">
        <v>5.6585695451318001</v>
      </c>
      <c r="N5490">
        <v>59.436313614946798</v>
      </c>
      <c r="O5490">
        <v>53.261604855019101</v>
      </c>
      <c r="P5490">
        <v>-2.66661487862461E-2</v>
      </c>
      <c r="Q5490">
        <v>0</v>
      </c>
      <c r="R5490">
        <v>0.93707812057194495</v>
      </c>
      <c r="S5490" t="s">
        <v>11073</v>
      </c>
      <c r="T5490" t="s">
        <v>11164</v>
      </c>
      <c r="U5490" t="s">
        <v>11164</v>
      </c>
      <c r="V5490" t="s">
        <v>11164</v>
      </c>
      <c r="W5490" t="s">
        <v>16606</v>
      </c>
      <c r="X5490">
        <v>27</v>
      </c>
      <c r="Y5490" t="s">
        <v>22063</v>
      </c>
      <c r="Z5490" t="s">
        <v>27640</v>
      </c>
      <c r="AA5490">
        <v>0.6808302550612062</v>
      </c>
      <c r="AB5490" t="str">
        <f>HYPERLINK("Melting_Curves/meltCurve_Q9Y4E1_2_FAM21C.pdf", "Melting_Curves/meltCurve_Q9Y4E1_2_FAM21C.pdf")</f>
        <v>Melting_Curves/meltCurve_Q9Y4E1_2_FAM21C.pdf</v>
      </c>
    </row>
    <row r="5491" spans="1:28" x14ac:dyDescent="0.25">
      <c r="A5491" t="s">
        <v>5495</v>
      </c>
      <c r="B5491">
        <v>0.99796759195183404</v>
      </c>
      <c r="C5491">
        <v>1.04190368786593</v>
      </c>
      <c r="D5491">
        <v>0.96526076969779595</v>
      </c>
      <c r="E5491">
        <v>0.94648184288176296</v>
      </c>
      <c r="F5491">
        <v>0.89379573075094598</v>
      </c>
      <c r="G5491">
        <v>0.39437578710004501</v>
      </c>
      <c r="H5491">
        <v>0.33556484551962301</v>
      </c>
      <c r="I5491">
        <v>0.27320452607253198</v>
      </c>
      <c r="J5491">
        <v>0.183499497304491</v>
      </c>
      <c r="K5491">
        <v>0.117075860360131</v>
      </c>
      <c r="L5491">
        <v>1807.3743529789799</v>
      </c>
      <c r="M5491">
        <v>34.485333238644799</v>
      </c>
      <c r="N5491">
        <v>53.242446066522398</v>
      </c>
      <c r="O5491">
        <v>52.234645413393402</v>
      </c>
      <c r="P5491">
        <v>-0.130654606745708</v>
      </c>
      <c r="Q5491">
        <v>0.20839722500794799</v>
      </c>
      <c r="R5491">
        <v>0.978264237827422</v>
      </c>
      <c r="S5491" t="s">
        <v>11074</v>
      </c>
      <c r="T5491" t="s">
        <v>11164</v>
      </c>
      <c r="U5491" t="s">
        <v>11164</v>
      </c>
      <c r="V5491" t="s">
        <v>11164</v>
      </c>
      <c r="W5491" t="s">
        <v>16607</v>
      </c>
      <c r="X5491">
        <v>8</v>
      </c>
      <c r="Y5491" t="s">
        <v>22064</v>
      </c>
      <c r="Z5491" t="s">
        <v>27641</v>
      </c>
      <c r="AA5491">
        <v>0.61884815349852185</v>
      </c>
      <c r="AB5491" t="str">
        <f>HYPERLINK("Melting_Curves/meltCurve_Q9Y4E8_USP15.pdf", "Melting_Curves/meltCurve_Q9Y4E8_USP15.pdf")</f>
        <v>Melting_Curves/meltCurve_Q9Y4E8_USP15.pdf</v>
      </c>
    </row>
    <row r="5492" spans="1:28" x14ac:dyDescent="0.25">
      <c r="A5492" t="s">
        <v>5496</v>
      </c>
      <c r="B5492">
        <v>0.99796759195183404</v>
      </c>
      <c r="C5492">
        <v>0.88521463454036597</v>
      </c>
      <c r="D5492">
        <v>0.95845928512251599</v>
      </c>
      <c r="E5492">
        <v>0.97147833630538205</v>
      </c>
      <c r="F5492">
        <v>0.92736750702842197</v>
      </c>
      <c r="G5492">
        <v>0.47401571486265898</v>
      </c>
      <c r="H5492">
        <v>0.27987463132804402</v>
      </c>
      <c r="I5492">
        <v>0.104615125132763</v>
      </c>
      <c r="J5492">
        <v>7.7698520574369101E-2</v>
      </c>
      <c r="K5492">
        <v>0</v>
      </c>
      <c r="L5492">
        <v>1257.1630107910401</v>
      </c>
      <c r="M5492">
        <v>23.268404507904499</v>
      </c>
      <c r="N5492">
        <v>54.191412415959199</v>
      </c>
      <c r="O5492">
        <v>53.6344406671071</v>
      </c>
      <c r="P5492">
        <v>-0.104802050648925</v>
      </c>
      <c r="Q5492">
        <v>3.3728526367587802E-2</v>
      </c>
      <c r="R5492">
        <v>0.98213960386600196</v>
      </c>
      <c r="S5492" t="s">
        <v>11075</v>
      </c>
      <c r="T5492" t="s">
        <v>11164</v>
      </c>
      <c r="U5492" t="s">
        <v>11164</v>
      </c>
      <c r="V5492" t="s">
        <v>11164</v>
      </c>
      <c r="W5492" t="s">
        <v>16608</v>
      </c>
      <c r="X5492">
        <v>2</v>
      </c>
      <c r="Y5492" t="s">
        <v>22065</v>
      </c>
      <c r="Z5492" t="s">
        <v>27642</v>
      </c>
      <c r="AA5492">
        <v>0.5916431321653024</v>
      </c>
      <c r="AB5492" t="str">
        <f>HYPERLINK("Melting_Curves/meltCurve_Q9Y4F1_FARP1.pdf", "Melting_Curves/meltCurve_Q9Y4F1_FARP1.pdf")</f>
        <v>Melting_Curves/meltCurve_Q9Y4F1_FARP1.pdf</v>
      </c>
    </row>
    <row r="5493" spans="1:28" x14ac:dyDescent="0.25">
      <c r="A5493" t="s">
        <v>5497</v>
      </c>
      <c r="B5493">
        <v>0.99796759195183404</v>
      </c>
      <c r="C5493">
        <v>0.88938974966280704</v>
      </c>
      <c r="D5493">
        <v>0.90164785516303803</v>
      </c>
      <c r="E5493">
        <v>0.78846505123315203</v>
      </c>
      <c r="F5493">
        <v>0.70095120903303798</v>
      </c>
      <c r="G5493">
        <v>0.29857897036627901</v>
      </c>
      <c r="H5493">
        <v>0.224521620671885</v>
      </c>
      <c r="I5493">
        <v>0.19797466294926599</v>
      </c>
      <c r="J5493">
        <v>0.17580326269056501</v>
      </c>
      <c r="K5493">
        <v>9.7045648200694501E-2</v>
      </c>
      <c r="L5493">
        <v>705.54391673666498</v>
      </c>
      <c r="M5493">
        <v>13.8284491124542</v>
      </c>
      <c r="N5493">
        <v>51.727212617213198</v>
      </c>
      <c r="O5493">
        <v>49.9897195031187</v>
      </c>
      <c r="P5493">
        <v>-6.3217602599666703E-2</v>
      </c>
      <c r="Q5493">
        <v>8.6002650549763804E-2</v>
      </c>
      <c r="R5493">
        <v>0.972168629812456</v>
      </c>
      <c r="S5493" t="s">
        <v>11076</v>
      </c>
      <c r="T5493" t="s">
        <v>11164</v>
      </c>
      <c r="U5493" t="s">
        <v>11164</v>
      </c>
      <c r="V5493" t="s">
        <v>11164</v>
      </c>
      <c r="W5493" t="s">
        <v>16609</v>
      </c>
      <c r="X5493">
        <v>10</v>
      </c>
      <c r="Y5493" t="s">
        <v>22066</v>
      </c>
      <c r="Z5493" t="s">
        <v>27643</v>
      </c>
      <c r="AA5493">
        <v>0.53352983102576679</v>
      </c>
      <c r="AB5493" t="str">
        <f>HYPERLINK("Melting_Curves/meltCurve_Q9Y4H2_IRS2.pdf", "Melting_Curves/meltCurve_Q9Y4H2_IRS2.pdf")</f>
        <v>Melting_Curves/meltCurve_Q9Y4H2_IRS2.pdf</v>
      </c>
    </row>
    <row r="5494" spans="1:28" x14ac:dyDescent="0.25">
      <c r="A5494" t="s">
        <v>5498</v>
      </c>
      <c r="B5494">
        <v>0.99796759195183404</v>
      </c>
      <c r="C5494">
        <v>0.92948389310948498</v>
      </c>
      <c r="D5494">
        <v>0.87462972070038703</v>
      </c>
      <c r="E5494">
        <v>0.81320233453371604</v>
      </c>
      <c r="F5494">
        <v>0.58653841546952001</v>
      </c>
      <c r="G5494">
        <v>0.462696189505647</v>
      </c>
      <c r="H5494">
        <v>0.34098672844535</v>
      </c>
      <c r="I5494">
        <v>0.24442335617574601</v>
      </c>
      <c r="J5494">
        <v>0.17223200473025099</v>
      </c>
      <c r="K5494">
        <v>0.201748351883107</v>
      </c>
      <c r="L5494">
        <v>523.69552636359094</v>
      </c>
      <c r="M5494">
        <v>10.143969864030799</v>
      </c>
      <c r="N5494">
        <v>52.693248792529999</v>
      </c>
      <c r="O5494">
        <v>49.740493341462397</v>
      </c>
      <c r="P5494">
        <v>-4.62724160245866E-2</v>
      </c>
      <c r="Q5494">
        <v>9.2839460075259506E-2</v>
      </c>
      <c r="R5494">
        <v>0.99401992554661101</v>
      </c>
      <c r="S5494" t="s">
        <v>11077</v>
      </c>
      <c r="T5494" t="s">
        <v>11164</v>
      </c>
      <c r="U5494" t="s">
        <v>11164</v>
      </c>
      <c r="V5494" t="s">
        <v>11164</v>
      </c>
      <c r="W5494" t="s">
        <v>16610</v>
      </c>
      <c r="X5494">
        <v>5</v>
      </c>
      <c r="Y5494" t="s">
        <v>22067</v>
      </c>
      <c r="Z5494" t="s">
        <v>27644</v>
      </c>
      <c r="AA5494">
        <v>0.56042597886645285</v>
      </c>
      <c r="AB5494" t="str">
        <f>HYPERLINK("Melting_Curves/meltCurve_Q9Y4K3_TRAF6.pdf", "Melting_Curves/meltCurve_Q9Y4K3_TRAF6.pdf")</f>
        <v>Melting_Curves/meltCurve_Q9Y4K3_TRAF6.pdf</v>
      </c>
    </row>
    <row r="5495" spans="1:28" x14ac:dyDescent="0.25">
      <c r="A5495" t="s">
        <v>5499</v>
      </c>
      <c r="B5495">
        <v>0.99796759195183404</v>
      </c>
      <c r="C5495">
        <v>0.99480923176883196</v>
      </c>
      <c r="D5495">
        <v>1.00822065251381</v>
      </c>
      <c r="E5495">
        <v>0.95173184937111599</v>
      </c>
      <c r="F5495">
        <v>0.83857936824908197</v>
      </c>
      <c r="G5495">
        <v>0.51482820752612202</v>
      </c>
      <c r="H5495">
        <v>0.25860196195570401</v>
      </c>
      <c r="I5495">
        <v>0.19730271657319101</v>
      </c>
      <c r="J5495">
        <v>0.156596601169637</v>
      </c>
      <c r="K5495">
        <v>0.118636407909778</v>
      </c>
      <c r="L5495">
        <v>1227.95474308966</v>
      </c>
      <c r="M5495">
        <v>23.050849741842701</v>
      </c>
      <c r="N5495">
        <v>53.982406595164498</v>
      </c>
      <c r="O5495">
        <v>52.875486531679499</v>
      </c>
      <c r="P5495">
        <v>-9.4722080401389297E-2</v>
      </c>
      <c r="Q5495">
        <v>0.13089830282272999</v>
      </c>
      <c r="R5495">
        <v>0.99881587095424396</v>
      </c>
      <c r="S5495" t="s">
        <v>11078</v>
      </c>
      <c r="T5495" t="s">
        <v>11164</v>
      </c>
      <c r="U5495" t="s">
        <v>11164</v>
      </c>
      <c r="V5495" t="s">
        <v>11164</v>
      </c>
      <c r="W5495" t="s">
        <v>16611</v>
      </c>
      <c r="X5495">
        <v>13</v>
      </c>
      <c r="Y5495" t="s">
        <v>22068</v>
      </c>
      <c r="Z5495" t="s">
        <v>27645</v>
      </c>
      <c r="AA5495">
        <v>0.61104643970867589</v>
      </c>
      <c r="AB5495" t="str">
        <f>HYPERLINK("Melting_Curves/meltCurve_Q9Y4K4_MAP4K5.pdf", "Melting_Curves/meltCurve_Q9Y4K4_MAP4K5.pdf")</f>
        <v>Melting_Curves/meltCurve_Q9Y4K4_MAP4K5.pdf</v>
      </c>
    </row>
    <row r="5496" spans="1:28" x14ac:dyDescent="0.25">
      <c r="A5496" t="s">
        <v>5500</v>
      </c>
      <c r="B5496">
        <v>0.99796759195183404</v>
      </c>
      <c r="C5496">
        <v>1.00922159034075</v>
      </c>
      <c r="D5496">
        <v>1.0059157549710001</v>
      </c>
      <c r="E5496">
        <v>0.92429083457139505</v>
      </c>
      <c r="F5496">
        <v>0.86973038507206701</v>
      </c>
      <c r="G5496">
        <v>0.31335240986026602</v>
      </c>
      <c r="H5496">
        <v>0.131459319697945</v>
      </c>
      <c r="I5496">
        <v>7.7112763885609198E-2</v>
      </c>
      <c r="J5496">
        <v>5.3357313070005699E-2</v>
      </c>
      <c r="K5496">
        <v>4.1389343942817403E-2</v>
      </c>
      <c r="L5496">
        <v>1948.8251659043799</v>
      </c>
      <c r="M5496">
        <v>37.1505199336776</v>
      </c>
      <c r="N5496">
        <v>52.646981068948897</v>
      </c>
      <c r="O5496">
        <v>52.306260715908401</v>
      </c>
      <c r="P5496">
        <v>-0.16645424155359201</v>
      </c>
      <c r="Q5496">
        <v>6.2562558444423697E-2</v>
      </c>
      <c r="R5496">
        <v>0.99623317323440896</v>
      </c>
      <c r="S5496" t="s">
        <v>11079</v>
      </c>
      <c r="T5496" t="s">
        <v>11164</v>
      </c>
      <c r="U5496" t="s">
        <v>11164</v>
      </c>
      <c r="V5496" t="s">
        <v>11164</v>
      </c>
      <c r="W5496" t="s">
        <v>16612</v>
      </c>
      <c r="X5496">
        <v>4</v>
      </c>
      <c r="Y5496" t="s">
        <v>22069</v>
      </c>
      <c r="Z5496" t="s">
        <v>27646</v>
      </c>
      <c r="AA5496">
        <v>0.54950163987006695</v>
      </c>
      <c r="AB5496" t="str">
        <f>HYPERLINK("Melting_Curves/meltCurve_Q9Y4P1_6_ATG4B.pdf", "Melting_Curves/meltCurve_Q9Y4P1_6_ATG4B.pdf")</f>
        <v>Melting_Curves/meltCurve_Q9Y4P1_6_ATG4B.pdf</v>
      </c>
    </row>
    <row r="5497" spans="1:28" x14ac:dyDescent="0.25">
      <c r="A5497" t="s">
        <v>5501</v>
      </c>
      <c r="B5497">
        <v>0.99796759195183404</v>
      </c>
      <c r="C5497">
        <v>0.955837684050728</v>
      </c>
      <c r="D5497">
        <v>0.975667353150387</v>
      </c>
      <c r="E5497">
        <v>0.90451780363734602</v>
      </c>
      <c r="F5497">
        <v>0.71517157656608599</v>
      </c>
      <c r="G5497">
        <v>0.45274772783778999</v>
      </c>
      <c r="H5497">
        <v>0.17380337554941799</v>
      </c>
      <c r="I5497">
        <v>0.12431561104687799</v>
      </c>
      <c r="J5497">
        <v>0.104023189414728</v>
      </c>
      <c r="K5497">
        <v>8.1507970888033202E-2</v>
      </c>
      <c r="L5497">
        <v>982.73878796545603</v>
      </c>
      <c r="M5497">
        <v>18.732998512833301</v>
      </c>
      <c r="N5497">
        <v>52.821716233284697</v>
      </c>
      <c r="O5497">
        <v>51.873464096067799</v>
      </c>
      <c r="P5497">
        <v>-8.4855007802261503E-2</v>
      </c>
      <c r="Q5497">
        <v>6.0153264863827702E-2</v>
      </c>
      <c r="R5497">
        <v>0.996569118440783</v>
      </c>
      <c r="S5497" t="s">
        <v>11080</v>
      </c>
      <c r="T5497" t="s">
        <v>11164</v>
      </c>
      <c r="U5497" t="s">
        <v>11164</v>
      </c>
      <c r="V5497" t="s">
        <v>11164</v>
      </c>
      <c r="W5497" t="s">
        <v>16613</v>
      </c>
      <c r="X5497">
        <v>5</v>
      </c>
      <c r="Y5497" t="s">
        <v>22070</v>
      </c>
      <c r="Z5497" t="s">
        <v>27647</v>
      </c>
      <c r="AA5497">
        <v>0.55772689036713752</v>
      </c>
      <c r="AB5497" t="str">
        <f>HYPERLINK("Melting_Curves/meltCurve_Q9Y4P8_3_WIPI2.pdf", "Melting_Curves/meltCurve_Q9Y4P8_3_WIPI2.pdf")</f>
        <v>Melting_Curves/meltCurve_Q9Y4P8_3_WIPI2.pdf</v>
      </c>
    </row>
    <row r="5498" spans="1:28" x14ac:dyDescent="0.25">
      <c r="A5498" t="s">
        <v>5502</v>
      </c>
      <c r="B5498">
        <v>0.99796759195183404</v>
      </c>
      <c r="C5498">
        <v>1.0379062273438699</v>
      </c>
      <c r="D5498">
        <v>0.93990594531080596</v>
      </c>
      <c r="E5498">
        <v>0.76738166120845897</v>
      </c>
      <c r="F5498">
        <v>0.52304403129224597</v>
      </c>
      <c r="G5498">
        <v>0.33691736326475702</v>
      </c>
      <c r="H5498">
        <v>0.20422413692608199</v>
      </c>
      <c r="I5498">
        <v>0.17542480275564201</v>
      </c>
      <c r="J5498">
        <v>0.13555566619446799</v>
      </c>
      <c r="K5498">
        <v>0.112501391156027</v>
      </c>
      <c r="L5498">
        <v>789.97727201831196</v>
      </c>
      <c r="M5498">
        <v>15.851452968161</v>
      </c>
      <c r="N5498">
        <v>50.648165288552597</v>
      </c>
      <c r="O5498">
        <v>49.063350041517502</v>
      </c>
      <c r="P5498">
        <v>-7.1714321693844799E-2</v>
      </c>
      <c r="Q5498">
        <v>0.112192944975064</v>
      </c>
      <c r="R5498">
        <v>0.99695842285554104</v>
      </c>
      <c r="S5498" t="s">
        <v>11081</v>
      </c>
      <c r="T5498" t="s">
        <v>11164</v>
      </c>
      <c r="U5498" t="s">
        <v>11164</v>
      </c>
      <c r="V5498" t="s">
        <v>11164</v>
      </c>
      <c r="W5498" t="s">
        <v>16614</v>
      </c>
      <c r="X5498">
        <v>7</v>
      </c>
      <c r="Y5498" t="s">
        <v>22071</v>
      </c>
      <c r="Z5498" t="s">
        <v>27648</v>
      </c>
      <c r="AA5498">
        <v>0.5092368602827565</v>
      </c>
      <c r="AB5498" t="str">
        <f>HYPERLINK("Melting_Curves/meltCurve_Q9Y4R8_TELO2.pdf", "Melting_Curves/meltCurve_Q9Y4R8_TELO2.pdf")</f>
        <v>Melting_Curves/meltCurve_Q9Y4R8_TELO2.pdf</v>
      </c>
    </row>
    <row r="5499" spans="1:28" x14ac:dyDescent="0.25">
      <c r="A5499" t="s">
        <v>5503</v>
      </c>
      <c r="B5499">
        <v>0.99796759195183404</v>
      </c>
      <c r="C5499">
        <v>0.93238968922380905</v>
      </c>
      <c r="D5499">
        <v>0.91823854736829202</v>
      </c>
      <c r="E5499">
        <v>0.84316016154254902</v>
      </c>
      <c r="F5499">
        <v>0.50094866615256395</v>
      </c>
      <c r="G5499">
        <v>0.27282006267895598</v>
      </c>
      <c r="H5499">
        <v>0.188472243075259</v>
      </c>
      <c r="I5499">
        <v>0.22830269153091401</v>
      </c>
      <c r="J5499">
        <v>0.20392549233749299</v>
      </c>
      <c r="K5499">
        <v>0.18683599956319399</v>
      </c>
      <c r="L5499">
        <v>1157.9025804318601</v>
      </c>
      <c r="M5499">
        <v>23.557341288785601</v>
      </c>
      <c r="N5499">
        <v>50.174561066629202</v>
      </c>
      <c r="O5499">
        <v>48.802450901215899</v>
      </c>
      <c r="P5499">
        <v>-9.7681994619133697E-2</v>
      </c>
      <c r="Q5499">
        <v>0.19056445128558899</v>
      </c>
      <c r="R5499">
        <v>0.99166385615292796</v>
      </c>
      <c r="S5499" t="s">
        <v>11082</v>
      </c>
      <c r="T5499" t="s">
        <v>11164</v>
      </c>
      <c r="U5499" t="s">
        <v>11164</v>
      </c>
      <c r="V5499" t="s">
        <v>11164</v>
      </c>
      <c r="W5499" t="s">
        <v>16615</v>
      </c>
      <c r="X5499">
        <v>4</v>
      </c>
      <c r="Y5499" t="s">
        <v>22072</v>
      </c>
      <c r="Z5499" t="s">
        <v>27649</v>
      </c>
      <c r="AA5499">
        <v>0.5263121548294224</v>
      </c>
      <c r="AB5499" t="str">
        <f>HYPERLINK("Melting_Curves/meltCurve_Q9Y4U1_MMACHC.pdf", "Melting_Curves/meltCurve_Q9Y4U1_MMACHC.pdf")</f>
        <v>Melting_Curves/meltCurve_Q9Y4U1_MMACHC.pdf</v>
      </c>
    </row>
    <row r="5500" spans="1:28" x14ac:dyDescent="0.25">
      <c r="A5500" t="s">
        <v>5504</v>
      </c>
      <c r="B5500">
        <v>0.99796759195183404</v>
      </c>
      <c r="C5500">
        <v>0.92953262279483495</v>
      </c>
      <c r="D5500">
        <v>0.95157122260190496</v>
      </c>
      <c r="E5500">
        <v>0.94349020140877304</v>
      </c>
      <c r="F5500">
        <v>0.79525894743214398</v>
      </c>
      <c r="G5500">
        <v>0.68474532634401097</v>
      </c>
      <c r="H5500">
        <v>0.25664700471512703</v>
      </c>
      <c r="I5500">
        <v>0.18005730912368201</v>
      </c>
      <c r="J5500">
        <v>0.13940197202086699</v>
      </c>
      <c r="K5500">
        <v>0.14202828441498799</v>
      </c>
      <c r="L5500">
        <v>1091.3557288985701</v>
      </c>
      <c r="M5500">
        <v>20.081886485962201</v>
      </c>
      <c r="N5500">
        <v>54.927690496232799</v>
      </c>
      <c r="O5500">
        <v>53.815011024688701</v>
      </c>
      <c r="P5500">
        <v>-8.4347851478777103E-2</v>
      </c>
      <c r="Q5500">
        <v>9.5894954580022604E-2</v>
      </c>
      <c r="R5500">
        <v>0.98028363855900402</v>
      </c>
      <c r="S5500" t="s">
        <v>11083</v>
      </c>
      <c r="T5500" t="s">
        <v>11164</v>
      </c>
      <c r="U5500" t="s">
        <v>11164</v>
      </c>
      <c r="V5500" t="s">
        <v>11164</v>
      </c>
      <c r="W5500" t="s">
        <v>16616</v>
      </c>
      <c r="X5500">
        <v>23</v>
      </c>
      <c r="Y5500" t="s">
        <v>22073</v>
      </c>
      <c r="Z5500" t="s">
        <v>27650</v>
      </c>
      <c r="AA5500">
        <v>0.62930111429529323</v>
      </c>
      <c r="AB5500" t="str">
        <f>HYPERLINK("Melting_Curves/meltCurve_Q9Y4W6_AFG3L2.pdf", "Melting_Curves/meltCurve_Q9Y4W6_AFG3L2.pdf")</f>
        <v>Melting_Curves/meltCurve_Q9Y4W6_AFG3L2.pdf</v>
      </c>
    </row>
    <row r="5501" spans="1:28" x14ac:dyDescent="0.25">
      <c r="A5501" t="s">
        <v>5505</v>
      </c>
      <c r="B5501">
        <v>0.99796759195183404</v>
      </c>
      <c r="C5501">
        <v>1.0068967774901101</v>
      </c>
      <c r="D5501">
        <v>1.0302971939175301</v>
      </c>
      <c r="E5501">
        <v>1.0009159423222</v>
      </c>
      <c r="F5501">
        <v>0.92393918602417502</v>
      </c>
      <c r="G5501">
        <v>0.73804503463216298</v>
      </c>
      <c r="H5501">
        <v>0.69116109340737297</v>
      </c>
      <c r="I5501">
        <v>0.63317815292874902</v>
      </c>
      <c r="J5501">
        <v>0.41560071731938703</v>
      </c>
      <c r="K5501">
        <v>0.18497971791263601</v>
      </c>
      <c r="L5501">
        <v>694.41595555830702</v>
      </c>
      <c r="M5501">
        <v>11.2845282461659</v>
      </c>
      <c r="N5501">
        <v>61.537007624049799</v>
      </c>
      <c r="O5501">
        <v>59.69947088416</v>
      </c>
      <c r="P5501">
        <v>-4.7270012290427502E-2</v>
      </c>
      <c r="Q5501">
        <v>0</v>
      </c>
      <c r="R5501">
        <v>0.95423103634599205</v>
      </c>
      <c r="S5501" t="s">
        <v>11084</v>
      </c>
      <c r="T5501" t="s">
        <v>11164</v>
      </c>
      <c r="U5501" t="s">
        <v>11164</v>
      </c>
      <c r="V5501" t="s">
        <v>11164</v>
      </c>
      <c r="W5501" t="s">
        <v>16617</v>
      </c>
      <c r="X5501">
        <v>8</v>
      </c>
      <c r="Y5501" t="s">
        <v>22074</v>
      </c>
      <c r="Z5501" t="s">
        <v>27651</v>
      </c>
      <c r="AA5501">
        <v>0.78297036627883521</v>
      </c>
      <c r="AB5501" t="str">
        <f>HYPERLINK("Melting_Curves/meltCurve_Q9Y4X5_ARIH1.pdf", "Melting_Curves/meltCurve_Q9Y4X5_ARIH1.pdf")</f>
        <v>Melting_Curves/meltCurve_Q9Y4X5_ARIH1.pdf</v>
      </c>
    </row>
    <row r="5502" spans="1:28" x14ac:dyDescent="0.25">
      <c r="A5502" t="s">
        <v>5506</v>
      </c>
      <c r="B5502">
        <v>0.99796759195183404</v>
      </c>
      <c r="C5502">
        <v>1.00605579701765</v>
      </c>
      <c r="D5502">
        <v>0.97302561036934998</v>
      </c>
      <c r="E5502">
        <v>0.94665523547807895</v>
      </c>
      <c r="F5502">
        <v>0.91706572606273096</v>
      </c>
      <c r="G5502">
        <v>0.85110782911345195</v>
      </c>
      <c r="H5502">
        <v>1.0396448114498</v>
      </c>
      <c r="I5502">
        <v>0.96259215564476597</v>
      </c>
      <c r="J5502">
        <v>1.30416555339319</v>
      </c>
      <c r="K5502">
        <v>1.47365725740304</v>
      </c>
      <c r="L5502">
        <v>15000</v>
      </c>
      <c r="M5502">
        <v>234.59404313684101</v>
      </c>
      <c r="O5502">
        <v>63.9355828573566</v>
      </c>
      <c r="P5502">
        <v>0.43449910430052002</v>
      </c>
      <c r="Q5502">
        <v>1.4736686179326699</v>
      </c>
      <c r="R5502">
        <v>0.89209695895565999</v>
      </c>
      <c r="S5502" t="s">
        <v>11085</v>
      </c>
      <c r="T5502" t="s">
        <v>11164</v>
      </c>
      <c r="U5502" t="s">
        <v>11164</v>
      </c>
      <c r="V5502" t="s">
        <v>11164</v>
      </c>
      <c r="W5502" t="s">
        <v>16618</v>
      </c>
      <c r="X5502">
        <v>9</v>
      </c>
      <c r="Y5502" t="s">
        <v>22075</v>
      </c>
      <c r="Z5502" t="s">
        <v>27652</v>
      </c>
      <c r="AA5502">
        <v>1.0482501122984289</v>
      </c>
      <c r="AB5502" t="str">
        <f>HYPERLINK("Melting_Curves/meltCurve_Q9Y4Z0_LSM4.pdf", "Melting_Curves/meltCurve_Q9Y4Z0_LSM4.pdf")</f>
        <v>Melting_Curves/meltCurve_Q9Y4Z0_LSM4.pdf</v>
      </c>
    </row>
    <row r="5503" spans="1:28" x14ac:dyDescent="0.25">
      <c r="A5503" t="s">
        <v>5507</v>
      </c>
      <c r="B5503">
        <v>0.99796759195183404</v>
      </c>
      <c r="C5503">
        <v>0.95968655628159705</v>
      </c>
      <c r="D5503">
        <v>0.95226067312075702</v>
      </c>
      <c r="E5503">
        <v>0.927851687860206</v>
      </c>
      <c r="F5503">
        <v>0.88839645810302503</v>
      </c>
      <c r="G5503">
        <v>0.63770717339653704</v>
      </c>
      <c r="H5503">
        <v>0.51771796470765996</v>
      </c>
      <c r="I5503">
        <v>0.39391281920797699</v>
      </c>
      <c r="J5503">
        <v>0.39406908119709499</v>
      </c>
      <c r="K5503">
        <v>0.40308844399285099</v>
      </c>
      <c r="L5503">
        <v>1039.0361859316899</v>
      </c>
      <c r="M5503">
        <v>19.4992574158304</v>
      </c>
      <c r="N5503">
        <v>57.3268368244808</v>
      </c>
      <c r="O5503">
        <v>52.734992441448398</v>
      </c>
      <c r="P5503">
        <v>-5.79142590783846E-2</v>
      </c>
      <c r="Q5503">
        <v>0.37351499008922501</v>
      </c>
      <c r="R5503">
        <v>0.98756522258409696</v>
      </c>
      <c r="S5503" t="s">
        <v>11086</v>
      </c>
      <c r="T5503" t="s">
        <v>11164</v>
      </c>
      <c r="U5503" t="s">
        <v>11164</v>
      </c>
      <c r="V5503" t="s">
        <v>11164</v>
      </c>
      <c r="W5503" t="s">
        <v>16619</v>
      </c>
      <c r="X5503">
        <v>12</v>
      </c>
      <c r="Y5503" t="s">
        <v>22076</v>
      </c>
      <c r="Z5503" t="s">
        <v>27653</v>
      </c>
      <c r="AA5503">
        <v>0.72170487841172792</v>
      </c>
      <c r="AB5503" t="str">
        <f>HYPERLINK("Melting_Curves/meltCurve_Q9Y508_RNF114.pdf", "Melting_Curves/meltCurve_Q9Y508_RNF114.pdf")</f>
        <v>Melting_Curves/meltCurve_Q9Y508_RNF114.pdf</v>
      </c>
    </row>
    <row r="5504" spans="1:28" x14ac:dyDescent="0.25">
      <c r="A5504" t="s">
        <v>5508</v>
      </c>
      <c r="B5504">
        <v>0.99796759195183404</v>
      </c>
      <c r="C5504">
        <v>0.96888315242854905</v>
      </c>
      <c r="D5504">
        <v>0.92626465244849099</v>
      </c>
      <c r="E5504">
        <v>0.94077652954081104</v>
      </c>
      <c r="F5504">
        <v>0.82350235574913699</v>
      </c>
      <c r="G5504">
        <v>0.88431399781901299</v>
      </c>
      <c r="H5504">
        <v>0.76376301882629805</v>
      </c>
      <c r="I5504">
        <v>0.610632635018026</v>
      </c>
      <c r="J5504">
        <v>0.69372361499281598</v>
      </c>
      <c r="K5504">
        <v>0.66395353521748601</v>
      </c>
      <c r="L5504">
        <v>402.78945419675898</v>
      </c>
      <c r="M5504">
        <v>7.0650261718990004</v>
      </c>
      <c r="O5504">
        <v>52.972529247234696</v>
      </c>
      <c r="P5504">
        <v>-1.6111453586858102E-2</v>
      </c>
      <c r="Q5504">
        <v>0.51765929135041999</v>
      </c>
      <c r="R5504">
        <v>0.88855506476732704</v>
      </c>
      <c r="S5504" t="s">
        <v>11087</v>
      </c>
      <c r="T5504" t="s">
        <v>11164</v>
      </c>
      <c r="U5504" t="s">
        <v>11164</v>
      </c>
      <c r="V5504" t="s">
        <v>11164</v>
      </c>
      <c r="W5504" t="s">
        <v>16620</v>
      </c>
      <c r="X5504">
        <v>5</v>
      </c>
      <c r="Y5504" t="s">
        <v>22077</v>
      </c>
      <c r="Z5504" t="s">
        <v>27654</v>
      </c>
      <c r="AA5504">
        <v>0.83064377783957433</v>
      </c>
      <c r="AB5504" t="str">
        <f>HYPERLINK("Melting_Curves/meltCurve_Q9Y512_SAMM50.pdf", "Melting_Curves/meltCurve_Q9Y512_SAMM50.pdf")</f>
        <v>Melting_Curves/meltCurve_Q9Y512_SAMM50.pdf</v>
      </c>
    </row>
    <row r="5505" spans="1:28" x14ac:dyDescent="0.25">
      <c r="A5505" t="s">
        <v>5509</v>
      </c>
      <c r="B5505">
        <v>0.99796759195183404</v>
      </c>
      <c r="C5505">
        <v>1.0126970241372999</v>
      </c>
      <c r="D5505">
        <v>1.0746173796029499</v>
      </c>
      <c r="E5505">
        <v>1.0171766970537299</v>
      </c>
      <c r="F5505">
        <v>0.92643812638707901</v>
      </c>
      <c r="G5505">
        <v>0.36474293204797997</v>
      </c>
      <c r="H5505">
        <v>0.25097139620980502</v>
      </c>
      <c r="I5505">
        <v>0</v>
      </c>
      <c r="J5505">
        <v>0</v>
      </c>
      <c r="K5505">
        <v>0.185217973649382</v>
      </c>
      <c r="L5505">
        <v>2032.36288226137</v>
      </c>
      <c r="M5505">
        <v>38.442086888643601</v>
      </c>
      <c r="N5505">
        <v>53.145633920372099</v>
      </c>
      <c r="O5505">
        <v>52.725726825158802</v>
      </c>
      <c r="P5505">
        <v>-0.16570117998283601</v>
      </c>
      <c r="Q5505">
        <v>9.0924284409480097E-2</v>
      </c>
      <c r="R5505">
        <v>0.97422834700136496</v>
      </c>
      <c r="S5505" t="s">
        <v>11088</v>
      </c>
      <c r="T5505" t="s">
        <v>11164</v>
      </c>
      <c r="U5505" t="s">
        <v>11164</v>
      </c>
      <c r="V5505" t="s">
        <v>11164</v>
      </c>
      <c r="W5505" t="s">
        <v>16621</v>
      </c>
      <c r="X5505">
        <v>1</v>
      </c>
      <c r="Y5505" t="s">
        <v>22078</v>
      </c>
      <c r="Z5505" t="s">
        <v>27655</v>
      </c>
      <c r="AA5505">
        <v>0.57534887948939384</v>
      </c>
      <c r="AB5505" t="str">
        <f>HYPERLINK("Melting_Curves/meltCurve_Q9Y546_LRRC42.pdf", "Melting_Curves/meltCurve_Q9Y546_LRRC42.pdf")</f>
        <v>Melting_Curves/meltCurve_Q9Y546_LRRC42.pdf</v>
      </c>
    </row>
    <row r="5506" spans="1:28" x14ac:dyDescent="0.25">
      <c r="A5506" t="s">
        <v>5510</v>
      </c>
      <c r="B5506">
        <v>0.99796759195183404</v>
      </c>
      <c r="C5506">
        <v>1.0280368317301001</v>
      </c>
      <c r="D5506">
        <v>0.99958266914879002</v>
      </c>
      <c r="E5506">
        <v>0.963017854445678</v>
      </c>
      <c r="F5506">
        <v>0.90776509399920702</v>
      </c>
      <c r="G5506">
        <v>0.70275236213077497</v>
      </c>
      <c r="H5506">
        <v>0.43277317103336299</v>
      </c>
      <c r="I5506">
        <v>0.19374412935042601</v>
      </c>
      <c r="J5506">
        <v>0.15022120622142601</v>
      </c>
      <c r="K5506">
        <v>0.11840440390906599</v>
      </c>
      <c r="L5506">
        <v>1110.95302062634</v>
      </c>
      <c r="M5506">
        <v>19.900138694960098</v>
      </c>
      <c r="N5506">
        <v>56.305485397133801</v>
      </c>
      <c r="O5506">
        <v>55.2718274950767</v>
      </c>
      <c r="P5506">
        <v>-8.3002530923057899E-2</v>
      </c>
      <c r="Q5506">
        <v>7.7885977995914998E-2</v>
      </c>
      <c r="R5506">
        <v>0.99823056936561905</v>
      </c>
      <c r="S5506" t="s">
        <v>11089</v>
      </c>
      <c r="T5506" t="s">
        <v>11164</v>
      </c>
      <c r="U5506" t="s">
        <v>11164</v>
      </c>
      <c r="V5506" t="s">
        <v>11164</v>
      </c>
      <c r="W5506" t="s">
        <v>16622</v>
      </c>
      <c r="X5506">
        <v>16</v>
      </c>
      <c r="Y5506" t="s">
        <v>22079</v>
      </c>
      <c r="Z5506" t="s">
        <v>27656</v>
      </c>
      <c r="AA5506">
        <v>0.66626905166609285</v>
      </c>
      <c r="AB5506" t="str">
        <f>HYPERLINK("Melting_Curves/meltCurve_Q9Y570_PPME1.pdf", "Melting_Curves/meltCurve_Q9Y570_PPME1.pdf")</f>
        <v>Melting_Curves/meltCurve_Q9Y570_PPME1.pdf</v>
      </c>
    </row>
    <row r="5507" spans="1:28" x14ac:dyDescent="0.25">
      <c r="A5507" t="s">
        <v>5511</v>
      </c>
      <c r="B5507">
        <v>0.99796759195183404</v>
      </c>
      <c r="C5507">
        <v>0.97530052901903497</v>
      </c>
      <c r="D5507">
        <v>0.98884200077152895</v>
      </c>
      <c r="E5507">
        <v>0.95682981670205303</v>
      </c>
      <c r="F5507">
        <v>0.84523009059947396</v>
      </c>
      <c r="G5507">
        <v>0.54241177572725396</v>
      </c>
      <c r="H5507">
        <v>0.61696763396118703</v>
      </c>
      <c r="I5507">
        <v>0.53812982416395805</v>
      </c>
      <c r="J5507">
        <v>0.65342880018403204</v>
      </c>
      <c r="K5507">
        <v>0.753714118698808</v>
      </c>
      <c r="L5507">
        <v>12568.626364583901</v>
      </c>
      <c r="M5507">
        <v>250</v>
      </c>
      <c r="O5507">
        <v>50.271288222996098</v>
      </c>
      <c r="P5507">
        <v>-0.471279911771527</v>
      </c>
      <c r="Q5507">
        <v>0.62093042798690801</v>
      </c>
      <c r="R5507">
        <v>0.89357911555288505</v>
      </c>
      <c r="S5507" t="s">
        <v>11090</v>
      </c>
      <c r="T5507" t="s">
        <v>11164</v>
      </c>
      <c r="U5507" t="s">
        <v>11164</v>
      </c>
      <c r="V5507" t="s">
        <v>11164</v>
      </c>
      <c r="W5507" t="s">
        <v>16623</v>
      </c>
      <c r="X5507">
        <v>5</v>
      </c>
      <c r="Y5507" t="s">
        <v>22080</v>
      </c>
      <c r="Z5507" t="s">
        <v>27657</v>
      </c>
      <c r="AA5507">
        <v>0.78869591042392573</v>
      </c>
      <c r="AB5507" t="str">
        <f>HYPERLINK("Melting_Curves/meltCurve_Q9Y584_TIMM22.pdf", "Melting_Curves/meltCurve_Q9Y584_TIMM22.pdf")</f>
        <v>Melting_Curves/meltCurve_Q9Y584_TIMM22.pdf</v>
      </c>
    </row>
    <row r="5508" spans="1:28" x14ac:dyDescent="0.25">
      <c r="A5508" t="s">
        <v>5512</v>
      </c>
      <c r="B5508">
        <v>0.99796759195183404</v>
      </c>
      <c r="C5508">
        <v>1.0640156729746999</v>
      </c>
      <c r="D5508">
        <v>1.02800950322456</v>
      </c>
      <c r="E5508">
        <v>0.91858828064596199</v>
      </c>
      <c r="F5508">
        <v>0.88177863230162601</v>
      </c>
      <c r="G5508">
        <v>0.91498404756561202</v>
      </c>
      <c r="H5508">
        <v>0.82736345520371102</v>
      </c>
      <c r="I5508">
        <v>0.70840894025270995</v>
      </c>
      <c r="J5508">
        <v>0.42525835981307603</v>
      </c>
      <c r="K5508">
        <v>0.40651257105163602</v>
      </c>
      <c r="L5508">
        <v>753.229778652871</v>
      </c>
      <c r="M5508">
        <v>11.7256009345028</v>
      </c>
      <c r="N5508">
        <v>64.238058807728095</v>
      </c>
      <c r="O5508">
        <v>62.455012405806897</v>
      </c>
      <c r="P5508">
        <v>-4.6948563415538498E-2</v>
      </c>
      <c r="Q5508">
        <v>0</v>
      </c>
      <c r="R5508">
        <v>0.94360579551870305</v>
      </c>
      <c r="S5508" t="s">
        <v>11091</v>
      </c>
      <c r="T5508" t="s">
        <v>11164</v>
      </c>
      <c r="U5508" t="s">
        <v>11164</v>
      </c>
      <c r="V5508" t="s">
        <v>11164</v>
      </c>
      <c r="W5508" t="s">
        <v>16624</v>
      </c>
      <c r="X5508">
        <v>1</v>
      </c>
      <c r="Y5508" t="s">
        <v>22081</v>
      </c>
      <c r="Z5508" t="s">
        <v>27658</v>
      </c>
      <c r="AA5508">
        <v>0.84206568864047293</v>
      </c>
      <c r="AB5508" t="str">
        <f>HYPERLINK("Melting_Curves/meltCurve_Q9Y597_3_KCTD3.pdf", "Melting_Curves/meltCurve_Q9Y597_3_KCTD3.pdf")</f>
        <v>Melting_Curves/meltCurve_Q9Y597_3_KCTD3.pdf</v>
      </c>
    </row>
    <row r="5509" spans="1:28" x14ac:dyDescent="0.25">
      <c r="A5509" t="s">
        <v>5513</v>
      </c>
      <c r="B5509">
        <v>0.99796759195183404</v>
      </c>
      <c r="C5509">
        <v>0.90939601049420804</v>
      </c>
      <c r="D5509">
        <v>0.90265674582742905</v>
      </c>
      <c r="E5509">
        <v>0.84968860658910506</v>
      </c>
      <c r="F5509">
        <v>0.65527275567030396</v>
      </c>
      <c r="G5509">
        <v>0.40965933014491401</v>
      </c>
      <c r="H5509">
        <v>0.27448573092119799</v>
      </c>
      <c r="I5509">
        <v>0.18619182683161001</v>
      </c>
      <c r="J5509">
        <v>0.107939408775232</v>
      </c>
      <c r="K5509">
        <v>9.8464508680958601E-2</v>
      </c>
      <c r="L5509">
        <v>619.05067082244204</v>
      </c>
      <c r="M5509">
        <v>11.805417242701999</v>
      </c>
      <c r="N5509">
        <v>52.599251138325201</v>
      </c>
      <c r="O5509">
        <v>51.001092582051101</v>
      </c>
      <c r="P5509">
        <v>-5.6853671481255801E-2</v>
      </c>
      <c r="Q5509">
        <v>1.7788616869319099E-2</v>
      </c>
      <c r="R5509">
        <v>0.993320504737224</v>
      </c>
      <c r="S5509" t="s">
        <v>11092</v>
      </c>
      <c r="T5509" t="s">
        <v>11164</v>
      </c>
      <c r="U5509" t="s">
        <v>11164</v>
      </c>
      <c r="V5509" t="s">
        <v>11164</v>
      </c>
      <c r="W5509" t="s">
        <v>16625</v>
      </c>
      <c r="X5509">
        <v>3</v>
      </c>
      <c r="Y5509" t="s">
        <v>22082</v>
      </c>
      <c r="Z5509" t="s">
        <v>27659</v>
      </c>
      <c r="AA5509">
        <v>0.5457071090879162</v>
      </c>
      <c r="AB5509" t="str">
        <f>HYPERLINK("Melting_Curves/meltCurve_Q9Y5A9_YTHDF2.pdf", "Melting_Curves/meltCurve_Q9Y5A9_YTHDF2.pdf")</f>
        <v>Melting_Curves/meltCurve_Q9Y5A9_YTHDF2.pdf</v>
      </c>
    </row>
    <row r="5510" spans="1:28" x14ac:dyDescent="0.25">
      <c r="A5510" t="s">
        <v>5514</v>
      </c>
      <c r="B5510">
        <v>0.99796759195183404</v>
      </c>
      <c r="C5510">
        <v>0.94789270378413104</v>
      </c>
      <c r="D5510">
        <v>0.92969849176559904</v>
      </c>
      <c r="E5510">
        <v>0.87579607253001002</v>
      </c>
      <c r="F5510">
        <v>0.52744241007489601</v>
      </c>
      <c r="G5510">
        <v>0.25473947709044498</v>
      </c>
      <c r="H5510">
        <v>0.20814604223979399</v>
      </c>
      <c r="I5510">
        <v>0.17262369225402699</v>
      </c>
      <c r="J5510">
        <v>0.12580891396747701</v>
      </c>
      <c r="K5510">
        <v>8.7199298420858898E-2</v>
      </c>
      <c r="L5510">
        <v>1075.58655502072</v>
      </c>
      <c r="M5510">
        <v>21.5447201498949</v>
      </c>
      <c r="N5510">
        <v>50.590487364606503</v>
      </c>
      <c r="O5510">
        <v>49.499307685260597</v>
      </c>
      <c r="P5510">
        <v>-9.5361634564637102E-2</v>
      </c>
      <c r="Q5510">
        <v>0.123642304696736</v>
      </c>
      <c r="R5510">
        <v>0.99281819748433797</v>
      </c>
      <c r="S5510" t="s">
        <v>11093</v>
      </c>
      <c r="T5510" t="s">
        <v>11164</v>
      </c>
      <c r="U5510" t="s">
        <v>11164</v>
      </c>
      <c r="V5510" t="s">
        <v>11164</v>
      </c>
      <c r="W5510" t="s">
        <v>16626</v>
      </c>
      <c r="X5510">
        <v>8</v>
      </c>
      <c r="Y5510" t="s">
        <v>22083</v>
      </c>
      <c r="Z5510" t="s">
        <v>27660</v>
      </c>
      <c r="AA5510">
        <v>0.5112671259632251</v>
      </c>
      <c r="AB5510" t="str">
        <f>HYPERLINK("Melting_Curves/meltCurve_Q9Y5B0_CTDP1.pdf", "Melting_Curves/meltCurve_Q9Y5B0_CTDP1.pdf")</f>
        <v>Melting_Curves/meltCurve_Q9Y5B0_CTDP1.pdf</v>
      </c>
    </row>
    <row r="5511" spans="1:28" x14ac:dyDescent="0.25">
      <c r="A5511" t="s">
        <v>5515</v>
      </c>
      <c r="B5511">
        <v>0.99796759195183404</v>
      </c>
      <c r="C5511">
        <v>1.0102943098559001</v>
      </c>
      <c r="D5511">
        <v>0.97977062795238901</v>
      </c>
      <c r="E5511">
        <v>0.91858413013517404</v>
      </c>
      <c r="F5511">
        <v>0.62563180209940095</v>
      </c>
      <c r="G5511">
        <v>0.26306104289238103</v>
      </c>
      <c r="H5511">
        <v>0.240328026120984</v>
      </c>
      <c r="I5511">
        <v>0.246004008916964</v>
      </c>
      <c r="J5511">
        <v>0.28099950050073202</v>
      </c>
      <c r="K5511">
        <v>0.23006505071914801</v>
      </c>
      <c r="L5511">
        <v>1841.16756199529</v>
      </c>
      <c r="M5511">
        <v>36.744659307697901</v>
      </c>
      <c r="N5511">
        <v>51.020771471348397</v>
      </c>
      <c r="O5511">
        <v>49.9593846052204</v>
      </c>
      <c r="P5511">
        <v>-0.13954791848638301</v>
      </c>
      <c r="Q5511">
        <v>0.24106471109595701</v>
      </c>
      <c r="R5511">
        <v>0.99569257103924702</v>
      </c>
      <c r="S5511" t="s">
        <v>11094</v>
      </c>
      <c r="T5511" t="s">
        <v>11164</v>
      </c>
      <c r="U5511" t="s">
        <v>11164</v>
      </c>
      <c r="V5511" t="s">
        <v>11164</v>
      </c>
      <c r="W5511" t="s">
        <v>16627</v>
      </c>
      <c r="X5511">
        <v>7</v>
      </c>
      <c r="Y5511" t="s">
        <v>22084</v>
      </c>
      <c r="Z5511" t="s">
        <v>27661</v>
      </c>
      <c r="AA5511">
        <v>0.57576031669798367</v>
      </c>
      <c r="AB5511" t="str">
        <f>HYPERLINK("Melting_Curves/meltCurve_Q9Y5B8_2_NME7.pdf", "Melting_Curves/meltCurve_Q9Y5B8_2_NME7.pdf")</f>
        <v>Melting_Curves/meltCurve_Q9Y5B8_2_NME7.pdf</v>
      </c>
    </row>
    <row r="5512" spans="1:28" x14ac:dyDescent="0.25">
      <c r="A5512" t="s">
        <v>5516</v>
      </c>
      <c r="B5512">
        <v>0.99796759195183404</v>
      </c>
      <c r="C5512">
        <v>0.883205630083154</v>
      </c>
      <c r="D5512">
        <v>0.92461675207508498</v>
      </c>
      <c r="E5512">
        <v>0.78936431845892696</v>
      </c>
      <c r="F5512">
        <v>0.402110593486535</v>
      </c>
      <c r="G5512">
        <v>0.16423720259448399</v>
      </c>
      <c r="H5512">
        <v>0.13739033724421701</v>
      </c>
      <c r="I5512">
        <v>0.117227411144532</v>
      </c>
      <c r="J5512">
        <v>8.3435234840005701E-2</v>
      </c>
      <c r="K5512">
        <v>6.7857150804418703E-2</v>
      </c>
      <c r="L5512">
        <v>1073.4350634707901</v>
      </c>
      <c r="M5512">
        <v>21.983778529647701</v>
      </c>
      <c r="N5512">
        <v>49.235160472880203</v>
      </c>
      <c r="O5512">
        <v>48.429866774816801</v>
      </c>
      <c r="P5512">
        <v>-0.104063772433617</v>
      </c>
      <c r="Q5512">
        <v>8.3018282073959698E-2</v>
      </c>
      <c r="R5512">
        <v>0.988732478353474</v>
      </c>
      <c r="S5512" t="s">
        <v>11095</v>
      </c>
      <c r="T5512" t="s">
        <v>11164</v>
      </c>
      <c r="U5512" t="s">
        <v>11164</v>
      </c>
      <c r="V5512" t="s">
        <v>11164</v>
      </c>
      <c r="W5512" t="s">
        <v>16628</v>
      </c>
      <c r="X5512">
        <v>1</v>
      </c>
      <c r="Y5512" t="s">
        <v>22085</v>
      </c>
      <c r="Z5512" t="s">
        <v>27662</v>
      </c>
      <c r="AA5512">
        <v>0.45469306640614099</v>
      </c>
      <c r="AB5512" t="str">
        <f>HYPERLINK("Melting_Curves/meltCurve_Q9Y5J5_PHLDA3.pdf", "Melting_Curves/meltCurve_Q9Y5J5_PHLDA3.pdf")</f>
        <v>Melting_Curves/meltCurve_Q9Y5J5_PHLDA3.pdf</v>
      </c>
    </row>
    <row r="5513" spans="1:28" x14ac:dyDescent="0.25">
      <c r="A5513" t="s">
        <v>5517</v>
      </c>
      <c r="B5513">
        <v>0.99796759195183404</v>
      </c>
      <c r="C5513">
        <v>0.95246259449072201</v>
      </c>
      <c r="D5513">
        <v>1.00592386830313</v>
      </c>
      <c r="E5513">
        <v>0.93912645778463899</v>
      </c>
      <c r="F5513">
        <v>0.85926167725481295</v>
      </c>
      <c r="G5513">
        <v>0.85718497530301896</v>
      </c>
      <c r="H5513">
        <v>0.75134591515489701</v>
      </c>
      <c r="I5513">
        <v>0.300572311493009</v>
      </c>
      <c r="J5513">
        <v>0.22956176536281001</v>
      </c>
      <c r="K5513">
        <v>0.110999973969337</v>
      </c>
      <c r="L5513">
        <v>1107.3242660145099</v>
      </c>
      <c r="M5513">
        <v>18.631936893309199</v>
      </c>
      <c r="N5513">
        <v>59.4315200544712</v>
      </c>
      <c r="O5513">
        <v>58.759588006038001</v>
      </c>
      <c r="P5513">
        <v>-7.9275314544778597E-2</v>
      </c>
      <c r="Q5513">
        <v>0</v>
      </c>
      <c r="R5513">
        <v>0.96915656159832198</v>
      </c>
      <c r="S5513" t="s">
        <v>11096</v>
      </c>
      <c r="T5513" t="s">
        <v>11164</v>
      </c>
      <c r="U5513" t="s">
        <v>11164</v>
      </c>
      <c r="V5513" t="s">
        <v>11164</v>
      </c>
      <c r="W5513" t="s">
        <v>16629</v>
      </c>
      <c r="X5513">
        <v>2</v>
      </c>
      <c r="Y5513" t="s">
        <v>22086</v>
      </c>
      <c r="Z5513" t="s">
        <v>27663</v>
      </c>
      <c r="AA5513">
        <v>0.74935731319147048</v>
      </c>
      <c r="AB5513" t="str">
        <f>HYPERLINK("Melting_Curves/meltCurve_Q9Y5J6_TIMM10B.pdf", "Melting_Curves/meltCurve_Q9Y5J6_TIMM10B.pdf")</f>
        <v>Melting_Curves/meltCurve_Q9Y5J6_TIMM10B.pdf</v>
      </c>
    </row>
    <row r="5514" spans="1:28" x14ac:dyDescent="0.25">
      <c r="A5514" t="s">
        <v>5518</v>
      </c>
      <c r="B5514">
        <v>0.99796759195183404</v>
      </c>
      <c r="C5514">
        <v>0.98294073254351499</v>
      </c>
      <c r="D5514">
        <v>0.97718837157980798</v>
      </c>
      <c r="E5514">
        <v>0.96633467486025104</v>
      </c>
      <c r="F5514">
        <v>0.89727596137638199</v>
      </c>
      <c r="G5514">
        <v>0.92224555879757097</v>
      </c>
      <c r="H5514">
        <v>0.87162912129581405</v>
      </c>
      <c r="I5514">
        <v>0.62723039083406695</v>
      </c>
      <c r="J5514">
        <v>0.70263412927804303</v>
      </c>
      <c r="K5514">
        <v>0.59244476986418604</v>
      </c>
      <c r="L5514">
        <v>559.89693227423504</v>
      </c>
      <c r="M5514">
        <v>8.8627117343910502</v>
      </c>
      <c r="O5514">
        <v>60.206193174830297</v>
      </c>
      <c r="P5514">
        <v>-2.3848009754576099E-2</v>
      </c>
      <c r="Q5514">
        <v>0.35248098065983302</v>
      </c>
      <c r="R5514">
        <v>0.90995458277954899</v>
      </c>
      <c r="S5514" t="s">
        <v>11097</v>
      </c>
      <c r="T5514" t="s">
        <v>11164</v>
      </c>
      <c r="U5514" t="s">
        <v>11164</v>
      </c>
      <c r="V5514" t="s">
        <v>11164</v>
      </c>
      <c r="W5514" t="s">
        <v>16630</v>
      </c>
      <c r="X5514">
        <v>8</v>
      </c>
      <c r="Y5514" t="s">
        <v>22087</v>
      </c>
      <c r="Z5514" t="s">
        <v>27664</v>
      </c>
      <c r="AA5514">
        <v>0.86810735992593135</v>
      </c>
      <c r="AB5514" t="str">
        <f>HYPERLINK("Melting_Curves/meltCurve_Q9Y5J7_TIMM9.pdf", "Melting_Curves/meltCurve_Q9Y5J7_TIMM9.pdf")</f>
        <v>Melting_Curves/meltCurve_Q9Y5J7_TIMM9.pdf</v>
      </c>
    </row>
    <row r="5515" spans="1:28" x14ac:dyDescent="0.25">
      <c r="A5515" t="s">
        <v>5519</v>
      </c>
      <c r="B5515">
        <v>0.99796759195183404</v>
      </c>
      <c r="C5515">
        <v>0.89715012539641004</v>
      </c>
      <c r="D5515">
        <v>0.93956456222917495</v>
      </c>
      <c r="E5515">
        <v>0.85388252698691702</v>
      </c>
      <c r="F5515">
        <v>0.63698841772774195</v>
      </c>
      <c r="G5515">
        <v>0.270312323710518</v>
      </c>
      <c r="H5515">
        <v>0.19441856668822699</v>
      </c>
      <c r="I5515">
        <v>0.13556157581546899</v>
      </c>
      <c r="J5515">
        <v>0.10036313551595</v>
      </c>
      <c r="K5515">
        <v>7.3117682508198195E-2</v>
      </c>
      <c r="L5515">
        <v>949.36465299509803</v>
      </c>
      <c r="M5515">
        <v>18.660849185994</v>
      </c>
      <c r="N5515">
        <v>51.337422521976698</v>
      </c>
      <c r="O5515">
        <v>50.301233376798997</v>
      </c>
      <c r="P5515">
        <v>-8.5569367990563194E-2</v>
      </c>
      <c r="Q5515">
        <v>7.7413706925008E-2</v>
      </c>
      <c r="R5515">
        <v>0.988401953992184</v>
      </c>
      <c r="S5515" t="s">
        <v>11098</v>
      </c>
      <c r="T5515" t="s">
        <v>11164</v>
      </c>
      <c r="U5515" t="s">
        <v>11164</v>
      </c>
      <c r="V5515" t="s">
        <v>11164</v>
      </c>
      <c r="W5515" t="s">
        <v>16631</v>
      </c>
      <c r="X5515">
        <v>11</v>
      </c>
      <c r="Y5515" t="s">
        <v>22088</v>
      </c>
      <c r="Z5515" t="s">
        <v>27665</v>
      </c>
      <c r="AA5515">
        <v>0.5176481766444373</v>
      </c>
      <c r="AB5515" t="str">
        <f>HYPERLINK("Melting_Curves/meltCurve_Q9Y5K5_2_UCHL5.pdf", "Melting_Curves/meltCurve_Q9Y5K5_2_UCHL5.pdf")</f>
        <v>Melting_Curves/meltCurve_Q9Y5K5_2_UCHL5.pdf</v>
      </c>
    </row>
    <row r="5516" spans="1:28" x14ac:dyDescent="0.25">
      <c r="A5516" t="s">
        <v>5520</v>
      </c>
      <c r="B5516">
        <v>0.99796759195183404</v>
      </c>
      <c r="C5516">
        <v>1.0396519002722999</v>
      </c>
      <c r="D5516">
        <v>0.98774504879007596</v>
      </c>
      <c r="E5516">
        <v>1.0409451729935899</v>
      </c>
      <c r="F5516">
        <v>0.79442760184083105</v>
      </c>
      <c r="G5516">
        <v>0.77083180218567304</v>
      </c>
      <c r="H5516">
        <v>0.44434456604627198</v>
      </c>
      <c r="I5516">
        <v>0.221827845058363</v>
      </c>
      <c r="J5516">
        <v>0.16742129688877999</v>
      </c>
      <c r="K5516">
        <v>0.130052854240819</v>
      </c>
      <c r="L5516">
        <v>980.60071046785799</v>
      </c>
      <c r="M5516">
        <v>17.434784174524498</v>
      </c>
      <c r="N5516">
        <v>56.676858014204697</v>
      </c>
      <c r="O5516">
        <v>55.519637463149799</v>
      </c>
      <c r="P5516">
        <v>-7.3616941283631804E-2</v>
      </c>
      <c r="Q5516">
        <v>6.2344048718568301E-2</v>
      </c>
      <c r="R5516">
        <v>0.98316572868514496</v>
      </c>
      <c r="S5516" t="s">
        <v>11099</v>
      </c>
      <c r="T5516" t="s">
        <v>11164</v>
      </c>
      <c r="U5516" t="s">
        <v>11164</v>
      </c>
      <c r="V5516" t="s">
        <v>11164</v>
      </c>
      <c r="W5516" t="s">
        <v>16632</v>
      </c>
      <c r="X5516">
        <v>13</v>
      </c>
      <c r="Y5516" t="s">
        <v>22089</v>
      </c>
      <c r="Z5516" t="s">
        <v>27666</v>
      </c>
      <c r="AA5516">
        <v>0.67384684139098594</v>
      </c>
      <c r="AB5516" t="str">
        <f>HYPERLINK("Melting_Curves/meltCurve_Q9Y5K6_CD2AP.pdf", "Melting_Curves/meltCurve_Q9Y5K6_CD2AP.pdf")</f>
        <v>Melting_Curves/meltCurve_Q9Y5K6_CD2AP.pdf</v>
      </c>
    </row>
    <row r="5517" spans="1:28" x14ac:dyDescent="0.25">
      <c r="A5517" t="s">
        <v>5521</v>
      </c>
      <c r="B5517">
        <v>0.99796759195183404</v>
      </c>
      <c r="C5517">
        <v>0.90594794295326397</v>
      </c>
      <c r="D5517">
        <v>0.89353425005848297</v>
      </c>
      <c r="E5517">
        <v>0.795193024179352</v>
      </c>
      <c r="F5517">
        <v>0.79748920496502096</v>
      </c>
      <c r="G5517">
        <v>0.65313528678801003</v>
      </c>
      <c r="H5517">
        <v>0.65324389727128895</v>
      </c>
      <c r="I5517">
        <v>0.62868038266773296</v>
      </c>
      <c r="J5517">
        <v>0.72520917361808501</v>
      </c>
      <c r="K5517">
        <v>0.58532918746403395</v>
      </c>
      <c r="L5517">
        <v>448.58802892968799</v>
      </c>
      <c r="M5517">
        <v>9.5817527350051499</v>
      </c>
      <c r="O5517">
        <v>44.913914386752801</v>
      </c>
      <c r="P5517">
        <v>-2.0772977518143401E-2</v>
      </c>
      <c r="Q5517">
        <v>0.61073432044242404</v>
      </c>
      <c r="R5517">
        <v>0.89927731568658997</v>
      </c>
      <c r="S5517" t="s">
        <v>11100</v>
      </c>
      <c r="T5517" t="s">
        <v>11164</v>
      </c>
      <c r="U5517" t="s">
        <v>11164</v>
      </c>
      <c r="V5517" t="s">
        <v>11164</v>
      </c>
      <c r="W5517" t="s">
        <v>16633</v>
      </c>
      <c r="X5517">
        <v>11</v>
      </c>
      <c r="Y5517" t="s">
        <v>22090</v>
      </c>
      <c r="Z5517" t="s">
        <v>27667</v>
      </c>
      <c r="AA5517">
        <v>0.75617363470281695</v>
      </c>
      <c r="AB5517" t="str">
        <f>HYPERLINK("Melting_Curves/meltCurve_Q9Y5K8_ATP6V1D.pdf", "Melting_Curves/meltCurve_Q9Y5K8_ATP6V1D.pdf")</f>
        <v>Melting_Curves/meltCurve_Q9Y5K8_ATP6V1D.pdf</v>
      </c>
    </row>
    <row r="5518" spans="1:28" x14ac:dyDescent="0.25">
      <c r="A5518" t="s">
        <v>5522</v>
      </c>
      <c r="B5518">
        <v>0.99796759195183404</v>
      </c>
      <c r="C5518">
        <v>1.19814330813126</v>
      </c>
      <c r="D5518">
        <v>1.04288432992928</v>
      </c>
      <c r="E5518">
        <v>0.97744172182015099</v>
      </c>
      <c r="F5518">
        <v>0.95097123387655602</v>
      </c>
      <c r="G5518">
        <v>0.74737354093890296</v>
      </c>
      <c r="H5518">
        <v>0.777476127044612</v>
      </c>
      <c r="I5518">
        <v>0.66367303759947105</v>
      </c>
      <c r="J5518">
        <v>0.53706376402537104</v>
      </c>
      <c r="K5518">
        <v>0.42305946483538898</v>
      </c>
      <c r="L5518">
        <v>569.40080048629102</v>
      </c>
      <c r="M5518">
        <v>8.9011904036102205</v>
      </c>
      <c r="N5518">
        <v>65.007377256240403</v>
      </c>
      <c r="O5518">
        <v>60.987433462477803</v>
      </c>
      <c r="P5518">
        <v>-3.4095772275285201E-2</v>
      </c>
      <c r="Q5518">
        <v>6.6264077063342294E-2</v>
      </c>
      <c r="R5518">
        <v>0.89136360328114805</v>
      </c>
      <c r="S5518" t="s">
        <v>11101</v>
      </c>
      <c r="T5518" t="s">
        <v>11164</v>
      </c>
      <c r="U5518" t="s">
        <v>11164</v>
      </c>
      <c r="V5518" t="s">
        <v>11164</v>
      </c>
      <c r="W5518" t="s">
        <v>16634</v>
      </c>
      <c r="X5518">
        <v>1</v>
      </c>
      <c r="Y5518" t="s">
        <v>22091</v>
      </c>
      <c r="Z5518" t="s">
        <v>27668</v>
      </c>
      <c r="AA5518">
        <v>0.82384482428092853</v>
      </c>
      <c r="AB5518" t="str">
        <f>HYPERLINK("Melting_Curves/meltCurve_Q9Y5L2_HILPDA.pdf", "Melting_Curves/meltCurve_Q9Y5L2_HILPDA.pdf")</f>
        <v>Melting_Curves/meltCurve_Q9Y5L2_HILPDA.pdf</v>
      </c>
    </row>
    <row r="5519" spans="1:28" x14ac:dyDescent="0.25">
      <c r="A5519" t="s">
        <v>5523</v>
      </c>
      <c r="B5519">
        <v>0.99796759195183404</v>
      </c>
      <c r="C5519">
        <v>1.0134192162903</v>
      </c>
      <c r="D5519">
        <v>1.00304460214797</v>
      </c>
      <c r="E5519">
        <v>1.0360824723182001</v>
      </c>
      <c r="F5519">
        <v>0.93937776681176799</v>
      </c>
      <c r="G5519">
        <v>0.89388301840571505</v>
      </c>
      <c r="H5519">
        <v>0.93440512547495203</v>
      </c>
      <c r="I5519">
        <v>0.66278766055768001</v>
      </c>
      <c r="J5519">
        <v>0.62738724827449399</v>
      </c>
      <c r="K5519">
        <v>0.51567468300623398</v>
      </c>
      <c r="L5519">
        <v>911.04766173774703</v>
      </c>
      <c r="M5519">
        <v>14.638099175605101</v>
      </c>
      <c r="O5519">
        <v>61.111166608334798</v>
      </c>
      <c r="P5519">
        <v>-3.9091743387210401E-2</v>
      </c>
      <c r="Q5519">
        <v>0.34727135398519698</v>
      </c>
      <c r="R5519">
        <v>0.94852759488598204</v>
      </c>
      <c r="S5519" t="s">
        <v>11102</v>
      </c>
      <c r="T5519" t="s">
        <v>11164</v>
      </c>
      <c r="U5519" t="s">
        <v>11164</v>
      </c>
      <c r="V5519" t="s">
        <v>11164</v>
      </c>
      <c r="W5519" t="s">
        <v>16635</v>
      </c>
      <c r="X5519">
        <v>6</v>
      </c>
      <c r="Y5519" t="s">
        <v>22092</v>
      </c>
      <c r="Z5519" t="s">
        <v>27669</v>
      </c>
      <c r="AA5519">
        <v>0.87942516878999599</v>
      </c>
      <c r="AB5519" t="str">
        <f>HYPERLINK("Melting_Curves/meltCurve_Q9Y5L4_TIMM13.pdf", "Melting_Curves/meltCurve_Q9Y5L4_TIMM13.pdf")</f>
        <v>Melting_Curves/meltCurve_Q9Y5L4_TIMM13.pdf</v>
      </c>
    </row>
    <row r="5520" spans="1:28" x14ac:dyDescent="0.25">
      <c r="A5520" t="s">
        <v>5524</v>
      </c>
      <c r="B5520">
        <v>0.99796759195183404</v>
      </c>
      <c r="C5520">
        <v>1.01871458292079</v>
      </c>
      <c r="D5520">
        <v>1.10265318483594</v>
      </c>
      <c r="E5520">
        <v>0.99084330696545797</v>
      </c>
      <c r="F5520">
        <v>0.70176299329228198</v>
      </c>
      <c r="G5520">
        <v>0.20498691317802101</v>
      </c>
      <c r="H5520">
        <v>0.116205968539122</v>
      </c>
      <c r="I5520">
        <v>9.4489545887772003E-2</v>
      </c>
      <c r="J5520">
        <v>8.0383827051932602E-2</v>
      </c>
      <c r="K5520">
        <v>6.7643499885788605E-2</v>
      </c>
      <c r="L5520">
        <v>1973.11167546564</v>
      </c>
      <c r="M5520">
        <v>38.566738528389799</v>
      </c>
      <c r="N5520">
        <v>51.410776189839197</v>
      </c>
      <c r="O5520">
        <v>51.023994248566702</v>
      </c>
      <c r="P5520">
        <v>-0.17281730667603401</v>
      </c>
      <c r="Q5520">
        <v>8.54494036483541E-2</v>
      </c>
      <c r="R5520">
        <v>0.99379492087917998</v>
      </c>
      <c r="S5520" t="s">
        <v>11103</v>
      </c>
      <c r="T5520" t="s">
        <v>11164</v>
      </c>
      <c r="U5520" t="s">
        <v>11164</v>
      </c>
      <c r="V5520" t="s">
        <v>11164</v>
      </c>
      <c r="W5520" t="s">
        <v>16636</v>
      </c>
      <c r="X5520">
        <v>9</v>
      </c>
      <c r="Y5520" t="s">
        <v>22093</v>
      </c>
      <c r="Z5520" t="s">
        <v>27670</v>
      </c>
      <c r="AA5520">
        <v>0.52062103186797415</v>
      </c>
      <c r="AB5520" t="str">
        <f>HYPERLINK("Melting_Curves/meltCurve_Q9Y5M8_SRPRB.pdf", "Melting_Curves/meltCurve_Q9Y5M8_SRPRB.pdf")</f>
        <v>Melting_Curves/meltCurve_Q9Y5M8_SRPRB.pdf</v>
      </c>
    </row>
    <row r="5521" spans="1:28" x14ac:dyDescent="0.25">
      <c r="A5521" t="s">
        <v>5525</v>
      </c>
      <c r="B5521">
        <v>0.99796759195183404</v>
      </c>
      <c r="C5521">
        <v>1.0016535773908199</v>
      </c>
      <c r="D5521">
        <v>1.0024275713634401</v>
      </c>
      <c r="E5521">
        <v>1.0044518179908799</v>
      </c>
      <c r="F5521">
        <v>0.87184495733230105</v>
      </c>
      <c r="G5521">
        <v>0.57139128199670997</v>
      </c>
      <c r="H5521">
        <v>0.43654714812366802</v>
      </c>
      <c r="I5521">
        <v>0.20868027070197601</v>
      </c>
      <c r="J5521">
        <v>0.120985224094002</v>
      </c>
      <c r="K5521">
        <v>8.8304182407612494E-2</v>
      </c>
      <c r="L5521">
        <v>907.03247616273995</v>
      </c>
      <c r="M5521">
        <v>16.3659937001093</v>
      </c>
      <c r="N5521">
        <v>55.677302165114902</v>
      </c>
      <c r="O5521">
        <v>54.614138793541898</v>
      </c>
      <c r="P5521">
        <v>-7.22112636351495E-2</v>
      </c>
      <c r="Q5521">
        <v>3.6178787264315899E-2</v>
      </c>
      <c r="R5521">
        <v>0.99321658575513105</v>
      </c>
      <c r="S5521" t="s">
        <v>11104</v>
      </c>
      <c r="T5521" t="s">
        <v>11164</v>
      </c>
      <c r="U5521" t="s">
        <v>11164</v>
      </c>
      <c r="V5521" t="s">
        <v>11164</v>
      </c>
      <c r="W5521" t="s">
        <v>16637</v>
      </c>
      <c r="X5521">
        <v>5</v>
      </c>
      <c r="Y5521" t="s">
        <v>22094</v>
      </c>
      <c r="Z5521" t="s">
        <v>27671</v>
      </c>
      <c r="AA5521">
        <v>0.64024339422293819</v>
      </c>
      <c r="AB5521" t="str">
        <f>HYPERLINK("Melting_Curves/meltCurve_Q9Y5N5_N6AMT1.pdf", "Melting_Curves/meltCurve_Q9Y5N5_N6AMT1.pdf")</f>
        <v>Melting_Curves/meltCurve_Q9Y5N5_N6AMT1.pdf</v>
      </c>
    </row>
    <row r="5522" spans="1:28" x14ac:dyDescent="0.25">
      <c r="A5522" t="s">
        <v>5526</v>
      </c>
      <c r="B5522">
        <v>0.99796759195183404</v>
      </c>
      <c r="C5522">
        <v>1.08957689204248</v>
      </c>
      <c r="D5522">
        <v>1.1273762131064</v>
      </c>
      <c r="E5522">
        <v>0.95916218442019696</v>
      </c>
      <c r="F5522">
        <v>0.44486289726401601</v>
      </c>
      <c r="G5522">
        <v>0.16366321026407399</v>
      </c>
      <c r="H5522">
        <v>0.12663030285704299</v>
      </c>
      <c r="I5522">
        <v>0.10010220010505599</v>
      </c>
      <c r="J5522">
        <v>8.83561269252231E-2</v>
      </c>
      <c r="K5522">
        <v>6.7249590499663697E-2</v>
      </c>
      <c r="L5522">
        <v>2095.1358250886701</v>
      </c>
      <c r="M5522">
        <v>42.175326550763501</v>
      </c>
      <c r="N5522">
        <v>49.942872301315802</v>
      </c>
      <c r="O5522">
        <v>49.5655191852724</v>
      </c>
      <c r="P5522">
        <v>-0.19132337411574099</v>
      </c>
      <c r="Q5522">
        <v>0.100609079871607</v>
      </c>
      <c r="R5522">
        <v>0.98608059387302704</v>
      </c>
      <c r="S5522" t="s">
        <v>11105</v>
      </c>
      <c r="T5522" t="s">
        <v>11164</v>
      </c>
      <c r="U5522" t="s">
        <v>11164</v>
      </c>
      <c r="V5522" t="s">
        <v>11164</v>
      </c>
      <c r="W5522" t="s">
        <v>16638</v>
      </c>
      <c r="X5522">
        <v>4</v>
      </c>
      <c r="Y5522" t="s">
        <v>22095</v>
      </c>
      <c r="Z5522" t="s">
        <v>27672</v>
      </c>
      <c r="AA5522">
        <v>0.48343113719866931</v>
      </c>
      <c r="AB5522" t="str">
        <f>HYPERLINK("Melting_Curves/meltCurve_Q9Y5N6_ORC6.pdf", "Melting_Curves/meltCurve_Q9Y5N6_ORC6.pdf")</f>
        <v>Melting_Curves/meltCurve_Q9Y5N6_ORC6.pdf</v>
      </c>
    </row>
    <row r="5523" spans="1:28" x14ac:dyDescent="0.25">
      <c r="A5523" t="s">
        <v>5527</v>
      </c>
      <c r="B5523">
        <v>0.99796759195183404</v>
      </c>
      <c r="C5523">
        <v>1.0122233968749299</v>
      </c>
      <c r="D5523">
        <v>0.93796658168205405</v>
      </c>
      <c r="E5523">
        <v>0.96954533792939701</v>
      </c>
      <c r="F5523">
        <v>0.86978227672635999</v>
      </c>
      <c r="G5523">
        <v>0.56300920402050703</v>
      </c>
      <c r="H5523">
        <v>0.28228931912800598</v>
      </c>
      <c r="I5523">
        <v>0.15958480255648699</v>
      </c>
      <c r="J5523">
        <v>0.170351766037421</v>
      </c>
      <c r="K5523">
        <v>0.119562161756402</v>
      </c>
      <c r="L5523">
        <v>1287.70847600244</v>
      </c>
      <c r="M5523">
        <v>23.940327530779701</v>
      </c>
      <c r="N5523">
        <v>54.442411403757902</v>
      </c>
      <c r="O5523">
        <v>53.417171322535602</v>
      </c>
      <c r="P5523">
        <v>-9.8041602569511999E-2</v>
      </c>
      <c r="Q5523">
        <v>0.124987501376048</v>
      </c>
      <c r="R5523">
        <v>0.99636205349713203</v>
      </c>
      <c r="S5523" t="s">
        <v>11106</v>
      </c>
      <c r="T5523" t="s">
        <v>11164</v>
      </c>
      <c r="U5523" t="s">
        <v>11164</v>
      </c>
      <c r="V5523" t="s">
        <v>11164</v>
      </c>
      <c r="W5523" t="s">
        <v>16639</v>
      </c>
      <c r="X5523">
        <v>8</v>
      </c>
      <c r="Y5523" t="s">
        <v>22096</v>
      </c>
      <c r="Z5523" t="s">
        <v>27673</v>
      </c>
      <c r="AA5523">
        <v>0.62287344284134671</v>
      </c>
      <c r="AB5523" t="str">
        <f>HYPERLINK("Melting_Curves/meltCurve_Q9Y5P4_2_COL4A3BP.pdf", "Melting_Curves/meltCurve_Q9Y5P4_2_COL4A3BP.pdf")</f>
        <v>Melting_Curves/meltCurve_Q9Y5P4_2_COL4A3BP.pdf</v>
      </c>
    </row>
    <row r="5524" spans="1:28" x14ac:dyDescent="0.25">
      <c r="A5524" t="s">
        <v>5528</v>
      </c>
      <c r="B5524">
        <v>0.99796759195183404</v>
      </c>
      <c r="C5524">
        <v>0.92059009261354996</v>
      </c>
      <c r="D5524">
        <v>0.94187134216356405</v>
      </c>
      <c r="E5524">
        <v>0.81533907934985095</v>
      </c>
      <c r="F5524">
        <v>0.93551914132919101</v>
      </c>
      <c r="G5524">
        <v>1.0431987870389801</v>
      </c>
      <c r="H5524">
        <v>0.72277793046725602</v>
      </c>
      <c r="I5524">
        <v>0.48302846922833997</v>
      </c>
      <c r="J5524">
        <v>0.228840516479099</v>
      </c>
      <c r="K5524">
        <v>5.1378871199620701E-2</v>
      </c>
      <c r="L5524">
        <v>1422.5920823802101</v>
      </c>
      <c r="M5524">
        <v>23.504201953366302</v>
      </c>
      <c r="N5524">
        <v>60.525011185455398</v>
      </c>
      <c r="O5524">
        <v>60.092005160973301</v>
      </c>
      <c r="P5524">
        <v>-9.7785926359414105E-2</v>
      </c>
      <c r="Q5524">
        <v>0</v>
      </c>
      <c r="R5524">
        <v>0.94226938429076901</v>
      </c>
      <c r="S5524" t="s">
        <v>11107</v>
      </c>
      <c r="T5524" t="s">
        <v>11164</v>
      </c>
      <c r="U5524" t="s">
        <v>11164</v>
      </c>
      <c r="V5524" t="s">
        <v>11164</v>
      </c>
      <c r="W5524" t="s">
        <v>16640</v>
      </c>
      <c r="X5524">
        <v>7</v>
      </c>
      <c r="Y5524" t="s">
        <v>22097</v>
      </c>
      <c r="Z5524" t="s">
        <v>27674</v>
      </c>
      <c r="AA5524">
        <v>0.78499862954907962</v>
      </c>
      <c r="AB5524" t="str">
        <f>HYPERLINK("Melting_Curves/meltCurve_Q9Y5P6_GMPPB.pdf", "Melting_Curves/meltCurve_Q9Y5P6_GMPPB.pdf")</f>
        <v>Melting_Curves/meltCurve_Q9Y5P6_GMPPB.pdf</v>
      </c>
    </row>
    <row r="5525" spans="1:28" x14ac:dyDescent="0.25">
      <c r="A5525" t="s">
        <v>5529</v>
      </c>
      <c r="B5525">
        <v>0.99796759195183404</v>
      </c>
      <c r="C5525">
        <v>1.0281409539392801</v>
      </c>
      <c r="D5525">
        <v>0.99044540661990799</v>
      </c>
      <c r="E5525">
        <v>0.89385150798777502</v>
      </c>
      <c r="F5525">
        <v>0.68628364621940596</v>
      </c>
      <c r="G5525">
        <v>0.207410963561209</v>
      </c>
      <c r="H5525">
        <v>0.150408747697092</v>
      </c>
      <c r="I5525">
        <v>0.121509597768934</v>
      </c>
      <c r="J5525">
        <v>0.11464594460066201</v>
      </c>
      <c r="K5525">
        <v>8.3862016816345905E-2</v>
      </c>
      <c r="L5525">
        <v>1635.3183785124199</v>
      </c>
      <c r="M5525">
        <v>32.098241285586603</v>
      </c>
      <c r="N5525">
        <v>51.322446110398502</v>
      </c>
      <c r="O5525">
        <v>50.750766256337101</v>
      </c>
      <c r="P5525">
        <v>-0.14158341074759601</v>
      </c>
      <c r="Q5525">
        <v>0.104570210839254</v>
      </c>
      <c r="R5525">
        <v>0.99498411019963795</v>
      </c>
      <c r="S5525" t="s">
        <v>11108</v>
      </c>
      <c r="T5525" t="s">
        <v>11164</v>
      </c>
      <c r="U5525" t="s">
        <v>11164</v>
      </c>
      <c r="V5525" t="s">
        <v>11164</v>
      </c>
      <c r="W5525" t="s">
        <v>16641</v>
      </c>
      <c r="X5525">
        <v>6</v>
      </c>
      <c r="Y5525" t="s">
        <v>22098</v>
      </c>
      <c r="Z5525" t="s">
        <v>27675</v>
      </c>
      <c r="AA5525">
        <v>0.52574617268916934</v>
      </c>
      <c r="AB5525" t="str">
        <f>HYPERLINK("Melting_Curves/meltCurve_Q9Y5Q8_GTF3C5.pdf", "Melting_Curves/meltCurve_Q9Y5Q8_GTF3C5.pdf")</f>
        <v>Melting_Curves/meltCurve_Q9Y5Q8_GTF3C5.pdf</v>
      </c>
    </row>
    <row r="5526" spans="1:28" x14ac:dyDescent="0.25">
      <c r="A5526" t="s">
        <v>5530</v>
      </c>
      <c r="B5526">
        <v>0.99796759195183404</v>
      </c>
      <c r="C5526">
        <v>0.83302032164595696</v>
      </c>
      <c r="D5526">
        <v>0.864499518387148</v>
      </c>
      <c r="E5526">
        <v>0.71842889472717997</v>
      </c>
      <c r="F5526">
        <v>0.56517524785808004</v>
      </c>
      <c r="G5526">
        <v>0.34900431444255797</v>
      </c>
      <c r="H5526">
        <v>0.27058490316612399</v>
      </c>
      <c r="I5526">
        <v>0.24900409719956501</v>
      </c>
      <c r="J5526">
        <v>0.12785286789005501</v>
      </c>
      <c r="K5526">
        <v>6.6709419918186894E-2</v>
      </c>
      <c r="L5526">
        <v>453.82837874652802</v>
      </c>
      <c r="M5526">
        <v>8.8811550997858308</v>
      </c>
      <c r="N5526">
        <v>51.100152086202499</v>
      </c>
      <c r="O5526">
        <v>48.7084084497642</v>
      </c>
      <c r="P5526">
        <v>-4.5618083394443301E-2</v>
      </c>
      <c r="Q5526">
        <v>0</v>
      </c>
      <c r="R5526">
        <v>0.98258776599125097</v>
      </c>
      <c r="S5526" t="s">
        <v>11109</v>
      </c>
      <c r="T5526" t="s">
        <v>11164</v>
      </c>
      <c r="U5526" t="s">
        <v>11164</v>
      </c>
      <c r="V5526" t="s">
        <v>11164</v>
      </c>
      <c r="W5526" t="s">
        <v>16642</v>
      </c>
      <c r="X5526">
        <v>2</v>
      </c>
      <c r="Y5526" t="s">
        <v>22099</v>
      </c>
      <c r="Z5526" t="s">
        <v>27676</v>
      </c>
      <c r="AA5526">
        <v>0.50248721853764899</v>
      </c>
      <c r="AB5526" t="str">
        <f>HYPERLINK("Melting_Curves/meltCurve_Q9Y5Q9_GTF3C3.pdf", "Melting_Curves/meltCurve_Q9Y5Q9_GTF3C3.pdf")</f>
        <v>Melting_Curves/meltCurve_Q9Y5Q9_GTF3C3.pdf</v>
      </c>
    </row>
    <row r="5527" spans="1:28" x14ac:dyDescent="0.25">
      <c r="A5527" t="s">
        <v>5531</v>
      </c>
      <c r="B5527">
        <v>0.99796759195183404</v>
      </c>
      <c r="C5527">
        <v>0.845132790358608</v>
      </c>
      <c r="D5527">
        <v>0.774603152003151</v>
      </c>
      <c r="E5527">
        <v>0.99387506329148201</v>
      </c>
      <c r="F5527">
        <v>0.98657888134146698</v>
      </c>
      <c r="G5527">
        <v>1.5579179027283301</v>
      </c>
      <c r="H5527">
        <v>1.40266140816548</v>
      </c>
      <c r="I5527">
        <v>0.26909457436661199</v>
      </c>
      <c r="J5527">
        <v>0.13643807217343901</v>
      </c>
      <c r="K5527">
        <v>0.104002821096303</v>
      </c>
      <c r="L5527">
        <v>15000</v>
      </c>
      <c r="M5527">
        <v>247.49278698525401</v>
      </c>
      <c r="N5527">
        <v>60.6752704068955</v>
      </c>
      <c r="O5527">
        <v>60.603869225218801</v>
      </c>
      <c r="P5527">
        <v>-0.89820793344516203</v>
      </c>
      <c r="Q5527">
        <v>0.120218783866928</v>
      </c>
      <c r="R5527">
        <v>0.75689262114820799</v>
      </c>
      <c r="S5527" t="s">
        <v>11110</v>
      </c>
      <c r="T5527" t="s">
        <v>11164</v>
      </c>
      <c r="U5527" t="s">
        <v>11164</v>
      </c>
      <c r="V5527" t="s">
        <v>11164</v>
      </c>
      <c r="W5527" t="s">
        <v>16643</v>
      </c>
      <c r="X5527">
        <v>2</v>
      </c>
      <c r="Y5527" t="s">
        <v>22100</v>
      </c>
      <c r="Z5527" t="s">
        <v>27677</v>
      </c>
      <c r="AA5527">
        <v>0.8126383580687101</v>
      </c>
      <c r="AB5527" t="str">
        <f>HYPERLINK("Melting_Curves/meltCurve_Q9Y5S2_CDC42BPB.pdf", "Melting_Curves/meltCurve_Q9Y5S2_CDC42BPB.pdf")</f>
        <v>Melting_Curves/meltCurve_Q9Y5S2_CDC42BPB.pdf</v>
      </c>
    </row>
    <row r="5528" spans="1:28" x14ac:dyDescent="0.25">
      <c r="A5528" t="s">
        <v>5532</v>
      </c>
      <c r="B5528">
        <v>0.99796759195183404</v>
      </c>
      <c r="C5528">
        <v>1.18755950891937</v>
      </c>
      <c r="D5528">
        <v>1.01769598888324</v>
      </c>
      <c r="E5528">
        <v>0.88612241590871599</v>
      </c>
      <c r="F5528">
        <v>1.06097634799338</v>
      </c>
      <c r="G5528">
        <v>0.53781773350932605</v>
      </c>
      <c r="H5528">
        <v>0.32461710714165498</v>
      </c>
      <c r="I5528">
        <v>0.26633702511649998</v>
      </c>
      <c r="J5528">
        <v>0.30535881896551598</v>
      </c>
      <c r="K5528">
        <v>0.174045265150581</v>
      </c>
      <c r="L5528">
        <v>7626.40724398356</v>
      </c>
      <c r="M5528">
        <v>142.29118085321201</v>
      </c>
      <c r="N5528">
        <v>53.887287011229702</v>
      </c>
      <c r="O5528">
        <v>53.586603270513599</v>
      </c>
      <c r="P5528">
        <v>-0.48621526173747198</v>
      </c>
      <c r="Q5528">
        <v>0.267568831371023</v>
      </c>
      <c r="R5528">
        <v>0.95225413179663798</v>
      </c>
      <c r="S5528" t="s">
        <v>11111</v>
      </c>
      <c r="T5528" t="s">
        <v>11164</v>
      </c>
      <c r="U5528" t="s">
        <v>11164</v>
      </c>
      <c r="V5528" t="s">
        <v>11164</v>
      </c>
      <c r="W5528" t="s">
        <v>16644</v>
      </c>
      <c r="X5528">
        <v>8</v>
      </c>
      <c r="Y5528" t="s">
        <v>22101</v>
      </c>
      <c r="Z5528" t="s">
        <v>27678</v>
      </c>
      <c r="AA5528">
        <v>0.67299153892276742</v>
      </c>
      <c r="AB5528" t="str">
        <f>HYPERLINK("Melting_Curves/meltCurve_Q9Y5S9_RBM8A.pdf", "Melting_Curves/meltCurve_Q9Y5S9_RBM8A.pdf")</f>
        <v>Melting_Curves/meltCurve_Q9Y5S9_RBM8A.pdf</v>
      </c>
    </row>
    <row r="5529" spans="1:28" x14ac:dyDescent="0.25">
      <c r="A5529" t="s">
        <v>5533</v>
      </c>
      <c r="B5529">
        <v>0.99796759195183404</v>
      </c>
      <c r="C5529">
        <v>1.1154332512555001</v>
      </c>
      <c r="D5529">
        <v>1.2080101735020601</v>
      </c>
      <c r="E5529">
        <v>1.1107150089023301</v>
      </c>
      <c r="F5529">
        <v>0.78993352584988297</v>
      </c>
      <c r="G5529">
        <v>0.58280351522072105</v>
      </c>
      <c r="H5529">
        <v>0.219887219283073</v>
      </c>
      <c r="I5529">
        <v>0.156009510878375</v>
      </c>
      <c r="J5529">
        <v>9.2409291203540203E-2</v>
      </c>
      <c r="K5529">
        <v>8.03755934645842E-2</v>
      </c>
      <c r="L5529">
        <v>1311.63633024556</v>
      </c>
      <c r="M5529">
        <v>24.351959216704898</v>
      </c>
      <c r="N5529">
        <v>54.248000568830797</v>
      </c>
      <c r="O5529">
        <v>53.502361522793798</v>
      </c>
      <c r="P5529">
        <v>-0.10473126512570501</v>
      </c>
      <c r="Q5529">
        <v>7.9616333265238398E-2</v>
      </c>
      <c r="R5529">
        <v>0.95720015697575001</v>
      </c>
      <c r="S5529" t="s">
        <v>11112</v>
      </c>
      <c r="T5529" t="s">
        <v>11164</v>
      </c>
      <c r="U5529" t="s">
        <v>11164</v>
      </c>
      <c r="V5529" t="s">
        <v>11164</v>
      </c>
      <c r="W5529" t="s">
        <v>16645</v>
      </c>
      <c r="X5529">
        <v>1</v>
      </c>
      <c r="Y5529" t="s">
        <v>22102</v>
      </c>
      <c r="Z5529" t="s">
        <v>27679</v>
      </c>
      <c r="AA5529">
        <v>0.60532584243389498</v>
      </c>
      <c r="AB5529" t="str">
        <f>HYPERLINK("Melting_Curves/meltCurve_Q9Y5T5_5_USP16.pdf", "Melting_Curves/meltCurve_Q9Y5T5_5_USP16.pdf")</f>
        <v>Melting_Curves/meltCurve_Q9Y5T5_5_USP16.pdf</v>
      </c>
    </row>
    <row r="5530" spans="1:28" x14ac:dyDescent="0.25">
      <c r="A5530" t="s">
        <v>5534</v>
      </c>
      <c r="B5530">
        <v>0.99796759195183404</v>
      </c>
      <c r="C5530">
        <v>0.99650129056841397</v>
      </c>
      <c r="D5530">
        <v>0.865639946911681</v>
      </c>
      <c r="E5530">
        <v>0.85576391951180297</v>
      </c>
      <c r="F5530">
        <v>0.80639140482829896</v>
      </c>
      <c r="G5530">
        <v>0.58858260681982999</v>
      </c>
      <c r="H5530">
        <v>0.86469910919852</v>
      </c>
      <c r="I5530">
        <v>1.46060734417895</v>
      </c>
      <c r="J5530">
        <v>2.2550701067577501</v>
      </c>
      <c r="K5530">
        <v>2.0194795803880901</v>
      </c>
      <c r="L5530">
        <v>15000</v>
      </c>
      <c r="M5530">
        <v>248.36065317520399</v>
      </c>
      <c r="O5530">
        <v>60.392123247014702</v>
      </c>
      <c r="P5530">
        <v>0.51405844965803305</v>
      </c>
      <c r="Q5530">
        <v>1.5</v>
      </c>
      <c r="R5530">
        <v>0.60545819122266398</v>
      </c>
      <c r="S5530" t="s">
        <v>11113</v>
      </c>
      <c r="T5530" t="s">
        <v>11164</v>
      </c>
      <c r="U5530" t="s">
        <v>11164</v>
      </c>
      <c r="V5530" t="s">
        <v>11164</v>
      </c>
      <c r="W5530" t="s">
        <v>16646</v>
      </c>
      <c r="X5530">
        <v>5</v>
      </c>
      <c r="Y5530" t="s">
        <v>22103</v>
      </c>
      <c r="Z5530" t="s">
        <v>27680</v>
      </c>
      <c r="AA5530">
        <v>1.110012297061125</v>
      </c>
      <c r="AB5530" t="str">
        <f>HYPERLINK("Melting_Curves/meltCurve_Q9Y5U2_2_TSSC4.pdf", "Melting_Curves/meltCurve_Q9Y5U2_2_TSSC4.pdf")</f>
        <v>Melting_Curves/meltCurve_Q9Y5U2_2_TSSC4.pdf</v>
      </c>
    </row>
    <row r="5531" spans="1:28" x14ac:dyDescent="0.25">
      <c r="A5531" t="s">
        <v>5535</v>
      </c>
      <c r="B5531">
        <v>0.99796759195183404</v>
      </c>
      <c r="C5531">
        <v>1.0493971518432199</v>
      </c>
      <c r="D5531">
        <v>1.06088394558376</v>
      </c>
      <c r="E5531">
        <v>0.75520593442980299</v>
      </c>
      <c r="F5531">
        <v>0.87912855365639897</v>
      </c>
      <c r="G5531">
        <v>0.71845048390946797</v>
      </c>
      <c r="H5531">
        <v>0.447874766496067</v>
      </c>
      <c r="I5531">
        <v>0.40741365055350698</v>
      </c>
      <c r="J5531">
        <v>0.332900068303362</v>
      </c>
      <c r="K5531">
        <v>0.31707003533016298</v>
      </c>
      <c r="L5531">
        <v>675.26417833686503</v>
      </c>
      <c r="M5531">
        <v>12.285715328349299</v>
      </c>
      <c r="N5531">
        <v>57.749804490513</v>
      </c>
      <c r="O5531">
        <v>53.567999022897197</v>
      </c>
      <c r="P5531">
        <v>-4.4525752739591203E-2</v>
      </c>
      <c r="Q5531">
        <v>0.22360843909384501</v>
      </c>
      <c r="R5531">
        <v>0.93762534183149404</v>
      </c>
      <c r="S5531" t="s">
        <v>11114</v>
      </c>
      <c r="T5531" t="s">
        <v>11164</v>
      </c>
      <c r="U5531" t="s">
        <v>11164</v>
      </c>
      <c r="V5531" t="s">
        <v>11164</v>
      </c>
      <c r="W5531" t="s">
        <v>16647</v>
      </c>
      <c r="X5531">
        <v>1</v>
      </c>
      <c r="Y5531" t="s">
        <v>22104</v>
      </c>
      <c r="Z5531" t="s">
        <v>27681</v>
      </c>
      <c r="AA5531">
        <v>0.69970376760120401</v>
      </c>
      <c r="AB5531" t="str">
        <f>HYPERLINK("Melting_Curves/meltCurve_Q9Y5V0_ZNF706.pdf", "Melting_Curves/meltCurve_Q9Y5V0_ZNF706.pdf")</f>
        <v>Melting_Curves/meltCurve_Q9Y5V0_ZNF706.pdf</v>
      </c>
    </row>
    <row r="5532" spans="1:28" x14ac:dyDescent="0.25">
      <c r="A5532" t="s">
        <v>5536</v>
      </c>
      <c r="B5532">
        <v>0.99796759195183404</v>
      </c>
      <c r="C5532">
        <v>0.87350071932101403</v>
      </c>
      <c r="D5532">
        <v>0.82436818684010305</v>
      </c>
      <c r="E5532">
        <v>0.72240723331490198</v>
      </c>
      <c r="F5532">
        <v>0.67427743320330402</v>
      </c>
      <c r="G5532">
        <v>0.29468934898399501</v>
      </c>
      <c r="H5532">
        <v>0.124084008764012</v>
      </c>
      <c r="I5532">
        <v>8.8585798720462294E-2</v>
      </c>
      <c r="J5532">
        <v>7.0165960770830399E-2</v>
      </c>
      <c r="K5532">
        <v>3.5380289570879901E-2</v>
      </c>
      <c r="L5532">
        <v>629.38037903561599</v>
      </c>
      <c r="M5532">
        <v>12.409530252458699</v>
      </c>
      <c r="N5532">
        <v>50.717503902120399</v>
      </c>
      <c r="O5532">
        <v>49.454479989810501</v>
      </c>
      <c r="P5532">
        <v>-6.2745381210816006E-2</v>
      </c>
      <c r="Q5532">
        <v>0</v>
      </c>
      <c r="R5532">
        <v>0.96804216988084502</v>
      </c>
      <c r="S5532" t="s">
        <v>11115</v>
      </c>
      <c r="T5532" t="s">
        <v>11164</v>
      </c>
      <c r="U5532" t="s">
        <v>11164</v>
      </c>
      <c r="V5532" t="s">
        <v>11164</v>
      </c>
      <c r="W5532" t="s">
        <v>16648</v>
      </c>
      <c r="X5532">
        <v>6</v>
      </c>
      <c r="Y5532" t="s">
        <v>22105</v>
      </c>
      <c r="Z5532" t="s">
        <v>27682</v>
      </c>
      <c r="AA5532">
        <v>0.48292775780353753</v>
      </c>
      <c r="AB5532" t="str">
        <f>HYPERLINK("Melting_Curves/meltCurve_Q9Y5X1_SNX9.pdf", "Melting_Curves/meltCurve_Q9Y5X1_SNX9.pdf")</f>
        <v>Melting_Curves/meltCurve_Q9Y5X1_SNX9.pdf</v>
      </c>
    </row>
    <row r="5533" spans="1:28" x14ac:dyDescent="0.25">
      <c r="A5533" t="s">
        <v>5537</v>
      </c>
      <c r="B5533">
        <v>0.99796759195183404</v>
      </c>
      <c r="C5533">
        <v>0.86467089781167095</v>
      </c>
      <c r="D5533">
        <v>0.87301370286503299</v>
      </c>
      <c r="E5533">
        <v>0.86386912052666598</v>
      </c>
      <c r="F5533">
        <v>0.77695252752926403</v>
      </c>
      <c r="G5533">
        <v>0.60596585323687002</v>
      </c>
      <c r="H5533">
        <v>0.65502138251377395</v>
      </c>
      <c r="I5533">
        <v>0.62057973757598806</v>
      </c>
      <c r="J5533">
        <v>0.33550022085015502</v>
      </c>
      <c r="K5533">
        <v>0.19303470130813699</v>
      </c>
      <c r="L5533">
        <v>386.78643577786102</v>
      </c>
      <c r="M5533">
        <v>6.4873840070387603</v>
      </c>
      <c r="N5533">
        <v>59.621325811514801</v>
      </c>
      <c r="O5533">
        <v>54.715134150618901</v>
      </c>
      <c r="P5533">
        <v>-2.9714132451038901E-2</v>
      </c>
      <c r="Q5533">
        <v>0</v>
      </c>
      <c r="R5533">
        <v>0.87836299504023296</v>
      </c>
      <c r="S5533" t="s">
        <v>11116</v>
      </c>
      <c r="T5533" t="s">
        <v>11164</v>
      </c>
      <c r="U5533" t="s">
        <v>11164</v>
      </c>
      <c r="V5533" t="s">
        <v>11164</v>
      </c>
      <c r="W5533" t="s">
        <v>16649</v>
      </c>
      <c r="X5533">
        <v>5</v>
      </c>
      <c r="Y5533" t="s">
        <v>22106</v>
      </c>
      <c r="Z5533" t="s">
        <v>27683</v>
      </c>
      <c r="AA5533">
        <v>0.69724640097939172</v>
      </c>
      <c r="AB5533" t="str">
        <f>HYPERLINK("Melting_Curves/meltCurve_Q9Y5X2_SNX8.pdf", "Melting_Curves/meltCurve_Q9Y5X2_SNX8.pdf")</f>
        <v>Melting_Curves/meltCurve_Q9Y5X2_SNX8.pdf</v>
      </c>
    </row>
    <row r="5534" spans="1:28" x14ac:dyDescent="0.25">
      <c r="A5534" t="s">
        <v>5538</v>
      </c>
      <c r="B5534">
        <v>0.99796759195183404</v>
      </c>
      <c r="C5534">
        <v>1.00624979550089</v>
      </c>
      <c r="D5534">
        <v>0.98729197681268599</v>
      </c>
      <c r="E5534">
        <v>0.90496968224992702</v>
      </c>
      <c r="F5534">
        <v>0.75174366789356395</v>
      </c>
      <c r="G5534">
        <v>0.57436903271736905</v>
      </c>
      <c r="H5534">
        <v>0.238618618957916</v>
      </c>
      <c r="I5534">
        <v>0.15404547327124901</v>
      </c>
      <c r="J5534">
        <v>0.117572680492113</v>
      </c>
      <c r="K5534">
        <v>7.7797448324708293E-2</v>
      </c>
      <c r="L5534">
        <v>880.84769923309398</v>
      </c>
      <c r="M5534">
        <v>16.379076599275098</v>
      </c>
      <c r="N5534">
        <v>54.033374321617003</v>
      </c>
      <c r="O5534">
        <v>52.996361147146501</v>
      </c>
      <c r="P5534">
        <v>-7.44017263033252E-2</v>
      </c>
      <c r="Q5534">
        <v>3.7127966180411601E-2</v>
      </c>
      <c r="R5534">
        <v>0.99489703475603097</v>
      </c>
      <c r="S5534" t="s">
        <v>11117</v>
      </c>
      <c r="T5534" t="s">
        <v>11164</v>
      </c>
      <c r="U5534" t="s">
        <v>11164</v>
      </c>
      <c r="V5534" t="s">
        <v>11164</v>
      </c>
      <c r="W5534" t="s">
        <v>16650</v>
      </c>
      <c r="X5534">
        <v>13</v>
      </c>
      <c r="Y5534" t="s">
        <v>22107</v>
      </c>
      <c r="Z5534" t="s">
        <v>27684</v>
      </c>
      <c r="AA5534">
        <v>0.59046072280448147</v>
      </c>
      <c r="AB5534" t="str">
        <f>HYPERLINK("Melting_Curves/meltCurve_Q9Y5X3_SNX5.pdf", "Melting_Curves/meltCurve_Q9Y5X3_SNX5.pdf")</f>
        <v>Melting_Curves/meltCurve_Q9Y5X3_SNX5.pdf</v>
      </c>
    </row>
    <row r="5535" spans="1:28" x14ac:dyDescent="0.25">
      <c r="A5535" t="s">
        <v>5539</v>
      </c>
      <c r="B5535">
        <v>0.99796759195183404</v>
      </c>
      <c r="C5535">
        <v>1.0697110063733299</v>
      </c>
      <c r="D5535">
        <v>1.08286620908256</v>
      </c>
      <c r="E5535">
        <v>1.1367680383702601</v>
      </c>
      <c r="F5535">
        <v>1.0061613548460799</v>
      </c>
      <c r="G5535">
        <v>0.78892576617704202</v>
      </c>
      <c r="H5535">
        <v>0.86041849027136996</v>
      </c>
      <c r="I5535">
        <v>0.749768536707349</v>
      </c>
      <c r="J5535">
        <v>0.81596534195919201</v>
      </c>
      <c r="K5535">
        <v>0.33246493024479501</v>
      </c>
      <c r="L5535">
        <v>883.73242319047995</v>
      </c>
      <c r="M5535">
        <v>13.3027200267571</v>
      </c>
      <c r="N5535">
        <v>66.432444224108195</v>
      </c>
      <c r="O5535">
        <v>64.985066379305394</v>
      </c>
      <c r="P5535">
        <v>-5.1184331300392599E-2</v>
      </c>
      <c r="Q5535">
        <v>0</v>
      </c>
      <c r="R5535">
        <v>0.76120390173471097</v>
      </c>
      <c r="S5535" t="s">
        <v>11118</v>
      </c>
      <c r="T5535" t="s">
        <v>11164</v>
      </c>
      <c r="U5535" t="s">
        <v>11164</v>
      </c>
      <c r="V5535" t="s">
        <v>11164</v>
      </c>
      <c r="W5535" t="s">
        <v>16651</v>
      </c>
      <c r="X5535">
        <v>5</v>
      </c>
      <c r="Y5535" t="s">
        <v>22108</v>
      </c>
      <c r="Z5535" t="s">
        <v>27685</v>
      </c>
      <c r="AA5535">
        <v>0.89156245124441569</v>
      </c>
      <c r="AB5535" t="str">
        <f>HYPERLINK("Melting_Curves/meltCurve_Q9Y5Y0_FLVCR1.pdf", "Melting_Curves/meltCurve_Q9Y5Y0_FLVCR1.pdf")</f>
        <v>Melting_Curves/meltCurve_Q9Y5Y0_FLVCR1.pdf</v>
      </c>
    </row>
    <row r="5536" spans="1:28" x14ac:dyDescent="0.25">
      <c r="A5536" t="s">
        <v>5540</v>
      </c>
      <c r="B5536">
        <v>0.99796759195183404</v>
      </c>
      <c r="C5536">
        <v>0.97210309251878502</v>
      </c>
      <c r="D5536">
        <v>0.97797018932811497</v>
      </c>
      <c r="E5536">
        <v>0.85774082704239596</v>
      </c>
      <c r="F5536">
        <v>0.76063403080536895</v>
      </c>
      <c r="G5536">
        <v>0.449267114856162</v>
      </c>
      <c r="H5536">
        <v>0.19601151903118</v>
      </c>
      <c r="I5536">
        <v>0.164141605069719</v>
      </c>
      <c r="J5536">
        <v>0.123834036393783</v>
      </c>
      <c r="K5536">
        <v>8.3998114632615098E-2</v>
      </c>
      <c r="L5536">
        <v>937.02825080304001</v>
      </c>
      <c r="M5536">
        <v>17.820740417269999</v>
      </c>
      <c r="N5536">
        <v>53.039101100669598</v>
      </c>
      <c r="O5536">
        <v>51.932074078573599</v>
      </c>
      <c r="P5536">
        <v>-7.9670956223117401E-2</v>
      </c>
      <c r="Q5536">
        <v>7.1359426658450895E-2</v>
      </c>
      <c r="R5536">
        <v>0.99407244134961104</v>
      </c>
      <c r="S5536" t="s">
        <v>11119</v>
      </c>
      <c r="T5536" t="s">
        <v>11164</v>
      </c>
      <c r="U5536" t="s">
        <v>11164</v>
      </c>
      <c r="V5536" t="s">
        <v>11164</v>
      </c>
      <c r="W5536" t="s">
        <v>16652</v>
      </c>
      <c r="X5536">
        <v>5</v>
      </c>
      <c r="Y5536" t="s">
        <v>22109</v>
      </c>
      <c r="Z5536" t="s">
        <v>27686</v>
      </c>
      <c r="AA5536">
        <v>0.56759633635026885</v>
      </c>
      <c r="AB5536" t="str">
        <f>HYPERLINK("Melting_Curves/meltCurve_Q9Y5Y2_NUBP2.pdf", "Melting_Curves/meltCurve_Q9Y5Y2_NUBP2.pdf")</f>
        <v>Melting_Curves/meltCurve_Q9Y5Y2_NUBP2.pdf</v>
      </c>
    </row>
    <row r="5537" spans="1:28" x14ac:dyDescent="0.25">
      <c r="A5537" t="s">
        <v>5541</v>
      </c>
      <c r="B5537">
        <v>0.99796759195183404</v>
      </c>
      <c r="C5537">
        <v>0.97014550239266395</v>
      </c>
      <c r="D5537">
        <v>1.0015925895389599</v>
      </c>
      <c r="E5537">
        <v>0.95860751813568801</v>
      </c>
      <c r="F5537">
        <v>0.79190704077045104</v>
      </c>
      <c r="G5537">
        <v>0.493897843333575</v>
      </c>
      <c r="H5537">
        <v>0.43581811338745702</v>
      </c>
      <c r="I5537">
        <v>0.334115979193368</v>
      </c>
      <c r="J5537">
        <v>0.28442414838797597</v>
      </c>
      <c r="K5537">
        <v>0.25119949619612802</v>
      </c>
      <c r="L5537">
        <v>1014.84813781045</v>
      </c>
      <c r="M5537">
        <v>19.381660766618602</v>
      </c>
      <c r="N5537">
        <v>54.5607101970202</v>
      </c>
      <c r="O5537">
        <v>51.8134065463517</v>
      </c>
      <c r="P5537">
        <v>-6.8166986323630205E-2</v>
      </c>
      <c r="Q5537">
        <v>0.27109793583889202</v>
      </c>
      <c r="R5537">
        <v>0.99139051765802799</v>
      </c>
      <c r="S5537" t="s">
        <v>11120</v>
      </c>
      <c r="T5537" t="s">
        <v>11164</v>
      </c>
      <c r="U5537" t="s">
        <v>11164</v>
      </c>
      <c r="V5537" t="s">
        <v>11164</v>
      </c>
      <c r="W5537" t="s">
        <v>16653</v>
      </c>
      <c r="X5537">
        <v>9</v>
      </c>
      <c r="Y5537" t="s">
        <v>22110</v>
      </c>
      <c r="Z5537" t="s">
        <v>27687</v>
      </c>
      <c r="AA5537">
        <v>0.65412077314139516</v>
      </c>
      <c r="AB5537" t="str">
        <f>HYPERLINK("Melting_Curves/meltCurve_Q9Y5Z4_HEBP2.pdf", "Melting_Curves/meltCurve_Q9Y5Z4_HEBP2.pdf")</f>
        <v>Melting_Curves/meltCurve_Q9Y5Z4_HEBP2.pdf</v>
      </c>
    </row>
    <row r="5538" spans="1:28" x14ac:dyDescent="0.25">
      <c r="A5538" t="s">
        <v>5542</v>
      </c>
      <c r="B5538">
        <v>0.99796759195183404</v>
      </c>
      <c r="C5538">
        <v>0.95501281904378599</v>
      </c>
      <c r="D5538">
        <v>0.91956691115276701</v>
      </c>
      <c r="E5538">
        <v>0.87798515502496</v>
      </c>
      <c r="F5538">
        <v>0.91407822545297102</v>
      </c>
      <c r="G5538">
        <v>0.85549369760357297</v>
      </c>
      <c r="H5538">
        <v>0.46869945126983897</v>
      </c>
      <c r="I5538">
        <v>0.39264080661627099</v>
      </c>
      <c r="J5538">
        <v>0.295768798457403</v>
      </c>
      <c r="K5538">
        <v>0.25096249735730802</v>
      </c>
      <c r="L5538">
        <v>1254.7904946338399</v>
      </c>
      <c r="M5538">
        <v>22.370887849070801</v>
      </c>
      <c r="N5538">
        <v>57.8524536312271</v>
      </c>
      <c r="O5538">
        <v>55.647895722176202</v>
      </c>
      <c r="P5538">
        <v>-7.5675108946165803E-2</v>
      </c>
      <c r="Q5538">
        <v>0.247044125771194</v>
      </c>
      <c r="R5538">
        <v>0.960388629903003</v>
      </c>
      <c r="S5538" t="s">
        <v>11121</v>
      </c>
      <c r="T5538" t="s">
        <v>11164</v>
      </c>
      <c r="U5538" t="s">
        <v>11164</v>
      </c>
      <c r="V5538" t="s">
        <v>11164</v>
      </c>
      <c r="W5538" t="s">
        <v>16654</v>
      </c>
      <c r="X5538">
        <v>2</v>
      </c>
      <c r="Y5538" t="s">
        <v>22111</v>
      </c>
      <c r="Z5538" t="s">
        <v>27688</v>
      </c>
      <c r="AA5538">
        <v>0.73308942164835322</v>
      </c>
      <c r="AB5538" t="str">
        <f>HYPERLINK("Melting_Curves/meltCurve_Q9Y5Z9_2_UBIAD1.pdf", "Melting_Curves/meltCurve_Q9Y5Z9_2_UBIAD1.pdf")</f>
        <v>Melting_Curves/meltCurve_Q9Y5Z9_2_UBIAD1.pdf</v>
      </c>
    </row>
    <row r="5539" spans="1:28" x14ac:dyDescent="0.25">
      <c r="A5539" t="s">
        <v>5543</v>
      </c>
      <c r="B5539">
        <v>0.99796759195183404</v>
      </c>
      <c r="C5539">
        <v>1.00604183668712</v>
      </c>
      <c r="D5539">
        <v>1.06167501872633</v>
      </c>
      <c r="E5539">
        <v>0.93359217720302801</v>
      </c>
      <c r="F5539">
        <v>0.83044942536003696</v>
      </c>
      <c r="G5539">
        <v>0.61550383183540602</v>
      </c>
      <c r="H5539">
        <v>0.26391271558271101</v>
      </c>
      <c r="I5539">
        <v>0.15328835826984699</v>
      </c>
      <c r="J5539">
        <v>0.197201043026727</v>
      </c>
      <c r="K5539">
        <v>0.14114075674950699</v>
      </c>
      <c r="L5539">
        <v>1231.8997424603999</v>
      </c>
      <c r="M5539">
        <v>22.882766352756999</v>
      </c>
      <c r="N5539">
        <v>54.5618497207521</v>
      </c>
      <c r="O5539">
        <v>53.429162783560898</v>
      </c>
      <c r="P5539">
        <v>-9.3010140303524405E-2</v>
      </c>
      <c r="Q5539">
        <v>0.13133585918753701</v>
      </c>
      <c r="R5539">
        <v>0.99026563889886199</v>
      </c>
      <c r="S5539" t="s">
        <v>11122</v>
      </c>
      <c r="T5539" t="s">
        <v>11164</v>
      </c>
      <c r="U5539" t="s">
        <v>11164</v>
      </c>
      <c r="V5539" t="s">
        <v>11164</v>
      </c>
      <c r="W5539" t="s">
        <v>16655</v>
      </c>
      <c r="X5539">
        <v>2</v>
      </c>
      <c r="Y5539" t="s">
        <v>22112</v>
      </c>
      <c r="Z5539" t="s">
        <v>27689</v>
      </c>
      <c r="AA5539">
        <v>0.62755459717978135</v>
      </c>
      <c r="AB5539" t="str">
        <f>HYPERLINK("Melting_Curves/meltCurve_Q9Y605_MRFAP1.pdf", "Melting_Curves/meltCurve_Q9Y605_MRFAP1.pdf")</f>
        <v>Melting_Curves/meltCurve_Q9Y605_MRFAP1.pdf</v>
      </c>
    </row>
    <row r="5540" spans="1:28" x14ac:dyDescent="0.25">
      <c r="A5540" t="s">
        <v>5544</v>
      </c>
      <c r="B5540">
        <v>0.99796759195183404</v>
      </c>
      <c r="C5540">
        <v>1.1486948348964201</v>
      </c>
      <c r="D5540">
        <v>1.13283660486952</v>
      </c>
      <c r="E5540">
        <v>1.17715643599328</v>
      </c>
      <c r="F5540">
        <v>1.1168051762895701</v>
      </c>
      <c r="G5540">
        <v>0.834349465573621</v>
      </c>
      <c r="H5540">
        <v>1.14203981698679</v>
      </c>
      <c r="I5540">
        <v>1.02281925811418</v>
      </c>
      <c r="J5540">
        <v>1.2090449876162499</v>
      </c>
      <c r="K5540">
        <v>1.2065904694626799</v>
      </c>
      <c r="L5540">
        <v>1435.4282512494201</v>
      </c>
      <c r="M5540">
        <v>22.8320035416404</v>
      </c>
      <c r="O5540">
        <v>62.392809984520802</v>
      </c>
      <c r="P5540">
        <v>2.5133838837000998E-2</v>
      </c>
      <c r="Q5540">
        <v>1.2747267626955701</v>
      </c>
      <c r="R5540">
        <v>-9.8140223057818096E-2</v>
      </c>
      <c r="S5540" t="s">
        <v>11123</v>
      </c>
      <c r="T5540" t="s">
        <v>11164</v>
      </c>
      <c r="U5540" t="s">
        <v>11164</v>
      </c>
      <c r="V5540" t="s">
        <v>11164</v>
      </c>
      <c r="W5540" t="s">
        <v>16656</v>
      </c>
      <c r="X5540">
        <v>4</v>
      </c>
      <c r="Y5540" t="s">
        <v>22113</v>
      </c>
      <c r="Z5540" t="s">
        <v>27690</v>
      </c>
      <c r="AA5540">
        <v>1.041090908210764</v>
      </c>
      <c r="AB5540" t="str">
        <f>HYPERLINK("Melting_Curves/meltCurve_Q9Y608_4_LRRFIP2.pdf", "Melting_Curves/meltCurve_Q9Y608_4_LRRFIP2.pdf")</f>
        <v>Melting_Curves/meltCurve_Q9Y608_4_LRRFIP2.pdf</v>
      </c>
    </row>
    <row r="5541" spans="1:28" x14ac:dyDescent="0.25">
      <c r="A5541" t="s">
        <v>5545</v>
      </c>
      <c r="B5541">
        <v>0.99796759195183404</v>
      </c>
      <c r="C5541">
        <v>1.0509700053547699</v>
      </c>
      <c r="D5541">
        <v>0.96700126183773305</v>
      </c>
      <c r="E5541">
        <v>0.88661350295429298</v>
      </c>
      <c r="F5541">
        <v>0.73864303372413898</v>
      </c>
      <c r="G5541">
        <v>0.34802004773379502</v>
      </c>
      <c r="H5541">
        <v>0.318015486595845</v>
      </c>
      <c r="I5541">
        <v>0.27600730656719202</v>
      </c>
      <c r="J5541">
        <v>0.225723855949192</v>
      </c>
      <c r="K5541">
        <v>0.16563215595164699</v>
      </c>
      <c r="L5541">
        <v>1146.3987908959</v>
      </c>
      <c r="M5541">
        <v>22.3980422739827</v>
      </c>
      <c r="N5541">
        <v>52.482842963705501</v>
      </c>
      <c r="O5541">
        <v>50.780233119700902</v>
      </c>
      <c r="P5541">
        <v>-8.6796223247708706E-2</v>
      </c>
      <c r="Q5541">
        <v>0.21288820426826199</v>
      </c>
      <c r="R5541">
        <v>0.98570493357827105</v>
      </c>
      <c r="S5541" t="s">
        <v>11124</v>
      </c>
      <c r="T5541" t="s">
        <v>11164</v>
      </c>
      <c r="U5541" t="s">
        <v>11164</v>
      </c>
      <c r="V5541" t="s">
        <v>11164</v>
      </c>
      <c r="W5541" t="s">
        <v>16657</v>
      </c>
      <c r="X5541">
        <v>8</v>
      </c>
      <c r="Y5541" t="s">
        <v>22114</v>
      </c>
      <c r="Z5541" t="s">
        <v>27691</v>
      </c>
      <c r="AA5541">
        <v>0.59348705126707246</v>
      </c>
      <c r="AB5541" t="str">
        <f>HYPERLINK("Melting_Curves/meltCurve_Q9Y613_FHOD1.pdf", "Melting_Curves/meltCurve_Q9Y613_FHOD1.pdf")</f>
        <v>Melting_Curves/meltCurve_Q9Y613_FHOD1.pdf</v>
      </c>
    </row>
    <row r="5542" spans="1:28" x14ac:dyDescent="0.25">
      <c r="A5542" t="s">
        <v>5546</v>
      </c>
      <c r="B5542">
        <v>0.99796759195183404</v>
      </c>
      <c r="C5542">
        <v>0.99510552849621403</v>
      </c>
      <c r="D5542">
        <v>1.00397791829554</v>
      </c>
      <c r="E5542">
        <v>0.97390467494294997</v>
      </c>
      <c r="F5542">
        <v>0.86681926778070795</v>
      </c>
      <c r="G5542">
        <v>0.72565320079717999</v>
      </c>
      <c r="H5542">
        <v>0.66639023047426005</v>
      </c>
      <c r="I5542">
        <v>0.51027190800562805</v>
      </c>
      <c r="J5542">
        <v>0.33363132047166899</v>
      </c>
      <c r="K5542">
        <v>0.126301856602451</v>
      </c>
      <c r="L5542">
        <v>699.97952808561797</v>
      </c>
      <c r="M5542">
        <v>11.693975313497999</v>
      </c>
      <c r="N5542">
        <v>59.858132896127699</v>
      </c>
      <c r="O5542">
        <v>58.188057808408601</v>
      </c>
      <c r="P5542">
        <v>-5.0255530172671502E-2</v>
      </c>
      <c r="Q5542">
        <v>0</v>
      </c>
      <c r="R5542">
        <v>0.97521644353988302</v>
      </c>
      <c r="S5542" t="s">
        <v>11125</v>
      </c>
      <c r="T5542" t="s">
        <v>11164</v>
      </c>
      <c r="U5542" t="s">
        <v>11164</v>
      </c>
      <c r="V5542" t="s">
        <v>11164</v>
      </c>
      <c r="W5542" t="s">
        <v>16658</v>
      </c>
      <c r="X5542">
        <v>18</v>
      </c>
      <c r="Y5542" t="s">
        <v>22115</v>
      </c>
      <c r="Z5542" t="s">
        <v>27692</v>
      </c>
      <c r="AA5542">
        <v>0.74554803524452617</v>
      </c>
      <c r="AB5542" t="str">
        <f>HYPERLINK("Melting_Curves/meltCurve_Q9Y617_PSAT1.pdf", "Melting_Curves/meltCurve_Q9Y617_PSAT1.pdf")</f>
        <v>Melting_Curves/meltCurve_Q9Y617_PSAT1.pdf</v>
      </c>
    </row>
    <row r="5543" spans="1:28" x14ac:dyDescent="0.25">
      <c r="A5543" t="s">
        <v>5547</v>
      </c>
      <c r="B5543">
        <v>0.99796759195183404</v>
      </c>
      <c r="C5543">
        <v>0.97409265608109796</v>
      </c>
      <c r="D5543">
        <v>0.95403312603565205</v>
      </c>
      <c r="E5543">
        <v>0.92740862251521905</v>
      </c>
      <c r="F5543">
        <v>0.889227634008947</v>
      </c>
      <c r="G5543">
        <v>0.66078834401598596</v>
      </c>
      <c r="H5543">
        <v>0.67261855530647696</v>
      </c>
      <c r="I5543">
        <v>0.61340312461926405</v>
      </c>
      <c r="J5543">
        <v>0.81526824875224702</v>
      </c>
      <c r="K5543">
        <v>0.75879987025334705</v>
      </c>
      <c r="L5543">
        <v>12575.760599102699</v>
      </c>
      <c r="M5543">
        <v>250</v>
      </c>
      <c r="O5543">
        <v>50.299823308091902</v>
      </c>
      <c r="P5543">
        <v>-0.36757630966631299</v>
      </c>
      <c r="Q5543">
        <v>0.70417562533113598</v>
      </c>
      <c r="R5543">
        <v>0.81129001559814695</v>
      </c>
      <c r="S5543" t="s">
        <v>11126</v>
      </c>
      <c r="T5543" t="s">
        <v>11164</v>
      </c>
      <c r="U5543" t="s">
        <v>11164</v>
      </c>
      <c r="V5543" t="s">
        <v>11164</v>
      </c>
      <c r="W5543" t="s">
        <v>16659</v>
      </c>
      <c r="X5543">
        <v>3</v>
      </c>
      <c r="Y5543" t="s">
        <v>22116</v>
      </c>
      <c r="Z5543" t="s">
        <v>27693</v>
      </c>
      <c r="AA5543">
        <v>0.83538054762319525</v>
      </c>
      <c r="AB5543" t="str">
        <f>HYPERLINK("Melting_Curves/meltCurve_Q9Y619_SLC25A15.pdf", "Melting_Curves/meltCurve_Q9Y619_SLC25A15.pdf")</f>
        <v>Melting_Curves/meltCurve_Q9Y619_SLC25A15.pdf</v>
      </c>
    </row>
    <row r="5544" spans="1:28" x14ac:dyDescent="0.25">
      <c r="A5544" t="s">
        <v>5548</v>
      </c>
      <c r="B5544">
        <v>0.99796759195183404</v>
      </c>
      <c r="C5544">
        <v>1.03714380720903</v>
      </c>
      <c r="D5544">
        <v>1.03975644247259</v>
      </c>
      <c r="E5544">
        <v>1.07883999885997</v>
      </c>
      <c r="F5544">
        <v>0.94282732474050601</v>
      </c>
      <c r="G5544">
        <v>0.71701200603475301</v>
      </c>
      <c r="H5544">
        <v>0.83131532774730899</v>
      </c>
      <c r="I5544">
        <v>0.64381273324163002</v>
      </c>
      <c r="J5544">
        <v>0.77737343244174595</v>
      </c>
      <c r="K5544">
        <v>0.71265758217114294</v>
      </c>
      <c r="L5544">
        <v>12614.4420505199</v>
      </c>
      <c r="M5544">
        <v>250</v>
      </c>
      <c r="O5544">
        <v>50.454539366652497</v>
      </c>
      <c r="P5544">
        <v>-0.326489196908128</v>
      </c>
      <c r="Q5544">
        <v>0.73643420836163997</v>
      </c>
      <c r="R5544">
        <v>0.872719363716709</v>
      </c>
      <c r="S5544" t="s">
        <v>11127</v>
      </c>
      <c r="T5544" t="s">
        <v>11164</v>
      </c>
      <c r="U5544" t="s">
        <v>11164</v>
      </c>
      <c r="V5544" t="s">
        <v>11164</v>
      </c>
      <c r="W5544" t="s">
        <v>16660</v>
      </c>
      <c r="X5544">
        <v>8</v>
      </c>
      <c r="Y5544" t="s">
        <v>22117</v>
      </c>
      <c r="Z5544" t="s">
        <v>27694</v>
      </c>
      <c r="AA5544">
        <v>0.85469112545942849</v>
      </c>
      <c r="AB5544" t="str">
        <f>HYPERLINK("Melting_Curves/meltCurve_Q9Y639_1_NPTN.pdf", "Melting_Curves/meltCurve_Q9Y639_1_NPTN.pdf")</f>
        <v>Melting_Curves/meltCurve_Q9Y639_1_NPTN.pdf</v>
      </c>
    </row>
    <row r="5545" spans="1:28" x14ac:dyDescent="0.25">
      <c r="A5545" t="s">
        <v>5549</v>
      </c>
      <c r="B5545">
        <v>0.99796759195183404</v>
      </c>
      <c r="C5545">
        <v>1.1362699709290101</v>
      </c>
      <c r="D5545">
        <v>1.1501197056510799</v>
      </c>
      <c r="E5545">
        <v>1.0554377535588599</v>
      </c>
      <c r="F5545">
        <v>1.1147140683524499</v>
      </c>
      <c r="G5545">
        <v>0.49902471436097501</v>
      </c>
      <c r="H5545">
        <v>0.417995760116806</v>
      </c>
      <c r="I5545">
        <v>0.20395623281589201</v>
      </c>
      <c r="J5545">
        <v>0.13244333672398001</v>
      </c>
      <c r="K5545">
        <v>0.10391482981212</v>
      </c>
      <c r="L5545">
        <v>1648.42708332302</v>
      </c>
      <c r="M5545">
        <v>30.412991268523701</v>
      </c>
      <c r="N5545">
        <v>54.882225497592501</v>
      </c>
      <c r="O5545">
        <v>53.968690794023701</v>
      </c>
      <c r="P5545">
        <v>-0.118745668591763</v>
      </c>
      <c r="Q5545">
        <v>0.15713535975370699</v>
      </c>
      <c r="R5545">
        <v>0.93616765952189795</v>
      </c>
      <c r="S5545" t="s">
        <v>11128</v>
      </c>
      <c r="T5545" t="s">
        <v>11164</v>
      </c>
      <c r="U5545" t="s">
        <v>11164</v>
      </c>
      <c r="V5545" t="s">
        <v>11164</v>
      </c>
      <c r="W5545" t="s">
        <v>16661</v>
      </c>
      <c r="X5545">
        <v>2</v>
      </c>
      <c r="Y5545" t="s">
        <v>22118</v>
      </c>
      <c r="Z5545" t="s">
        <v>27695</v>
      </c>
      <c r="AA5545">
        <v>0.64566718104802634</v>
      </c>
      <c r="AB5545" t="str">
        <f>HYPERLINK("Melting_Curves/meltCurve_Q9Y657_SPIN1.pdf", "Melting_Curves/meltCurve_Q9Y657_SPIN1.pdf")</f>
        <v>Melting_Curves/meltCurve_Q9Y657_SPIN1.pdf</v>
      </c>
    </row>
    <row r="5546" spans="1:28" x14ac:dyDescent="0.25">
      <c r="A5546" t="s">
        <v>5550</v>
      </c>
      <c r="B5546">
        <v>0.99796759195183404</v>
      </c>
      <c r="C5546">
        <v>0.98437155537625498</v>
      </c>
      <c r="D5546">
        <v>1.0419903266005199</v>
      </c>
      <c r="E5546">
        <v>0.97695407168424697</v>
      </c>
      <c r="F5546">
        <v>0.78957347560024704</v>
      </c>
      <c r="G5546">
        <v>0.52732247516431996</v>
      </c>
      <c r="H5546">
        <v>0.27247781904552199</v>
      </c>
      <c r="I5546">
        <v>0.16477976206369899</v>
      </c>
      <c r="J5546">
        <v>0.11360746608538599</v>
      </c>
      <c r="K5546">
        <v>8.7226879255159304E-2</v>
      </c>
      <c r="L5546">
        <v>1055.8339552138</v>
      </c>
      <c r="M5546">
        <v>19.698829361714498</v>
      </c>
      <c r="N5546">
        <v>54.063311479606803</v>
      </c>
      <c r="O5546">
        <v>53.055624344588097</v>
      </c>
      <c r="P5546">
        <v>-8.5598448554005696E-2</v>
      </c>
      <c r="Q5546">
        <v>7.7849358538007396E-2</v>
      </c>
      <c r="R5546">
        <v>0.99753360326907703</v>
      </c>
      <c r="S5546" t="s">
        <v>11129</v>
      </c>
      <c r="T5546" t="s">
        <v>11164</v>
      </c>
      <c r="U5546" t="s">
        <v>11164</v>
      </c>
      <c r="V5546" t="s">
        <v>11164</v>
      </c>
      <c r="W5546" t="s">
        <v>16662</v>
      </c>
      <c r="X5546">
        <v>7</v>
      </c>
      <c r="Y5546" t="s">
        <v>22119</v>
      </c>
      <c r="Z5546" t="s">
        <v>27696</v>
      </c>
      <c r="AA5546">
        <v>0.59966500237279907</v>
      </c>
      <c r="AB5546" t="str">
        <f>HYPERLINK("Melting_Curves/meltCurve_Q9Y673_ALG5.pdf", "Melting_Curves/meltCurve_Q9Y673_ALG5.pdf")</f>
        <v>Melting_Curves/meltCurve_Q9Y673_ALG5.pdf</v>
      </c>
    </row>
    <row r="5547" spans="1:28" x14ac:dyDescent="0.25">
      <c r="A5547" t="s">
        <v>5551</v>
      </c>
      <c r="B5547">
        <v>0.99796759195183404</v>
      </c>
      <c r="C5547">
        <v>1.0586028507616101</v>
      </c>
      <c r="D5547">
        <v>1.1039076255393001</v>
      </c>
      <c r="E5547">
        <v>0.86688156035921704</v>
      </c>
      <c r="F5547">
        <v>0.66871938120863195</v>
      </c>
      <c r="G5547">
        <v>0.59623836929695495</v>
      </c>
      <c r="H5547">
        <v>0.341002046344551</v>
      </c>
      <c r="I5547">
        <v>0.15801743149556299</v>
      </c>
      <c r="J5547">
        <v>0.102284276081403</v>
      </c>
      <c r="K5547">
        <v>7.4611123724253103E-2</v>
      </c>
      <c r="L5547">
        <v>728.93810818348902</v>
      </c>
      <c r="M5547">
        <v>13.424110600982599</v>
      </c>
      <c r="N5547">
        <v>54.300663202314396</v>
      </c>
      <c r="O5547">
        <v>53.138136770129798</v>
      </c>
      <c r="P5547">
        <v>-6.3166512562268504E-2</v>
      </c>
      <c r="Q5547">
        <v>0</v>
      </c>
      <c r="R5547">
        <v>0.976357453770474</v>
      </c>
      <c r="S5547" t="s">
        <v>11130</v>
      </c>
      <c r="T5547" t="s">
        <v>11164</v>
      </c>
      <c r="U5547" t="s">
        <v>11164</v>
      </c>
      <c r="V5547" t="s">
        <v>11164</v>
      </c>
      <c r="W5547" t="s">
        <v>16663</v>
      </c>
      <c r="X5547">
        <v>27</v>
      </c>
      <c r="Y5547" t="s">
        <v>22120</v>
      </c>
      <c r="Z5547" t="s">
        <v>27697</v>
      </c>
      <c r="AA5547">
        <v>0.5931854261825118</v>
      </c>
      <c r="AB5547" t="str">
        <f>HYPERLINK("Melting_Curves/meltCurve_Q9Y678_COPG1.pdf", "Melting_Curves/meltCurve_Q9Y678_COPG1.pdf")</f>
        <v>Melting_Curves/meltCurve_Q9Y678_COPG1.pdf</v>
      </c>
    </row>
    <row r="5548" spans="1:28" x14ac:dyDescent="0.25">
      <c r="A5548" t="s">
        <v>5552</v>
      </c>
      <c r="B5548">
        <v>0.99796759195183404</v>
      </c>
      <c r="C5548">
        <v>0.95672527283891096</v>
      </c>
      <c r="D5548">
        <v>0.96505218048276098</v>
      </c>
      <c r="E5548">
        <v>0.89554991874474799</v>
      </c>
      <c r="F5548">
        <v>0.79468734957129805</v>
      </c>
      <c r="G5548">
        <v>0.40399800025696297</v>
      </c>
      <c r="H5548">
        <v>0.13630724747883499</v>
      </c>
      <c r="I5548">
        <v>9.1223194440862895E-2</v>
      </c>
      <c r="J5548">
        <v>6.44561846293496E-2</v>
      </c>
      <c r="K5548">
        <v>5.2283336592024499E-2</v>
      </c>
      <c r="L5548">
        <v>1241.3807852467801</v>
      </c>
      <c r="M5548">
        <v>23.5865509001645</v>
      </c>
      <c r="N5548">
        <v>52.838823134716101</v>
      </c>
      <c r="O5548">
        <v>52.256909522522101</v>
      </c>
      <c r="P5548">
        <v>-0.107839699773009</v>
      </c>
      <c r="Q5548">
        <v>4.4323844249840802E-2</v>
      </c>
      <c r="R5548">
        <v>0.99499875277581995</v>
      </c>
      <c r="S5548" t="s">
        <v>11131</v>
      </c>
      <c r="T5548" t="s">
        <v>11164</v>
      </c>
      <c r="U5548" t="s">
        <v>11164</v>
      </c>
      <c r="V5548" t="s">
        <v>11164</v>
      </c>
      <c r="W5548" t="s">
        <v>16664</v>
      </c>
      <c r="X5548">
        <v>8</v>
      </c>
      <c r="Y5548" t="s">
        <v>22121</v>
      </c>
      <c r="Z5548" t="s">
        <v>27698</v>
      </c>
      <c r="AA5548">
        <v>0.55161163129282942</v>
      </c>
      <c r="AB5548" t="str">
        <f>HYPERLINK("Melting_Curves/meltCurve_Q9Y679_2_AUP1.pdf", "Melting_Curves/meltCurve_Q9Y679_2_AUP1.pdf")</f>
        <v>Melting_Curves/meltCurve_Q9Y679_2_AUP1.pdf</v>
      </c>
    </row>
    <row r="5549" spans="1:28" x14ac:dyDescent="0.25">
      <c r="A5549" t="s">
        <v>5553</v>
      </c>
      <c r="B5549">
        <v>0.99796759195183404</v>
      </c>
      <c r="C5549">
        <v>0.99776284763379597</v>
      </c>
      <c r="D5549">
        <v>0.964974065500526</v>
      </c>
      <c r="E5549">
        <v>0.91951157984290099</v>
      </c>
      <c r="F5549">
        <v>0.85030920652693498</v>
      </c>
      <c r="G5549">
        <v>0.62534083524433304</v>
      </c>
      <c r="H5549">
        <v>0.54224255292626899</v>
      </c>
      <c r="I5549">
        <v>0.44783559297417003</v>
      </c>
      <c r="J5549">
        <v>0.50391804534134299</v>
      </c>
      <c r="K5549">
        <v>0.39902345303852299</v>
      </c>
      <c r="L5549">
        <v>884.73056697894197</v>
      </c>
      <c r="M5549">
        <v>16.851007376018099</v>
      </c>
      <c r="N5549">
        <v>58.914404808842903</v>
      </c>
      <c r="O5549">
        <v>51.780447461704</v>
      </c>
      <c r="P5549">
        <v>-4.7182799978881897E-2</v>
      </c>
      <c r="Q5549">
        <v>0.42009643010390901</v>
      </c>
      <c r="R5549">
        <v>0.98525992114904304</v>
      </c>
      <c r="S5549" t="s">
        <v>11132</v>
      </c>
      <c r="T5549" t="s">
        <v>11164</v>
      </c>
      <c r="U5549" t="s">
        <v>11164</v>
      </c>
      <c r="V5549" t="s">
        <v>11164</v>
      </c>
      <c r="W5549" t="s">
        <v>16665</v>
      </c>
      <c r="X5549">
        <v>9</v>
      </c>
      <c r="Y5549" t="s">
        <v>22122</v>
      </c>
      <c r="Z5549" t="s">
        <v>27699</v>
      </c>
      <c r="AA5549">
        <v>0.72916357616535576</v>
      </c>
      <c r="AB5549" t="str">
        <f>HYPERLINK("Melting_Curves/meltCurve_Q9Y680_3_FKBP7.pdf", "Melting_Curves/meltCurve_Q9Y680_3_FKBP7.pdf")</f>
        <v>Melting_Curves/meltCurve_Q9Y680_3_FKBP7.pdf</v>
      </c>
    </row>
    <row r="5550" spans="1:28" x14ac:dyDescent="0.25">
      <c r="A5550" t="s">
        <v>5554</v>
      </c>
      <c r="B5550">
        <v>0.99796759195183404</v>
      </c>
      <c r="C5550">
        <v>0.988204573333888</v>
      </c>
      <c r="D5550">
        <v>1.01503006748048</v>
      </c>
      <c r="E5550">
        <v>0.95571535505988403</v>
      </c>
      <c r="F5550">
        <v>0.80520252843334295</v>
      </c>
      <c r="G5550">
        <v>0.58205565511944302</v>
      </c>
      <c r="H5550">
        <v>0.36067411915688902</v>
      </c>
      <c r="I5550">
        <v>0.21309869649872401</v>
      </c>
      <c r="J5550">
        <v>0.17344922151512501</v>
      </c>
      <c r="K5550">
        <v>0.12096105345779901</v>
      </c>
      <c r="L5550">
        <v>904.39420935491501</v>
      </c>
      <c r="M5550">
        <v>16.654816392681401</v>
      </c>
      <c r="N5550">
        <v>54.988924730197397</v>
      </c>
      <c r="O5550">
        <v>53.537490005989902</v>
      </c>
      <c r="P5550">
        <v>-7.0474785202667506E-2</v>
      </c>
      <c r="Q5550">
        <v>9.3885700130108399E-2</v>
      </c>
      <c r="R5550">
        <v>0.99894951220186101</v>
      </c>
      <c r="S5550" t="s">
        <v>11133</v>
      </c>
      <c r="T5550" t="s">
        <v>11164</v>
      </c>
      <c r="U5550" t="s">
        <v>11164</v>
      </c>
      <c r="V5550" t="s">
        <v>11164</v>
      </c>
      <c r="W5550" t="s">
        <v>16666</v>
      </c>
      <c r="X5550">
        <v>17</v>
      </c>
      <c r="Y5550" t="s">
        <v>22123</v>
      </c>
      <c r="Z5550" t="s">
        <v>27700</v>
      </c>
      <c r="AA5550">
        <v>0.62955792219241047</v>
      </c>
      <c r="AB5550" t="str">
        <f>HYPERLINK("Melting_Curves/meltCurve_Q9Y696_CLIC4.pdf", "Melting_Curves/meltCurve_Q9Y696_CLIC4.pdf")</f>
        <v>Melting_Curves/meltCurve_Q9Y696_CLIC4.pdf</v>
      </c>
    </row>
    <row r="5551" spans="1:28" x14ac:dyDescent="0.25">
      <c r="A5551" t="s">
        <v>5555</v>
      </c>
      <c r="B5551">
        <v>0.99796759195183404</v>
      </c>
      <c r="C5551">
        <v>1.01893772167664</v>
      </c>
      <c r="D5551">
        <v>0.96857668905926497</v>
      </c>
      <c r="E5551">
        <v>0.93516802303857305</v>
      </c>
      <c r="F5551">
        <v>0.89830401387709602</v>
      </c>
      <c r="G5551">
        <v>0.98259824570399001</v>
      </c>
      <c r="H5551">
        <v>0.58766233544498303</v>
      </c>
      <c r="I5551">
        <v>0.28235763248777401</v>
      </c>
      <c r="J5551">
        <v>0.18249737145449699</v>
      </c>
      <c r="K5551">
        <v>0.12493179609520599</v>
      </c>
      <c r="L5551">
        <v>1928.1958483251501</v>
      </c>
      <c r="M5551">
        <v>33.399112204527398</v>
      </c>
      <c r="N5551">
        <v>58.301995245512103</v>
      </c>
      <c r="O5551">
        <v>57.526160767968399</v>
      </c>
      <c r="P5551">
        <v>-0.12492890619703099</v>
      </c>
      <c r="Q5551">
        <v>0.139300498921373</v>
      </c>
      <c r="R5551">
        <v>0.98444392112099899</v>
      </c>
      <c r="S5551" t="s">
        <v>11134</v>
      </c>
      <c r="T5551" t="s">
        <v>11164</v>
      </c>
      <c r="U5551" t="s">
        <v>11164</v>
      </c>
      <c r="V5551" t="s">
        <v>11164</v>
      </c>
      <c r="W5551" t="s">
        <v>16667</v>
      </c>
      <c r="X5551">
        <v>11</v>
      </c>
      <c r="Y5551" t="s">
        <v>22124</v>
      </c>
      <c r="Z5551" t="s">
        <v>27701</v>
      </c>
      <c r="AA5551">
        <v>0.73834094783920101</v>
      </c>
      <c r="AB5551" t="str">
        <f>HYPERLINK("Melting_Curves/meltCurve_Q9Y697_2_NFS1.pdf", "Melting_Curves/meltCurve_Q9Y697_2_NFS1.pdf")</f>
        <v>Melting_Curves/meltCurve_Q9Y697_2_NFS1.pdf</v>
      </c>
    </row>
    <row r="5552" spans="1:28" x14ac:dyDescent="0.25">
      <c r="A5552" t="s">
        <v>5556</v>
      </c>
      <c r="B5552">
        <v>0.99796759195183404</v>
      </c>
      <c r="C5552">
        <v>0.95970158125301497</v>
      </c>
      <c r="D5552">
        <v>0.91676363156180796</v>
      </c>
      <c r="E5552">
        <v>0.89894093685237497</v>
      </c>
      <c r="F5552">
        <v>0.734785345551764</v>
      </c>
      <c r="G5552">
        <v>0.45721060476942099</v>
      </c>
      <c r="H5552">
        <v>0.30785317698349501</v>
      </c>
      <c r="I5552">
        <v>0.19267014156642601</v>
      </c>
      <c r="J5552">
        <v>0.10786795336699601</v>
      </c>
      <c r="K5552">
        <v>0.13198460232315801</v>
      </c>
      <c r="L5552">
        <v>765.87225679661503</v>
      </c>
      <c r="M5552">
        <v>14.457396939737</v>
      </c>
      <c r="N5552">
        <v>53.503767249854398</v>
      </c>
      <c r="O5552">
        <v>51.991829222237897</v>
      </c>
      <c r="P5552">
        <v>-6.48926481626797E-2</v>
      </c>
      <c r="Q5552">
        <v>6.6638677871434501E-2</v>
      </c>
      <c r="R5552">
        <v>0.99464846684099595</v>
      </c>
      <c r="S5552" t="s">
        <v>11135</v>
      </c>
      <c r="T5552" t="s">
        <v>11164</v>
      </c>
      <c r="U5552" t="s">
        <v>11164</v>
      </c>
      <c r="V5552" t="s">
        <v>11164</v>
      </c>
      <c r="W5552" t="s">
        <v>16668</v>
      </c>
      <c r="X5552">
        <v>4</v>
      </c>
      <c r="Y5552" t="s">
        <v>22125</v>
      </c>
      <c r="Z5552" t="s">
        <v>27702</v>
      </c>
      <c r="AA5552">
        <v>0.58091222530383979</v>
      </c>
      <c r="AB5552" t="str">
        <f>HYPERLINK("Melting_Curves/meltCurve_Q9Y6A4_C16orf80.pdf", "Melting_Curves/meltCurve_Q9Y6A4_C16orf80.pdf")</f>
        <v>Melting_Curves/meltCurve_Q9Y6A4_C16orf80.pdf</v>
      </c>
    </row>
    <row r="5553" spans="1:28" x14ac:dyDescent="0.25">
      <c r="A5553" t="s">
        <v>5557</v>
      </c>
      <c r="B5553">
        <v>0.99796759195183404</v>
      </c>
      <c r="C5553">
        <v>1.00575923607676</v>
      </c>
      <c r="D5553">
        <v>0.98298173748113404</v>
      </c>
      <c r="E5553">
        <v>0.948119710983092</v>
      </c>
      <c r="F5553">
        <v>0.812047466154599</v>
      </c>
      <c r="G5553">
        <v>0.72458446617957895</v>
      </c>
      <c r="H5553">
        <v>0.68485795174663</v>
      </c>
      <c r="I5553">
        <v>0.65971441290840405</v>
      </c>
      <c r="J5553">
        <v>0.77665667674141703</v>
      </c>
      <c r="K5553">
        <v>0.72886437054966102</v>
      </c>
      <c r="L5553">
        <v>1512.86786180801</v>
      </c>
      <c r="M5553">
        <v>30.855203862576701</v>
      </c>
      <c r="O5553">
        <v>48.826636519386199</v>
      </c>
      <c r="P5553">
        <v>-4.55971670491431E-2</v>
      </c>
      <c r="Q5553">
        <v>0.71138182228503899</v>
      </c>
      <c r="R5553">
        <v>0.95060637928332103</v>
      </c>
      <c r="S5553" t="s">
        <v>11136</v>
      </c>
      <c r="T5553" t="s">
        <v>11164</v>
      </c>
      <c r="U5553" t="s">
        <v>11164</v>
      </c>
      <c r="V5553" t="s">
        <v>11164</v>
      </c>
      <c r="W5553" t="s">
        <v>16669</v>
      </c>
      <c r="X5553">
        <v>36</v>
      </c>
      <c r="Y5553" t="s">
        <v>22126</v>
      </c>
      <c r="Z5553" t="s">
        <v>27703</v>
      </c>
      <c r="AA5553">
        <v>0.82877617701985951</v>
      </c>
      <c r="AB5553" t="str">
        <f>HYPERLINK("Melting_Curves/meltCurve_Q9Y6A5_TACC3.pdf", "Melting_Curves/meltCurve_Q9Y6A5_TACC3.pdf")</f>
        <v>Melting_Curves/meltCurve_Q9Y6A5_TACC3.pdf</v>
      </c>
    </row>
    <row r="5554" spans="1:28" x14ac:dyDescent="0.25">
      <c r="A5554" t="s">
        <v>5558</v>
      </c>
      <c r="B5554">
        <v>0.99796759195183404</v>
      </c>
      <c r="C5554">
        <v>0.97532023954802605</v>
      </c>
      <c r="D5554">
        <v>0.97956268278374803</v>
      </c>
      <c r="E5554">
        <v>0.92128392757297495</v>
      </c>
      <c r="F5554">
        <v>0.888496354843333</v>
      </c>
      <c r="G5554">
        <v>0.54987487892078601</v>
      </c>
      <c r="H5554">
        <v>0.440766395101164</v>
      </c>
      <c r="I5554">
        <v>0.31001960140981799</v>
      </c>
      <c r="J5554">
        <v>0.223595211289984</v>
      </c>
      <c r="K5554">
        <v>0.16226333899409701</v>
      </c>
      <c r="L5554">
        <v>823.09154404986703</v>
      </c>
      <c r="M5554">
        <v>15.0517889234634</v>
      </c>
      <c r="N5554">
        <v>55.838947544689098</v>
      </c>
      <c r="O5554">
        <v>53.745952321338699</v>
      </c>
      <c r="P5554">
        <v>-6.0654185947869498E-2</v>
      </c>
      <c r="Q5554">
        <v>0.133765947156118</v>
      </c>
      <c r="R5554">
        <v>0.98856441024170905</v>
      </c>
      <c r="S5554" t="s">
        <v>11137</v>
      </c>
      <c r="T5554" t="s">
        <v>11164</v>
      </c>
      <c r="U5554" t="s">
        <v>11164</v>
      </c>
      <c r="V5554" t="s">
        <v>11164</v>
      </c>
      <c r="W5554" t="s">
        <v>16670</v>
      </c>
      <c r="X5554">
        <v>8</v>
      </c>
      <c r="Y5554" t="s">
        <v>22127</v>
      </c>
      <c r="Z5554" t="s">
        <v>27704</v>
      </c>
      <c r="AA5554">
        <v>0.65719374199535541</v>
      </c>
      <c r="AB5554" t="str">
        <f>HYPERLINK("Melting_Curves/meltCurve_Q9Y6B6_SAR1B.pdf", "Melting_Curves/meltCurve_Q9Y6B6_SAR1B.pdf")</f>
        <v>Melting_Curves/meltCurve_Q9Y6B6_SAR1B.pdf</v>
      </c>
    </row>
    <row r="5555" spans="1:28" x14ac:dyDescent="0.25">
      <c r="A5555" t="s">
        <v>5559</v>
      </c>
      <c r="B5555">
        <v>0.99796759195183404</v>
      </c>
      <c r="C5555">
        <v>0.91534869562340504</v>
      </c>
      <c r="D5555">
        <v>1.0751468641633399</v>
      </c>
      <c r="E5555">
        <v>0.95374236211035002</v>
      </c>
      <c r="F5555">
        <v>0.77973481175014703</v>
      </c>
      <c r="G5555">
        <v>0.56264463199919701</v>
      </c>
      <c r="H5555">
        <v>0.63236974395721102</v>
      </c>
      <c r="I5555">
        <v>0.50915108801324105</v>
      </c>
      <c r="J5555">
        <v>0.64010231797690298</v>
      </c>
      <c r="K5555">
        <v>0.238841594858303</v>
      </c>
      <c r="L5555">
        <v>577.03254561152698</v>
      </c>
      <c r="M5555">
        <v>10.6415700612335</v>
      </c>
      <c r="N5555">
        <v>60.723128832626799</v>
      </c>
      <c r="O5555">
        <v>52.414674978419399</v>
      </c>
      <c r="P5555">
        <v>-3.3516621355346402E-2</v>
      </c>
      <c r="Q5555">
        <v>0.33991323359095899</v>
      </c>
      <c r="R5555">
        <v>0.82377355223089499</v>
      </c>
      <c r="S5555" t="s">
        <v>11138</v>
      </c>
      <c r="T5555" t="s">
        <v>11164</v>
      </c>
      <c r="U5555" t="s">
        <v>11164</v>
      </c>
      <c r="V5555" t="s">
        <v>11164</v>
      </c>
      <c r="W5555" t="s">
        <v>16671</v>
      </c>
      <c r="X5555">
        <v>10</v>
      </c>
      <c r="Y5555" t="s">
        <v>17210</v>
      </c>
      <c r="Z5555" t="s">
        <v>27705</v>
      </c>
      <c r="AA5555">
        <v>0.73004260979686419</v>
      </c>
      <c r="AB5555" t="str">
        <f>HYPERLINK("Melting_Curves/meltCurve_Q9Y6C9_MTCH2.pdf", "Melting_Curves/meltCurve_Q9Y6C9_MTCH2.pdf")</f>
        <v>Melting_Curves/meltCurve_Q9Y6C9_MTCH2.pdf</v>
      </c>
    </row>
    <row r="5556" spans="1:28" x14ac:dyDescent="0.25">
      <c r="A5556" t="s">
        <v>5560</v>
      </c>
      <c r="B5556">
        <v>0.99796759195183404</v>
      </c>
      <c r="C5556">
        <v>0.961520449515471</v>
      </c>
      <c r="D5556">
        <v>1.0163780049932301</v>
      </c>
      <c r="E5556">
        <v>0.87384968924975504</v>
      </c>
      <c r="F5556">
        <v>0.80274969303868404</v>
      </c>
      <c r="G5556">
        <v>0.45242702848603</v>
      </c>
      <c r="H5556">
        <v>0.20196795192449901</v>
      </c>
      <c r="I5556">
        <v>0.12141717590946099</v>
      </c>
      <c r="J5556">
        <v>0.122564255590771</v>
      </c>
      <c r="K5556">
        <v>0.16235908343555699</v>
      </c>
      <c r="L5556">
        <v>1215.66710857252</v>
      </c>
      <c r="M5556">
        <v>23.123938046723399</v>
      </c>
      <c r="N5556">
        <v>53.165526207671697</v>
      </c>
      <c r="O5556">
        <v>52.183345411120101</v>
      </c>
      <c r="P5556">
        <v>-9.8177717084775101E-2</v>
      </c>
      <c r="Q5556">
        <v>0.11379280761762101</v>
      </c>
      <c r="R5556">
        <v>0.99102488058694804</v>
      </c>
      <c r="S5556" t="s">
        <v>11139</v>
      </c>
      <c r="T5556" t="s">
        <v>11164</v>
      </c>
      <c r="U5556" t="s">
        <v>11164</v>
      </c>
      <c r="V5556" t="s">
        <v>11164</v>
      </c>
      <c r="W5556" t="s">
        <v>16672</v>
      </c>
      <c r="X5556">
        <v>3</v>
      </c>
      <c r="Y5556" t="s">
        <v>22128</v>
      </c>
      <c r="Z5556" t="s">
        <v>27706</v>
      </c>
      <c r="AA5556">
        <v>0.5827594182841368</v>
      </c>
      <c r="AB5556" t="str">
        <f>HYPERLINK("Melting_Curves/meltCurve_Q9Y6D5_ARFGEF2.pdf", "Melting_Curves/meltCurve_Q9Y6D5_ARFGEF2.pdf")</f>
        <v>Melting_Curves/meltCurve_Q9Y6D5_ARFGEF2.pdf</v>
      </c>
    </row>
    <row r="5557" spans="1:28" x14ac:dyDescent="0.25">
      <c r="A5557" t="s">
        <v>5561</v>
      </c>
      <c r="B5557">
        <v>0.99796759195183404</v>
      </c>
      <c r="C5557">
        <v>1.03770300502422</v>
      </c>
      <c r="D5557">
        <v>0.99539388860565903</v>
      </c>
      <c r="E5557">
        <v>0.90735228323997996</v>
      </c>
      <c r="F5557">
        <v>0.72564614734843103</v>
      </c>
      <c r="G5557">
        <v>0.32436096687744997</v>
      </c>
      <c r="H5557">
        <v>0.26352782719902501</v>
      </c>
      <c r="I5557">
        <v>0.21969866967891299</v>
      </c>
      <c r="J5557">
        <v>0.17032253907401201</v>
      </c>
      <c r="K5557">
        <v>0.128733642200936</v>
      </c>
      <c r="L5557">
        <v>1275.2633701837101</v>
      </c>
      <c r="M5557">
        <v>24.857890773378401</v>
      </c>
      <c r="N5557">
        <v>52.167247553132903</v>
      </c>
      <c r="O5557">
        <v>50.9736090852834</v>
      </c>
      <c r="P5557">
        <v>-0.101324106713355</v>
      </c>
      <c r="Q5557">
        <v>0.16891049957804</v>
      </c>
      <c r="R5557">
        <v>0.99271298289481302</v>
      </c>
      <c r="S5557" t="s">
        <v>11140</v>
      </c>
      <c r="T5557" t="s">
        <v>11164</v>
      </c>
      <c r="U5557" t="s">
        <v>11164</v>
      </c>
      <c r="V5557" t="s">
        <v>11164</v>
      </c>
      <c r="W5557" t="s">
        <v>16673</v>
      </c>
      <c r="X5557">
        <v>24</v>
      </c>
      <c r="Y5557" t="s">
        <v>22129</v>
      </c>
      <c r="Z5557" t="s">
        <v>27707</v>
      </c>
      <c r="AA5557">
        <v>0.57254602462854653</v>
      </c>
      <c r="AB5557" t="str">
        <f>HYPERLINK("Melting_Curves/meltCurve_Q9Y6D9_MAD1L1.pdf", "Melting_Curves/meltCurve_Q9Y6D9_MAD1L1.pdf")</f>
        <v>Melting_Curves/meltCurve_Q9Y6D9_MAD1L1.pdf</v>
      </c>
    </row>
    <row r="5558" spans="1:28" x14ac:dyDescent="0.25">
      <c r="A5558" t="s">
        <v>5562</v>
      </c>
      <c r="B5558">
        <v>0.99796759195183404</v>
      </c>
      <c r="C5558">
        <v>1.07281678396366</v>
      </c>
      <c r="D5558">
        <v>1.0148450757823499</v>
      </c>
      <c r="E5558">
        <v>0.78139454823610499</v>
      </c>
      <c r="F5558">
        <v>0.78420113904825295</v>
      </c>
      <c r="G5558">
        <v>0.79246019488161601</v>
      </c>
      <c r="H5558">
        <v>0.79922166300276498</v>
      </c>
      <c r="I5558">
        <v>0.60227698032675303</v>
      </c>
      <c r="J5558">
        <v>0.412562598081124</v>
      </c>
      <c r="K5558">
        <v>0.51620540343011501</v>
      </c>
      <c r="L5558">
        <v>369.70177500258899</v>
      </c>
      <c r="M5558">
        <v>5.6578568133134901</v>
      </c>
      <c r="N5558">
        <v>65.343076635556002</v>
      </c>
      <c r="O5558">
        <v>58.553270285525599</v>
      </c>
      <c r="P5558">
        <v>-2.4253213731750701E-2</v>
      </c>
      <c r="Q5558">
        <v>0</v>
      </c>
      <c r="R5558">
        <v>0.85220585529594695</v>
      </c>
      <c r="S5558" t="s">
        <v>11141</v>
      </c>
      <c r="T5558" t="s">
        <v>11164</v>
      </c>
      <c r="U5558" t="s">
        <v>11164</v>
      </c>
      <c r="V5558" t="s">
        <v>11164</v>
      </c>
      <c r="W5558" t="s">
        <v>16674</v>
      </c>
      <c r="X5558">
        <v>1</v>
      </c>
      <c r="Y5558" t="s">
        <v>22130</v>
      </c>
      <c r="Z5558" t="s">
        <v>27708</v>
      </c>
      <c r="AA5558">
        <v>0.77912981401996539</v>
      </c>
      <c r="AB5558" t="str">
        <f>HYPERLINK("Melting_Curves/meltCurve_Q9Y6G9_DYNC1LI1.pdf", "Melting_Curves/meltCurve_Q9Y6G9_DYNC1LI1.pdf")</f>
        <v>Melting_Curves/meltCurve_Q9Y6G9_DYNC1LI1.pdf</v>
      </c>
    </row>
    <row r="5559" spans="1:28" x14ac:dyDescent="0.25">
      <c r="A5559" t="s">
        <v>5563</v>
      </c>
      <c r="B5559">
        <v>0.99796759195183404</v>
      </c>
      <c r="C5559">
        <v>1.13007306362363</v>
      </c>
      <c r="D5559">
        <v>1.0723987647977899</v>
      </c>
      <c r="E5559">
        <v>1.01609893412328</v>
      </c>
      <c r="F5559">
        <v>1.0534263159066699</v>
      </c>
      <c r="G5559">
        <v>0.903208823473582</v>
      </c>
      <c r="H5559">
        <v>0.84264187387437295</v>
      </c>
      <c r="I5559">
        <v>0.95589549480222402</v>
      </c>
      <c r="J5559">
        <v>1.1988791704400701</v>
      </c>
      <c r="K5559">
        <v>0.99258562218871005</v>
      </c>
      <c r="L5559">
        <v>3467.3919747596301</v>
      </c>
      <c r="M5559">
        <v>55.809264875941999</v>
      </c>
      <c r="O5559">
        <v>62.0497100864795</v>
      </c>
      <c r="P5559">
        <v>1.8921570465888202E-2</v>
      </c>
      <c r="Q5559">
        <v>1.0841492718805199</v>
      </c>
      <c r="R5559">
        <v>0.100178523373602</v>
      </c>
      <c r="S5559" t="s">
        <v>11142</v>
      </c>
      <c r="T5559" t="s">
        <v>11164</v>
      </c>
      <c r="U5559" t="s">
        <v>11164</v>
      </c>
      <c r="V5559" t="s">
        <v>11164</v>
      </c>
      <c r="W5559" t="s">
        <v>16675</v>
      </c>
      <c r="X5559">
        <v>8</v>
      </c>
      <c r="Y5559" t="s">
        <v>22131</v>
      </c>
      <c r="Z5559" t="s">
        <v>27709</v>
      </c>
      <c r="AA5559">
        <v>1.0135420755250419</v>
      </c>
      <c r="AB5559" t="str">
        <f>HYPERLINK("Melting_Curves/meltCurve_Q9Y6H1_CHCHD2.pdf", "Melting_Curves/meltCurve_Q9Y6H1_CHCHD2.pdf")</f>
        <v>Melting_Curves/meltCurve_Q9Y6H1_CHCHD2.pdf</v>
      </c>
    </row>
    <row r="5560" spans="1:28" x14ac:dyDescent="0.25">
      <c r="A5560" t="s">
        <v>5564</v>
      </c>
      <c r="B5560">
        <v>0.99796759195183404</v>
      </c>
      <c r="C5560">
        <v>0.910718801566198</v>
      </c>
      <c r="D5560">
        <v>0.86923382280732797</v>
      </c>
      <c r="E5560">
        <v>0.84643157589922202</v>
      </c>
      <c r="F5560">
        <v>0.78038326140271996</v>
      </c>
      <c r="G5560">
        <v>0.50040222225157904</v>
      </c>
      <c r="H5560">
        <v>0.29389972383769802</v>
      </c>
      <c r="I5560">
        <v>0.21904712557330799</v>
      </c>
      <c r="J5560">
        <v>0.215211283699585</v>
      </c>
      <c r="K5560">
        <v>0.11676929786153201</v>
      </c>
      <c r="L5560">
        <v>593.44392694432997</v>
      </c>
      <c r="M5560">
        <v>11.035222779068199</v>
      </c>
      <c r="N5560">
        <v>54.037842216941101</v>
      </c>
      <c r="O5560">
        <v>52.101814105904403</v>
      </c>
      <c r="P5560">
        <v>-5.1595402027534099E-2</v>
      </c>
      <c r="Q5560">
        <v>2.5912474978578199E-2</v>
      </c>
      <c r="R5560">
        <v>0.97775177041040395</v>
      </c>
      <c r="S5560" t="s">
        <v>11143</v>
      </c>
      <c r="T5560" t="s">
        <v>11164</v>
      </c>
      <c r="U5560" t="s">
        <v>11164</v>
      </c>
      <c r="V5560" t="s">
        <v>11164</v>
      </c>
      <c r="W5560" t="s">
        <v>16676</v>
      </c>
      <c r="X5560">
        <v>8</v>
      </c>
      <c r="Y5560" t="s">
        <v>22132</v>
      </c>
      <c r="Z5560" t="s">
        <v>27710</v>
      </c>
      <c r="AA5560">
        <v>0.58907397850066545</v>
      </c>
      <c r="AB5560" t="str">
        <f>HYPERLINK("Melting_Curves/meltCurve_Q9Y6I3_3_EPN1.pdf", "Melting_Curves/meltCurve_Q9Y6I3_3_EPN1.pdf")</f>
        <v>Melting_Curves/meltCurve_Q9Y6I3_3_EPN1.pdf</v>
      </c>
    </row>
    <row r="5561" spans="1:28" x14ac:dyDescent="0.25">
      <c r="A5561" t="s">
        <v>5565</v>
      </c>
      <c r="B5561">
        <v>0.99796759195183404</v>
      </c>
      <c r="C5561">
        <v>1.00715557443584</v>
      </c>
      <c r="D5561">
        <v>1.03647429677553</v>
      </c>
      <c r="E5561">
        <v>0.92208061980455303</v>
      </c>
      <c r="F5561">
        <v>0.82426323994046002</v>
      </c>
      <c r="G5561">
        <v>0.41806208928914801</v>
      </c>
      <c r="H5561">
        <v>0.25751189052630902</v>
      </c>
      <c r="I5561">
        <v>0.196406107510262</v>
      </c>
      <c r="J5561">
        <v>0.136171744274035</v>
      </c>
      <c r="K5561">
        <v>9.6343406681652199E-2</v>
      </c>
      <c r="L5561">
        <v>1241.6975284574901</v>
      </c>
      <c r="M5561">
        <v>23.590778373030801</v>
      </c>
      <c r="N5561">
        <v>53.296378630874997</v>
      </c>
      <c r="O5561">
        <v>52.261007851509802</v>
      </c>
      <c r="P5561">
        <v>-9.8529889042746205E-2</v>
      </c>
      <c r="Q5561">
        <v>0.12691543125646801</v>
      </c>
      <c r="R5561">
        <v>0.99384087390033005</v>
      </c>
      <c r="S5561" t="s">
        <v>11144</v>
      </c>
      <c r="T5561" t="s">
        <v>11164</v>
      </c>
      <c r="U5561" t="s">
        <v>11164</v>
      </c>
      <c r="V5561" t="s">
        <v>11164</v>
      </c>
      <c r="W5561" t="s">
        <v>16677</v>
      </c>
      <c r="X5561">
        <v>10</v>
      </c>
      <c r="Y5561" t="s">
        <v>22133</v>
      </c>
      <c r="Z5561" t="s">
        <v>27711</v>
      </c>
      <c r="AA5561">
        <v>0.59047570612041833</v>
      </c>
      <c r="AB5561" t="str">
        <f>HYPERLINK("Melting_Curves/meltCurve_Q9Y6I9_TEX264.pdf", "Melting_Curves/meltCurve_Q9Y6I9_TEX264.pdf")</f>
        <v>Melting_Curves/meltCurve_Q9Y6I9_TEX264.pdf</v>
      </c>
    </row>
    <row r="5562" spans="1:28" x14ac:dyDescent="0.25">
      <c r="A5562" t="s">
        <v>5566</v>
      </c>
      <c r="B5562">
        <v>0.99796759195183404</v>
      </c>
      <c r="C5562">
        <v>0.99974576559200701</v>
      </c>
      <c r="D5562">
        <v>0.93431172346305502</v>
      </c>
      <c r="E5562">
        <v>0.94282244573949003</v>
      </c>
      <c r="F5562">
        <v>0.83341828916168403</v>
      </c>
      <c r="G5562">
        <v>1.00282214386423</v>
      </c>
      <c r="H5562">
        <v>0.53260905111621104</v>
      </c>
      <c r="I5562">
        <v>0.18378836442180399</v>
      </c>
      <c r="J5562">
        <v>6.5657768652388898E-2</v>
      </c>
      <c r="K5562">
        <v>5.2495518022445398E-2</v>
      </c>
      <c r="L5562">
        <v>2293.4977912221102</v>
      </c>
      <c r="M5562">
        <v>39.8559486665227</v>
      </c>
      <c r="N5562">
        <v>57.733932835590899</v>
      </c>
      <c r="O5562">
        <v>57.400367382383003</v>
      </c>
      <c r="P5562">
        <v>-0.162957086400148</v>
      </c>
      <c r="Q5562">
        <v>6.1241341497185499E-2</v>
      </c>
      <c r="R5562">
        <v>0.97352122754085602</v>
      </c>
      <c r="S5562" t="s">
        <v>11145</v>
      </c>
      <c r="T5562" t="s">
        <v>11164</v>
      </c>
      <c r="U5562" t="s">
        <v>11164</v>
      </c>
      <c r="V5562" t="s">
        <v>11164</v>
      </c>
      <c r="W5562" t="s">
        <v>16678</v>
      </c>
      <c r="X5562">
        <v>2</v>
      </c>
      <c r="Y5562" t="s">
        <v>22134</v>
      </c>
      <c r="Z5562" t="s">
        <v>27712</v>
      </c>
      <c r="AA5562">
        <v>0.70765219899423781</v>
      </c>
      <c r="AB5562" t="str">
        <f>HYPERLINK("Melting_Curves/meltCurve_Q9Y6K0_CEPT1.pdf", "Melting_Curves/meltCurve_Q9Y6K0_CEPT1.pdf")</f>
        <v>Melting_Curves/meltCurve_Q9Y6K0_CEPT1.pdf</v>
      </c>
    </row>
    <row r="5563" spans="1:28" x14ac:dyDescent="0.25">
      <c r="A5563" t="s">
        <v>5567</v>
      </c>
      <c r="B5563">
        <v>0.99796759195183404</v>
      </c>
      <c r="C5563">
        <v>1.03218892438282</v>
      </c>
      <c r="D5563">
        <v>1.02055257498108</v>
      </c>
      <c r="E5563">
        <v>0.88468283518606405</v>
      </c>
      <c r="F5563">
        <v>0.64505719522398997</v>
      </c>
      <c r="G5563">
        <v>0.41548875924380702</v>
      </c>
      <c r="H5563">
        <v>0.75932306737392097</v>
      </c>
      <c r="I5563">
        <v>0.83042215735445502</v>
      </c>
      <c r="J5563">
        <v>1.0622727094570099</v>
      </c>
      <c r="K5563">
        <v>0.96720842688729902</v>
      </c>
      <c r="L5563">
        <v>11645.5082804546</v>
      </c>
      <c r="M5563">
        <v>250</v>
      </c>
      <c r="O5563">
        <v>46.579058119861799</v>
      </c>
      <c r="P5563">
        <v>-0.29524799372263599</v>
      </c>
      <c r="Q5563">
        <v>0.77996205290866105</v>
      </c>
      <c r="R5563">
        <v>0.29305236429312798</v>
      </c>
      <c r="S5563" t="s">
        <v>11146</v>
      </c>
      <c r="T5563" t="s">
        <v>11164</v>
      </c>
      <c r="U5563" t="s">
        <v>11164</v>
      </c>
      <c r="V5563" t="s">
        <v>11164</v>
      </c>
      <c r="W5563" t="s">
        <v>16679</v>
      </c>
      <c r="X5563">
        <v>15</v>
      </c>
      <c r="Y5563" t="s">
        <v>16956</v>
      </c>
      <c r="Z5563" t="s">
        <v>27713</v>
      </c>
      <c r="AA5563">
        <v>0.85026040441056183</v>
      </c>
      <c r="AB5563" t="str">
        <f>HYPERLINK("Melting_Curves/meltCurve_Q9Y6K9_IKBKG.pdf", "Melting_Curves/meltCurve_Q9Y6K9_IKBKG.pdf")</f>
        <v>Melting_Curves/meltCurve_Q9Y6K9_IKBKG.pdf</v>
      </c>
    </row>
    <row r="5564" spans="1:28" x14ac:dyDescent="0.25">
      <c r="A5564" t="s">
        <v>5568</v>
      </c>
      <c r="B5564">
        <v>0.99796759195183404</v>
      </c>
      <c r="C5564">
        <v>1.0030875546229501</v>
      </c>
      <c r="D5564">
        <v>1.04116676861819</v>
      </c>
      <c r="E5564">
        <v>0.95965881690780497</v>
      </c>
      <c r="F5564">
        <v>0.87222920939177595</v>
      </c>
      <c r="G5564">
        <v>0.72786926739516</v>
      </c>
      <c r="H5564">
        <v>1.1335356123543701</v>
      </c>
      <c r="I5564">
        <v>1.5595993112741799</v>
      </c>
      <c r="J5564">
        <v>1.35030897061866</v>
      </c>
      <c r="K5564">
        <v>0.95512964713702297</v>
      </c>
      <c r="L5564">
        <v>14358.4852479616</v>
      </c>
      <c r="M5564">
        <v>250</v>
      </c>
      <c r="O5564">
        <v>57.430265655669103</v>
      </c>
      <c r="P5564">
        <v>0.31380003872685203</v>
      </c>
      <c r="Q5564">
        <v>1.28834591277488</v>
      </c>
      <c r="R5564">
        <v>0.45035504680051103</v>
      </c>
      <c r="S5564" t="s">
        <v>11147</v>
      </c>
      <c r="T5564" t="s">
        <v>11164</v>
      </c>
      <c r="U5564" t="s">
        <v>11164</v>
      </c>
      <c r="V5564" t="s">
        <v>11164</v>
      </c>
      <c r="W5564" t="s">
        <v>16680</v>
      </c>
      <c r="X5564">
        <v>10</v>
      </c>
      <c r="Y5564" t="s">
        <v>22135</v>
      </c>
      <c r="Z5564" t="s">
        <v>27714</v>
      </c>
      <c r="AA5564">
        <v>1.091915403191936</v>
      </c>
      <c r="AB5564" t="str">
        <f>HYPERLINK("Melting_Curves/meltCurve_Q9Y6M5_SLC30A1.pdf", "Melting_Curves/meltCurve_Q9Y6M5_SLC30A1.pdf")</f>
        <v>Melting_Curves/meltCurve_Q9Y6M5_SLC30A1.pdf</v>
      </c>
    </row>
    <row r="5565" spans="1:28" x14ac:dyDescent="0.25">
      <c r="A5565" t="s">
        <v>5569</v>
      </c>
      <c r="B5565">
        <v>0.99796759195183404</v>
      </c>
      <c r="C5565">
        <v>1.02574883571557</v>
      </c>
      <c r="D5565">
        <v>0.93985788546816895</v>
      </c>
      <c r="E5565">
        <v>0.97907874843461995</v>
      </c>
      <c r="F5565">
        <v>0.85289720519892598</v>
      </c>
      <c r="G5565">
        <v>0.70535274174348195</v>
      </c>
      <c r="H5565">
        <v>0.70108655197658798</v>
      </c>
      <c r="I5565">
        <v>0.55028432323021803</v>
      </c>
      <c r="J5565">
        <v>0.47905374574592202</v>
      </c>
      <c r="K5565">
        <v>0.30421780503420798</v>
      </c>
      <c r="L5565">
        <v>494.50326229658299</v>
      </c>
      <c r="M5565">
        <v>7.9643002194522801</v>
      </c>
      <c r="N5565">
        <v>62.0899805872982</v>
      </c>
      <c r="O5565">
        <v>58.541902834643103</v>
      </c>
      <c r="P5565">
        <v>-3.4050236282417601E-2</v>
      </c>
      <c r="Q5565">
        <v>0</v>
      </c>
      <c r="R5565">
        <v>0.97092449677447301</v>
      </c>
      <c r="S5565" t="s">
        <v>11148</v>
      </c>
      <c r="T5565" t="s">
        <v>11164</v>
      </c>
      <c r="U5565" t="s">
        <v>11164</v>
      </c>
      <c r="V5565" t="s">
        <v>11164</v>
      </c>
      <c r="W5565" t="s">
        <v>16681</v>
      </c>
      <c r="X5565">
        <v>17</v>
      </c>
      <c r="Y5565" t="s">
        <v>22136</v>
      </c>
      <c r="Z5565" t="s">
        <v>27715</v>
      </c>
      <c r="AA5565">
        <v>0.76514452715422265</v>
      </c>
      <c r="AB5565" t="str">
        <f>HYPERLINK("Melting_Curves/meltCurve_Q9Y6N7_6_ROBO1.pdf", "Melting_Curves/meltCurve_Q9Y6N7_6_ROBO1.pdf")</f>
        <v>Melting_Curves/meltCurve_Q9Y6N7_6_ROBO1.pdf</v>
      </c>
    </row>
    <row r="5566" spans="1:28" x14ac:dyDescent="0.25">
      <c r="A5566" t="s">
        <v>5570</v>
      </c>
      <c r="B5566">
        <v>0.99796759195183404</v>
      </c>
      <c r="C5566">
        <v>1.0165081772070499</v>
      </c>
      <c r="D5566">
        <v>0.95437800417738405</v>
      </c>
      <c r="E5566">
        <v>0.86660154088962105</v>
      </c>
      <c r="F5566">
        <v>0.79465086950036301</v>
      </c>
      <c r="G5566">
        <v>0.48874210991919098</v>
      </c>
      <c r="H5566">
        <v>0.27046447627964099</v>
      </c>
      <c r="I5566">
        <v>0.24835448423089601</v>
      </c>
      <c r="J5566">
        <v>0.15141541014966001</v>
      </c>
      <c r="K5566">
        <v>9.8624585673535395E-2</v>
      </c>
      <c r="L5566">
        <v>822.45594173041104</v>
      </c>
      <c r="M5566">
        <v>15.447161587125899</v>
      </c>
      <c r="N5566">
        <v>53.8855852638168</v>
      </c>
      <c r="O5566">
        <v>52.374777993967001</v>
      </c>
      <c r="P5566">
        <v>-6.7539016823940395E-2</v>
      </c>
      <c r="Q5566">
        <v>8.4097377409761295E-2</v>
      </c>
      <c r="R5566">
        <v>0.99163906614018005</v>
      </c>
      <c r="S5566" t="s">
        <v>11149</v>
      </c>
      <c r="T5566" t="s">
        <v>11164</v>
      </c>
      <c r="U5566" t="s">
        <v>11164</v>
      </c>
      <c r="V5566" t="s">
        <v>11164</v>
      </c>
      <c r="W5566" t="s">
        <v>16682</v>
      </c>
      <c r="X5566">
        <v>3</v>
      </c>
      <c r="Y5566" t="s">
        <v>22137</v>
      </c>
      <c r="Z5566" t="s">
        <v>27716</v>
      </c>
      <c r="AA5566">
        <v>0.59558141525106145</v>
      </c>
      <c r="AB5566" t="str">
        <f>HYPERLINK("Melting_Curves/meltCurve_Q9Y6Q2_STON1.pdf", "Melting_Curves/meltCurve_Q9Y6Q2_STON1.pdf")</f>
        <v>Melting_Curves/meltCurve_Q9Y6Q2_STON1.pdf</v>
      </c>
    </row>
    <row r="5567" spans="1:28" x14ac:dyDescent="0.25">
      <c r="A5567" t="s">
        <v>5571</v>
      </c>
      <c r="B5567">
        <v>0.99796759195183404</v>
      </c>
      <c r="C5567">
        <v>0.99062066989358899</v>
      </c>
      <c r="D5567">
        <v>0.90342813895021701</v>
      </c>
      <c r="E5567">
        <v>0.80070767888138705</v>
      </c>
      <c r="F5567">
        <v>0.66826642646925605</v>
      </c>
      <c r="G5567">
        <v>0.42659351189016698</v>
      </c>
      <c r="H5567">
        <v>0.214193960094127</v>
      </c>
      <c r="I5567">
        <v>0.148206070359613</v>
      </c>
      <c r="J5567">
        <v>8.2089488581475703E-2</v>
      </c>
      <c r="K5567">
        <v>3.8755566268677502E-2</v>
      </c>
      <c r="L5567">
        <v>670.06471082954295</v>
      </c>
      <c r="M5567">
        <v>12.8055942542435</v>
      </c>
      <c r="N5567">
        <v>52.325924860906099</v>
      </c>
      <c r="O5567">
        <v>51.099138383909001</v>
      </c>
      <c r="P5567">
        <v>-6.2662469840375795E-2</v>
      </c>
      <c r="Q5567">
        <v>0</v>
      </c>
      <c r="R5567">
        <v>0.99627133427719206</v>
      </c>
      <c r="S5567" t="s">
        <v>11150</v>
      </c>
      <c r="T5567" t="s">
        <v>11164</v>
      </c>
      <c r="U5567" t="s">
        <v>11164</v>
      </c>
      <c r="V5567" t="s">
        <v>11164</v>
      </c>
      <c r="W5567" t="s">
        <v>16683</v>
      </c>
      <c r="X5567">
        <v>4</v>
      </c>
      <c r="Y5567" t="s">
        <v>22138</v>
      </c>
      <c r="Z5567" t="s">
        <v>27717</v>
      </c>
      <c r="AA5567">
        <v>0.53268562993818813</v>
      </c>
      <c r="AB5567" t="str">
        <f>HYPERLINK("Melting_Curves/meltCurve_Q9Y6Q9_2_NCOA3.pdf", "Melting_Curves/meltCurve_Q9Y6Q9_2_NCOA3.pdf")</f>
        <v>Melting_Curves/meltCurve_Q9Y6Q9_2_NCOA3.pdf</v>
      </c>
    </row>
    <row r="5568" spans="1:28" x14ac:dyDescent="0.25">
      <c r="A5568" t="s">
        <v>5572</v>
      </c>
      <c r="B5568">
        <v>0.99796759195183404</v>
      </c>
      <c r="C5568">
        <v>1.1764705231289201</v>
      </c>
      <c r="D5568">
        <v>1.0580850175914001</v>
      </c>
      <c r="E5568">
        <v>0.94668187329519904</v>
      </c>
      <c r="F5568">
        <v>0.865777220399365</v>
      </c>
      <c r="G5568">
        <v>0.62744529589412901</v>
      </c>
      <c r="H5568">
        <v>0.28380229804434598</v>
      </c>
      <c r="I5568">
        <v>0.20429620622214301</v>
      </c>
      <c r="J5568">
        <v>0.153051702174055</v>
      </c>
      <c r="K5568">
        <v>0.12627232636055499</v>
      </c>
      <c r="L5568">
        <v>1246.5999439004399</v>
      </c>
      <c r="M5568">
        <v>22.9858170357621</v>
      </c>
      <c r="N5568">
        <v>54.904932103588898</v>
      </c>
      <c r="O5568">
        <v>53.827958532987502</v>
      </c>
      <c r="P5568">
        <v>-9.3676836724527104E-2</v>
      </c>
      <c r="Q5568">
        <v>0.122530516910835</v>
      </c>
      <c r="R5568">
        <v>0.97537796447734704</v>
      </c>
      <c r="S5568" t="s">
        <v>11151</v>
      </c>
      <c r="T5568" t="s">
        <v>11164</v>
      </c>
      <c r="U5568" t="s">
        <v>11164</v>
      </c>
      <c r="V5568" t="s">
        <v>11164</v>
      </c>
      <c r="W5568" t="s">
        <v>16684</v>
      </c>
      <c r="X5568">
        <v>3</v>
      </c>
      <c r="Y5568" t="s">
        <v>22139</v>
      </c>
      <c r="Z5568" t="s">
        <v>27718</v>
      </c>
      <c r="AA5568">
        <v>0.63526223701020001</v>
      </c>
      <c r="AB5568" t="str">
        <f>HYPERLINK("Melting_Curves/meltCurve_Q9Y6R0_NUMBL.pdf", "Melting_Curves/meltCurve_Q9Y6R0_NUMBL.pdf")</f>
        <v>Melting_Curves/meltCurve_Q9Y6R0_NUMBL.pdf</v>
      </c>
    </row>
    <row r="5569" spans="1:28" x14ac:dyDescent="0.25">
      <c r="A5569" t="s">
        <v>5573</v>
      </c>
      <c r="B5569">
        <v>0.99796759195183404</v>
      </c>
      <c r="C5569">
        <v>0.99720070279381101</v>
      </c>
      <c r="D5569">
        <v>1.04521714540735</v>
      </c>
      <c r="E5569">
        <v>0.96401534646742104</v>
      </c>
      <c r="F5569">
        <v>0.783832300932784</v>
      </c>
      <c r="G5569">
        <v>0.37661246883663402</v>
      </c>
      <c r="H5569">
        <v>0.213430764475179</v>
      </c>
      <c r="I5569">
        <v>0.197404053633527</v>
      </c>
      <c r="J5569">
        <v>0.14065821906136899</v>
      </c>
      <c r="K5569">
        <v>0.133332910875782</v>
      </c>
      <c r="L5569">
        <v>1504.5145252290399</v>
      </c>
      <c r="M5569">
        <v>28.933184804768501</v>
      </c>
      <c r="N5569">
        <v>52.6615851106694</v>
      </c>
      <c r="O5569">
        <v>51.753111162763602</v>
      </c>
      <c r="P5569">
        <v>-0.118459171750738</v>
      </c>
      <c r="Q5569">
        <v>0.15244939585546199</v>
      </c>
      <c r="R5569">
        <v>0.99711127499326002</v>
      </c>
      <c r="S5569" t="s">
        <v>11152</v>
      </c>
      <c r="T5569" t="s">
        <v>11164</v>
      </c>
      <c r="U5569" t="s">
        <v>11164</v>
      </c>
      <c r="V5569" t="s">
        <v>11164</v>
      </c>
      <c r="W5569" t="s">
        <v>16685</v>
      </c>
      <c r="X5569">
        <v>6</v>
      </c>
      <c r="Y5569" t="s">
        <v>22140</v>
      </c>
      <c r="Z5569" t="s">
        <v>27719</v>
      </c>
      <c r="AA5569">
        <v>0.58194365394830938</v>
      </c>
      <c r="AB5569" t="str">
        <f>HYPERLINK("Melting_Curves/meltCurve_Q9Y6W3_CAPN7.pdf", "Melting_Curves/meltCurve_Q9Y6W3_CAPN7.pdf")</f>
        <v>Melting_Curves/meltCurve_Q9Y6W3_CAPN7.pdf</v>
      </c>
    </row>
    <row r="5570" spans="1:28" x14ac:dyDescent="0.25">
      <c r="A5570" t="s">
        <v>5574</v>
      </c>
      <c r="B5570">
        <v>0.99796759195183404</v>
      </c>
      <c r="C5570">
        <v>0.93252605334528504</v>
      </c>
      <c r="D5570">
        <v>0.94339735815027603</v>
      </c>
      <c r="E5570">
        <v>0.95219858825464898</v>
      </c>
      <c r="F5570">
        <v>0.75810510298736</v>
      </c>
      <c r="G5570">
        <v>0.96933505097112604</v>
      </c>
      <c r="H5570">
        <v>0.94327202560225498</v>
      </c>
      <c r="I5570">
        <v>0.96300649955547302</v>
      </c>
      <c r="J5570">
        <v>1.1355608986285599</v>
      </c>
      <c r="K5570">
        <v>0.99354742516925199</v>
      </c>
      <c r="L5570">
        <v>3610.65674247671</v>
      </c>
      <c r="M5570">
        <v>58.080446216968397</v>
      </c>
      <c r="O5570">
        <v>62.092913262652701</v>
      </c>
      <c r="P5570">
        <v>1.32376933472726E-2</v>
      </c>
      <c r="Q5570">
        <v>1.05660882717528</v>
      </c>
      <c r="R5570">
        <v>-0.148962470968243</v>
      </c>
      <c r="S5570" t="s">
        <v>11153</v>
      </c>
      <c r="T5570" t="s">
        <v>11164</v>
      </c>
      <c r="U5570" t="s">
        <v>11164</v>
      </c>
      <c r="V5570" t="s">
        <v>11164</v>
      </c>
      <c r="W5570" t="s">
        <v>16686</v>
      </c>
      <c r="X5570">
        <v>8</v>
      </c>
      <c r="Y5570" t="s">
        <v>22141</v>
      </c>
      <c r="Z5570" t="s">
        <v>27720</v>
      </c>
      <c r="AA5570">
        <v>1.0090424501907911</v>
      </c>
      <c r="AB5570" t="str">
        <f>HYPERLINK("Melting_Curves/meltCurve_Q9Y6W5_WASF2.pdf", "Melting_Curves/meltCurve_Q9Y6W5_WASF2.pdf")</f>
        <v>Melting_Curves/meltCurve_Q9Y6W5_WASF2.pdf</v>
      </c>
    </row>
    <row r="5571" spans="1:28" x14ac:dyDescent="0.25">
      <c r="A5571" t="s">
        <v>5575</v>
      </c>
      <c r="B5571">
        <v>0.99796759195183404</v>
      </c>
      <c r="C5571">
        <v>0.90510004972359703</v>
      </c>
      <c r="D5571">
        <v>0.90277760882803204</v>
      </c>
      <c r="E5571">
        <v>0.69990594072134504</v>
      </c>
      <c r="F5571">
        <v>0.527236893653663</v>
      </c>
      <c r="G5571">
        <v>0.29435250286758102</v>
      </c>
      <c r="H5571">
        <v>0.247403353785761</v>
      </c>
      <c r="I5571">
        <v>0.18180280028845</v>
      </c>
      <c r="J5571">
        <v>0.12457635779026301</v>
      </c>
      <c r="K5571">
        <v>7.2010078450319204E-2</v>
      </c>
      <c r="L5571">
        <v>570.87077437294295</v>
      </c>
      <c r="M5571">
        <v>11.4330412844936</v>
      </c>
      <c r="N5571">
        <v>50.386405024502601</v>
      </c>
      <c r="O5571">
        <v>48.477321759943699</v>
      </c>
      <c r="P5571">
        <v>-5.6086824959749301E-2</v>
      </c>
      <c r="Q5571">
        <v>4.9019819633370799E-2</v>
      </c>
      <c r="R5571">
        <v>0.99337065070368602</v>
      </c>
      <c r="S5571" t="s">
        <v>11154</v>
      </c>
      <c r="T5571" t="s">
        <v>11164</v>
      </c>
      <c r="U5571" t="s">
        <v>11164</v>
      </c>
      <c r="V5571" t="s">
        <v>11164</v>
      </c>
      <c r="W5571" t="s">
        <v>16687</v>
      </c>
      <c r="X5571">
        <v>4</v>
      </c>
      <c r="Y5571" t="s">
        <v>22142</v>
      </c>
      <c r="Z5571" t="s">
        <v>27721</v>
      </c>
      <c r="AA5571">
        <v>0.48721412878952192</v>
      </c>
      <c r="AB5571" t="str">
        <f>HYPERLINK("Melting_Curves/meltCurve_Q9Y6X8_ZHX2.pdf", "Melting_Curves/meltCurve_Q9Y6X8_ZHX2.pdf")</f>
        <v>Melting_Curves/meltCurve_Q9Y6X8_ZHX2.pdf</v>
      </c>
    </row>
    <row r="5572" spans="1:28" x14ac:dyDescent="0.25">
      <c r="A5572" t="s">
        <v>5576</v>
      </c>
      <c r="B5572">
        <v>0.99796759195183404</v>
      </c>
      <c r="C5572">
        <v>0.93427121437480498</v>
      </c>
      <c r="D5572">
        <v>1.0146707396844801</v>
      </c>
      <c r="E5572">
        <v>0.94418926654040702</v>
      </c>
      <c r="F5572">
        <v>0.79418263415764201</v>
      </c>
      <c r="G5572">
        <v>0.54003719500427205</v>
      </c>
      <c r="H5572">
        <v>0.25182981542600202</v>
      </c>
      <c r="I5572">
        <v>0.21575486578250699</v>
      </c>
      <c r="J5572">
        <v>0.12652843113996901</v>
      </c>
      <c r="K5572">
        <v>0.15023000955693</v>
      </c>
      <c r="L5572">
        <v>1086.3880572179</v>
      </c>
      <c r="M5572">
        <v>20.4023255019905</v>
      </c>
      <c r="N5572">
        <v>54.002597784447403</v>
      </c>
      <c r="O5572">
        <v>52.744604482097301</v>
      </c>
      <c r="P5572">
        <v>-8.4715722416824499E-2</v>
      </c>
      <c r="Q5572">
        <v>0.12398949976854599</v>
      </c>
      <c r="R5572">
        <v>0.99355401792139297</v>
      </c>
      <c r="S5572" t="s">
        <v>11155</v>
      </c>
      <c r="T5572" t="s">
        <v>11164</v>
      </c>
      <c r="U5572" t="s">
        <v>11164</v>
      </c>
      <c r="V5572" t="s">
        <v>11164</v>
      </c>
      <c r="W5572" t="s">
        <v>16688</v>
      </c>
      <c r="X5572">
        <v>2</v>
      </c>
      <c r="Y5572" t="s">
        <v>22143</v>
      </c>
      <c r="Z5572" t="s">
        <v>27722</v>
      </c>
      <c r="AA5572">
        <v>0.60908060426985855</v>
      </c>
      <c r="AB5572" t="str">
        <f>HYPERLINK("Melting_Curves/meltCurve_R4GMN1_MOSPD2.pdf", "Melting_Curves/meltCurve_R4GMN1_MOSPD2.pdf")</f>
        <v>Melting_Curves/meltCurve_R4GMN1_MOSPD2.pdf</v>
      </c>
    </row>
    <row r="5573" spans="1:28" x14ac:dyDescent="0.25">
      <c r="A5573" t="s">
        <v>5577</v>
      </c>
      <c r="B5573">
        <v>0.99796759195183404</v>
      </c>
      <c r="C5573">
        <v>0.98386015083071499</v>
      </c>
      <c r="D5573">
        <v>0.87877669753038801</v>
      </c>
      <c r="E5573">
        <v>0.85916407120121896</v>
      </c>
      <c r="F5573">
        <v>0.74154537379823005</v>
      </c>
      <c r="G5573">
        <v>0.59502336772605602</v>
      </c>
      <c r="H5573">
        <v>0.376345173312987</v>
      </c>
      <c r="I5573">
        <v>0.47954205153754098</v>
      </c>
      <c r="J5573">
        <v>0.12983711232804901</v>
      </c>
      <c r="K5573">
        <v>9.8658491366239207E-2</v>
      </c>
      <c r="L5573">
        <v>528.63271811776701</v>
      </c>
      <c r="M5573">
        <v>9.5003968904385196</v>
      </c>
      <c r="N5573">
        <v>55.643221685742901</v>
      </c>
      <c r="O5573">
        <v>53.345177119082202</v>
      </c>
      <c r="P5573">
        <v>-4.45495495998098E-2</v>
      </c>
      <c r="Q5573">
        <v>0</v>
      </c>
      <c r="R5573">
        <v>0.94888737464857098</v>
      </c>
      <c r="S5573" t="s">
        <v>11156</v>
      </c>
      <c r="T5573" t="s">
        <v>11164</v>
      </c>
      <c r="U5573" t="s">
        <v>11164</v>
      </c>
      <c r="V5573" t="s">
        <v>11164</v>
      </c>
      <c r="W5573" t="s">
        <v>16689</v>
      </c>
      <c r="X5573">
        <v>4</v>
      </c>
      <c r="Y5573" t="s">
        <v>22144</v>
      </c>
      <c r="Z5573" t="s">
        <v>27723</v>
      </c>
      <c r="AA5573">
        <v>0.62847383075266094</v>
      </c>
      <c r="AB5573" t="str">
        <f>HYPERLINK("Melting_Curves/meltCurve_R4GMR5_PSMD8.pdf", "Melting_Curves/meltCurve_R4GMR5_PSMD8.pdf")</f>
        <v>Melting_Curves/meltCurve_R4GMR5_PSMD8.pdf</v>
      </c>
    </row>
    <row r="5574" spans="1:28" x14ac:dyDescent="0.25">
      <c r="A5574" t="s">
        <v>5578</v>
      </c>
      <c r="B5574">
        <v>0.99796759195183404</v>
      </c>
      <c r="C5574">
        <v>0.94629612259775298</v>
      </c>
      <c r="D5574">
        <v>0.84669636273484095</v>
      </c>
      <c r="E5574">
        <v>0.78109377955963999</v>
      </c>
      <c r="F5574">
        <v>0.78665808137686999</v>
      </c>
      <c r="G5574">
        <v>0.60334898358677103</v>
      </c>
      <c r="H5574">
        <v>0.63080285125234403</v>
      </c>
      <c r="I5574">
        <v>0.52332852882910297</v>
      </c>
      <c r="J5574">
        <v>0.67486785717375297</v>
      </c>
      <c r="K5574">
        <v>0.63683014301684504</v>
      </c>
      <c r="L5574">
        <v>535.68759395247298</v>
      </c>
      <c r="M5574">
        <v>11.622328782158</v>
      </c>
      <c r="O5574">
        <v>44.790121990092103</v>
      </c>
      <c r="P5574">
        <v>-2.62439199053368E-2</v>
      </c>
      <c r="Q5574">
        <v>0.595555142904446</v>
      </c>
      <c r="R5574">
        <v>0.88569205535228401</v>
      </c>
      <c r="S5574" t="s">
        <v>11157</v>
      </c>
      <c r="T5574" t="s">
        <v>11164</v>
      </c>
      <c r="U5574" t="s">
        <v>11164</v>
      </c>
      <c r="V5574" t="s">
        <v>11164</v>
      </c>
      <c r="W5574" t="s">
        <v>16690</v>
      </c>
      <c r="X5574">
        <v>2</v>
      </c>
      <c r="Y5574" t="s">
        <v>22145</v>
      </c>
      <c r="Z5574" t="s">
        <v>27724</v>
      </c>
      <c r="AA5574">
        <v>0.73277281739718103</v>
      </c>
      <c r="AB5574" t="str">
        <f>HYPERLINK("Melting_Curves/meltCurve_R4GMU8_LAMTOR5.pdf", "Melting_Curves/meltCurve_R4GMU8_LAMTOR5.pdf")</f>
        <v>Melting_Curves/meltCurve_R4GMU8_LAMTOR5.pdf</v>
      </c>
    </row>
    <row r="5575" spans="1:28" x14ac:dyDescent="0.25">
      <c r="A5575" t="s">
        <v>5579</v>
      </c>
      <c r="B5575">
        <v>0.99796759195183404</v>
      </c>
      <c r="C5575">
        <v>0.89325881610617097</v>
      </c>
      <c r="D5575">
        <v>0.97579740577332996</v>
      </c>
      <c r="E5575">
        <v>0.88124690726439603</v>
      </c>
      <c r="F5575">
        <v>0.60319218173884903</v>
      </c>
      <c r="G5575">
        <v>0.42557334510925099</v>
      </c>
      <c r="H5575">
        <v>0.202839515824838</v>
      </c>
      <c r="I5575">
        <v>0.16407905264167599</v>
      </c>
      <c r="J5575">
        <v>0.15627861826428499</v>
      </c>
      <c r="K5575">
        <v>0.12271005976395399</v>
      </c>
      <c r="L5575">
        <v>850.090399435672</v>
      </c>
      <c r="M5575">
        <v>16.580636491681499</v>
      </c>
      <c r="N5575">
        <v>52.0292054071897</v>
      </c>
      <c r="O5575">
        <v>50.541697665278903</v>
      </c>
      <c r="P5575">
        <v>-7.3207911720797297E-2</v>
      </c>
      <c r="Q5575">
        <v>0.107440782755806</v>
      </c>
      <c r="R5575">
        <v>0.98849680466977197</v>
      </c>
      <c r="S5575" t="s">
        <v>11158</v>
      </c>
      <c r="T5575" t="s">
        <v>11164</v>
      </c>
      <c r="U5575" t="s">
        <v>11164</v>
      </c>
      <c r="V5575" t="s">
        <v>11164</v>
      </c>
      <c r="W5575" t="s">
        <v>16691</v>
      </c>
      <c r="X5575">
        <v>4</v>
      </c>
      <c r="Y5575" t="s">
        <v>22146</v>
      </c>
      <c r="Z5575" t="s">
        <v>27725</v>
      </c>
      <c r="AA5575">
        <v>0.54752460621167964</v>
      </c>
      <c r="AB5575" t="str">
        <f>HYPERLINK("Melting_Curves/meltCurve_R4GMX3_BMI1.pdf", "Melting_Curves/meltCurve_R4GMX3_BMI1.pdf")</f>
        <v>Melting_Curves/meltCurve_R4GMX3_BMI1.pdf</v>
      </c>
    </row>
    <row r="5576" spans="1:28" x14ac:dyDescent="0.25">
      <c r="A5576" t="s">
        <v>5580</v>
      </c>
      <c r="B5576">
        <v>0.99796759195183404</v>
      </c>
      <c r="C5576">
        <v>1.0757078913467699</v>
      </c>
      <c r="D5576">
        <v>0.89466934204953497</v>
      </c>
      <c r="E5576">
        <v>0.95493271456694495</v>
      </c>
      <c r="F5576">
        <v>0.90750330125968703</v>
      </c>
      <c r="G5576">
        <v>0.50465165219001096</v>
      </c>
      <c r="H5576">
        <v>0.43121653847025798</v>
      </c>
      <c r="I5576">
        <v>0.36864537346493098</v>
      </c>
      <c r="J5576">
        <v>0.324899584073917</v>
      </c>
      <c r="K5576">
        <v>0.22884396251848299</v>
      </c>
      <c r="L5576">
        <v>1450.2033712791899</v>
      </c>
      <c r="M5576">
        <v>27.518277213435201</v>
      </c>
      <c r="N5576">
        <v>54.599803235542197</v>
      </c>
      <c r="O5576">
        <v>52.423696875242101</v>
      </c>
      <c r="P5576">
        <v>-9.0797922060049205E-2</v>
      </c>
      <c r="Q5576">
        <v>0.30810799115460802</v>
      </c>
      <c r="R5576">
        <v>0.96363190875657401</v>
      </c>
      <c r="S5576" t="s">
        <v>11159</v>
      </c>
      <c r="T5576" t="s">
        <v>11164</v>
      </c>
      <c r="U5576" t="s">
        <v>11164</v>
      </c>
      <c r="V5576" t="s">
        <v>11164</v>
      </c>
      <c r="W5576" t="s">
        <v>16692</v>
      </c>
      <c r="X5576">
        <v>3</v>
      </c>
      <c r="Y5576" t="s">
        <v>22147</v>
      </c>
      <c r="Z5576" t="s">
        <v>27726</v>
      </c>
      <c r="AA5576">
        <v>0.67534876529677557</v>
      </c>
      <c r="AB5576" t="str">
        <f>HYPERLINK("Melting_Curves/meltCurve_R4GMZ8_FBXO44.pdf", "Melting_Curves/meltCurve_R4GMZ8_FBXO44.pdf")</f>
        <v>Melting_Curves/meltCurve_R4GMZ8_FBXO44.pdf</v>
      </c>
    </row>
    <row r="5577" spans="1:28" x14ac:dyDescent="0.25">
      <c r="A5577" t="s">
        <v>5581</v>
      </c>
      <c r="B5577">
        <v>0.99796759195183404</v>
      </c>
      <c r="C5577">
        <v>0.98513452351153796</v>
      </c>
      <c r="D5577">
        <v>0.81483754336507197</v>
      </c>
      <c r="E5577">
        <v>0.85948712239749803</v>
      </c>
      <c r="F5577">
        <v>0.715464827508553</v>
      </c>
      <c r="G5577">
        <v>0.51770139019254002</v>
      </c>
      <c r="H5577">
        <v>0.19257848640040401</v>
      </c>
      <c r="I5577">
        <v>0.14362626124459699</v>
      </c>
      <c r="J5577">
        <v>0.13906199321868901</v>
      </c>
      <c r="K5577">
        <v>0.118462273012699</v>
      </c>
      <c r="L5577">
        <v>685.33372815455198</v>
      </c>
      <c r="M5577">
        <v>12.959624548423401</v>
      </c>
      <c r="N5577">
        <v>53.095236082941</v>
      </c>
      <c r="O5577">
        <v>51.670579147158001</v>
      </c>
      <c r="P5577">
        <v>-6.1125671366338299E-2</v>
      </c>
      <c r="Q5577">
        <v>2.53317094200174E-2</v>
      </c>
      <c r="R5577">
        <v>0.97167575799710604</v>
      </c>
      <c r="S5577" t="s">
        <v>11160</v>
      </c>
      <c r="T5577" t="s">
        <v>11164</v>
      </c>
      <c r="U5577" t="s">
        <v>11164</v>
      </c>
      <c r="V5577" t="s">
        <v>11164</v>
      </c>
      <c r="W5577" t="s">
        <v>16693</v>
      </c>
      <c r="X5577">
        <v>2</v>
      </c>
      <c r="Y5577" t="s">
        <v>22148</v>
      </c>
      <c r="Z5577" t="s">
        <v>27727</v>
      </c>
      <c r="AA5577">
        <v>0.56120977829739438</v>
      </c>
      <c r="AB5577" t="str">
        <f>HYPERLINK("Melting_Curves/meltCurve_R4GN33_MAPKAPK5.pdf", "Melting_Curves/meltCurve_R4GN33_MAPKAPK5.pdf")</f>
        <v>Melting_Curves/meltCurve_R4GN33_MAPKAPK5.pdf</v>
      </c>
    </row>
    <row r="5578" spans="1:28" x14ac:dyDescent="0.25">
      <c r="A5578" t="s">
        <v>5582</v>
      </c>
      <c r="B5578">
        <v>0.99796759195183404</v>
      </c>
      <c r="C5578">
        <v>1.0652866877407301</v>
      </c>
      <c r="D5578">
        <v>1.1692656173223701</v>
      </c>
      <c r="E5578">
        <v>1.0560192426175401</v>
      </c>
      <c r="F5578">
        <v>0.97754679221136997</v>
      </c>
      <c r="G5578">
        <v>0.56390498404718903</v>
      </c>
      <c r="H5578">
        <v>0.637155053479179</v>
      </c>
      <c r="I5578">
        <v>0.424425372498973</v>
      </c>
      <c r="J5578">
        <v>0.39925625720788999</v>
      </c>
      <c r="K5578">
        <v>0.28346463487916002</v>
      </c>
      <c r="L5578">
        <v>1036.7392313052001</v>
      </c>
      <c r="M5578">
        <v>18.945379120567299</v>
      </c>
      <c r="N5578">
        <v>58.043234801086498</v>
      </c>
      <c r="O5578">
        <v>54.123784583378097</v>
      </c>
      <c r="P5578">
        <v>-5.8558493335409197E-2</v>
      </c>
      <c r="Q5578">
        <v>0.33085964800317502</v>
      </c>
      <c r="R5578">
        <v>0.90876739909802196</v>
      </c>
      <c r="S5578" t="s">
        <v>11161</v>
      </c>
      <c r="T5578" t="s">
        <v>11164</v>
      </c>
      <c r="U5578" t="s">
        <v>11164</v>
      </c>
      <c r="V5578" t="s">
        <v>11164</v>
      </c>
      <c r="W5578" t="s">
        <v>16694</v>
      </c>
      <c r="X5578">
        <v>2</v>
      </c>
      <c r="Y5578" t="s">
        <v>22149</v>
      </c>
      <c r="Z5578" t="s">
        <v>27728</v>
      </c>
      <c r="AA5578">
        <v>0.73437741448389349</v>
      </c>
      <c r="AB5578" t="str">
        <f>HYPERLINK("Melting_Curves/meltCurve_R4GN50_PTP4A2.pdf", "Melting_Curves/meltCurve_R4GN50_PTP4A2.pdf")</f>
        <v>Melting_Curves/meltCurve_R4GN50_PTP4A2.pdf</v>
      </c>
    </row>
    <row r="5579" spans="1:28" x14ac:dyDescent="0.25">
      <c r="A5579" t="s">
        <v>5583</v>
      </c>
      <c r="B5579">
        <v>0.99796759195183404</v>
      </c>
      <c r="C5579">
        <v>0.99995017300637901</v>
      </c>
      <c r="D5579">
        <v>1.03639859130528</v>
      </c>
      <c r="E5579">
        <v>1.02863636111312</v>
      </c>
      <c r="F5579">
        <v>0.77864711600960201</v>
      </c>
      <c r="G5579">
        <v>0.51004504474198398</v>
      </c>
      <c r="H5579">
        <v>0.34771426080199203</v>
      </c>
      <c r="I5579">
        <v>0.226032545562246</v>
      </c>
      <c r="J5579">
        <v>0.25066441540109202</v>
      </c>
      <c r="K5579">
        <v>0.15734125644494901</v>
      </c>
      <c r="L5579">
        <v>1152.76667455389</v>
      </c>
      <c r="M5579">
        <v>21.815579453891999</v>
      </c>
      <c r="N5579">
        <v>54.068651197813203</v>
      </c>
      <c r="O5579">
        <v>52.403445208951702</v>
      </c>
      <c r="P5579">
        <v>-8.3755209898454905E-2</v>
      </c>
      <c r="Q5579">
        <v>0.19526132613696201</v>
      </c>
      <c r="R5579">
        <v>0.99021823987522595</v>
      </c>
      <c r="S5579" t="s">
        <v>11162</v>
      </c>
      <c r="T5579" t="s">
        <v>11164</v>
      </c>
      <c r="U5579" t="s">
        <v>11164</v>
      </c>
      <c r="V5579" t="s">
        <v>11164</v>
      </c>
      <c r="W5579" t="s">
        <v>16695</v>
      </c>
      <c r="X5579">
        <v>5</v>
      </c>
      <c r="Y5579" t="s">
        <v>22150</v>
      </c>
      <c r="Z5579" t="s">
        <v>27729</v>
      </c>
      <c r="AA5579">
        <v>0.62912588880100884</v>
      </c>
      <c r="AB5579" t="str">
        <f>HYPERLINK("Melting_Curves/meltCurve_R4GN55_YTHDF3.pdf", "Melting_Curves/meltCurve_R4GN55_YTHDF3.pdf")</f>
        <v>Melting_Curves/meltCurve_R4GN55_YTHDF3.pdf</v>
      </c>
    </row>
    <row r="5580" spans="1:28" x14ac:dyDescent="0.25">
      <c r="A5580" t="s">
        <v>5584</v>
      </c>
      <c r="B5580">
        <v>0.99796759195183404</v>
      </c>
      <c r="C5580">
        <v>0.99160188481196299</v>
      </c>
      <c r="D5580">
        <v>1.0062923905011001</v>
      </c>
      <c r="E5580">
        <v>0.97864215241709795</v>
      </c>
      <c r="F5580">
        <v>0.88317633774466198</v>
      </c>
      <c r="G5580">
        <v>0.69058516952638305</v>
      </c>
      <c r="H5580">
        <v>0.35578042237193302</v>
      </c>
      <c r="I5580">
        <v>0.23664505532125099</v>
      </c>
      <c r="J5580">
        <v>0.14392319351604199</v>
      </c>
      <c r="K5580">
        <v>9.9166995875819203E-2</v>
      </c>
      <c r="L5580">
        <v>1102.7954793782101</v>
      </c>
      <c r="M5580">
        <v>19.924622242758499</v>
      </c>
      <c r="N5580">
        <v>55.866444813850599</v>
      </c>
      <c r="O5580">
        <v>54.799883867570898</v>
      </c>
      <c r="P5580">
        <v>-8.3232913678527504E-2</v>
      </c>
      <c r="Q5580">
        <v>8.4348349892892499E-2</v>
      </c>
      <c r="R5580">
        <v>0.99810736651036802</v>
      </c>
      <c r="S5580" t="s">
        <v>11163</v>
      </c>
      <c r="T5580" t="s">
        <v>11164</v>
      </c>
      <c r="U5580" t="s">
        <v>11164</v>
      </c>
      <c r="V5580" t="s">
        <v>11164</v>
      </c>
      <c r="W5580" t="s">
        <v>16696</v>
      </c>
      <c r="X5580">
        <v>21</v>
      </c>
      <c r="Y5580" t="s">
        <v>22151</v>
      </c>
      <c r="Z5580" t="s">
        <v>27730</v>
      </c>
      <c r="AA5580">
        <v>0.65449490861659854</v>
      </c>
      <c r="AB5580" t="str">
        <f>HYPERLINK("Melting_Curves/meltCurve_R4GNH3_PSMC3.pdf", "Melting_Curves/meltCurve_R4GNH3_PSMC3.pdf")</f>
        <v>Melting_Curves/meltCurve_R4GNH3_PSMC3.pdf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2017-09-14T13:07:00Z</dcterms:created>
  <dcterms:modified xsi:type="dcterms:W3CDTF">2018-08-21T09:28:23Z</dcterms:modified>
</cp:coreProperties>
</file>